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charts/chart6.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D:\02. Lap Trinh Net\02. TaoFile\Dce Pro\Excel\File V.2020\"/>
    </mc:Choice>
  </mc:AlternateContent>
  <bookViews>
    <workbookView xWindow="0" yWindow="0" windowWidth="28800" windowHeight="12300" tabRatio="857" firstSheet="10" activeTab="13"/>
  </bookViews>
  <sheets>
    <sheet name="LYTHUYET" sheetId="1" state="hidden" r:id="rId1"/>
    <sheet name="BANGTRA" sheetId="4" state="hidden" r:id="rId2"/>
    <sheet name="PIERFORCES" sheetId="14" state="hidden" r:id="rId3"/>
    <sheet name="PIERSECTION" sheetId="15" state="hidden" r:id="rId4"/>
    <sheet name="HK1" sheetId="16" state="hidden" r:id="rId5"/>
    <sheet name="OGAreas01" sheetId="21" state="hidden" r:id="rId6"/>
    <sheet name="Chon_SL_Coc" sheetId="13" r:id="rId7"/>
    <sheet name="Point Coordinates" sheetId="17" state="hidden" r:id="rId8"/>
    <sheet name="Nodal Reactions" sheetId="18" state="hidden" r:id="rId9"/>
    <sheet name="Point Spring Assignments" sheetId="19" state="hidden" r:id="rId10"/>
    <sheet name="TM SCT Coc" sheetId="20" r:id="rId11"/>
    <sheet name="SPT 9386-2012" sheetId="25" state="hidden" r:id="rId12"/>
    <sheet name="LT 10304-2025" sheetId="23" state="hidden" r:id="rId13"/>
    <sheet name="SPT 10304-2025" sheetId="22" r:id="rId14"/>
    <sheet name="SPT 10304-2025 EQ" sheetId="24" r:id="rId15"/>
    <sheet name="7.2.1-10304-Cọc Chống" sheetId="26" r:id="rId16"/>
    <sheet name="7.2.2-10304-Không moi đất" sheetId="27" r:id="rId17"/>
    <sheet name="7.2.2-10304-Không moi đất EQ" sheetId="30" r:id="rId18"/>
    <sheet name="7.2.3-10304-Có moi đất" sheetId="29" r:id="rId19"/>
    <sheet name="7.2.3-10304-Có moi đất EQ" sheetId="31" r:id="rId20"/>
    <sheet name="SCT VatLieu" sheetId="32" r:id="rId21"/>
  </sheets>
  <functionGroups builtInGroupCount="18"/>
  <definedNames>
    <definedName name="_2018.04.16.Summer_Block_A2.R1" localSheetId="7" hidden="1">'Point Coordinates'!#REF!</definedName>
    <definedName name="_xlnm._FilterDatabase" localSheetId="8" hidden="1">'Nodal Reactions'!$A$1:$J$186</definedName>
    <definedName name="_xlnm._FilterDatabase" localSheetId="2" hidden="1">PIERFORCES!$A$1:$J$2226</definedName>
    <definedName name="_xlnm._FilterDatabase" localSheetId="3" hidden="1">PIERSECTION!$A$1:$P$2159</definedName>
    <definedName name="_xlnm._FilterDatabase" localSheetId="9" hidden="1">'Point Spring Assignments'!$A$2:$B$2</definedName>
    <definedName name="_xlnm._FilterDatabase" localSheetId="10" hidden="1">'TM SCT Coc'!$C$20:$O$565</definedName>
    <definedName name="AST" localSheetId="8">#REF!</definedName>
    <definedName name="AST" localSheetId="7">#REF!</definedName>
    <definedName name="AST" localSheetId="9">#REF!</definedName>
    <definedName name="B" localSheetId="8">#REF!</definedName>
    <definedName name="B" localSheetId="7">#REF!</definedName>
    <definedName name="B" localSheetId="9">#REF!</definedName>
    <definedName name="B1.Loaicoc">BANGTRA!$A$3:$A$5</definedName>
    <definedName name="B1.Loaicockyhieu">BANGTRA!$A$3:$B$5</definedName>
    <definedName name="B2.Betongcoc">BANGTRA!$A$12:$E$24</definedName>
    <definedName name="B2.Capdoben">BANGTRA!$A$12:$A$24</definedName>
    <definedName name="B3.Loaithep">BANGTRA!$G$12:$G$16</definedName>
    <definedName name="B3.Thepcoc">BANGTRA!$G$12:$J$16</definedName>
    <definedName name="B4.CHITIEUCOLY" localSheetId="15">'7.2.1-10304-Cọc Chống'!#REF!</definedName>
    <definedName name="B4.CHITIEUCOLY" localSheetId="16">'7.2.2-10304-Không moi đất'!#REF!</definedName>
    <definedName name="B4.CHITIEUCOLY" localSheetId="17">'7.2.2-10304-Không moi đất EQ'!#REF!</definedName>
    <definedName name="B4.CHITIEUCOLY" localSheetId="18">'7.2.3-10304-Có moi đất'!#REF!</definedName>
    <definedName name="B4.CHITIEUCOLY" localSheetId="19">'7.2.3-10304-Có moi đất EQ'!#REF!</definedName>
    <definedName name="B4.CHITIEUCOLY" localSheetId="4">'HK1'!$AA$4:$AS$30</definedName>
    <definedName name="B4.CHITIEUCOLY" localSheetId="20">'SCT VatLieu'!#REF!</definedName>
    <definedName name="B4.CHITIEUCOLY" localSheetId="13">'SPT 10304-2025'!#REF!</definedName>
    <definedName name="B4.CHITIEUCOLY" localSheetId="14">'SPT 10304-2025 EQ'!#REF!</definedName>
    <definedName name="Block__A2_3_Pilling__r2" localSheetId="8" hidden="1">'Nodal Reactions'!#REF!</definedName>
    <definedName name="COMMERCIAL.r9" localSheetId="2" hidden="1">PIERFORCES!#REF!</definedName>
    <definedName name="DDY" localSheetId="8">#REF!</definedName>
    <definedName name="DDY" localSheetId="7">#REF!</definedName>
    <definedName name="DDY" localSheetId="9">#REF!</definedName>
    <definedName name="EC" localSheetId="8">#REF!</definedName>
    <definedName name="EC" localSheetId="7">#REF!</definedName>
    <definedName name="EC" localSheetId="9">#REF!</definedName>
    <definedName name="ES" localSheetId="8">#REF!</definedName>
    <definedName name="ES" localSheetId="7">#REF!</definedName>
    <definedName name="ES" localSheetId="9">#REF!</definedName>
    <definedName name="ExternalData_1" localSheetId="8" hidden="1">'Nodal Reactions'!#REF!</definedName>
    <definedName name="ExternalData_1" localSheetId="2" hidden="1">PIERFORCES!#REF!</definedName>
    <definedName name="ExternalData_1" localSheetId="7" hidden="1">'Point Coordinates'!#REF!</definedName>
    <definedName name="ExternalData_1" localSheetId="9" hidden="1">'Point Spring Assignments'!#REF!</definedName>
    <definedName name="FC" localSheetId="8">#REF!</definedName>
    <definedName name="FC" localSheetId="7">#REF!</definedName>
    <definedName name="FC" localSheetId="9">#REF!</definedName>
    <definedName name="FY" localSheetId="8">#REF!</definedName>
    <definedName name="FY" localSheetId="7">#REF!</definedName>
    <definedName name="FY" localSheetId="9">#REF!</definedName>
    <definedName name="H" localSheetId="8">#REF!</definedName>
    <definedName name="H" localSheetId="7">#REF!</definedName>
    <definedName name="H" localSheetId="9">#REF!</definedName>
    <definedName name="KX" localSheetId="8">#REF!</definedName>
    <definedName name="KX" localSheetId="7">#REF!</definedName>
    <definedName name="KX" localSheetId="9">#REF!</definedName>
    <definedName name="KY" localSheetId="8">#REF!</definedName>
    <definedName name="KY" localSheetId="7">#REF!</definedName>
    <definedName name="KY" localSheetId="9">#REF!</definedName>
    <definedName name="LUX" localSheetId="8">#REF!</definedName>
    <definedName name="LUX" localSheetId="7">#REF!</definedName>
    <definedName name="LUX" localSheetId="9">#REF!</definedName>
    <definedName name="LUY" localSheetId="8">#REF!</definedName>
    <definedName name="LUY" localSheetId="7">#REF!</definedName>
    <definedName name="LUY" localSheetId="9">#REF!</definedName>
    <definedName name="_xlnm.Print_Area" localSheetId="15">'7.2.1-10304-Cọc Chống'!$A$1:$M$41</definedName>
    <definedName name="_xlnm.Print_Area" localSheetId="16">'7.2.2-10304-Không moi đất'!$A$1:$M$89</definedName>
    <definedName name="_xlnm.Print_Area" localSheetId="17">'7.2.2-10304-Không moi đất EQ'!$A$1:$O$91</definedName>
    <definedName name="_xlnm.Print_Area" localSheetId="18">'7.2.3-10304-Có moi đất'!$A$1:$L$89</definedName>
    <definedName name="_xlnm.Print_Area" localSheetId="19">'7.2.3-10304-Có moi đất EQ'!$A$1:$N$93</definedName>
    <definedName name="_xlnm.Print_Area" localSheetId="1">BANGTRA!#REF!</definedName>
    <definedName name="_xlnm.Print_Area" localSheetId="6">Chon_SL_Coc!$A$1:$P$41</definedName>
    <definedName name="_xlnm.Print_Area" localSheetId="4">'HK1'!$A$1:$S$423</definedName>
    <definedName name="_xlnm.Print_Area" localSheetId="0">LYTHUYET!$A$1:$M$117</definedName>
    <definedName name="_xlnm.Print_Area" localSheetId="20">'SCT VatLieu'!$A$1:$S$24</definedName>
    <definedName name="_xlnm.Print_Area" localSheetId="13">'SPT 10304-2025'!$A$1:$M$81</definedName>
    <definedName name="_xlnm.Print_Area" localSheetId="14">'SPT 10304-2025 EQ'!$A$1:$O$87</definedName>
    <definedName name="_xlnm.Print_Area" localSheetId="10">'TM SCT Coc'!$C$1:$M$130</definedName>
    <definedName name="_xlnm.Print_Titles" localSheetId="1">BANGTRA!#REF!</definedName>
    <definedName name="_xlnm.Print_Titles" localSheetId="6">Chon_SL_Coc!$1:$2</definedName>
    <definedName name="_xlnm.Print_Titles" localSheetId="0">LYTHUYET!$1:$4</definedName>
    <definedName name="_xlnm.Print_Titles" localSheetId="10">'TM SCT Coc'!$18:$19</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3" i="32" l="1"/>
  <c r="F23" i="32"/>
  <c r="F22" i="32"/>
  <c r="C22" i="32"/>
  <c r="R21" i="32"/>
  <c r="R20" i="32"/>
  <c r="F20" i="32"/>
  <c r="R19" i="32"/>
  <c r="F19" i="32"/>
  <c r="F18" i="32"/>
  <c r="R17" i="32"/>
  <c r="F17" i="32"/>
  <c r="R14" i="32"/>
  <c r="E12" i="32"/>
  <c r="R10" i="32"/>
  <c r="W8" i="32"/>
  <c r="W7" i="32"/>
  <c r="O3" i="32"/>
  <c r="N150" i="31"/>
  <c r="M150" i="31"/>
  <c r="L150" i="31"/>
  <c r="K150" i="31"/>
  <c r="J150" i="31"/>
  <c r="I150" i="31"/>
  <c r="H150" i="31"/>
  <c r="G150" i="31"/>
  <c r="F150" i="31"/>
  <c r="E150" i="31"/>
  <c r="D150" i="31"/>
  <c r="C150" i="31"/>
  <c r="B150" i="31"/>
  <c r="A150" i="31"/>
  <c r="N149" i="31"/>
  <c r="M149" i="31"/>
  <c r="L149" i="31"/>
  <c r="K149" i="31"/>
  <c r="J149" i="31"/>
  <c r="I149" i="31"/>
  <c r="H149" i="31"/>
  <c r="G149" i="31"/>
  <c r="F149" i="31"/>
  <c r="E149" i="31"/>
  <c r="D149" i="31"/>
  <c r="C149" i="31"/>
  <c r="B149" i="31"/>
  <c r="A149" i="31"/>
  <c r="N148" i="31"/>
  <c r="M148" i="31"/>
  <c r="L148" i="31"/>
  <c r="K148" i="31"/>
  <c r="J148" i="31"/>
  <c r="I148" i="31"/>
  <c r="H148" i="31"/>
  <c r="G148" i="31"/>
  <c r="F148" i="31"/>
  <c r="E148" i="31"/>
  <c r="D148" i="31"/>
  <c r="C148" i="31"/>
  <c r="B148" i="31"/>
  <c r="A148" i="31"/>
  <c r="N147" i="31"/>
  <c r="M147" i="31"/>
  <c r="L147" i="31"/>
  <c r="K147" i="31"/>
  <c r="J147" i="31"/>
  <c r="I147" i="31"/>
  <c r="H147" i="31"/>
  <c r="G147" i="31"/>
  <c r="F147" i="31"/>
  <c r="E147" i="31"/>
  <c r="D147" i="31"/>
  <c r="C147" i="31"/>
  <c r="B147" i="31"/>
  <c r="A147" i="31"/>
  <c r="N146" i="31"/>
  <c r="M146" i="31"/>
  <c r="L146" i="31"/>
  <c r="K146" i="31"/>
  <c r="J146" i="31"/>
  <c r="I146" i="31"/>
  <c r="H146" i="31"/>
  <c r="G146" i="31"/>
  <c r="F146" i="31"/>
  <c r="E146" i="31"/>
  <c r="D146" i="31"/>
  <c r="C146" i="31"/>
  <c r="B146" i="31"/>
  <c r="A146" i="31"/>
  <c r="N145" i="31"/>
  <c r="M145" i="31"/>
  <c r="L145" i="31"/>
  <c r="K145" i="31"/>
  <c r="J145" i="31"/>
  <c r="I145" i="31"/>
  <c r="H145" i="31"/>
  <c r="G145" i="31"/>
  <c r="F145" i="31"/>
  <c r="E145" i="31"/>
  <c r="D145" i="31"/>
  <c r="C145" i="31"/>
  <c r="B145" i="31"/>
  <c r="A145" i="31"/>
  <c r="N144" i="31"/>
  <c r="M144" i="31"/>
  <c r="L144" i="31"/>
  <c r="K144" i="31"/>
  <c r="J144" i="31"/>
  <c r="I144" i="31"/>
  <c r="H144" i="31"/>
  <c r="G144" i="31"/>
  <c r="F144" i="31"/>
  <c r="E144" i="31"/>
  <c r="D144" i="31"/>
  <c r="C144" i="31"/>
  <c r="B144" i="31"/>
  <c r="A144" i="31"/>
  <c r="N143" i="31"/>
  <c r="M143" i="31"/>
  <c r="L143" i="31"/>
  <c r="K143" i="31"/>
  <c r="J143" i="31"/>
  <c r="I143" i="31"/>
  <c r="H143" i="31"/>
  <c r="G143" i="31"/>
  <c r="F143" i="31"/>
  <c r="E143" i="31"/>
  <c r="D143" i="31"/>
  <c r="C143" i="31"/>
  <c r="B143" i="31"/>
  <c r="A143" i="31"/>
  <c r="N142" i="31"/>
  <c r="M142" i="31"/>
  <c r="L142" i="31"/>
  <c r="K142" i="31"/>
  <c r="J142" i="31"/>
  <c r="I142" i="31"/>
  <c r="H142" i="31"/>
  <c r="G142" i="31"/>
  <c r="F142" i="31"/>
  <c r="E142" i="31"/>
  <c r="D142" i="31"/>
  <c r="C142" i="31"/>
  <c r="B142" i="31"/>
  <c r="A142" i="31"/>
  <c r="N141" i="31"/>
  <c r="M141" i="31"/>
  <c r="L141" i="31"/>
  <c r="K141" i="31"/>
  <c r="J141" i="31"/>
  <c r="I141" i="31"/>
  <c r="H141" i="31"/>
  <c r="G141" i="31"/>
  <c r="F141" i="31"/>
  <c r="E141" i="31"/>
  <c r="D141" i="31"/>
  <c r="C141" i="31"/>
  <c r="B141" i="31"/>
  <c r="A141" i="31"/>
  <c r="N140" i="31"/>
  <c r="M140" i="31"/>
  <c r="L140" i="31"/>
  <c r="K140" i="31"/>
  <c r="J140" i="31"/>
  <c r="I140" i="31"/>
  <c r="H140" i="31"/>
  <c r="G140" i="31"/>
  <c r="F140" i="31"/>
  <c r="E140" i="31"/>
  <c r="D140" i="31"/>
  <c r="C140" i="31"/>
  <c r="B140" i="31"/>
  <c r="A140" i="31"/>
  <c r="N139" i="31"/>
  <c r="M139" i="31"/>
  <c r="L139" i="31"/>
  <c r="K139" i="31"/>
  <c r="J139" i="31"/>
  <c r="I139" i="31"/>
  <c r="H139" i="31"/>
  <c r="G139" i="31"/>
  <c r="F139" i="31"/>
  <c r="E139" i="31"/>
  <c r="D139" i="31"/>
  <c r="C139" i="31"/>
  <c r="B139" i="31"/>
  <c r="A139" i="31"/>
  <c r="N138" i="31"/>
  <c r="M138" i="31"/>
  <c r="L138" i="31"/>
  <c r="K138" i="31"/>
  <c r="J138" i="31"/>
  <c r="I138" i="31"/>
  <c r="H138" i="31"/>
  <c r="G138" i="31"/>
  <c r="F138" i="31"/>
  <c r="E138" i="31"/>
  <c r="D138" i="31"/>
  <c r="C138" i="31"/>
  <c r="B138" i="31"/>
  <c r="A138" i="31"/>
  <c r="N137" i="31"/>
  <c r="M137" i="31"/>
  <c r="L137" i="31"/>
  <c r="K137" i="31"/>
  <c r="J137" i="31"/>
  <c r="I137" i="31"/>
  <c r="H137" i="31"/>
  <c r="G137" i="31"/>
  <c r="F137" i="31"/>
  <c r="E137" i="31"/>
  <c r="D137" i="31"/>
  <c r="C137" i="31"/>
  <c r="B137" i="31"/>
  <c r="A137" i="31"/>
  <c r="N136" i="31"/>
  <c r="M136" i="31"/>
  <c r="L136" i="31"/>
  <c r="K136" i="31"/>
  <c r="J136" i="31"/>
  <c r="I136" i="31"/>
  <c r="H136" i="31"/>
  <c r="G136" i="31"/>
  <c r="F136" i="31"/>
  <c r="E136" i="31"/>
  <c r="D136" i="31"/>
  <c r="C136" i="31"/>
  <c r="B136" i="31"/>
  <c r="A136" i="31"/>
  <c r="N135" i="31"/>
  <c r="M135" i="31"/>
  <c r="L135" i="31"/>
  <c r="K135" i="31"/>
  <c r="J135" i="31"/>
  <c r="I135" i="31"/>
  <c r="H135" i="31"/>
  <c r="G135" i="31"/>
  <c r="F135" i="31"/>
  <c r="E135" i="31"/>
  <c r="D135" i="31"/>
  <c r="C135" i="31"/>
  <c r="B135" i="31"/>
  <c r="A135" i="31"/>
  <c r="N134" i="31"/>
  <c r="M134" i="31"/>
  <c r="L134" i="31"/>
  <c r="K134" i="31"/>
  <c r="J134" i="31"/>
  <c r="I134" i="31"/>
  <c r="H134" i="31"/>
  <c r="G134" i="31"/>
  <c r="F134" i="31"/>
  <c r="E134" i="31"/>
  <c r="D134" i="31"/>
  <c r="C134" i="31"/>
  <c r="B134" i="31"/>
  <c r="A134" i="31"/>
  <c r="N133" i="31"/>
  <c r="M133" i="31"/>
  <c r="L133" i="31"/>
  <c r="K133" i="31"/>
  <c r="J133" i="31"/>
  <c r="I133" i="31"/>
  <c r="H133" i="31"/>
  <c r="G133" i="31"/>
  <c r="F133" i="31"/>
  <c r="E133" i="31"/>
  <c r="D133" i="31"/>
  <c r="C133" i="31"/>
  <c r="B133" i="31"/>
  <c r="A133" i="31"/>
  <c r="N132" i="31"/>
  <c r="M132" i="31"/>
  <c r="L132" i="31"/>
  <c r="K132" i="31"/>
  <c r="J132" i="31"/>
  <c r="I132" i="31"/>
  <c r="H132" i="31"/>
  <c r="G132" i="31"/>
  <c r="F132" i="31"/>
  <c r="E132" i="31"/>
  <c r="D132" i="31"/>
  <c r="C132" i="31"/>
  <c r="B132" i="31"/>
  <c r="A132" i="31"/>
  <c r="N131" i="31"/>
  <c r="M131" i="31"/>
  <c r="L131" i="31"/>
  <c r="K131" i="31"/>
  <c r="J131" i="31"/>
  <c r="I131" i="31"/>
  <c r="H131" i="31"/>
  <c r="G131" i="31"/>
  <c r="F131" i="31"/>
  <c r="E131" i="31"/>
  <c r="D131" i="31"/>
  <c r="C131" i="31"/>
  <c r="B131" i="31"/>
  <c r="A131" i="31"/>
  <c r="N130" i="31"/>
  <c r="M130" i="31"/>
  <c r="L130" i="31"/>
  <c r="K130" i="31"/>
  <c r="J130" i="31"/>
  <c r="I130" i="31"/>
  <c r="H130" i="31"/>
  <c r="G130" i="31"/>
  <c r="F130" i="31"/>
  <c r="E130" i="31"/>
  <c r="D130" i="31"/>
  <c r="C130" i="31"/>
  <c r="B130" i="31"/>
  <c r="A130" i="31"/>
  <c r="N129" i="31"/>
  <c r="M129" i="31"/>
  <c r="L129" i="31"/>
  <c r="K129" i="31"/>
  <c r="J129" i="31"/>
  <c r="I129" i="31"/>
  <c r="H129" i="31"/>
  <c r="G129" i="31"/>
  <c r="F129" i="31"/>
  <c r="E129" i="31"/>
  <c r="D129" i="31"/>
  <c r="C129" i="31"/>
  <c r="B129" i="31"/>
  <c r="A129" i="31"/>
  <c r="N128" i="31"/>
  <c r="M128" i="31"/>
  <c r="L128" i="31"/>
  <c r="K128" i="31"/>
  <c r="J128" i="31"/>
  <c r="I128" i="31"/>
  <c r="H128" i="31"/>
  <c r="G128" i="31"/>
  <c r="F128" i="31"/>
  <c r="E128" i="31"/>
  <c r="D128" i="31"/>
  <c r="C128" i="31"/>
  <c r="B128" i="31"/>
  <c r="A128" i="31"/>
  <c r="N127" i="31"/>
  <c r="M127" i="31"/>
  <c r="L127" i="31"/>
  <c r="K127" i="31"/>
  <c r="J127" i="31"/>
  <c r="I127" i="31"/>
  <c r="H127" i="31"/>
  <c r="G127" i="31"/>
  <c r="F127" i="31"/>
  <c r="E127" i="31"/>
  <c r="D127" i="31"/>
  <c r="C127" i="31"/>
  <c r="B127" i="31"/>
  <c r="A127" i="31"/>
  <c r="N126" i="31"/>
  <c r="M126" i="31"/>
  <c r="L126" i="31"/>
  <c r="K126" i="31"/>
  <c r="J126" i="31"/>
  <c r="I126" i="31"/>
  <c r="H126" i="31"/>
  <c r="G126" i="31"/>
  <c r="F126" i="31"/>
  <c r="E126" i="31"/>
  <c r="D126" i="31"/>
  <c r="C126" i="31"/>
  <c r="B126" i="31"/>
  <c r="A126" i="31"/>
  <c r="N125" i="31"/>
  <c r="M125" i="31"/>
  <c r="L125" i="31"/>
  <c r="K125" i="31"/>
  <c r="J125" i="31"/>
  <c r="I125" i="31"/>
  <c r="H125" i="31"/>
  <c r="G125" i="31"/>
  <c r="F125" i="31"/>
  <c r="E125" i="31"/>
  <c r="D125" i="31"/>
  <c r="C125" i="31"/>
  <c r="B125" i="31"/>
  <c r="A125" i="31"/>
  <c r="N124" i="31"/>
  <c r="M124" i="31"/>
  <c r="L124" i="31"/>
  <c r="K124" i="31"/>
  <c r="J124" i="31"/>
  <c r="I124" i="31"/>
  <c r="H124" i="31"/>
  <c r="G124" i="31"/>
  <c r="F124" i="31"/>
  <c r="E124" i="31"/>
  <c r="D124" i="31"/>
  <c r="C124" i="31"/>
  <c r="B124" i="31"/>
  <c r="A124" i="31"/>
  <c r="N123" i="31"/>
  <c r="M123" i="31"/>
  <c r="L123" i="31"/>
  <c r="K123" i="31"/>
  <c r="J123" i="31"/>
  <c r="I123" i="31"/>
  <c r="H123" i="31"/>
  <c r="G123" i="31"/>
  <c r="F123" i="31"/>
  <c r="E123" i="31"/>
  <c r="D123" i="31"/>
  <c r="C123" i="31"/>
  <c r="B123" i="31"/>
  <c r="A123" i="31"/>
  <c r="N122" i="31"/>
  <c r="M122" i="31"/>
  <c r="L122" i="31"/>
  <c r="K122" i="31"/>
  <c r="J122" i="31"/>
  <c r="I122" i="31"/>
  <c r="H122" i="31"/>
  <c r="G122" i="31"/>
  <c r="F122" i="31"/>
  <c r="E122" i="31"/>
  <c r="D122" i="31"/>
  <c r="C122" i="31"/>
  <c r="B122" i="31"/>
  <c r="A122" i="31"/>
  <c r="N121" i="31"/>
  <c r="M121" i="31"/>
  <c r="L121" i="31"/>
  <c r="K121" i="31"/>
  <c r="J121" i="31"/>
  <c r="I121" i="31"/>
  <c r="H121" i="31"/>
  <c r="G121" i="31"/>
  <c r="F121" i="31"/>
  <c r="E121" i="31"/>
  <c r="D121" i="31"/>
  <c r="C121" i="31"/>
  <c r="B121" i="31"/>
  <c r="A121" i="31"/>
  <c r="N120" i="31"/>
  <c r="M120" i="31"/>
  <c r="L120" i="31"/>
  <c r="K120" i="31"/>
  <c r="J120" i="31"/>
  <c r="I120" i="31"/>
  <c r="H120" i="31"/>
  <c r="G120" i="31"/>
  <c r="F120" i="31"/>
  <c r="E120" i="31"/>
  <c r="D120" i="31"/>
  <c r="C120" i="31"/>
  <c r="B120" i="31"/>
  <c r="A120" i="31"/>
  <c r="N119" i="31"/>
  <c r="M119" i="31"/>
  <c r="L119" i="31"/>
  <c r="K119" i="31"/>
  <c r="J119" i="31"/>
  <c r="I119" i="31"/>
  <c r="H119" i="31"/>
  <c r="G119" i="31"/>
  <c r="F119" i="31"/>
  <c r="E119" i="31"/>
  <c r="D119" i="31"/>
  <c r="C119" i="31"/>
  <c r="B119" i="31"/>
  <c r="A119" i="31"/>
  <c r="N118" i="31"/>
  <c r="M118" i="31"/>
  <c r="L118" i="31"/>
  <c r="K118" i="31"/>
  <c r="J118" i="31"/>
  <c r="I118" i="31"/>
  <c r="H118" i="31"/>
  <c r="G118" i="31"/>
  <c r="F118" i="31"/>
  <c r="E118" i="31"/>
  <c r="D118" i="31"/>
  <c r="C118" i="31"/>
  <c r="B118" i="31"/>
  <c r="A118" i="31"/>
  <c r="N117" i="31"/>
  <c r="M117" i="31"/>
  <c r="L117" i="31"/>
  <c r="K117" i="31"/>
  <c r="J117" i="31"/>
  <c r="I117" i="31"/>
  <c r="H117" i="31"/>
  <c r="G117" i="31"/>
  <c r="F117" i="31"/>
  <c r="E117" i="31"/>
  <c r="D117" i="31"/>
  <c r="C117" i="31"/>
  <c r="B117" i="31"/>
  <c r="A117" i="31"/>
  <c r="N116" i="31"/>
  <c r="M116" i="31"/>
  <c r="L116" i="31"/>
  <c r="K116" i="31"/>
  <c r="J116" i="31"/>
  <c r="I116" i="31"/>
  <c r="H116" i="31"/>
  <c r="G116" i="31"/>
  <c r="F116" i="31"/>
  <c r="E116" i="31"/>
  <c r="D116" i="31"/>
  <c r="C116" i="31"/>
  <c r="B116" i="31"/>
  <c r="A116" i="31"/>
  <c r="N115" i="31"/>
  <c r="M115" i="31"/>
  <c r="L115" i="31"/>
  <c r="K115" i="31"/>
  <c r="J115" i="31"/>
  <c r="I115" i="31"/>
  <c r="H115" i="31"/>
  <c r="G115" i="31"/>
  <c r="F115" i="31"/>
  <c r="E115" i="31"/>
  <c r="D115" i="31"/>
  <c r="C115" i="31"/>
  <c r="B115" i="31"/>
  <c r="A115" i="31"/>
  <c r="N114" i="31"/>
  <c r="M114" i="31"/>
  <c r="L114" i="31"/>
  <c r="K114" i="31"/>
  <c r="J114" i="31"/>
  <c r="I114" i="31"/>
  <c r="H114" i="31"/>
  <c r="G114" i="31"/>
  <c r="F114" i="31"/>
  <c r="E114" i="31"/>
  <c r="D114" i="31"/>
  <c r="C114" i="31"/>
  <c r="B114" i="31"/>
  <c r="A114" i="31"/>
  <c r="N113" i="31"/>
  <c r="M113" i="31"/>
  <c r="L113" i="31"/>
  <c r="K113" i="31"/>
  <c r="J113" i="31"/>
  <c r="I113" i="31"/>
  <c r="H113" i="31"/>
  <c r="G113" i="31"/>
  <c r="F113" i="31"/>
  <c r="E113" i="31"/>
  <c r="D113" i="31"/>
  <c r="C113" i="31"/>
  <c r="B113" i="31"/>
  <c r="A113" i="31"/>
  <c r="N112" i="31"/>
  <c r="M112" i="31"/>
  <c r="L112" i="31"/>
  <c r="K112" i="31"/>
  <c r="J112" i="31"/>
  <c r="I112" i="31"/>
  <c r="H112" i="31"/>
  <c r="G112" i="31"/>
  <c r="F112" i="31"/>
  <c r="E112" i="31"/>
  <c r="D112" i="31"/>
  <c r="C112" i="31"/>
  <c r="B112" i="31"/>
  <c r="A112" i="31"/>
  <c r="N111" i="31"/>
  <c r="M111" i="31"/>
  <c r="L111" i="31"/>
  <c r="K111" i="31"/>
  <c r="J111" i="31"/>
  <c r="I111" i="31"/>
  <c r="H111" i="31"/>
  <c r="G111" i="31"/>
  <c r="F111" i="31"/>
  <c r="E111" i="31"/>
  <c r="D111" i="31"/>
  <c r="C111" i="31"/>
  <c r="B111" i="31"/>
  <c r="A111" i="31"/>
  <c r="N110" i="31"/>
  <c r="M110" i="31"/>
  <c r="L110" i="31"/>
  <c r="K110" i="31"/>
  <c r="J110" i="31"/>
  <c r="I110" i="31"/>
  <c r="H110" i="31"/>
  <c r="G110" i="31"/>
  <c r="F110" i="31"/>
  <c r="E110" i="31"/>
  <c r="D110" i="31"/>
  <c r="C110" i="31"/>
  <c r="B110" i="31"/>
  <c r="A110" i="31"/>
  <c r="N109" i="31"/>
  <c r="M109" i="31"/>
  <c r="L109" i="31"/>
  <c r="K109" i="31"/>
  <c r="J109" i="31"/>
  <c r="I109" i="31"/>
  <c r="H109" i="31"/>
  <c r="G109" i="31"/>
  <c r="F109" i="31"/>
  <c r="E109" i="31"/>
  <c r="D109" i="31"/>
  <c r="C109" i="31"/>
  <c r="B109" i="31"/>
  <c r="A109" i="31"/>
  <c r="N108" i="31"/>
  <c r="M108" i="31"/>
  <c r="L108" i="31"/>
  <c r="K108" i="31"/>
  <c r="J108" i="31"/>
  <c r="I108" i="31"/>
  <c r="H108" i="31"/>
  <c r="G108" i="31"/>
  <c r="F108" i="31"/>
  <c r="E108" i="31"/>
  <c r="D108" i="31"/>
  <c r="C108" i="31"/>
  <c r="B108" i="31"/>
  <c r="A108" i="31"/>
  <c r="N107" i="31"/>
  <c r="M107" i="31"/>
  <c r="L107" i="31"/>
  <c r="K107" i="31"/>
  <c r="J107" i="31"/>
  <c r="I107" i="31"/>
  <c r="H107" i="31"/>
  <c r="G107" i="31"/>
  <c r="F107" i="31"/>
  <c r="E107" i="31"/>
  <c r="D107" i="31"/>
  <c r="C107" i="31"/>
  <c r="B107" i="31"/>
  <c r="A107" i="31"/>
  <c r="N106" i="31"/>
  <c r="M106" i="31"/>
  <c r="L106" i="31"/>
  <c r="K106" i="31"/>
  <c r="J106" i="31"/>
  <c r="I106" i="31"/>
  <c r="H106" i="31"/>
  <c r="G106" i="31"/>
  <c r="F106" i="31"/>
  <c r="E106" i="31"/>
  <c r="D106" i="31"/>
  <c r="C106" i="31"/>
  <c r="B106" i="31"/>
  <c r="A106" i="31"/>
  <c r="N105" i="31"/>
  <c r="M105" i="31"/>
  <c r="L105" i="31"/>
  <c r="K105" i="31"/>
  <c r="J105" i="31"/>
  <c r="I105" i="31"/>
  <c r="H105" i="31"/>
  <c r="G105" i="31"/>
  <c r="F105" i="31"/>
  <c r="E105" i="31"/>
  <c r="D105" i="31"/>
  <c r="C105" i="31"/>
  <c r="B105" i="31"/>
  <c r="A105" i="31"/>
  <c r="N104" i="31"/>
  <c r="M104" i="31"/>
  <c r="L104" i="31"/>
  <c r="K104" i="31"/>
  <c r="J104" i="31"/>
  <c r="I104" i="31"/>
  <c r="H104" i="31"/>
  <c r="G104" i="31"/>
  <c r="F104" i="31"/>
  <c r="E104" i="31"/>
  <c r="D104" i="31"/>
  <c r="C104" i="31"/>
  <c r="B104" i="31"/>
  <c r="A104" i="31"/>
  <c r="N103" i="31"/>
  <c r="M103" i="31"/>
  <c r="L103" i="31"/>
  <c r="K103" i="31"/>
  <c r="J103" i="31"/>
  <c r="I103" i="31"/>
  <c r="H103" i="31"/>
  <c r="G103" i="31"/>
  <c r="F103" i="31"/>
  <c r="E103" i="31"/>
  <c r="D103" i="31"/>
  <c r="C103" i="31"/>
  <c r="B103" i="31"/>
  <c r="A103" i="31"/>
  <c r="N102" i="31"/>
  <c r="M102" i="31"/>
  <c r="L102" i="31"/>
  <c r="K102" i="31"/>
  <c r="J102" i="31"/>
  <c r="I102" i="31"/>
  <c r="H102" i="31"/>
  <c r="G102" i="31"/>
  <c r="F102" i="31"/>
  <c r="E102" i="31"/>
  <c r="D102" i="31"/>
  <c r="C102" i="31"/>
  <c r="B102" i="31"/>
  <c r="A102" i="31"/>
  <c r="N101" i="31"/>
  <c r="M101" i="31"/>
  <c r="L101" i="31"/>
  <c r="K101" i="31"/>
  <c r="J101" i="31"/>
  <c r="I101" i="31"/>
  <c r="H101" i="31"/>
  <c r="G101" i="31"/>
  <c r="F101" i="31"/>
  <c r="E101" i="31"/>
  <c r="D101" i="31"/>
  <c r="C101" i="31"/>
  <c r="B101" i="31"/>
  <c r="A101" i="31"/>
  <c r="N100" i="31"/>
  <c r="M100" i="31"/>
  <c r="L100" i="31"/>
  <c r="K100" i="31"/>
  <c r="J100" i="31"/>
  <c r="I100" i="31"/>
  <c r="H100" i="31"/>
  <c r="G100" i="31"/>
  <c r="F100" i="31"/>
  <c r="E100" i="31"/>
  <c r="D100" i="31"/>
  <c r="C100" i="31"/>
  <c r="B100" i="31"/>
  <c r="A100" i="31"/>
  <c r="N99" i="31"/>
  <c r="M99" i="31"/>
  <c r="L99" i="31"/>
  <c r="K99" i="31"/>
  <c r="J99" i="31"/>
  <c r="I99" i="31"/>
  <c r="H99" i="31"/>
  <c r="G99" i="31"/>
  <c r="F99" i="31"/>
  <c r="E99" i="31"/>
  <c r="D99" i="31"/>
  <c r="C99" i="31"/>
  <c r="B99" i="31"/>
  <c r="A99" i="31"/>
  <c r="N98" i="31"/>
  <c r="M98" i="31"/>
  <c r="L98" i="31"/>
  <c r="K98" i="31"/>
  <c r="J98" i="31"/>
  <c r="I98" i="31"/>
  <c r="H98" i="31"/>
  <c r="G98" i="31"/>
  <c r="F98" i="31"/>
  <c r="E98" i="31"/>
  <c r="D98" i="31"/>
  <c r="C98" i="31"/>
  <c r="B98" i="31"/>
  <c r="A98" i="31"/>
  <c r="N97" i="31"/>
  <c r="M97" i="31"/>
  <c r="L97" i="31"/>
  <c r="K97" i="31"/>
  <c r="J97" i="31"/>
  <c r="I97" i="31"/>
  <c r="H97" i="31"/>
  <c r="G97" i="31"/>
  <c r="F97" i="31"/>
  <c r="E97" i="31"/>
  <c r="D97" i="31"/>
  <c r="C97" i="31"/>
  <c r="B97" i="31"/>
  <c r="A97" i="31"/>
  <c r="N96" i="31"/>
  <c r="M96" i="31"/>
  <c r="L96" i="31"/>
  <c r="K96" i="31"/>
  <c r="J96" i="31"/>
  <c r="I96" i="31"/>
  <c r="H96" i="31"/>
  <c r="G96" i="31"/>
  <c r="F96" i="31"/>
  <c r="E96" i="31"/>
  <c r="D96" i="31"/>
  <c r="C96" i="31"/>
  <c r="B96" i="31"/>
  <c r="A96" i="31"/>
  <c r="N95" i="31"/>
  <c r="M95" i="31"/>
  <c r="L95" i="31"/>
  <c r="K95" i="31"/>
  <c r="J95" i="31"/>
  <c r="I95" i="31"/>
  <c r="H95" i="31"/>
  <c r="G95" i="31"/>
  <c r="F95" i="31"/>
  <c r="E95" i="31"/>
  <c r="D95" i="31"/>
  <c r="C95" i="31"/>
  <c r="B95" i="31"/>
  <c r="A95" i="31"/>
  <c r="N94" i="31"/>
  <c r="M94" i="31"/>
  <c r="L94" i="31"/>
  <c r="K94" i="31"/>
  <c r="J94" i="31"/>
  <c r="I94" i="31"/>
  <c r="H94" i="31"/>
  <c r="G94" i="31"/>
  <c r="F94" i="31"/>
  <c r="E94" i="31"/>
  <c r="D94" i="31"/>
  <c r="C94" i="31"/>
  <c r="B94" i="31"/>
  <c r="A94" i="31"/>
  <c r="N93" i="31"/>
  <c r="M93" i="31"/>
  <c r="L93" i="31"/>
  <c r="K93" i="31"/>
  <c r="J93" i="31"/>
  <c r="I93" i="31"/>
  <c r="H93" i="31"/>
  <c r="G93" i="31"/>
  <c r="F93" i="31"/>
  <c r="E93" i="31"/>
  <c r="D93" i="31"/>
  <c r="C93" i="31"/>
  <c r="B93" i="31"/>
  <c r="A93" i="31"/>
  <c r="N92" i="31"/>
  <c r="M92" i="31"/>
  <c r="L92" i="31"/>
  <c r="K92" i="31"/>
  <c r="J92" i="31"/>
  <c r="I92" i="31"/>
  <c r="H92" i="31"/>
  <c r="G92" i="31"/>
  <c r="F92" i="31"/>
  <c r="E92" i="31"/>
  <c r="D92" i="31"/>
  <c r="C92" i="31"/>
  <c r="B92" i="31"/>
  <c r="A92" i="31"/>
  <c r="N91" i="31"/>
  <c r="M91" i="31"/>
  <c r="L91" i="31"/>
  <c r="K91" i="31"/>
  <c r="J91" i="31"/>
  <c r="I91" i="31"/>
  <c r="H91" i="31"/>
  <c r="G91" i="31"/>
  <c r="F91" i="31"/>
  <c r="E91" i="31"/>
  <c r="D91" i="31"/>
  <c r="C91" i="31"/>
  <c r="B91" i="31"/>
  <c r="A91" i="31"/>
  <c r="N90" i="31"/>
  <c r="M90" i="31"/>
  <c r="L90" i="31"/>
  <c r="K90" i="31"/>
  <c r="J90" i="31"/>
  <c r="I90" i="31"/>
  <c r="H90" i="31"/>
  <c r="G90" i="31"/>
  <c r="F90" i="31"/>
  <c r="E90" i="31"/>
  <c r="D90" i="31"/>
  <c r="C90" i="31"/>
  <c r="B90" i="31"/>
  <c r="A90" i="31"/>
  <c r="N89" i="31"/>
  <c r="M89" i="31"/>
  <c r="L89" i="31"/>
  <c r="K89" i="31"/>
  <c r="J89" i="31"/>
  <c r="I89" i="31"/>
  <c r="H89" i="31"/>
  <c r="G89" i="31"/>
  <c r="F89" i="31"/>
  <c r="E89" i="31"/>
  <c r="D89" i="31"/>
  <c r="C89" i="31"/>
  <c r="B89" i="31"/>
  <c r="A89" i="31"/>
  <c r="N88" i="31"/>
  <c r="M88" i="31"/>
  <c r="L88" i="31"/>
  <c r="K88" i="31"/>
  <c r="J88" i="31"/>
  <c r="I88" i="31"/>
  <c r="H88" i="31"/>
  <c r="G88" i="31"/>
  <c r="F88" i="31"/>
  <c r="E88" i="31"/>
  <c r="D88" i="31"/>
  <c r="C88" i="31"/>
  <c r="B88" i="31"/>
  <c r="A88" i="31"/>
  <c r="N87" i="31"/>
  <c r="M87" i="31"/>
  <c r="L87" i="31"/>
  <c r="K87" i="31"/>
  <c r="J87" i="31"/>
  <c r="I87" i="31"/>
  <c r="H87" i="31"/>
  <c r="G87" i="31"/>
  <c r="F87" i="31"/>
  <c r="E87" i="31"/>
  <c r="D87" i="31"/>
  <c r="C87" i="31"/>
  <c r="B87" i="31"/>
  <c r="A87" i="31"/>
  <c r="N86" i="31"/>
  <c r="M86" i="31"/>
  <c r="L86" i="31"/>
  <c r="K86" i="31"/>
  <c r="J86" i="31"/>
  <c r="I86" i="31"/>
  <c r="H86" i="31"/>
  <c r="G86" i="31"/>
  <c r="F86" i="31"/>
  <c r="E86" i="31"/>
  <c r="D86" i="31"/>
  <c r="C86" i="31"/>
  <c r="B86" i="31"/>
  <c r="A86" i="31"/>
  <c r="N85" i="31"/>
  <c r="M85" i="31"/>
  <c r="L85" i="31"/>
  <c r="K85" i="31"/>
  <c r="J85" i="31"/>
  <c r="I85" i="31"/>
  <c r="H85" i="31"/>
  <c r="G85" i="31"/>
  <c r="F85" i="31"/>
  <c r="E85" i="31"/>
  <c r="D85" i="31"/>
  <c r="C85" i="31"/>
  <c r="B85" i="31"/>
  <c r="A85" i="31"/>
  <c r="N84" i="31"/>
  <c r="M84" i="31"/>
  <c r="L84" i="31"/>
  <c r="K84" i="31"/>
  <c r="J84" i="31"/>
  <c r="I84" i="31"/>
  <c r="H84" i="31"/>
  <c r="G84" i="31"/>
  <c r="F84" i="31"/>
  <c r="E84" i="31"/>
  <c r="D84" i="31"/>
  <c r="C84" i="31"/>
  <c r="B84" i="31"/>
  <c r="A84" i="31"/>
  <c r="N83" i="31"/>
  <c r="M83" i="31"/>
  <c r="L83" i="31"/>
  <c r="K83" i="31"/>
  <c r="J83" i="31"/>
  <c r="I83" i="31"/>
  <c r="H83" i="31"/>
  <c r="G83" i="31"/>
  <c r="F83" i="31"/>
  <c r="E83" i="31"/>
  <c r="D83" i="31"/>
  <c r="C83" i="31"/>
  <c r="B83" i="31"/>
  <c r="A83" i="31"/>
  <c r="N82" i="31"/>
  <c r="M82" i="31"/>
  <c r="L82" i="31"/>
  <c r="K82" i="31"/>
  <c r="J82" i="31"/>
  <c r="I82" i="31"/>
  <c r="H82" i="31"/>
  <c r="G82" i="31"/>
  <c r="F82" i="31"/>
  <c r="E82" i="31"/>
  <c r="D82" i="31"/>
  <c r="C82" i="31"/>
  <c r="B82" i="31"/>
  <c r="A82" i="31"/>
  <c r="N81" i="31"/>
  <c r="M81" i="31"/>
  <c r="L81" i="31"/>
  <c r="K81" i="31"/>
  <c r="J81" i="31"/>
  <c r="I81" i="31"/>
  <c r="H81" i="31"/>
  <c r="G81" i="31"/>
  <c r="F81" i="31"/>
  <c r="E81" i="31"/>
  <c r="D81" i="31"/>
  <c r="C81" i="31"/>
  <c r="B81" i="31"/>
  <c r="A81" i="31"/>
  <c r="N80" i="31"/>
  <c r="M80" i="31"/>
  <c r="L80" i="31"/>
  <c r="K80" i="31"/>
  <c r="J80" i="31"/>
  <c r="I80" i="31"/>
  <c r="H80" i="31"/>
  <c r="G80" i="31"/>
  <c r="F80" i="31"/>
  <c r="E80" i="31"/>
  <c r="D80" i="31"/>
  <c r="C80" i="31"/>
  <c r="B80" i="31"/>
  <c r="A80" i="31"/>
  <c r="N79" i="31"/>
  <c r="M79" i="31"/>
  <c r="L79" i="31"/>
  <c r="K79" i="31"/>
  <c r="J79" i="31"/>
  <c r="I79" i="31"/>
  <c r="H79" i="31"/>
  <c r="G79" i="31"/>
  <c r="F79" i="31"/>
  <c r="E79" i="31"/>
  <c r="D79" i="31"/>
  <c r="C79" i="31"/>
  <c r="B79" i="31"/>
  <c r="A79" i="31"/>
  <c r="N78" i="31"/>
  <c r="M78" i="31"/>
  <c r="L78" i="31"/>
  <c r="K78" i="31"/>
  <c r="J78" i="31"/>
  <c r="I78" i="31"/>
  <c r="H78" i="31"/>
  <c r="G78" i="31"/>
  <c r="F78" i="31"/>
  <c r="E78" i="31"/>
  <c r="D78" i="31"/>
  <c r="C78" i="31"/>
  <c r="B78" i="31"/>
  <c r="A78" i="31"/>
  <c r="N77" i="31"/>
  <c r="M77" i="31"/>
  <c r="L77" i="31"/>
  <c r="K77" i="31"/>
  <c r="J77" i="31"/>
  <c r="I77" i="31"/>
  <c r="H77" i="31"/>
  <c r="G77" i="31"/>
  <c r="F77" i="31"/>
  <c r="E77" i="31"/>
  <c r="D77" i="31"/>
  <c r="C77" i="31"/>
  <c r="B77" i="31"/>
  <c r="A77" i="31"/>
  <c r="N76" i="31"/>
  <c r="M76" i="31"/>
  <c r="L76" i="31"/>
  <c r="K76" i="31"/>
  <c r="J76" i="31"/>
  <c r="I76" i="31"/>
  <c r="H76" i="31"/>
  <c r="G76" i="31"/>
  <c r="F76" i="31"/>
  <c r="E76" i="31"/>
  <c r="D76" i="31"/>
  <c r="C76" i="31"/>
  <c r="B76" i="31"/>
  <c r="A76" i="31"/>
  <c r="N75" i="31"/>
  <c r="M75" i="31"/>
  <c r="L75" i="31"/>
  <c r="K75" i="31"/>
  <c r="J75" i="31"/>
  <c r="I75" i="31"/>
  <c r="H75" i="31"/>
  <c r="G75" i="31"/>
  <c r="F75" i="31"/>
  <c r="E75" i="31"/>
  <c r="D75" i="31"/>
  <c r="C75" i="31"/>
  <c r="B75" i="31"/>
  <c r="A75" i="31"/>
  <c r="N74" i="31"/>
  <c r="M74" i="31"/>
  <c r="L74" i="31"/>
  <c r="K74" i="31"/>
  <c r="J74" i="31"/>
  <c r="I74" i="31"/>
  <c r="H74" i="31"/>
  <c r="G74" i="31"/>
  <c r="F74" i="31"/>
  <c r="E74" i="31"/>
  <c r="D74" i="31"/>
  <c r="C74" i="31"/>
  <c r="B74" i="31"/>
  <c r="A74" i="31"/>
  <c r="N73" i="31"/>
  <c r="M73" i="31"/>
  <c r="L73" i="31"/>
  <c r="K73" i="31"/>
  <c r="J73" i="31"/>
  <c r="I73" i="31"/>
  <c r="H73" i="31"/>
  <c r="G73" i="31"/>
  <c r="F73" i="31"/>
  <c r="E73" i="31"/>
  <c r="D73" i="31"/>
  <c r="C73" i="31"/>
  <c r="B73" i="31"/>
  <c r="A73" i="31"/>
  <c r="N72" i="31"/>
  <c r="M72" i="31"/>
  <c r="L72" i="31"/>
  <c r="K72" i="31"/>
  <c r="J72" i="31"/>
  <c r="I72" i="31"/>
  <c r="H72" i="31"/>
  <c r="G72" i="31"/>
  <c r="F72" i="31"/>
  <c r="E72" i="31"/>
  <c r="D72" i="31"/>
  <c r="C72" i="31"/>
  <c r="B72" i="31"/>
  <c r="A72" i="31"/>
  <c r="N71" i="31"/>
  <c r="M71" i="31"/>
  <c r="L71" i="31"/>
  <c r="K71" i="31"/>
  <c r="J71" i="31"/>
  <c r="I71" i="31"/>
  <c r="H71" i="31"/>
  <c r="G71" i="31"/>
  <c r="F71" i="31"/>
  <c r="E71" i="31"/>
  <c r="D71" i="31"/>
  <c r="C71" i="31"/>
  <c r="B71" i="31"/>
  <c r="A71" i="31"/>
  <c r="N70" i="31"/>
  <c r="M70" i="31"/>
  <c r="L70" i="31"/>
  <c r="K70" i="31"/>
  <c r="J70" i="31"/>
  <c r="I70" i="31"/>
  <c r="H70" i="31"/>
  <c r="G70" i="31"/>
  <c r="F70" i="31"/>
  <c r="E70" i="31"/>
  <c r="D70" i="31"/>
  <c r="C70" i="31"/>
  <c r="B70" i="31"/>
  <c r="A70" i="31"/>
  <c r="N69" i="31"/>
  <c r="M69" i="31"/>
  <c r="L69" i="31"/>
  <c r="K69" i="31"/>
  <c r="J69" i="31"/>
  <c r="I69" i="31"/>
  <c r="H69" i="31"/>
  <c r="G69" i="31"/>
  <c r="F69" i="31"/>
  <c r="E69" i="31"/>
  <c r="D69" i="31"/>
  <c r="C69" i="31"/>
  <c r="B69" i="31"/>
  <c r="A69" i="31"/>
  <c r="N68" i="31"/>
  <c r="M68" i="31"/>
  <c r="L68" i="31"/>
  <c r="K68" i="31"/>
  <c r="J68" i="31"/>
  <c r="I68" i="31"/>
  <c r="H68" i="31"/>
  <c r="G68" i="31"/>
  <c r="F68" i="31"/>
  <c r="E68" i="31"/>
  <c r="D68" i="31"/>
  <c r="C68" i="31"/>
  <c r="B68" i="31"/>
  <c r="A68" i="31"/>
  <c r="N67" i="31"/>
  <c r="M67" i="31"/>
  <c r="L67" i="31"/>
  <c r="K67" i="31"/>
  <c r="J67" i="31"/>
  <c r="I67" i="31"/>
  <c r="H67" i="31"/>
  <c r="G67" i="31"/>
  <c r="F67" i="31"/>
  <c r="E67" i="31"/>
  <c r="D67" i="31"/>
  <c r="C67" i="31"/>
  <c r="B67" i="31"/>
  <c r="A67" i="31"/>
  <c r="N66" i="31"/>
  <c r="M66" i="31"/>
  <c r="L66" i="31"/>
  <c r="K66" i="31"/>
  <c r="J66" i="31"/>
  <c r="I66" i="31"/>
  <c r="H66" i="31"/>
  <c r="G66" i="31"/>
  <c r="F66" i="31"/>
  <c r="E66" i="31"/>
  <c r="D66" i="31"/>
  <c r="C66" i="31"/>
  <c r="B66" i="31"/>
  <c r="A66" i="31"/>
  <c r="N65" i="31"/>
  <c r="M65" i="31"/>
  <c r="L65" i="31"/>
  <c r="K65" i="31"/>
  <c r="J65" i="31"/>
  <c r="I65" i="31"/>
  <c r="H65" i="31"/>
  <c r="G65" i="31"/>
  <c r="F65" i="31"/>
  <c r="E65" i="31"/>
  <c r="D65" i="31"/>
  <c r="C65" i="31"/>
  <c r="B65" i="31"/>
  <c r="A65" i="31"/>
  <c r="N64" i="31"/>
  <c r="M64" i="31"/>
  <c r="L64" i="31"/>
  <c r="K64" i="31"/>
  <c r="J64" i="31"/>
  <c r="I64" i="31"/>
  <c r="H64" i="31"/>
  <c r="G64" i="31"/>
  <c r="F64" i="31"/>
  <c r="E64" i="31"/>
  <c r="D64" i="31"/>
  <c r="C64" i="31"/>
  <c r="B64" i="31"/>
  <c r="A64" i="31"/>
  <c r="N63" i="31"/>
  <c r="M63" i="31"/>
  <c r="L63" i="31"/>
  <c r="K63" i="31"/>
  <c r="J63" i="31"/>
  <c r="I63" i="31"/>
  <c r="H63" i="31"/>
  <c r="G63" i="31"/>
  <c r="F63" i="31"/>
  <c r="E63" i="31"/>
  <c r="D63" i="31"/>
  <c r="C63" i="31"/>
  <c r="B63" i="31"/>
  <c r="A63" i="31"/>
  <c r="N62" i="31"/>
  <c r="M62" i="31"/>
  <c r="L62" i="31"/>
  <c r="K62" i="31"/>
  <c r="J62" i="31"/>
  <c r="I62" i="31"/>
  <c r="H62" i="31"/>
  <c r="G62" i="31"/>
  <c r="F62" i="31"/>
  <c r="E62" i="31"/>
  <c r="D62" i="31"/>
  <c r="C62" i="31"/>
  <c r="B62" i="31"/>
  <c r="A62" i="31"/>
  <c r="N61" i="31"/>
  <c r="M61" i="31"/>
  <c r="L61" i="31"/>
  <c r="K61" i="31"/>
  <c r="J61" i="31"/>
  <c r="I61" i="31"/>
  <c r="H61" i="31"/>
  <c r="G61" i="31"/>
  <c r="F61" i="31"/>
  <c r="E61" i="31"/>
  <c r="D61" i="31"/>
  <c r="C61" i="31"/>
  <c r="B61" i="31"/>
  <c r="A61" i="31"/>
  <c r="N60" i="31"/>
  <c r="M60" i="31"/>
  <c r="L60" i="31"/>
  <c r="K60" i="31"/>
  <c r="J60" i="31"/>
  <c r="I60" i="31"/>
  <c r="H60" i="31"/>
  <c r="G60" i="31"/>
  <c r="F60" i="31"/>
  <c r="E60" i="31"/>
  <c r="D60" i="31"/>
  <c r="C60" i="31"/>
  <c r="B60" i="31"/>
  <c r="A60" i="31"/>
  <c r="N59" i="31"/>
  <c r="M59" i="31"/>
  <c r="L59" i="31"/>
  <c r="K59" i="31"/>
  <c r="J59" i="31"/>
  <c r="I59" i="31"/>
  <c r="H59" i="31"/>
  <c r="G59" i="31"/>
  <c r="F59" i="31"/>
  <c r="E59" i="31"/>
  <c r="D59" i="31"/>
  <c r="C59" i="31"/>
  <c r="B59" i="31"/>
  <c r="A59" i="31"/>
  <c r="N58" i="31"/>
  <c r="M58" i="31"/>
  <c r="L58" i="31"/>
  <c r="K58" i="31"/>
  <c r="J58" i="31"/>
  <c r="I58" i="31"/>
  <c r="H58" i="31"/>
  <c r="G58" i="31"/>
  <c r="F58" i="31"/>
  <c r="E58" i="31"/>
  <c r="D58" i="31"/>
  <c r="C58" i="31"/>
  <c r="B58" i="31"/>
  <c r="A58" i="31"/>
  <c r="N57" i="31"/>
  <c r="M57" i="31"/>
  <c r="L57" i="31"/>
  <c r="K57" i="31"/>
  <c r="J57" i="31"/>
  <c r="I57" i="31"/>
  <c r="H57" i="31"/>
  <c r="G57" i="31"/>
  <c r="F57" i="31"/>
  <c r="E57" i="31"/>
  <c r="D57" i="31"/>
  <c r="C57" i="31"/>
  <c r="B57" i="31"/>
  <c r="A57" i="31"/>
  <c r="N56" i="31"/>
  <c r="M56" i="31"/>
  <c r="L56" i="31"/>
  <c r="K56" i="31"/>
  <c r="J56" i="31"/>
  <c r="I56" i="31"/>
  <c r="H56" i="31"/>
  <c r="G56" i="31"/>
  <c r="F56" i="31"/>
  <c r="E56" i="31"/>
  <c r="D56" i="31"/>
  <c r="C56" i="31"/>
  <c r="B56" i="31"/>
  <c r="A56" i="31"/>
  <c r="N55" i="31"/>
  <c r="M55" i="31"/>
  <c r="L55" i="31"/>
  <c r="K55" i="31"/>
  <c r="J55" i="31"/>
  <c r="I55" i="31"/>
  <c r="H55" i="31"/>
  <c r="G55" i="31"/>
  <c r="F55" i="31"/>
  <c r="E55" i="31"/>
  <c r="D55" i="31"/>
  <c r="C55" i="31"/>
  <c r="B55" i="31"/>
  <c r="A55" i="31"/>
  <c r="N54" i="31"/>
  <c r="M54" i="31"/>
  <c r="L54" i="31"/>
  <c r="K54" i="31"/>
  <c r="J54" i="31"/>
  <c r="I54" i="31"/>
  <c r="H54" i="31"/>
  <c r="G54" i="31"/>
  <c r="F54" i="31"/>
  <c r="E54" i="31"/>
  <c r="D54" i="31"/>
  <c r="C54" i="31"/>
  <c r="B54" i="31"/>
  <c r="A54" i="31"/>
  <c r="N53" i="31"/>
  <c r="M53" i="31"/>
  <c r="L53" i="31"/>
  <c r="K53" i="31"/>
  <c r="J53" i="31"/>
  <c r="I53" i="31"/>
  <c r="H53" i="31"/>
  <c r="G53" i="31"/>
  <c r="F53" i="31"/>
  <c r="E53" i="31"/>
  <c r="D53" i="31"/>
  <c r="C53" i="31"/>
  <c r="B53" i="31"/>
  <c r="A53" i="31"/>
  <c r="N52" i="31"/>
  <c r="M52" i="31"/>
  <c r="L52" i="31"/>
  <c r="K52" i="31"/>
  <c r="J52" i="31"/>
  <c r="I52" i="31"/>
  <c r="H52" i="31"/>
  <c r="G52" i="31"/>
  <c r="F52" i="31"/>
  <c r="E52" i="31"/>
  <c r="D52" i="31"/>
  <c r="C52" i="31"/>
  <c r="B52" i="31"/>
  <c r="A52" i="31"/>
  <c r="N51" i="31"/>
  <c r="M51" i="31"/>
  <c r="L51" i="31"/>
  <c r="K51" i="31"/>
  <c r="J51" i="31"/>
  <c r="I51" i="31"/>
  <c r="H51" i="31"/>
  <c r="G51" i="31"/>
  <c r="F51" i="31"/>
  <c r="E51" i="31"/>
  <c r="D51" i="31"/>
  <c r="C51" i="31"/>
  <c r="B51" i="31"/>
  <c r="A51" i="31"/>
  <c r="N50" i="31"/>
  <c r="M50" i="31"/>
  <c r="L50" i="31"/>
  <c r="K50" i="31"/>
  <c r="J50" i="31"/>
  <c r="I50" i="31"/>
  <c r="H50" i="31"/>
  <c r="G50" i="31"/>
  <c r="F50" i="31"/>
  <c r="E50" i="31"/>
  <c r="D50" i="31"/>
  <c r="C50" i="31"/>
  <c r="B50" i="31"/>
  <c r="A50" i="31"/>
  <c r="N49" i="31"/>
  <c r="M49" i="31"/>
  <c r="L49" i="31"/>
  <c r="K49" i="31"/>
  <c r="J49" i="31"/>
  <c r="I49" i="31"/>
  <c r="H49" i="31"/>
  <c r="G49" i="31"/>
  <c r="F49" i="31"/>
  <c r="E49" i="31"/>
  <c r="D49" i="31"/>
  <c r="C49" i="31"/>
  <c r="B49" i="31"/>
  <c r="A49" i="31"/>
  <c r="N48" i="31"/>
  <c r="M48" i="31"/>
  <c r="L48" i="31"/>
  <c r="K48" i="31"/>
  <c r="J48" i="31"/>
  <c r="I48" i="31"/>
  <c r="H48" i="31"/>
  <c r="G48" i="31"/>
  <c r="F48" i="31"/>
  <c r="E48" i="31"/>
  <c r="D48" i="31"/>
  <c r="C48" i="31"/>
  <c r="B48" i="31"/>
  <c r="A48" i="31"/>
  <c r="N47" i="31"/>
  <c r="M47" i="31"/>
  <c r="L47" i="31"/>
  <c r="K47" i="31"/>
  <c r="J47" i="31"/>
  <c r="I47" i="31"/>
  <c r="H47" i="31"/>
  <c r="G47" i="31"/>
  <c r="F47" i="31"/>
  <c r="E47" i="31"/>
  <c r="D47" i="31"/>
  <c r="C47" i="31"/>
  <c r="B47" i="31"/>
  <c r="A47" i="31"/>
  <c r="N46" i="31"/>
  <c r="M46" i="31"/>
  <c r="L46" i="31"/>
  <c r="K46" i="31"/>
  <c r="J46" i="31"/>
  <c r="I46" i="31"/>
  <c r="H46" i="31"/>
  <c r="G46" i="31"/>
  <c r="F46" i="31"/>
  <c r="E46" i="31"/>
  <c r="D46" i="31"/>
  <c r="C46" i="31"/>
  <c r="B46" i="31"/>
  <c r="A46" i="31"/>
  <c r="N45" i="31"/>
  <c r="M45" i="31"/>
  <c r="L45" i="31"/>
  <c r="K45" i="31"/>
  <c r="J45" i="31"/>
  <c r="I45" i="31"/>
  <c r="H45" i="31"/>
  <c r="G45" i="31"/>
  <c r="F45" i="31"/>
  <c r="E45" i="31"/>
  <c r="D45" i="31"/>
  <c r="C45" i="31"/>
  <c r="B45" i="31"/>
  <c r="A45" i="31"/>
  <c r="N44" i="31"/>
  <c r="M44" i="31"/>
  <c r="L44" i="31"/>
  <c r="K44" i="31"/>
  <c r="J44" i="31"/>
  <c r="I44" i="31"/>
  <c r="H44" i="31"/>
  <c r="G44" i="31"/>
  <c r="F44" i="31"/>
  <c r="E44" i="31"/>
  <c r="D44" i="31"/>
  <c r="C44" i="31"/>
  <c r="B44" i="31"/>
  <c r="A44" i="31"/>
  <c r="N43" i="31"/>
  <c r="M43" i="31"/>
  <c r="L43" i="31"/>
  <c r="K43" i="31"/>
  <c r="J43" i="31"/>
  <c r="I43" i="31"/>
  <c r="H43" i="31"/>
  <c r="G43" i="31"/>
  <c r="F43" i="31"/>
  <c r="E43" i="31"/>
  <c r="D43" i="31"/>
  <c r="C43" i="31"/>
  <c r="B43" i="31"/>
  <c r="L39" i="31"/>
  <c r="L38" i="31"/>
  <c r="D38" i="31"/>
  <c r="D37" i="31"/>
  <c r="D35" i="31"/>
  <c r="D33" i="31"/>
  <c r="H32" i="31"/>
  <c r="A32" i="31"/>
  <c r="D31" i="31"/>
  <c r="C31" i="31"/>
  <c r="I30" i="31"/>
  <c r="D30" i="31"/>
  <c r="M29" i="31"/>
  <c r="I29" i="31"/>
  <c r="D29" i="31"/>
  <c r="M28" i="31"/>
  <c r="D28" i="31"/>
  <c r="I27" i="31"/>
  <c r="D24" i="31"/>
  <c r="D23" i="31"/>
  <c r="D22" i="31"/>
  <c r="D21" i="31"/>
  <c r="E17" i="31"/>
  <c r="K3" i="31"/>
  <c r="L108" i="29"/>
  <c r="K108" i="29"/>
  <c r="J108" i="29"/>
  <c r="I108" i="29"/>
  <c r="H108" i="29"/>
  <c r="G108" i="29"/>
  <c r="F108" i="29"/>
  <c r="E108" i="29"/>
  <c r="D108" i="29"/>
  <c r="C108" i="29"/>
  <c r="B108" i="29"/>
  <c r="A108" i="29"/>
  <c r="L107" i="29"/>
  <c r="K107" i="29"/>
  <c r="J107" i="29"/>
  <c r="I107" i="29"/>
  <c r="H107" i="29"/>
  <c r="G107" i="29"/>
  <c r="F107" i="29"/>
  <c r="E107" i="29"/>
  <c r="D107" i="29"/>
  <c r="C107" i="29"/>
  <c r="B107" i="29"/>
  <c r="A107" i="29"/>
  <c r="L106" i="29"/>
  <c r="K106" i="29"/>
  <c r="J106" i="29"/>
  <c r="I106" i="29"/>
  <c r="H106" i="29"/>
  <c r="G106" i="29"/>
  <c r="F106" i="29"/>
  <c r="E106" i="29"/>
  <c r="D106" i="29"/>
  <c r="C106" i="29"/>
  <c r="B106" i="29"/>
  <c r="A106" i="29"/>
  <c r="L105" i="29"/>
  <c r="K105" i="29"/>
  <c r="J105" i="29"/>
  <c r="I105" i="29"/>
  <c r="H105" i="29"/>
  <c r="G105" i="29"/>
  <c r="F105" i="29"/>
  <c r="E105" i="29"/>
  <c r="D105" i="29"/>
  <c r="C105" i="29"/>
  <c r="B105" i="29"/>
  <c r="A105" i="29"/>
  <c r="L104" i="29"/>
  <c r="K104" i="29"/>
  <c r="J104" i="29"/>
  <c r="I104" i="29"/>
  <c r="H104" i="29"/>
  <c r="G104" i="29"/>
  <c r="F104" i="29"/>
  <c r="E104" i="29"/>
  <c r="D104" i="29"/>
  <c r="C104" i="29"/>
  <c r="B104" i="29"/>
  <c r="A104" i="29"/>
  <c r="L103" i="29"/>
  <c r="K103" i="29"/>
  <c r="J103" i="29"/>
  <c r="I103" i="29"/>
  <c r="H103" i="29"/>
  <c r="G103" i="29"/>
  <c r="F103" i="29"/>
  <c r="E103" i="29"/>
  <c r="D103" i="29"/>
  <c r="C103" i="29"/>
  <c r="B103" i="29"/>
  <c r="A103" i="29"/>
  <c r="L102" i="29"/>
  <c r="K102" i="29"/>
  <c r="J102" i="29"/>
  <c r="I102" i="29"/>
  <c r="H102" i="29"/>
  <c r="G102" i="29"/>
  <c r="F102" i="29"/>
  <c r="E102" i="29"/>
  <c r="D102" i="29"/>
  <c r="C102" i="29"/>
  <c r="B102" i="29"/>
  <c r="A102" i="29"/>
  <c r="L101" i="29"/>
  <c r="K101" i="29"/>
  <c r="J101" i="29"/>
  <c r="I101" i="29"/>
  <c r="H101" i="29"/>
  <c r="G101" i="29"/>
  <c r="F101" i="29"/>
  <c r="E101" i="29"/>
  <c r="D101" i="29"/>
  <c r="C101" i="29"/>
  <c r="B101" i="29"/>
  <c r="A101" i="29"/>
  <c r="L100" i="29"/>
  <c r="K100" i="29"/>
  <c r="J100" i="29"/>
  <c r="I100" i="29"/>
  <c r="H100" i="29"/>
  <c r="G100" i="29"/>
  <c r="F100" i="29"/>
  <c r="E100" i="29"/>
  <c r="D100" i="29"/>
  <c r="C100" i="29"/>
  <c r="B100" i="29"/>
  <c r="A100" i="29"/>
  <c r="L99" i="29"/>
  <c r="K99" i="29"/>
  <c r="J99" i="29"/>
  <c r="I99" i="29"/>
  <c r="H99" i="29"/>
  <c r="G99" i="29"/>
  <c r="F99" i="29"/>
  <c r="E99" i="29"/>
  <c r="D99" i="29"/>
  <c r="C99" i="29"/>
  <c r="B99" i="29"/>
  <c r="A99" i="29"/>
  <c r="L98" i="29"/>
  <c r="K98" i="29"/>
  <c r="J98" i="29"/>
  <c r="I98" i="29"/>
  <c r="H98" i="29"/>
  <c r="G98" i="29"/>
  <c r="F98" i="29"/>
  <c r="E98" i="29"/>
  <c r="D98" i="29"/>
  <c r="C98" i="29"/>
  <c r="B98" i="29"/>
  <c r="A98" i="29"/>
  <c r="L97" i="29"/>
  <c r="K97" i="29"/>
  <c r="J97" i="29"/>
  <c r="I97" i="29"/>
  <c r="H97" i="29"/>
  <c r="G97" i="29"/>
  <c r="F97" i="29"/>
  <c r="E97" i="29"/>
  <c r="D97" i="29"/>
  <c r="C97" i="29"/>
  <c r="B97" i="29"/>
  <c r="A97" i="29"/>
  <c r="L96" i="29"/>
  <c r="K96" i="29"/>
  <c r="J96" i="29"/>
  <c r="I96" i="29"/>
  <c r="H96" i="29"/>
  <c r="G96" i="29"/>
  <c r="F96" i="29"/>
  <c r="E96" i="29"/>
  <c r="D96" i="29"/>
  <c r="C96" i="29"/>
  <c r="B96" i="29"/>
  <c r="A96" i="29"/>
  <c r="L95" i="29"/>
  <c r="K95" i="29"/>
  <c r="J95" i="29"/>
  <c r="I95" i="29"/>
  <c r="H95" i="29"/>
  <c r="G95" i="29"/>
  <c r="F95" i="29"/>
  <c r="E95" i="29"/>
  <c r="D95" i="29"/>
  <c r="C95" i="29"/>
  <c r="B95" i="29"/>
  <c r="A95" i="29"/>
  <c r="L94" i="29"/>
  <c r="K94" i="29"/>
  <c r="J94" i="29"/>
  <c r="I94" i="29"/>
  <c r="H94" i="29"/>
  <c r="G94" i="29"/>
  <c r="F94" i="29"/>
  <c r="E94" i="29"/>
  <c r="D94" i="29"/>
  <c r="C94" i="29"/>
  <c r="B94" i="29"/>
  <c r="A94" i="29"/>
  <c r="L93" i="29"/>
  <c r="K93" i="29"/>
  <c r="J93" i="29"/>
  <c r="I93" i="29"/>
  <c r="H93" i="29"/>
  <c r="G93" i="29"/>
  <c r="F93" i="29"/>
  <c r="E93" i="29"/>
  <c r="D93" i="29"/>
  <c r="C93" i="29"/>
  <c r="B93" i="29"/>
  <c r="A93" i="29"/>
  <c r="L92" i="29"/>
  <c r="K92" i="29"/>
  <c r="J92" i="29"/>
  <c r="I92" i="29"/>
  <c r="H92" i="29"/>
  <c r="G92" i="29"/>
  <c r="F92" i="29"/>
  <c r="E92" i="29"/>
  <c r="D92" i="29"/>
  <c r="C92" i="29"/>
  <c r="B92" i="29"/>
  <c r="A92" i="29"/>
  <c r="L91" i="29"/>
  <c r="K91" i="29"/>
  <c r="J91" i="29"/>
  <c r="I91" i="29"/>
  <c r="H91" i="29"/>
  <c r="G91" i="29"/>
  <c r="F91" i="29"/>
  <c r="E91" i="29"/>
  <c r="D91" i="29"/>
  <c r="C91" i="29"/>
  <c r="B91" i="29"/>
  <c r="A91" i="29"/>
  <c r="L90" i="29"/>
  <c r="K90" i="29"/>
  <c r="J90" i="29"/>
  <c r="I90" i="29"/>
  <c r="H90" i="29"/>
  <c r="G90" i="29"/>
  <c r="F90" i="29"/>
  <c r="E90" i="29"/>
  <c r="D90" i="29"/>
  <c r="C90" i="29"/>
  <c r="B90" i="29"/>
  <c r="A90" i="29"/>
  <c r="L89" i="29"/>
  <c r="K89" i="29"/>
  <c r="J89" i="29"/>
  <c r="I89" i="29"/>
  <c r="H89" i="29"/>
  <c r="G89" i="29"/>
  <c r="F89" i="29"/>
  <c r="E89" i="29"/>
  <c r="D89" i="29"/>
  <c r="C89" i="29"/>
  <c r="B89" i="29"/>
  <c r="A89" i="29"/>
  <c r="L88" i="29"/>
  <c r="K88" i="29"/>
  <c r="J88" i="29"/>
  <c r="I88" i="29"/>
  <c r="H88" i="29"/>
  <c r="G88" i="29"/>
  <c r="F88" i="29"/>
  <c r="E88" i="29"/>
  <c r="D88" i="29"/>
  <c r="C88" i="29"/>
  <c r="B88" i="29"/>
  <c r="A88" i="29"/>
  <c r="L87" i="29"/>
  <c r="K87" i="29"/>
  <c r="J87" i="29"/>
  <c r="I87" i="29"/>
  <c r="H87" i="29"/>
  <c r="G87" i="29"/>
  <c r="F87" i="29"/>
  <c r="E87" i="29"/>
  <c r="D87" i="29"/>
  <c r="C87" i="29"/>
  <c r="B87" i="29"/>
  <c r="A87" i="29"/>
  <c r="L86" i="29"/>
  <c r="K86" i="29"/>
  <c r="J86" i="29"/>
  <c r="I86" i="29"/>
  <c r="H86" i="29"/>
  <c r="G86" i="29"/>
  <c r="F86" i="29"/>
  <c r="E86" i="29"/>
  <c r="D86" i="29"/>
  <c r="C86" i="29"/>
  <c r="B86" i="29"/>
  <c r="A86" i="29"/>
  <c r="L85" i="29"/>
  <c r="K85" i="29"/>
  <c r="J85" i="29"/>
  <c r="I85" i="29"/>
  <c r="H85" i="29"/>
  <c r="G85" i="29"/>
  <c r="F85" i="29"/>
  <c r="E85" i="29"/>
  <c r="D85" i="29"/>
  <c r="C85" i="29"/>
  <c r="B85" i="29"/>
  <c r="A85" i="29"/>
  <c r="L84" i="29"/>
  <c r="K84" i="29"/>
  <c r="J84" i="29"/>
  <c r="I84" i="29"/>
  <c r="H84" i="29"/>
  <c r="G84" i="29"/>
  <c r="F84" i="29"/>
  <c r="E84" i="29"/>
  <c r="D84" i="29"/>
  <c r="C84" i="29"/>
  <c r="B84" i="29"/>
  <c r="A84" i="29"/>
  <c r="L83" i="29"/>
  <c r="K83" i="29"/>
  <c r="J83" i="29"/>
  <c r="I83" i="29"/>
  <c r="H83" i="29"/>
  <c r="G83" i="29"/>
  <c r="F83" i="29"/>
  <c r="E83" i="29"/>
  <c r="D83" i="29"/>
  <c r="C83" i="29"/>
  <c r="B83" i="29"/>
  <c r="A83" i="29"/>
  <c r="L82" i="29"/>
  <c r="K82" i="29"/>
  <c r="J82" i="29"/>
  <c r="I82" i="29"/>
  <c r="H82" i="29"/>
  <c r="G82" i="29"/>
  <c r="F82" i="29"/>
  <c r="E82" i="29"/>
  <c r="D82" i="29"/>
  <c r="C82" i="29"/>
  <c r="B82" i="29"/>
  <c r="A82" i="29"/>
  <c r="L81" i="29"/>
  <c r="K81" i="29"/>
  <c r="J81" i="29"/>
  <c r="I81" i="29"/>
  <c r="H81" i="29"/>
  <c r="G81" i="29"/>
  <c r="F81" i="29"/>
  <c r="E81" i="29"/>
  <c r="D81" i="29"/>
  <c r="C81" i="29"/>
  <c r="B81" i="29"/>
  <c r="A81" i="29"/>
  <c r="L80" i="29"/>
  <c r="K80" i="29"/>
  <c r="J80" i="29"/>
  <c r="I80" i="29"/>
  <c r="H80" i="29"/>
  <c r="G80" i="29"/>
  <c r="F80" i="29"/>
  <c r="E80" i="29"/>
  <c r="D80" i="29"/>
  <c r="C80" i="29"/>
  <c r="B80" i="29"/>
  <c r="A80" i="29"/>
  <c r="L79" i="29"/>
  <c r="K79" i="29"/>
  <c r="J79" i="29"/>
  <c r="I79" i="29"/>
  <c r="H79" i="29"/>
  <c r="G79" i="29"/>
  <c r="F79" i="29"/>
  <c r="E79" i="29"/>
  <c r="D79" i="29"/>
  <c r="C79" i="29"/>
  <c r="B79" i="29"/>
  <c r="A79" i="29"/>
  <c r="L78" i="29"/>
  <c r="K78" i="29"/>
  <c r="J78" i="29"/>
  <c r="I78" i="29"/>
  <c r="H78" i="29"/>
  <c r="G78" i="29"/>
  <c r="F78" i="29"/>
  <c r="E78" i="29"/>
  <c r="D78" i="29"/>
  <c r="C78" i="29"/>
  <c r="B78" i="29"/>
  <c r="A78" i="29"/>
  <c r="L77" i="29"/>
  <c r="K77" i="29"/>
  <c r="J77" i="29"/>
  <c r="I77" i="29"/>
  <c r="H77" i="29"/>
  <c r="G77" i="29"/>
  <c r="F77" i="29"/>
  <c r="E77" i="29"/>
  <c r="D77" i="29"/>
  <c r="C77" i="29"/>
  <c r="B77" i="29"/>
  <c r="A77" i="29"/>
  <c r="L76" i="29"/>
  <c r="K76" i="29"/>
  <c r="J76" i="29"/>
  <c r="I76" i="29"/>
  <c r="H76" i="29"/>
  <c r="G76" i="29"/>
  <c r="F76" i="29"/>
  <c r="E76" i="29"/>
  <c r="D76" i="29"/>
  <c r="C76" i="29"/>
  <c r="B76" i="29"/>
  <c r="A76" i="29"/>
  <c r="L75" i="29"/>
  <c r="K75" i="29"/>
  <c r="J75" i="29"/>
  <c r="I75" i="29"/>
  <c r="H75" i="29"/>
  <c r="G75" i="29"/>
  <c r="F75" i="29"/>
  <c r="E75" i="29"/>
  <c r="D75" i="29"/>
  <c r="C75" i="29"/>
  <c r="B75" i="29"/>
  <c r="A75" i="29"/>
  <c r="L74" i="29"/>
  <c r="K74" i="29"/>
  <c r="J74" i="29"/>
  <c r="I74" i="29"/>
  <c r="H74" i="29"/>
  <c r="G74" i="29"/>
  <c r="F74" i="29"/>
  <c r="E74" i="29"/>
  <c r="D74" i="29"/>
  <c r="C74" i="29"/>
  <c r="B74" i="29"/>
  <c r="A74" i="29"/>
  <c r="L73" i="29"/>
  <c r="K73" i="29"/>
  <c r="J73" i="29"/>
  <c r="I73" i="29"/>
  <c r="H73" i="29"/>
  <c r="G73" i="29"/>
  <c r="F73" i="29"/>
  <c r="E73" i="29"/>
  <c r="D73" i="29"/>
  <c r="C73" i="29"/>
  <c r="B73" i="29"/>
  <c r="A73" i="29"/>
  <c r="L72" i="29"/>
  <c r="K72" i="29"/>
  <c r="J72" i="29"/>
  <c r="I72" i="29"/>
  <c r="H72" i="29"/>
  <c r="G72" i="29"/>
  <c r="F72" i="29"/>
  <c r="E72" i="29"/>
  <c r="D72" i="29"/>
  <c r="C72" i="29"/>
  <c r="B72" i="29"/>
  <c r="A72" i="29"/>
  <c r="L71" i="29"/>
  <c r="K71" i="29"/>
  <c r="J71" i="29"/>
  <c r="I71" i="29"/>
  <c r="H71" i="29"/>
  <c r="G71" i="29"/>
  <c r="F71" i="29"/>
  <c r="E71" i="29"/>
  <c r="D71" i="29"/>
  <c r="C71" i="29"/>
  <c r="B71" i="29"/>
  <c r="A71" i="29"/>
  <c r="L70" i="29"/>
  <c r="K70" i="29"/>
  <c r="J70" i="29"/>
  <c r="I70" i="29"/>
  <c r="H70" i="29"/>
  <c r="G70" i="29"/>
  <c r="F70" i="29"/>
  <c r="E70" i="29"/>
  <c r="D70" i="29"/>
  <c r="C70" i="29"/>
  <c r="B70" i="29"/>
  <c r="A70" i="29"/>
  <c r="L69" i="29"/>
  <c r="K69" i="29"/>
  <c r="J69" i="29"/>
  <c r="I69" i="29"/>
  <c r="H69" i="29"/>
  <c r="G69" i="29"/>
  <c r="F69" i="29"/>
  <c r="E69" i="29"/>
  <c r="D69" i="29"/>
  <c r="C69" i="29"/>
  <c r="B69" i="29"/>
  <c r="A69" i="29"/>
  <c r="L68" i="29"/>
  <c r="K68" i="29"/>
  <c r="J68" i="29"/>
  <c r="I68" i="29"/>
  <c r="H68" i="29"/>
  <c r="G68" i="29"/>
  <c r="F68" i="29"/>
  <c r="E68" i="29"/>
  <c r="D68" i="29"/>
  <c r="C68" i="29"/>
  <c r="B68" i="29"/>
  <c r="A68" i="29"/>
  <c r="L67" i="29"/>
  <c r="K67" i="29"/>
  <c r="J67" i="29"/>
  <c r="I67" i="29"/>
  <c r="H67" i="29"/>
  <c r="G67" i="29"/>
  <c r="F67" i="29"/>
  <c r="E67" i="29"/>
  <c r="D67" i="29"/>
  <c r="C67" i="29"/>
  <c r="B67" i="29"/>
  <c r="A67" i="29"/>
  <c r="L66" i="29"/>
  <c r="K66" i="29"/>
  <c r="J66" i="29"/>
  <c r="I66" i="29"/>
  <c r="H66" i="29"/>
  <c r="G66" i="29"/>
  <c r="F66" i="29"/>
  <c r="E66" i="29"/>
  <c r="D66" i="29"/>
  <c r="C66" i="29"/>
  <c r="B66" i="29"/>
  <c r="A66" i="29"/>
  <c r="L65" i="29"/>
  <c r="K65" i="29"/>
  <c r="J65" i="29"/>
  <c r="I65" i="29"/>
  <c r="H65" i="29"/>
  <c r="G65" i="29"/>
  <c r="F65" i="29"/>
  <c r="E65" i="29"/>
  <c r="D65" i="29"/>
  <c r="C65" i="29"/>
  <c r="B65" i="29"/>
  <c r="A65" i="29"/>
  <c r="L64" i="29"/>
  <c r="K64" i="29"/>
  <c r="J64" i="29"/>
  <c r="I64" i="29"/>
  <c r="H64" i="29"/>
  <c r="G64" i="29"/>
  <c r="F64" i="29"/>
  <c r="E64" i="29"/>
  <c r="D64" i="29"/>
  <c r="C64" i="29"/>
  <c r="B64" i="29"/>
  <c r="A64" i="29"/>
  <c r="L63" i="29"/>
  <c r="K63" i="29"/>
  <c r="J63" i="29"/>
  <c r="I63" i="29"/>
  <c r="H63" i="29"/>
  <c r="G63" i="29"/>
  <c r="F63" i="29"/>
  <c r="E63" i="29"/>
  <c r="D63" i="29"/>
  <c r="C63" i="29"/>
  <c r="B63" i="29"/>
  <c r="A63" i="29"/>
  <c r="L62" i="29"/>
  <c r="K62" i="29"/>
  <c r="J62" i="29"/>
  <c r="I62" i="29"/>
  <c r="H62" i="29"/>
  <c r="G62" i="29"/>
  <c r="F62" i="29"/>
  <c r="E62" i="29"/>
  <c r="D62" i="29"/>
  <c r="C62" i="29"/>
  <c r="B62" i="29"/>
  <c r="A62" i="29"/>
  <c r="L61" i="29"/>
  <c r="K61" i="29"/>
  <c r="J61" i="29"/>
  <c r="I61" i="29"/>
  <c r="H61" i="29"/>
  <c r="G61" i="29"/>
  <c r="F61" i="29"/>
  <c r="E61" i="29"/>
  <c r="D61" i="29"/>
  <c r="C61" i="29"/>
  <c r="B61" i="29"/>
  <c r="A61" i="29"/>
  <c r="L60" i="29"/>
  <c r="K60" i="29"/>
  <c r="J60" i="29"/>
  <c r="I60" i="29"/>
  <c r="H60" i="29"/>
  <c r="G60" i="29"/>
  <c r="F60" i="29"/>
  <c r="E60" i="29"/>
  <c r="D60" i="29"/>
  <c r="C60" i="29"/>
  <c r="B60" i="29"/>
  <c r="A60" i="29"/>
  <c r="L59" i="29"/>
  <c r="K59" i="29"/>
  <c r="J59" i="29"/>
  <c r="I59" i="29"/>
  <c r="H59" i="29"/>
  <c r="G59" i="29"/>
  <c r="F59" i="29"/>
  <c r="E59" i="29"/>
  <c r="D59" i="29"/>
  <c r="C59" i="29"/>
  <c r="B59" i="29"/>
  <c r="A59" i="29"/>
  <c r="L58" i="29"/>
  <c r="K58" i="29"/>
  <c r="J58" i="29"/>
  <c r="I58" i="29"/>
  <c r="H58" i="29"/>
  <c r="G58" i="29"/>
  <c r="F58" i="29"/>
  <c r="E58" i="29"/>
  <c r="D58" i="29"/>
  <c r="C58" i="29"/>
  <c r="B58" i="29"/>
  <c r="A58" i="29"/>
  <c r="L57" i="29"/>
  <c r="K57" i="29"/>
  <c r="J57" i="29"/>
  <c r="I57" i="29"/>
  <c r="H57" i="29"/>
  <c r="G57" i="29"/>
  <c r="F57" i="29"/>
  <c r="E57" i="29"/>
  <c r="D57" i="29"/>
  <c r="C57" i="29"/>
  <c r="B57" i="29"/>
  <c r="A57" i="29"/>
  <c r="L56" i="29"/>
  <c r="K56" i="29"/>
  <c r="J56" i="29"/>
  <c r="I56" i="29"/>
  <c r="H56" i="29"/>
  <c r="G56" i="29"/>
  <c r="F56" i="29"/>
  <c r="E56" i="29"/>
  <c r="D56" i="29"/>
  <c r="C56" i="29"/>
  <c r="B56" i="29"/>
  <c r="A56" i="29"/>
  <c r="L55" i="29"/>
  <c r="K55" i="29"/>
  <c r="J55" i="29"/>
  <c r="I55" i="29"/>
  <c r="H55" i="29"/>
  <c r="G55" i="29"/>
  <c r="F55" i="29"/>
  <c r="E55" i="29"/>
  <c r="D55" i="29"/>
  <c r="C55" i="29"/>
  <c r="B55" i="29"/>
  <c r="A55" i="29"/>
  <c r="L54" i="29"/>
  <c r="K54" i="29"/>
  <c r="J54" i="29"/>
  <c r="I54" i="29"/>
  <c r="H54" i="29"/>
  <c r="G54" i="29"/>
  <c r="F54" i="29"/>
  <c r="E54" i="29"/>
  <c r="D54" i="29"/>
  <c r="C54" i="29"/>
  <c r="B54" i="29"/>
  <c r="A54" i="29"/>
  <c r="L53" i="29"/>
  <c r="K53" i="29"/>
  <c r="J53" i="29"/>
  <c r="I53" i="29"/>
  <c r="H53" i="29"/>
  <c r="G53" i="29"/>
  <c r="F53" i="29"/>
  <c r="E53" i="29"/>
  <c r="D53" i="29"/>
  <c r="C53" i="29"/>
  <c r="B53" i="29"/>
  <c r="A53" i="29"/>
  <c r="L52" i="29"/>
  <c r="K52" i="29"/>
  <c r="J52" i="29"/>
  <c r="I52" i="29"/>
  <c r="H52" i="29"/>
  <c r="G52" i="29"/>
  <c r="F52" i="29"/>
  <c r="E52" i="29"/>
  <c r="D52" i="29"/>
  <c r="C52" i="29"/>
  <c r="B52" i="29"/>
  <c r="A52" i="29"/>
  <c r="L51" i="29"/>
  <c r="K51" i="29"/>
  <c r="J51" i="29"/>
  <c r="I51" i="29"/>
  <c r="H51" i="29"/>
  <c r="G51" i="29"/>
  <c r="F51" i="29"/>
  <c r="E51" i="29"/>
  <c r="D51" i="29"/>
  <c r="C51" i="29"/>
  <c r="B51" i="29"/>
  <c r="A51" i="29"/>
  <c r="L50" i="29"/>
  <c r="K50" i="29"/>
  <c r="J50" i="29"/>
  <c r="I50" i="29"/>
  <c r="H50" i="29"/>
  <c r="G50" i="29"/>
  <c r="F50" i="29"/>
  <c r="E50" i="29"/>
  <c r="D50" i="29"/>
  <c r="C50" i="29"/>
  <c r="B50" i="29"/>
  <c r="A50" i="29"/>
  <c r="L49" i="29"/>
  <c r="K49" i="29"/>
  <c r="J49" i="29"/>
  <c r="I49" i="29"/>
  <c r="H49" i="29"/>
  <c r="G49" i="29"/>
  <c r="F49" i="29"/>
  <c r="E49" i="29"/>
  <c r="D49" i="29"/>
  <c r="C49" i="29"/>
  <c r="B49" i="29"/>
  <c r="A49" i="29"/>
  <c r="L48" i="29"/>
  <c r="K48" i="29"/>
  <c r="J48" i="29"/>
  <c r="I48" i="29"/>
  <c r="H48" i="29"/>
  <c r="G48" i="29"/>
  <c r="F48" i="29"/>
  <c r="E48" i="29"/>
  <c r="D48" i="29"/>
  <c r="C48" i="29"/>
  <c r="B48" i="29"/>
  <c r="A48" i="29"/>
  <c r="L47" i="29"/>
  <c r="K47" i="29"/>
  <c r="J47" i="29"/>
  <c r="I47" i="29"/>
  <c r="H47" i="29"/>
  <c r="G47" i="29"/>
  <c r="F47" i="29"/>
  <c r="E47" i="29"/>
  <c r="D47" i="29"/>
  <c r="C47" i="29"/>
  <c r="B47" i="29"/>
  <c r="A47" i="29"/>
  <c r="L46" i="29"/>
  <c r="K46" i="29"/>
  <c r="J46" i="29"/>
  <c r="I46" i="29"/>
  <c r="H46" i="29"/>
  <c r="G46" i="29"/>
  <c r="F46" i="29"/>
  <c r="E46" i="29"/>
  <c r="D46" i="29"/>
  <c r="C46" i="29"/>
  <c r="B46" i="29"/>
  <c r="A46" i="29"/>
  <c r="L45" i="29"/>
  <c r="K45" i="29"/>
  <c r="J45" i="29"/>
  <c r="I45" i="29"/>
  <c r="H45" i="29"/>
  <c r="G45" i="29"/>
  <c r="F45" i="29"/>
  <c r="E45" i="29"/>
  <c r="D45" i="29"/>
  <c r="C45" i="29"/>
  <c r="B45" i="29"/>
  <c r="A45" i="29"/>
  <c r="L44" i="29"/>
  <c r="K44" i="29"/>
  <c r="J44" i="29"/>
  <c r="I44" i="29"/>
  <c r="H44" i="29"/>
  <c r="G44" i="29"/>
  <c r="F44" i="29"/>
  <c r="E44" i="29"/>
  <c r="D44" i="29"/>
  <c r="C44" i="29"/>
  <c r="B44" i="29"/>
  <c r="A44" i="29"/>
  <c r="L43" i="29"/>
  <c r="K43" i="29"/>
  <c r="J43" i="29"/>
  <c r="I43" i="29"/>
  <c r="H43" i="29"/>
  <c r="G43" i="29"/>
  <c r="F43" i="29"/>
  <c r="E43" i="29"/>
  <c r="D43" i="29"/>
  <c r="C43" i="29"/>
  <c r="B43" i="29"/>
  <c r="A43" i="29"/>
  <c r="L42" i="29"/>
  <c r="K42" i="29"/>
  <c r="J42" i="29"/>
  <c r="I42" i="29"/>
  <c r="H42" i="29"/>
  <c r="G42" i="29"/>
  <c r="F42" i="29"/>
  <c r="E42" i="29"/>
  <c r="D42" i="29"/>
  <c r="C42" i="29"/>
  <c r="B42" i="29"/>
  <c r="A42" i="29"/>
  <c r="L41" i="29"/>
  <c r="K41" i="29"/>
  <c r="J41" i="29"/>
  <c r="I41" i="29"/>
  <c r="H41" i="29"/>
  <c r="G41" i="29"/>
  <c r="F41" i="29"/>
  <c r="E41" i="29"/>
  <c r="D41" i="29"/>
  <c r="C41" i="29"/>
  <c r="B41" i="29"/>
  <c r="A41" i="29"/>
  <c r="L40" i="29"/>
  <c r="K40" i="29"/>
  <c r="J40" i="29"/>
  <c r="I40" i="29"/>
  <c r="H40" i="29"/>
  <c r="G40" i="29"/>
  <c r="F40" i="29"/>
  <c r="E40" i="29"/>
  <c r="D40" i="29"/>
  <c r="C40" i="29"/>
  <c r="B40" i="29"/>
  <c r="A40" i="29"/>
  <c r="L39" i="29"/>
  <c r="K39" i="29"/>
  <c r="J39" i="29"/>
  <c r="I39" i="29"/>
  <c r="H39" i="29"/>
  <c r="G39" i="29"/>
  <c r="F39" i="29"/>
  <c r="E39" i="29"/>
  <c r="D39" i="29"/>
  <c r="C39" i="29"/>
  <c r="B39" i="29"/>
  <c r="L35" i="29"/>
  <c r="D35" i="29"/>
  <c r="L34" i="29"/>
  <c r="D34" i="29"/>
  <c r="D32" i="29"/>
  <c r="D30" i="29"/>
  <c r="A29" i="29"/>
  <c r="H28" i="29"/>
  <c r="D28" i="29"/>
  <c r="C28" i="29"/>
  <c r="D27" i="29"/>
  <c r="D26" i="29"/>
  <c r="D25" i="29"/>
  <c r="D21" i="29"/>
  <c r="D20" i="29"/>
  <c r="D19" i="29"/>
  <c r="D18" i="29"/>
  <c r="E17" i="29"/>
  <c r="K3" i="29"/>
  <c r="O150" i="30"/>
  <c r="N150" i="30"/>
  <c r="M150" i="30"/>
  <c r="L150" i="30"/>
  <c r="K150" i="30"/>
  <c r="J150" i="30"/>
  <c r="I150" i="30"/>
  <c r="H150" i="30"/>
  <c r="G150" i="30"/>
  <c r="F150" i="30"/>
  <c r="E150" i="30"/>
  <c r="D150" i="30"/>
  <c r="C150" i="30"/>
  <c r="B150" i="30"/>
  <c r="A150" i="30"/>
  <c r="O149" i="30"/>
  <c r="N149" i="30"/>
  <c r="M149" i="30"/>
  <c r="L149" i="30"/>
  <c r="K149" i="30"/>
  <c r="J149" i="30"/>
  <c r="I149" i="30"/>
  <c r="H149" i="30"/>
  <c r="G149" i="30"/>
  <c r="F149" i="30"/>
  <c r="E149" i="30"/>
  <c r="D149" i="30"/>
  <c r="C149" i="30"/>
  <c r="B149" i="30"/>
  <c r="A149" i="30"/>
  <c r="O148" i="30"/>
  <c r="N148" i="30"/>
  <c r="M148" i="30"/>
  <c r="L148" i="30"/>
  <c r="K148" i="30"/>
  <c r="J148" i="30"/>
  <c r="I148" i="30"/>
  <c r="H148" i="30"/>
  <c r="G148" i="30"/>
  <c r="F148" i="30"/>
  <c r="E148" i="30"/>
  <c r="D148" i="30"/>
  <c r="C148" i="30"/>
  <c r="B148" i="30"/>
  <c r="A148" i="30"/>
  <c r="O147" i="30"/>
  <c r="N147" i="30"/>
  <c r="M147" i="30"/>
  <c r="L147" i="30"/>
  <c r="K147" i="30"/>
  <c r="J147" i="30"/>
  <c r="I147" i="30"/>
  <c r="H147" i="30"/>
  <c r="G147" i="30"/>
  <c r="F147" i="30"/>
  <c r="E147" i="30"/>
  <c r="D147" i="30"/>
  <c r="C147" i="30"/>
  <c r="B147" i="30"/>
  <c r="A147" i="30"/>
  <c r="O146" i="30"/>
  <c r="N146" i="30"/>
  <c r="M146" i="30"/>
  <c r="L146" i="30"/>
  <c r="K146" i="30"/>
  <c r="J146" i="30"/>
  <c r="I146" i="30"/>
  <c r="H146" i="30"/>
  <c r="G146" i="30"/>
  <c r="F146" i="30"/>
  <c r="E146" i="30"/>
  <c r="D146" i="30"/>
  <c r="C146" i="30"/>
  <c r="B146" i="30"/>
  <c r="A146" i="30"/>
  <c r="O145" i="30"/>
  <c r="N145" i="30"/>
  <c r="M145" i="30"/>
  <c r="L145" i="30"/>
  <c r="K145" i="30"/>
  <c r="J145" i="30"/>
  <c r="I145" i="30"/>
  <c r="H145" i="30"/>
  <c r="G145" i="30"/>
  <c r="F145" i="30"/>
  <c r="E145" i="30"/>
  <c r="D145" i="30"/>
  <c r="C145" i="30"/>
  <c r="B145" i="30"/>
  <c r="A145" i="30"/>
  <c r="O144" i="30"/>
  <c r="N144" i="30"/>
  <c r="M144" i="30"/>
  <c r="L144" i="30"/>
  <c r="K144" i="30"/>
  <c r="J144" i="30"/>
  <c r="I144" i="30"/>
  <c r="H144" i="30"/>
  <c r="G144" i="30"/>
  <c r="F144" i="30"/>
  <c r="E144" i="30"/>
  <c r="D144" i="30"/>
  <c r="C144" i="30"/>
  <c r="B144" i="30"/>
  <c r="A144" i="30"/>
  <c r="O143" i="30"/>
  <c r="N143" i="30"/>
  <c r="M143" i="30"/>
  <c r="L143" i="30"/>
  <c r="K143" i="30"/>
  <c r="J143" i="30"/>
  <c r="I143" i="30"/>
  <c r="H143" i="30"/>
  <c r="G143" i="30"/>
  <c r="F143" i="30"/>
  <c r="E143" i="30"/>
  <c r="D143" i="30"/>
  <c r="C143" i="30"/>
  <c r="B143" i="30"/>
  <c r="A143" i="30"/>
  <c r="O142" i="30"/>
  <c r="N142" i="30"/>
  <c r="M142" i="30"/>
  <c r="L142" i="30"/>
  <c r="K142" i="30"/>
  <c r="J142" i="30"/>
  <c r="I142" i="30"/>
  <c r="H142" i="30"/>
  <c r="G142" i="30"/>
  <c r="F142" i="30"/>
  <c r="E142" i="30"/>
  <c r="D142" i="30"/>
  <c r="C142" i="30"/>
  <c r="B142" i="30"/>
  <c r="A142" i="30"/>
  <c r="O141" i="30"/>
  <c r="N141" i="30"/>
  <c r="M141" i="30"/>
  <c r="L141" i="30"/>
  <c r="K141" i="30"/>
  <c r="J141" i="30"/>
  <c r="I141" i="30"/>
  <c r="H141" i="30"/>
  <c r="G141" i="30"/>
  <c r="F141" i="30"/>
  <c r="E141" i="30"/>
  <c r="D141" i="30"/>
  <c r="C141" i="30"/>
  <c r="B141" i="30"/>
  <c r="A141" i="30"/>
  <c r="O140" i="30"/>
  <c r="N140" i="30"/>
  <c r="M140" i="30"/>
  <c r="L140" i="30"/>
  <c r="K140" i="30"/>
  <c r="J140" i="30"/>
  <c r="I140" i="30"/>
  <c r="H140" i="30"/>
  <c r="G140" i="30"/>
  <c r="F140" i="30"/>
  <c r="E140" i="30"/>
  <c r="D140" i="30"/>
  <c r="C140" i="30"/>
  <c r="B140" i="30"/>
  <c r="A140" i="30"/>
  <c r="O139" i="30"/>
  <c r="N139" i="30"/>
  <c r="M139" i="30"/>
  <c r="L139" i="30"/>
  <c r="K139" i="30"/>
  <c r="J139" i="30"/>
  <c r="I139" i="30"/>
  <c r="H139" i="30"/>
  <c r="G139" i="30"/>
  <c r="F139" i="30"/>
  <c r="E139" i="30"/>
  <c r="D139" i="30"/>
  <c r="C139" i="30"/>
  <c r="B139" i="30"/>
  <c r="A139" i="30"/>
  <c r="O138" i="30"/>
  <c r="N138" i="30"/>
  <c r="M138" i="30"/>
  <c r="L138" i="30"/>
  <c r="K138" i="30"/>
  <c r="J138" i="30"/>
  <c r="I138" i="30"/>
  <c r="H138" i="30"/>
  <c r="G138" i="30"/>
  <c r="F138" i="30"/>
  <c r="E138" i="30"/>
  <c r="D138" i="30"/>
  <c r="C138" i="30"/>
  <c r="B138" i="30"/>
  <c r="A138" i="30"/>
  <c r="O137" i="30"/>
  <c r="N137" i="30"/>
  <c r="M137" i="30"/>
  <c r="L137" i="30"/>
  <c r="K137" i="30"/>
  <c r="J137" i="30"/>
  <c r="I137" i="30"/>
  <c r="H137" i="30"/>
  <c r="G137" i="30"/>
  <c r="F137" i="30"/>
  <c r="E137" i="30"/>
  <c r="D137" i="30"/>
  <c r="C137" i="30"/>
  <c r="B137" i="30"/>
  <c r="A137" i="30"/>
  <c r="O136" i="30"/>
  <c r="N136" i="30"/>
  <c r="M136" i="30"/>
  <c r="L136" i="30"/>
  <c r="K136" i="30"/>
  <c r="J136" i="30"/>
  <c r="I136" i="30"/>
  <c r="H136" i="30"/>
  <c r="G136" i="30"/>
  <c r="F136" i="30"/>
  <c r="E136" i="30"/>
  <c r="D136" i="30"/>
  <c r="C136" i="30"/>
  <c r="B136" i="30"/>
  <c r="A136" i="30"/>
  <c r="O135" i="30"/>
  <c r="N135" i="30"/>
  <c r="M135" i="30"/>
  <c r="L135" i="30"/>
  <c r="K135" i="30"/>
  <c r="J135" i="30"/>
  <c r="I135" i="30"/>
  <c r="H135" i="30"/>
  <c r="G135" i="30"/>
  <c r="F135" i="30"/>
  <c r="E135" i="30"/>
  <c r="D135" i="30"/>
  <c r="C135" i="30"/>
  <c r="B135" i="30"/>
  <c r="A135" i="30"/>
  <c r="O134" i="30"/>
  <c r="N134" i="30"/>
  <c r="M134" i="30"/>
  <c r="L134" i="30"/>
  <c r="K134" i="30"/>
  <c r="J134" i="30"/>
  <c r="I134" i="30"/>
  <c r="H134" i="30"/>
  <c r="G134" i="30"/>
  <c r="F134" i="30"/>
  <c r="E134" i="30"/>
  <c r="D134" i="30"/>
  <c r="C134" i="30"/>
  <c r="B134" i="30"/>
  <c r="A134" i="30"/>
  <c r="O133" i="30"/>
  <c r="N133" i="30"/>
  <c r="M133" i="30"/>
  <c r="L133" i="30"/>
  <c r="K133" i="30"/>
  <c r="J133" i="30"/>
  <c r="I133" i="30"/>
  <c r="H133" i="30"/>
  <c r="G133" i="30"/>
  <c r="F133" i="30"/>
  <c r="E133" i="30"/>
  <c r="D133" i="30"/>
  <c r="C133" i="30"/>
  <c r="B133" i="30"/>
  <c r="A133" i="30"/>
  <c r="O132" i="30"/>
  <c r="N132" i="30"/>
  <c r="M132" i="30"/>
  <c r="L132" i="30"/>
  <c r="K132" i="30"/>
  <c r="J132" i="30"/>
  <c r="I132" i="30"/>
  <c r="H132" i="30"/>
  <c r="G132" i="30"/>
  <c r="F132" i="30"/>
  <c r="E132" i="30"/>
  <c r="D132" i="30"/>
  <c r="C132" i="30"/>
  <c r="B132" i="30"/>
  <c r="A132" i="30"/>
  <c r="O131" i="30"/>
  <c r="N131" i="30"/>
  <c r="M131" i="30"/>
  <c r="L131" i="30"/>
  <c r="K131" i="30"/>
  <c r="J131" i="30"/>
  <c r="I131" i="30"/>
  <c r="H131" i="30"/>
  <c r="G131" i="30"/>
  <c r="F131" i="30"/>
  <c r="E131" i="30"/>
  <c r="D131" i="30"/>
  <c r="C131" i="30"/>
  <c r="B131" i="30"/>
  <c r="A131" i="30"/>
  <c r="O130" i="30"/>
  <c r="N130" i="30"/>
  <c r="M130" i="30"/>
  <c r="L130" i="30"/>
  <c r="K130" i="30"/>
  <c r="J130" i="30"/>
  <c r="I130" i="30"/>
  <c r="H130" i="30"/>
  <c r="G130" i="30"/>
  <c r="F130" i="30"/>
  <c r="E130" i="30"/>
  <c r="D130" i="30"/>
  <c r="C130" i="30"/>
  <c r="B130" i="30"/>
  <c r="A130" i="30"/>
  <c r="O129" i="30"/>
  <c r="N129" i="30"/>
  <c r="M129" i="30"/>
  <c r="L129" i="30"/>
  <c r="K129" i="30"/>
  <c r="J129" i="30"/>
  <c r="I129" i="30"/>
  <c r="H129" i="30"/>
  <c r="G129" i="30"/>
  <c r="F129" i="30"/>
  <c r="E129" i="30"/>
  <c r="D129" i="30"/>
  <c r="C129" i="30"/>
  <c r="B129" i="30"/>
  <c r="A129" i="30"/>
  <c r="O128" i="30"/>
  <c r="N128" i="30"/>
  <c r="M128" i="30"/>
  <c r="L128" i="30"/>
  <c r="K128" i="30"/>
  <c r="J128" i="30"/>
  <c r="I128" i="30"/>
  <c r="H128" i="30"/>
  <c r="G128" i="30"/>
  <c r="F128" i="30"/>
  <c r="E128" i="30"/>
  <c r="D128" i="30"/>
  <c r="C128" i="30"/>
  <c r="B128" i="30"/>
  <c r="A128" i="30"/>
  <c r="O127" i="30"/>
  <c r="N127" i="30"/>
  <c r="M127" i="30"/>
  <c r="L127" i="30"/>
  <c r="K127" i="30"/>
  <c r="J127" i="30"/>
  <c r="I127" i="30"/>
  <c r="H127" i="30"/>
  <c r="G127" i="30"/>
  <c r="F127" i="30"/>
  <c r="E127" i="30"/>
  <c r="D127" i="30"/>
  <c r="C127" i="30"/>
  <c r="B127" i="30"/>
  <c r="A127" i="30"/>
  <c r="O126" i="30"/>
  <c r="N126" i="30"/>
  <c r="M126" i="30"/>
  <c r="L126" i="30"/>
  <c r="K126" i="30"/>
  <c r="J126" i="30"/>
  <c r="I126" i="30"/>
  <c r="H126" i="30"/>
  <c r="G126" i="30"/>
  <c r="F126" i="30"/>
  <c r="E126" i="30"/>
  <c r="D126" i="30"/>
  <c r="C126" i="30"/>
  <c r="B126" i="30"/>
  <c r="A126" i="30"/>
  <c r="O125" i="30"/>
  <c r="N125" i="30"/>
  <c r="M125" i="30"/>
  <c r="L125" i="30"/>
  <c r="K125" i="30"/>
  <c r="J125" i="30"/>
  <c r="I125" i="30"/>
  <c r="H125" i="30"/>
  <c r="G125" i="30"/>
  <c r="F125" i="30"/>
  <c r="E125" i="30"/>
  <c r="D125" i="30"/>
  <c r="C125" i="30"/>
  <c r="B125" i="30"/>
  <c r="A125" i="30"/>
  <c r="O124" i="30"/>
  <c r="N124" i="30"/>
  <c r="M124" i="30"/>
  <c r="L124" i="30"/>
  <c r="K124" i="30"/>
  <c r="J124" i="30"/>
  <c r="I124" i="30"/>
  <c r="H124" i="30"/>
  <c r="G124" i="30"/>
  <c r="F124" i="30"/>
  <c r="E124" i="30"/>
  <c r="D124" i="30"/>
  <c r="C124" i="30"/>
  <c r="B124" i="30"/>
  <c r="A124" i="30"/>
  <c r="O123" i="30"/>
  <c r="N123" i="30"/>
  <c r="M123" i="30"/>
  <c r="L123" i="30"/>
  <c r="K123" i="30"/>
  <c r="J123" i="30"/>
  <c r="I123" i="30"/>
  <c r="H123" i="30"/>
  <c r="G123" i="30"/>
  <c r="F123" i="30"/>
  <c r="E123" i="30"/>
  <c r="D123" i="30"/>
  <c r="C123" i="30"/>
  <c r="B123" i="30"/>
  <c r="A123" i="30"/>
  <c r="O122" i="30"/>
  <c r="N122" i="30"/>
  <c r="M122" i="30"/>
  <c r="L122" i="30"/>
  <c r="K122" i="30"/>
  <c r="J122" i="30"/>
  <c r="I122" i="30"/>
  <c r="H122" i="30"/>
  <c r="G122" i="30"/>
  <c r="F122" i="30"/>
  <c r="E122" i="30"/>
  <c r="D122" i="30"/>
  <c r="C122" i="30"/>
  <c r="B122" i="30"/>
  <c r="A122" i="30"/>
  <c r="O121" i="30"/>
  <c r="N121" i="30"/>
  <c r="M121" i="30"/>
  <c r="L121" i="30"/>
  <c r="K121" i="30"/>
  <c r="J121" i="30"/>
  <c r="I121" i="30"/>
  <c r="H121" i="30"/>
  <c r="G121" i="30"/>
  <c r="F121" i="30"/>
  <c r="E121" i="30"/>
  <c r="D121" i="30"/>
  <c r="C121" i="30"/>
  <c r="B121" i="30"/>
  <c r="A121" i="30"/>
  <c r="O120" i="30"/>
  <c r="N120" i="30"/>
  <c r="M120" i="30"/>
  <c r="L120" i="30"/>
  <c r="K120" i="30"/>
  <c r="J120" i="30"/>
  <c r="I120" i="30"/>
  <c r="H120" i="30"/>
  <c r="G120" i="30"/>
  <c r="F120" i="30"/>
  <c r="E120" i="30"/>
  <c r="D120" i="30"/>
  <c r="C120" i="30"/>
  <c r="B120" i="30"/>
  <c r="A120" i="30"/>
  <c r="O119" i="30"/>
  <c r="N119" i="30"/>
  <c r="M119" i="30"/>
  <c r="L119" i="30"/>
  <c r="K119" i="30"/>
  <c r="J119" i="30"/>
  <c r="I119" i="30"/>
  <c r="H119" i="30"/>
  <c r="G119" i="30"/>
  <c r="F119" i="30"/>
  <c r="E119" i="30"/>
  <c r="D119" i="30"/>
  <c r="C119" i="30"/>
  <c r="B119" i="30"/>
  <c r="A119" i="30"/>
  <c r="O118" i="30"/>
  <c r="N118" i="30"/>
  <c r="M118" i="30"/>
  <c r="L118" i="30"/>
  <c r="K118" i="30"/>
  <c r="J118" i="30"/>
  <c r="I118" i="30"/>
  <c r="H118" i="30"/>
  <c r="G118" i="30"/>
  <c r="F118" i="30"/>
  <c r="E118" i="30"/>
  <c r="D118" i="30"/>
  <c r="C118" i="30"/>
  <c r="B118" i="30"/>
  <c r="A118" i="30"/>
  <c r="O117" i="30"/>
  <c r="N117" i="30"/>
  <c r="M117" i="30"/>
  <c r="L117" i="30"/>
  <c r="K117" i="30"/>
  <c r="J117" i="30"/>
  <c r="I117" i="30"/>
  <c r="H117" i="30"/>
  <c r="G117" i="30"/>
  <c r="F117" i="30"/>
  <c r="E117" i="30"/>
  <c r="D117" i="30"/>
  <c r="C117" i="30"/>
  <c r="B117" i="30"/>
  <c r="A117" i="30"/>
  <c r="O116" i="30"/>
  <c r="N116" i="30"/>
  <c r="M116" i="30"/>
  <c r="L116" i="30"/>
  <c r="K116" i="30"/>
  <c r="J116" i="30"/>
  <c r="I116" i="30"/>
  <c r="H116" i="30"/>
  <c r="G116" i="30"/>
  <c r="F116" i="30"/>
  <c r="E116" i="30"/>
  <c r="D116" i="30"/>
  <c r="C116" i="30"/>
  <c r="B116" i="30"/>
  <c r="A116" i="30"/>
  <c r="O115" i="30"/>
  <c r="N115" i="30"/>
  <c r="M115" i="30"/>
  <c r="L115" i="30"/>
  <c r="K115" i="30"/>
  <c r="J115" i="30"/>
  <c r="I115" i="30"/>
  <c r="H115" i="30"/>
  <c r="G115" i="30"/>
  <c r="F115" i="30"/>
  <c r="E115" i="30"/>
  <c r="D115" i="30"/>
  <c r="C115" i="30"/>
  <c r="B115" i="30"/>
  <c r="A115" i="30"/>
  <c r="O114" i="30"/>
  <c r="N114" i="30"/>
  <c r="M114" i="30"/>
  <c r="L114" i="30"/>
  <c r="K114" i="30"/>
  <c r="J114" i="30"/>
  <c r="I114" i="30"/>
  <c r="H114" i="30"/>
  <c r="G114" i="30"/>
  <c r="F114" i="30"/>
  <c r="E114" i="30"/>
  <c r="D114" i="30"/>
  <c r="C114" i="30"/>
  <c r="B114" i="30"/>
  <c r="A114" i="30"/>
  <c r="O113" i="30"/>
  <c r="N113" i="30"/>
  <c r="M113" i="30"/>
  <c r="L113" i="30"/>
  <c r="K113" i="30"/>
  <c r="J113" i="30"/>
  <c r="I113" i="30"/>
  <c r="H113" i="30"/>
  <c r="G113" i="30"/>
  <c r="F113" i="30"/>
  <c r="E113" i="30"/>
  <c r="D113" i="30"/>
  <c r="C113" i="30"/>
  <c r="B113" i="30"/>
  <c r="A113" i="30"/>
  <c r="O112" i="30"/>
  <c r="N112" i="30"/>
  <c r="M112" i="30"/>
  <c r="L112" i="30"/>
  <c r="K112" i="30"/>
  <c r="J112" i="30"/>
  <c r="I112" i="30"/>
  <c r="H112" i="30"/>
  <c r="G112" i="30"/>
  <c r="F112" i="30"/>
  <c r="E112" i="30"/>
  <c r="D112" i="30"/>
  <c r="C112" i="30"/>
  <c r="B112" i="30"/>
  <c r="A112" i="30"/>
  <c r="O111" i="30"/>
  <c r="N111" i="30"/>
  <c r="M111" i="30"/>
  <c r="L111" i="30"/>
  <c r="K111" i="30"/>
  <c r="J111" i="30"/>
  <c r="I111" i="30"/>
  <c r="H111" i="30"/>
  <c r="G111" i="30"/>
  <c r="F111" i="30"/>
  <c r="E111" i="30"/>
  <c r="D111" i="30"/>
  <c r="C111" i="30"/>
  <c r="B111" i="30"/>
  <c r="A111" i="30"/>
  <c r="O110" i="30"/>
  <c r="N110" i="30"/>
  <c r="M110" i="30"/>
  <c r="L110" i="30"/>
  <c r="K110" i="30"/>
  <c r="J110" i="30"/>
  <c r="I110" i="30"/>
  <c r="H110" i="30"/>
  <c r="G110" i="30"/>
  <c r="F110" i="30"/>
  <c r="E110" i="30"/>
  <c r="D110" i="30"/>
  <c r="C110" i="30"/>
  <c r="B110" i="30"/>
  <c r="A110" i="30"/>
  <c r="O109" i="30"/>
  <c r="N109" i="30"/>
  <c r="M109" i="30"/>
  <c r="L109" i="30"/>
  <c r="K109" i="30"/>
  <c r="J109" i="30"/>
  <c r="I109" i="30"/>
  <c r="H109" i="30"/>
  <c r="G109" i="30"/>
  <c r="F109" i="30"/>
  <c r="E109" i="30"/>
  <c r="D109" i="30"/>
  <c r="C109" i="30"/>
  <c r="B109" i="30"/>
  <c r="A109" i="30"/>
  <c r="O108" i="30"/>
  <c r="N108" i="30"/>
  <c r="M108" i="30"/>
  <c r="L108" i="30"/>
  <c r="K108" i="30"/>
  <c r="J108" i="30"/>
  <c r="I108" i="30"/>
  <c r="H108" i="30"/>
  <c r="G108" i="30"/>
  <c r="F108" i="30"/>
  <c r="E108" i="30"/>
  <c r="D108" i="30"/>
  <c r="C108" i="30"/>
  <c r="B108" i="30"/>
  <c r="A108" i="30"/>
  <c r="O107" i="30"/>
  <c r="N107" i="30"/>
  <c r="M107" i="30"/>
  <c r="L107" i="30"/>
  <c r="K107" i="30"/>
  <c r="J107" i="30"/>
  <c r="I107" i="30"/>
  <c r="H107" i="30"/>
  <c r="G107" i="30"/>
  <c r="F107" i="30"/>
  <c r="E107" i="30"/>
  <c r="D107" i="30"/>
  <c r="C107" i="30"/>
  <c r="B107" i="30"/>
  <c r="A107" i="30"/>
  <c r="O106" i="30"/>
  <c r="N106" i="30"/>
  <c r="M106" i="30"/>
  <c r="L106" i="30"/>
  <c r="K106" i="30"/>
  <c r="J106" i="30"/>
  <c r="I106" i="30"/>
  <c r="H106" i="30"/>
  <c r="G106" i="30"/>
  <c r="F106" i="30"/>
  <c r="E106" i="30"/>
  <c r="D106" i="30"/>
  <c r="C106" i="30"/>
  <c r="B106" i="30"/>
  <c r="A106" i="30"/>
  <c r="O105" i="30"/>
  <c r="N105" i="30"/>
  <c r="M105" i="30"/>
  <c r="L105" i="30"/>
  <c r="K105" i="30"/>
  <c r="J105" i="30"/>
  <c r="I105" i="30"/>
  <c r="H105" i="30"/>
  <c r="G105" i="30"/>
  <c r="F105" i="30"/>
  <c r="E105" i="30"/>
  <c r="D105" i="30"/>
  <c r="C105" i="30"/>
  <c r="B105" i="30"/>
  <c r="A105" i="30"/>
  <c r="O104" i="30"/>
  <c r="N104" i="30"/>
  <c r="M104" i="30"/>
  <c r="L104" i="30"/>
  <c r="K104" i="30"/>
  <c r="J104" i="30"/>
  <c r="I104" i="30"/>
  <c r="H104" i="30"/>
  <c r="G104" i="30"/>
  <c r="F104" i="30"/>
  <c r="E104" i="30"/>
  <c r="D104" i="30"/>
  <c r="C104" i="30"/>
  <c r="B104" i="30"/>
  <c r="A104" i="30"/>
  <c r="O103" i="30"/>
  <c r="N103" i="30"/>
  <c r="M103" i="30"/>
  <c r="L103" i="30"/>
  <c r="K103" i="30"/>
  <c r="J103" i="30"/>
  <c r="I103" i="30"/>
  <c r="H103" i="30"/>
  <c r="G103" i="30"/>
  <c r="F103" i="30"/>
  <c r="E103" i="30"/>
  <c r="D103" i="30"/>
  <c r="C103" i="30"/>
  <c r="B103" i="30"/>
  <c r="A103" i="30"/>
  <c r="O102" i="30"/>
  <c r="N102" i="30"/>
  <c r="M102" i="30"/>
  <c r="L102" i="30"/>
  <c r="K102" i="30"/>
  <c r="J102" i="30"/>
  <c r="I102" i="30"/>
  <c r="H102" i="30"/>
  <c r="G102" i="30"/>
  <c r="F102" i="30"/>
  <c r="E102" i="30"/>
  <c r="D102" i="30"/>
  <c r="C102" i="30"/>
  <c r="B102" i="30"/>
  <c r="A102" i="30"/>
  <c r="O101" i="30"/>
  <c r="N101" i="30"/>
  <c r="M101" i="30"/>
  <c r="L101" i="30"/>
  <c r="K101" i="30"/>
  <c r="J101" i="30"/>
  <c r="I101" i="30"/>
  <c r="H101" i="30"/>
  <c r="G101" i="30"/>
  <c r="F101" i="30"/>
  <c r="E101" i="30"/>
  <c r="D101" i="30"/>
  <c r="C101" i="30"/>
  <c r="B101" i="30"/>
  <c r="A101" i="30"/>
  <c r="O100" i="30"/>
  <c r="N100" i="30"/>
  <c r="M100" i="30"/>
  <c r="L100" i="30"/>
  <c r="K100" i="30"/>
  <c r="J100" i="30"/>
  <c r="I100" i="30"/>
  <c r="H100" i="30"/>
  <c r="G100" i="30"/>
  <c r="F100" i="30"/>
  <c r="E100" i="30"/>
  <c r="D100" i="30"/>
  <c r="C100" i="30"/>
  <c r="B100" i="30"/>
  <c r="A100" i="30"/>
  <c r="O99" i="30"/>
  <c r="N99" i="30"/>
  <c r="M99" i="30"/>
  <c r="L99" i="30"/>
  <c r="K99" i="30"/>
  <c r="J99" i="30"/>
  <c r="I99" i="30"/>
  <c r="H99" i="30"/>
  <c r="G99" i="30"/>
  <c r="F99" i="30"/>
  <c r="E99" i="30"/>
  <c r="D99" i="30"/>
  <c r="C99" i="30"/>
  <c r="B99" i="30"/>
  <c r="A99" i="30"/>
  <c r="O98" i="30"/>
  <c r="N98" i="30"/>
  <c r="M98" i="30"/>
  <c r="L98" i="30"/>
  <c r="K98" i="30"/>
  <c r="J98" i="30"/>
  <c r="I98" i="30"/>
  <c r="H98" i="30"/>
  <c r="G98" i="30"/>
  <c r="F98" i="30"/>
  <c r="E98" i="30"/>
  <c r="D98" i="30"/>
  <c r="C98" i="30"/>
  <c r="B98" i="30"/>
  <c r="A98" i="30"/>
  <c r="O97" i="30"/>
  <c r="N97" i="30"/>
  <c r="M97" i="30"/>
  <c r="L97" i="30"/>
  <c r="K97" i="30"/>
  <c r="J97" i="30"/>
  <c r="I97" i="30"/>
  <c r="H97" i="30"/>
  <c r="G97" i="30"/>
  <c r="F97" i="30"/>
  <c r="E97" i="30"/>
  <c r="D97" i="30"/>
  <c r="C97" i="30"/>
  <c r="B97" i="30"/>
  <c r="A97" i="30"/>
  <c r="O96" i="30"/>
  <c r="N96" i="30"/>
  <c r="M96" i="30"/>
  <c r="L96" i="30"/>
  <c r="K96" i="30"/>
  <c r="J96" i="30"/>
  <c r="I96" i="30"/>
  <c r="H96" i="30"/>
  <c r="G96" i="30"/>
  <c r="F96" i="30"/>
  <c r="E96" i="30"/>
  <c r="D96" i="30"/>
  <c r="C96" i="30"/>
  <c r="B96" i="30"/>
  <c r="A96" i="30"/>
  <c r="O95" i="30"/>
  <c r="N95" i="30"/>
  <c r="M95" i="30"/>
  <c r="L95" i="30"/>
  <c r="K95" i="30"/>
  <c r="J95" i="30"/>
  <c r="I95" i="30"/>
  <c r="H95" i="30"/>
  <c r="G95" i="30"/>
  <c r="F95" i="30"/>
  <c r="E95" i="30"/>
  <c r="D95" i="30"/>
  <c r="C95" i="30"/>
  <c r="B95" i="30"/>
  <c r="A95" i="30"/>
  <c r="O94" i="30"/>
  <c r="N94" i="30"/>
  <c r="M94" i="30"/>
  <c r="L94" i="30"/>
  <c r="K94" i="30"/>
  <c r="J94" i="30"/>
  <c r="I94" i="30"/>
  <c r="H94" i="30"/>
  <c r="G94" i="30"/>
  <c r="F94" i="30"/>
  <c r="E94" i="30"/>
  <c r="D94" i="30"/>
  <c r="C94" i="30"/>
  <c r="B94" i="30"/>
  <c r="A94" i="30"/>
  <c r="O93" i="30"/>
  <c r="N93" i="30"/>
  <c r="M93" i="30"/>
  <c r="L93" i="30"/>
  <c r="K93" i="30"/>
  <c r="J93" i="30"/>
  <c r="I93" i="30"/>
  <c r="H93" i="30"/>
  <c r="G93" i="30"/>
  <c r="F93" i="30"/>
  <c r="E93" i="30"/>
  <c r="D93" i="30"/>
  <c r="C93" i="30"/>
  <c r="B93" i="30"/>
  <c r="A93" i="30"/>
  <c r="O92" i="30"/>
  <c r="N92" i="30"/>
  <c r="M92" i="30"/>
  <c r="L92" i="30"/>
  <c r="K92" i="30"/>
  <c r="J92" i="30"/>
  <c r="I92" i="30"/>
  <c r="H92" i="30"/>
  <c r="G92" i="30"/>
  <c r="F92" i="30"/>
  <c r="E92" i="30"/>
  <c r="D92" i="30"/>
  <c r="C92" i="30"/>
  <c r="B92" i="30"/>
  <c r="A92" i="30"/>
  <c r="O91" i="30"/>
  <c r="N91" i="30"/>
  <c r="M91" i="30"/>
  <c r="L91" i="30"/>
  <c r="K91" i="30"/>
  <c r="J91" i="30"/>
  <c r="I91" i="30"/>
  <c r="H91" i="30"/>
  <c r="G91" i="30"/>
  <c r="F91" i="30"/>
  <c r="E91" i="30"/>
  <c r="D91" i="30"/>
  <c r="C91" i="30"/>
  <c r="B91" i="30"/>
  <c r="A91" i="30"/>
  <c r="O90" i="30"/>
  <c r="N90" i="30"/>
  <c r="M90" i="30"/>
  <c r="L90" i="30"/>
  <c r="K90" i="30"/>
  <c r="J90" i="30"/>
  <c r="I90" i="30"/>
  <c r="H90" i="30"/>
  <c r="G90" i="30"/>
  <c r="F90" i="30"/>
  <c r="E90" i="30"/>
  <c r="D90" i="30"/>
  <c r="C90" i="30"/>
  <c r="B90" i="30"/>
  <c r="A90" i="30"/>
  <c r="O89" i="30"/>
  <c r="N89" i="30"/>
  <c r="M89" i="30"/>
  <c r="L89" i="30"/>
  <c r="K89" i="30"/>
  <c r="J89" i="30"/>
  <c r="I89" i="30"/>
  <c r="H89" i="30"/>
  <c r="G89" i="30"/>
  <c r="F89" i="30"/>
  <c r="E89" i="30"/>
  <c r="D89" i="30"/>
  <c r="C89" i="30"/>
  <c r="B89" i="30"/>
  <c r="A89" i="30"/>
  <c r="O88" i="30"/>
  <c r="N88" i="30"/>
  <c r="M88" i="30"/>
  <c r="L88" i="30"/>
  <c r="K88" i="30"/>
  <c r="J88" i="30"/>
  <c r="I88" i="30"/>
  <c r="H88" i="30"/>
  <c r="G88" i="30"/>
  <c r="F88" i="30"/>
  <c r="E88" i="30"/>
  <c r="D88" i="30"/>
  <c r="C88" i="30"/>
  <c r="B88" i="30"/>
  <c r="A88" i="30"/>
  <c r="O87" i="30"/>
  <c r="N87" i="30"/>
  <c r="M87" i="30"/>
  <c r="L87" i="30"/>
  <c r="K87" i="30"/>
  <c r="J87" i="30"/>
  <c r="I87" i="30"/>
  <c r="H87" i="30"/>
  <c r="G87" i="30"/>
  <c r="F87" i="30"/>
  <c r="E87" i="30"/>
  <c r="D87" i="30"/>
  <c r="C87" i="30"/>
  <c r="B87" i="30"/>
  <c r="A87" i="30"/>
  <c r="O86" i="30"/>
  <c r="N86" i="30"/>
  <c r="M86" i="30"/>
  <c r="L86" i="30"/>
  <c r="K86" i="30"/>
  <c r="J86" i="30"/>
  <c r="I86" i="30"/>
  <c r="H86" i="30"/>
  <c r="G86" i="30"/>
  <c r="F86" i="30"/>
  <c r="E86" i="30"/>
  <c r="D86" i="30"/>
  <c r="C86" i="30"/>
  <c r="B86" i="30"/>
  <c r="A86" i="30"/>
  <c r="O85" i="30"/>
  <c r="N85" i="30"/>
  <c r="M85" i="30"/>
  <c r="L85" i="30"/>
  <c r="K85" i="30"/>
  <c r="J85" i="30"/>
  <c r="I85" i="30"/>
  <c r="H85" i="30"/>
  <c r="G85" i="30"/>
  <c r="F85" i="30"/>
  <c r="E85" i="30"/>
  <c r="D85" i="30"/>
  <c r="C85" i="30"/>
  <c r="B85" i="30"/>
  <c r="A85" i="30"/>
  <c r="O84" i="30"/>
  <c r="N84" i="30"/>
  <c r="M84" i="30"/>
  <c r="L84" i="30"/>
  <c r="K84" i="30"/>
  <c r="J84" i="30"/>
  <c r="I84" i="30"/>
  <c r="H84" i="30"/>
  <c r="G84" i="30"/>
  <c r="F84" i="30"/>
  <c r="E84" i="30"/>
  <c r="D84" i="30"/>
  <c r="C84" i="30"/>
  <c r="B84" i="30"/>
  <c r="A84" i="30"/>
  <c r="O83" i="30"/>
  <c r="N83" i="30"/>
  <c r="M83" i="30"/>
  <c r="L83" i="30"/>
  <c r="K83" i="30"/>
  <c r="J83" i="30"/>
  <c r="I83" i="30"/>
  <c r="H83" i="30"/>
  <c r="G83" i="30"/>
  <c r="F83" i="30"/>
  <c r="E83" i="30"/>
  <c r="D83" i="30"/>
  <c r="C83" i="30"/>
  <c r="B83" i="30"/>
  <c r="A83" i="30"/>
  <c r="O82" i="30"/>
  <c r="N82" i="30"/>
  <c r="M82" i="30"/>
  <c r="L82" i="30"/>
  <c r="K82" i="30"/>
  <c r="J82" i="30"/>
  <c r="I82" i="30"/>
  <c r="H82" i="30"/>
  <c r="G82" i="30"/>
  <c r="F82" i="30"/>
  <c r="E82" i="30"/>
  <c r="D82" i="30"/>
  <c r="C82" i="30"/>
  <c r="B82" i="30"/>
  <c r="A82" i="30"/>
  <c r="O81" i="30"/>
  <c r="N81" i="30"/>
  <c r="M81" i="30"/>
  <c r="L81" i="30"/>
  <c r="K81" i="30"/>
  <c r="J81" i="30"/>
  <c r="I81" i="30"/>
  <c r="H81" i="30"/>
  <c r="G81" i="30"/>
  <c r="F81" i="30"/>
  <c r="E81" i="30"/>
  <c r="D81" i="30"/>
  <c r="C81" i="30"/>
  <c r="B81" i="30"/>
  <c r="A81" i="30"/>
  <c r="O80" i="30"/>
  <c r="N80" i="30"/>
  <c r="M80" i="30"/>
  <c r="L80" i="30"/>
  <c r="K80" i="30"/>
  <c r="J80" i="30"/>
  <c r="I80" i="30"/>
  <c r="H80" i="30"/>
  <c r="G80" i="30"/>
  <c r="F80" i="30"/>
  <c r="E80" i="30"/>
  <c r="D80" i="30"/>
  <c r="C80" i="30"/>
  <c r="B80" i="30"/>
  <c r="A80" i="30"/>
  <c r="O79" i="30"/>
  <c r="N79" i="30"/>
  <c r="M79" i="30"/>
  <c r="L79" i="30"/>
  <c r="K79" i="30"/>
  <c r="J79" i="30"/>
  <c r="I79" i="30"/>
  <c r="H79" i="30"/>
  <c r="G79" i="30"/>
  <c r="F79" i="30"/>
  <c r="E79" i="30"/>
  <c r="D79" i="30"/>
  <c r="C79" i="30"/>
  <c r="B79" i="30"/>
  <c r="A79" i="30"/>
  <c r="O78" i="30"/>
  <c r="N78" i="30"/>
  <c r="M78" i="30"/>
  <c r="L78" i="30"/>
  <c r="K78" i="30"/>
  <c r="J78" i="30"/>
  <c r="I78" i="30"/>
  <c r="H78" i="30"/>
  <c r="G78" i="30"/>
  <c r="F78" i="30"/>
  <c r="E78" i="30"/>
  <c r="D78" i="30"/>
  <c r="C78" i="30"/>
  <c r="B78" i="30"/>
  <c r="A78" i="30"/>
  <c r="O77" i="30"/>
  <c r="N77" i="30"/>
  <c r="M77" i="30"/>
  <c r="L77" i="30"/>
  <c r="K77" i="30"/>
  <c r="J77" i="30"/>
  <c r="I77" i="30"/>
  <c r="H77" i="30"/>
  <c r="G77" i="30"/>
  <c r="F77" i="30"/>
  <c r="E77" i="30"/>
  <c r="D77" i="30"/>
  <c r="C77" i="30"/>
  <c r="B77" i="30"/>
  <c r="A77" i="30"/>
  <c r="O76" i="30"/>
  <c r="N76" i="30"/>
  <c r="M76" i="30"/>
  <c r="L76" i="30"/>
  <c r="K76" i="30"/>
  <c r="J76" i="30"/>
  <c r="I76" i="30"/>
  <c r="H76" i="30"/>
  <c r="G76" i="30"/>
  <c r="F76" i="30"/>
  <c r="E76" i="30"/>
  <c r="D76" i="30"/>
  <c r="C76" i="30"/>
  <c r="B76" i="30"/>
  <c r="A76" i="30"/>
  <c r="O75" i="30"/>
  <c r="N75" i="30"/>
  <c r="M75" i="30"/>
  <c r="L75" i="30"/>
  <c r="K75" i="30"/>
  <c r="J75" i="30"/>
  <c r="I75" i="30"/>
  <c r="H75" i="30"/>
  <c r="G75" i="30"/>
  <c r="F75" i="30"/>
  <c r="E75" i="30"/>
  <c r="D75" i="30"/>
  <c r="C75" i="30"/>
  <c r="B75" i="30"/>
  <c r="A75" i="30"/>
  <c r="O74" i="30"/>
  <c r="N74" i="30"/>
  <c r="M74" i="30"/>
  <c r="L74" i="30"/>
  <c r="K74" i="30"/>
  <c r="J74" i="30"/>
  <c r="I74" i="30"/>
  <c r="H74" i="30"/>
  <c r="G74" i="30"/>
  <c r="F74" i="30"/>
  <c r="E74" i="30"/>
  <c r="D74" i="30"/>
  <c r="C74" i="30"/>
  <c r="B74" i="30"/>
  <c r="A74" i="30"/>
  <c r="O73" i="30"/>
  <c r="N73" i="30"/>
  <c r="M73" i="30"/>
  <c r="L73" i="30"/>
  <c r="K73" i="30"/>
  <c r="J73" i="30"/>
  <c r="I73" i="30"/>
  <c r="H73" i="30"/>
  <c r="G73" i="30"/>
  <c r="F73" i="30"/>
  <c r="E73" i="30"/>
  <c r="D73" i="30"/>
  <c r="C73" i="30"/>
  <c r="B73" i="30"/>
  <c r="A73" i="30"/>
  <c r="O72" i="30"/>
  <c r="N72" i="30"/>
  <c r="M72" i="30"/>
  <c r="L72" i="30"/>
  <c r="K72" i="30"/>
  <c r="J72" i="30"/>
  <c r="I72" i="30"/>
  <c r="H72" i="30"/>
  <c r="G72" i="30"/>
  <c r="F72" i="30"/>
  <c r="E72" i="30"/>
  <c r="D72" i="30"/>
  <c r="C72" i="30"/>
  <c r="B72" i="30"/>
  <c r="A72" i="30"/>
  <c r="O71" i="30"/>
  <c r="N71" i="30"/>
  <c r="M71" i="30"/>
  <c r="L71" i="30"/>
  <c r="K71" i="30"/>
  <c r="J71" i="30"/>
  <c r="I71" i="30"/>
  <c r="H71" i="30"/>
  <c r="G71" i="30"/>
  <c r="F71" i="30"/>
  <c r="E71" i="30"/>
  <c r="D71" i="30"/>
  <c r="C71" i="30"/>
  <c r="B71" i="30"/>
  <c r="A71" i="30"/>
  <c r="O70" i="30"/>
  <c r="N70" i="30"/>
  <c r="M70" i="30"/>
  <c r="L70" i="30"/>
  <c r="K70" i="30"/>
  <c r="J70" i="30"/>
  <c r="I70" i="30"/>
  <c r="H70" i="30"/>
  <c r="G70" i="30"/>
  <c r="F70" i="30"/>
  <c r="E70" i="30"/>
  <c r="D70" i="30"/>
  <c r="C70" i="30"/>
  <c r="B70" i="30"/>
  <c r="A70" i="30"/>
  <c r="O69" i="30"/>
  <c r="N69" i="30"/>
  <c r="M69" i="30"/>
  <c r="L69" i="30"/>
  <c r="K69" i="30"/>
  <c r="J69" i="30"/>
  <c r="I69" i="30"/>
  <c r="H69" i="30"/>
  <c r="G69" i="30"/>
  <c r="F69" i="30"/>
  <c r="E69" i="30"/>
  <c r="D69" i="30"/>
  <c r="C69" i="30"/>
  <c r="B69" i="30"/>
  <c r="A69" i="30"/>
  <c r="O68" i="30"/>
  <c r="N68" i="30"/>
  <c r="M68" i="30"/>
  <c r="L68" i="30"/>
  <c r="K68" i="30"/>
  <c r="J68" i="30"/>
  <c r="I68" i="30"/>
  <c r="H68" i="30"/>
  <c r="G68" i="30"/>
  <c r="F68" i="30"/>
  <c r="E68" i="30"/>
  <c r="D68" i="30"/>
  <c r="C68" i="30"/>
  <c r="B68" i="30"/>
  <c r="A68" i="30"/>
  <c r="O67" i="30"/>
  <c r="N67" i="30"/>
  <c r="M67" i="30"/>
  <c r="L67" i="30"/>
  <c r="K67" i="30"/>
  <c r="J67" i="30"/>
  <c r="I67" i="30"/>
  <c r="H67" i="30"/>
  <c r="G67" i="30"/>
  <c r="F67" i="30"/>
  <c r="E67" i="30"/>
  <c r="D67" i="30"/>
  <c r="C67" i="30"/>
  <c r="B67" i="30"/>
  <c r="A67" i="30"/>
  <c r="O66" i="30"/>
  <c r="N66" i="30"/>
  <c r="M66" i="30"/>
  <c r="L66" i="30"/>
  <c r="K66" i="30"/>
  <c r="J66" i="30"/>
  <c r="I66" i="30"/>
  <c r="H66" i="30"/>
  <c r="G66" i="30"/>
  <c r="F66" i="30"/>
  <c r="E66" i="30"/>
  <c r="D66" i="30"/>
  <c r="C66" i="30"/>
  <c r="B66" i="30"/>
  <c r="A66" i="30"/>
  <c r="O65" i="30"/>
  <c r="N65" i="30"/>
  <c r="M65" i="30"/>
  <c r="L65" i="30"/>
  <c r="K65" i="30"/>
  <c r="J65" i="30"/>
  <c r="I65" i="30"/>
  <c r="H65" i="30"/>
  <c r="G65" i="30"/>
  <c r="F65" i="30"/>
  <c r="E65" i="30"/>
  <c r="D65" i="30"/>
  <c r="C65" i="30"/>
  <c r="B65" i="30"/>
  <c r="A65" i="30"/>
  <c r="O64" i="30"/>
  <c r="N64" i="30"/>
  <c r="M64" i="30"/>
  <c r="L64" i="30"/>
  <c r="K64" i="30"/>
  <c r="J64" i="30"/>
  <c r="I64" i="30"/>
  <c r="H64" i="30"/>
  <c r="G64" i="30"/>
  <c r="F64" i="30"/>
  <c r="E64" i="30"/>
  <c r="D64" i="30"/>
  <c r="C64" i="30"/>
  <c r="B64" i="30"/>
  <c r="A64" i="30"/>
  <c r="O63" i="30"/>
  <c r="N63" i="30"/>
  <c r="M63" i="30"/>
  <c r="L63" i="30"/>
  <c r="K63" i="30"/>
  <c r="J63" i="30"/>
  <c r="I63" i="30"/>
  <c r="H63" i="30"/>
  <c r="G63" i="30"/>
  <c r="F63" i="30"/>
  <c r="E63" i="30"/>
  <c r="D63" i="30"/>
  <c r="C63" i="30"/>
  <c r="B63" i="30"/>
  <c r="A63" i="30"/>
  <c r="O62" i="30"/>
  <c r="N62" i="30"/>
  <c r="M62" i="30"/>
  <c r="L62" i="30"/>
  <c r="K62" i="30"/>
  <c r="J62" i="30"/>
  <c r="I62" i="30"/>
  <c r="H62" i="30"/>
  <c r="G62" i="30"/>
  <c r="F62" i="30"/>
  <c r="E62" i="30"/>
  <c r="D62" i="30"/>
  <c r="C62" i="30"/>
  <c r="B62" i="30"/>
  <c r="A62" i="30"/>
  <c r="O61" i="30"/>
  <c r="N61" i="30"/>
  <c r="M61" i="30"/>
  <c r="L61" i="30"/>
  <c r="K61" i="30"/>
  <c r="J61" i="30"/>
  <c r="I61" i="30"/>
  <c r="H61" i="30"/>
  <c r="G61" i="30"/>
  <c r="F61" i="30"/>
  <c r="E61" i="30"/>
  <c r="D61" i="30"/>
  <c r="C61" i="30"/>
  <c r="B61" i="30"/>
  <c r="A61" i="30"/>
  <c r="O60" i="30"/>
  <c r="N60" i="30"/>
  <c r="M60" i="30"/>
  <c r="L60" i="30"/>
  <c r="K60" i="30"/>
  <c r="J60" i="30"/>
  <c r="I60" i="30"/>
  <c r="H60" i="30"/>
  <c r="G60" i="30"/>
  <c r="F60" i="30"/>
  <c r="E60" i="30"/>
  <c r="D60" i="30"/>
  <c r="C60" i="30"/>
  <c r="B60" i="30"/>
  <c r="A60" i="30"/>
  <c r="O59" i="30"/>
  <c r="N59" i="30"/>
  <c r="M59" i="30"/>
  <c r="L59" i="30"/>
  <c r="K59" i="30"/>
  <c r="J59" i="30"/>
  <c r="I59" i="30"/>
  <c r="H59" i="30"/>
  <c r="G59" i="30"/>
  <c r="F59" i="30"/>
  <c r="E59" i="30"/>
  <c r="D59" i="30"/>
  <c r="C59" i="30"/>
  <c r="B59" i="30"/>
  <c r="A59" i="30"/>
  <c r="O58" i="30"/>
  <c r="N58" i="30"/>
  <c r="M58" i="30"/>
  <c r="L58" i="30"/>
  <c r="K58" i="30"/>
  <c r="J58" i="30"/>
  <c r="I58" i="30"/>
  <c r="H58" i="30"/>
  <c r="G58" i="30"/>
  <c r="F58" i="30"/>
  <c r="E58" i="30"/>
  <c r="D58" i="30"/>
  <c r="C58" i="30"/>
  <c r="B58" i="30"/>
  <c r="A58" i="30"/>
  <c r="O57" i="30"/>
  <c r="N57" i="30"/>
  <c r="M57" i="30"/>
  <c r="L57" i="30"/>
  <c r="K57" i="30"/>
  <c r="J57" i="30"/>
  <c r="I57" i="30"/>
  <c r="H57" i="30"/>
  <c r="G57" i="30"/>
  <c r="F57" i="30"/>
  <c r="E57" i="30"/>
  <c r="D57" i="30"/>
  <c r="C57" i="30"/>
  <c r="B57" i="30"/>
  <c r="A57" i="30"/>
  <c r="O56" i="30"/>
  <c r="N56" i="30"/>
  <c r="M56" i="30"/>
  <c r="L56" i="30"/>
  <c r="K56" i="30"/>
  <c r="J56" i="30"/>
  <c r="I56" i="30"/>
  <c r="H56" i="30"/>
  <c r="G56" i="30"/>
  <c r="F56" i="30"/>
  <c r="E56" i="30"/>
  <c r="D56" i="30"/>
  <c r="C56" i="30"/>
  <c r="B56" i="30"/>
  <c r="A56" i="30"/>
  <c r="O55" i="30"/>
  <c r="N55" i="30"/>
  <c r="M55" i="30"/>
  <c r="L55" i="30"/>
  <c r="K55" i="30"/>
  <c r="J55" i="30"/>
  <c r="I55" i="30"/>
  <c r="H55" i="30"/>
  <c r="G55" i="30"/>
  <c r="F55" i="30"/>
  <c r="E55" i="30"/>
  <c r="D55" i="30"/>
  <c r="C55" i="30"/>
  <c r="B55" i="30"/>
  <c r="A55" i="30"/>
  <c r="O54" i="30"/>
  <c r="N54" i="30"/>
  <c r="M54" i="30"/>
  <c r="L54" i="30"/>
  <c r="K54" i="30"/>
  <c r="J54" i="30"/>
  <c r="I54" i="30"/>
  <c r="H54" i="30"/>
  <c r="G54" i="30"/>
  <c r="F54" i="30"/>
  <c r="E54" i="30"/>
  <c r="D54" i="30"/>
  <c r="C54" i="30"/>
  <c r="B54" i="30"/>
  <c r="A54" i="30"/>
  <c r="O53" i="30"/>
  <c r="N53" i="30"/>
  <c r="M53" i="30"/>
  <c r="L53" i="30"/>
  <c r="K53" i="30"/>
  <c r="J53" i="30"/>
  <c r="I53" i="30"/>
  <c r="H53" i="30"/>
  <c r="G53" i="30"/>
  <c r="F53" i="30"/>
  <c r="E53" i="30"/>
  <c r="D53" i="30"/>
  <c r="C53" i="30"/>
  <c r="B53" i="30"/>
  <c r="A53" i="30"/>
  <c r="O52" i="30"/>
  <c r="N52" i="30"/>
  <c r="M52" i="30"/>
  <c r="L52" i="30"/>
  <c r="K52" i="30"/>
  <c r="J52" i="30"/>
  <c r="I52" i="30"/>
  <c r="H52" i="30"/>
  <c r="G52" i="30"/>
  <c r="F52" i="30"/>
  <c r="E52" i="30"/>
  <c r="D52" i="30"/>
  <c r="C52" i="30"/>
  <c r="B52" i="30"/>
  <c r="A52" i="30"/>
  <c r="O51" i="30"/>
  <c r="N51" i="30"/>
  <c r="M51" i="30"/>
  <c r="L51" i="30"/>
  <c r="K51" i="30"/>
  <c r="J51" i="30"/>
  <c r="I51" i="30"/>
  <c r="H51" i="30"/>
  <c r="G51" i="30"/>
  <c r="F51" i="30"/>
  <c r="E51" i="30"/>
  <c r="D51" i="30"/>
  <c r="C51" i="30"/>
  <c r="B51" i="30"/>
  <c r="A51" i="30"/>
  <c r="O50" i="30"/>
  <c r="N50" i="30"/>
  <c r="M50" i="30"/>
  <c r="L50" i="30"/>
  <c r="K50" i="30"/>
  <c r="J50" i="30"/>
  <c r="I50" i="30"/>
  <c r="H50" i="30"/>
  <c r="G50" i="30"/>
  <c r="F50" i="30"/>
  <c r="E50" i="30"/>
  <c r="D50" i="30"/>
  <c r="C50" i="30"/>
  <c r="B50" i="30"/>
  <c r="A50" i="30"/>
  <c r="O49" i="30"/>
  <c r="N49" i="30"/>
  <c r="M49" i="30"/>
  <c r="L49" i="30"/>
  <c r="K49" i="30"/>
  <c r="J49" i="30"/>
  <c r="I49" i="30"/>
  <c r="H49" i="30"/>
  <c r="G49" i="30"/>
  <c r="F49" i="30"/>
  <c r="E49" i="30"/>
  <c r="D49" i="30"/>
  <c r="C49" i="30"/>
  <c r="B49" i="30"/>
  <c r="A49" i="30"/>
  <c r="O48" i="30"/>
  <c r="N48" i="30"/>
  <c r="M48" i="30"/>
  <c r="L48" i="30"/>
  <c r="K48" i="30"/>
  <c r="J48" i="30"/>
  <c r="I48" i="30"/>
  <c r="H48" i="30"/>
  <c r="G48" i="30"/>
  <c r="F48" i="30"/>
  <c r="E48" i="30"/>
  <c r="D48" i="30"/>
  <c r="C48" i="30"/>
  <c r="B48" i="30"/>
  <c r="A48" i="30"/>
  <c r="O47" i="30"/>
  <c r="N47" i="30"/>
  <c r="M47" i="30"/>
  <c r="L47" i="30"/>
  <c r="K47" i="30"/>
  <c r="J47" i="30"/>
  <c r="I47" i="30"/>
  <c r="H47" i="30"/>
  <c r="G47" i="30"/>
  <c r="F47" i="30"/>
  <c r="E47" i="30"/>
  <c r="D47" i="30"/>
  <c r="C47" i="30"/>
  <c r="B47" i="30"/>
  <c r="A47" i="30"/>
  <c r="O46" i="30"/>
  <c r="N46" i="30"/>
  <c r="M46" i="30"/>
  <c r="L46" i="30"/>
  <c r="K46" i="30"/>
  <c r="J46" i="30"/>
  <c r="I46" i="30"/>
  <c r="H46" i="30"/>
  <c r="G46" i="30"/>
  <c r="F46" i="30"/>
  <c r="E46" i="30"/>
  <c r="D46" i="30"/>
  <c r="C46" i="30"/>
  <c r="B46" i="30"/>
  <c r="A46" i="30"/>
  <c r="O45" i="30"/>
  <c r="N45" i="30"/>
  <c r="M45" i="30"/>
  <c r="L45" i="30"/>
  <c r="K45" i="30"/>
  <c r="J45" i="30"/>
  <c r="I45" i="30"/>
  <c r="H45" i="30"/>
  <c r="G45" i="30"/>
  <c r="F45" i="30"/>
  <c r="E45" i="30"/>
  <c r="D45" i="30"/>
  <c r="C45" i="30"/>
  <c r="B45" i="30"/>
  <c r="A45" i="30"/>
  <c r="O44" i="30"/>
  <c r="N44" i="30"/>
  <c r="M44" i="30"/>
  <c r="L44" i="30"/>
  <c r="K44" i="30"/>
  <c r="J44" i="30"/>
  <c r="I44" i="30"/>
  <c r="H44" i="30"/>
  <c r="G44" i="30"/>
  <c r="F44" i="30"/>
  <c r="E44" i="30"/>
  <c r="D44" i="30"/>
  <c r="C44" i="30"/>
  <c r="B44" i="30"/>
  <c r="A44" i="30"/>
  <c r="O43" i="30"/>
  <c r="N43" i="30"/>
  <c r="M43" i="30"/>
  <c r="L43" i="30"/>
  <c r="K43" i="30"/>
  <c r="J43" i="30"/>
  <c r="I43" i="30"/>
  <c r="H43" i="30"/>
  <c r="G43" i="30"/>
  <c r="F43" i="30"/>
  <c r="E43" i="30"/>
  <c r="D43" i="30"/>
  <c r="C43" i="30"/>
  <c r="B43" i="30"/>
  <c r="A43" i="30"/>
  <c r="O42" i="30"/>
  <c r="N42" i="30"/>
  <c r="M42" i="30"/>
  <c r="L42" i="30"/>
  <c r="K42" i="30"/>
  <c r="J42" i="30"/>
  <c r="I42" i="30"/>
  <c r="H42" i="30"/>
  <c r="G42" i="30"/>
  <c r="F42" i="30"/>
  <c r="E42" i="30"/>
  <c r="D42" i="30"/>
  <c r="C42" i="30"/>
  <c r="B42" i="30"/>
  <c r="A42" i="30"/>
  <c r="O41" i="30"/>
  <c r="N41" i="30"/>
  <c r="M41" i="30"/>
  <c r="L41" i="30"/>
  <c r="K41" i="30"/>
  <c r="J41" i="30"/>
  <c r="I41" i="30"/>
  <c r="H41" i="30"/>
  <c r="G41" i="30"/>
  <c r="F41" i="30"/>
  <c r="E41" i="30"/>
  <c r="D41" i="30"/>
  <c r="C41" i="30"/>
  <c r="B41" i="30"/>
  <c r="L37" i="30"/>
  <c r="D37" i="30"/>
  <c r="L36" i="30"/>
  <c r="D36" i="30"/>
  <c r="D34" i="30"/>
  <c r="D32" i="30"/>
  <c r="A31" i="30"/>
  <c r="H30" i="30"/>
  <c r="D30" i="30"/>
  <c r="C30" i="30"/>
  <c r="D29" i="30"/>
  <c r="I28" i="30"/>
  <c r="D28" i="30"/>
  <c r="M27" i="30"/>
  <c r="I27" i="30"/>
  <c r="D27" i="30"/>
  <c r="M26" i="30"/>
  <c r="I25" i="30"/>
  <c r="D24" i="30"/>
  <c r="D23" i="30"/>
  <c r="D22" i="30"/>
  <c r="D21" i="30"/>
  <c r="E17" i="30"/>
  <c r="L3" i="30"/>
  <c r="M108" i="27"/>
  <c r="L108" i="27"/>
  <c r="K108" i="27"/>
  <c r="J108" i="27"/>
  <c r="I108" i="27"/>
  <c r="H108" i="27"/>
  <c r="G108" i="27"/>
  <c r="F108" i="27"/>
  <c r="E108" i="27"/>
  <c r="D108" i="27"/>
  <c r="C108" i="27"/>
  <c r="B108" i="27"/>
  <c r="A108" i="27"/>
  <c r="M107" i="27"/>
  <c r="L107" i="27"/>
  <c r="K107" i="27"/>
  <c r="J107" i="27"/>
  <c r="I107" i="27"/>
  <c r="H107" i="27"/>
  <c r="G107" i="27"/>
  <c r="F107" i="27"/>
  <c r="E107" i="27"/>
  <c r="D107" i="27"/>
  <c r="C107" i="27"/>
  <c r="B107" i="27"/>
  <c r="A107" i="27"/>
  <c r="M106" i="27"/>
  <c r="L106" i="27"/>
  <c r="K106" i="27"/>
  <c r="J106" i="27"/>
  <c r="I106" i="27"/>
  <c r="H106" i="27"/>
  <c r="G106" i="27"/>
  <c r="F106" i="27"/>
  <c r="E106" i="27"/>
  <c r="D106" i="27"/>
  <c r="C106" i="27"/>
  <c r="B106" i="27"/>
  <c r="A106" i="27"/>
  <c r="M105" i="27"/>
  <c r="L105" i="27"/>
  <c r="K105" i="27"/>
  <c r="J105" i="27"/>
  <c r="I105" i="27"/>
  <c r="H105" i="27"/>
  <c r="G105" i="27"/>
  <c r="F105" i="27"/>
  <c r="E105" i="27"/>
  <c r="D105" i="27"/>
  <c r="C105" i="27"/>
  <c r="B105" i="27"/>
  <c r="A105" i="27"/>
  <c r="M104" i="27"/>
  <c r="L104" i="27"/>
  <c r="K104" i="27"/>
  <c r="J104" i="27"/>
  <c r="I104" i="27"/>
  <c r="H104" i="27"/>
  <c r="G104" i="27"/>
  <c r="F104" i="27"/>
  <c r="E104" i="27"/>
  <c r="D104" i="27"/>
  <c r="C104" i="27"/>
  <c r="B104" i="27"/>
  <c r="A104" i="27"/>
  <c r="M103" i="27"/>
  <c r="L103" i="27"/>
  <c r="K103" i="27"/>
  <c r="J103" i="27"/>
  <c r="I103" i="27"/>
  <c r="H103" i="27"/>
  <c r="G103" i="27"/>
  <c r="F103" i="27"/>
  <c r="E103" i="27"/>
  <c r="D103" i="27"/>
  <c r="C103" i="27"/>
  <c r="B103" i="27"/>
  <c r="A103" i="27"/>
  <c r="M102" i="27"/>
  <c r="L102" i="27"/>
  <c r="K102" i="27"/>
  <c r="J102" i="27"/>
  <c r="I102" i="27"/>
  <c r="H102" i="27"/>
  <c r="G102" i="27"/>
  <c r="F102" i="27"/>
  <c r="E102" i="27"/>
  <c r="D102" i="27"/>
  <c r="C102" i="27"/>
  <c r="B102" i="27"/>
  <c r="A102" i="27"/>
  <c r="M101" i="27"/>
  <c r="L101" i="27"/>
  <c r="K101" i="27"/>
  <c r="J101" i="27"/>
  <c r="I101" i="27"/>
  <c r="H101" i="27"/>
  <c r="G101" i="27"/>
  <c r="F101" i="27"/>
  <c r="E101" i="27"/>
  <c r="D101" i="27"/>
  <c r="C101" i="27"/>
  <c r="B101" i="27"/>
  <c r="A101" i="27"/>
  <c r="M100" i="27"/>
  <c r="L100" i="27"/>
  <c r="K100" i="27"/>
  <c r="J100" i="27"/>
  <c r="I100" i="27"/>
  <c r="H100" i="27"/>
  <c r="G100" i="27"/>
  <c r="F100" i="27"/>
  <c r="E100" i="27"/>
  <c r="D100" i="27"/>
  <c r="C100" i="27"/>
  <c r="B100" i="27"/>
  <c r="A100" i="27"/>
  <c r="M99" i="27"/>
  <c r="L99" i="27"/>
  <c r="K99" i="27"/>
  <c r="J99" i="27"/>
  <c r="I99" i="27"/>
  <c r="H99" i="27"/>
  <c r="G99" i="27"/>
  <c r="F99" i="27"/>
  <c r="E99" i="27"/>
  <c r="D99" i="27"/>
  <c r="C99" i="27"/>
  <c r="B99" i="27"/>
  <c r="A99" i="27"/>
  <c r="M98" i="27"/>
  <c r="L98" i="27"/>
  <c r="K98" i="27"/>
  <c r="J98" i="27"/>
  <c r="I98" i="27"/>
  <c r="H98" i="27"/>
  <c r="G98" i="27"/>
  <c r="F98" i="27"/>
  <c r="E98" i="27"/>
  <c r="D98" i="27"/>
  <c r="C98" i="27"/>
  <c r="B98" i="27"/>
  <c r="A98" i="27"/>
  <c r="M97" i="27"/>
  <c r="L97" i="27"/>
  <c r="K97" i="27"/>
  <c r="J97" i="27"/>
  <c r="I97" i="27"/>
  <c r="H97" i="27"/>
  <c r="G97" i="27"/>
  <c r="F97" i="27"/>
  <c r="E97" i="27"/>
  <c r="D97" i="27"/>
  <c r="C97" i="27"/>
  <c r="B97" i="27"/>
  <c r="A97" i="27"/>
  <c r="M96" i="27"/>
  <c r="L96" i="27"/>
  <c r="K96" i="27"/>
  <c r="J96" i="27"/>
  <c r="I96" i="27"/>
  <c r="H96" i="27"/>
  <c r="G96" i="27"/>
  <c r="F96" i="27"/>
  <c r="E96" i="27"/>
  <c r="D96" i="27"/>
  <c r="C96" i="27"/>
  <c r="B96" i="27"/>
  <c r="A96" i="27"/>
  <c r="M95" i="27"/>
  <c r="L95" i="27"/>
  <c r="K95" i="27"/>
  <c r="J95" i="27"/>
  <c r="I95" i="27"/>
  <c r="H95" i="27"/>
  <c r="G95" i="27"/>
  <c r="F95" i="27"/>
  <c r="E95" i="27"/>
  <c r="D95" i="27"/>
  <c r="C95" i="27"/>
  <c r="B95" i="27"/>
  <c r="A95" i="27"/>
  <c r="M94" i="27"/>
  <c r="L94" i="27"/>
  <c r="K94" i="27"/>
  <c r="J94" i="27"/>
  <c r="I94" i="27"/>
  <c r="H94" i="27"/>
  <c r="G94" i="27"/>
  <c r="F94" i="27"/>
  <c r="E94" i="27"/>
  <c r="D94" i="27"/>
  <c r="C94" i="27"/>
  <c r="B94" i="27"/>
  <c r="A94" i="27"/>
  <c r="M93" i="27"/>
  <c r="L93" i="27"/>
  <c r="K93" i="27"/>
  <c r="J93" i="27"/>
  <c r="I93" i="27"/>
  <c r="H93" i="27"/>
  <c r="G93" i="27"/>
  <c r="F93" i="27"/>
  <c r="E93" i="27"/>
  <c r="D93" i="27"/>
  <c r="C93" i="27"/>
  <c r="B93" i="27"/>
  <c r="A93" i="27"/>
  <c r="M92" i="27"/>
  <c r="L92" i="27"/>
  <c r="K92" i="27"/>
  <c r="J92" i="27"/>
  <c r="I92" i="27"/>
  <c r="H92" i="27"/>
  <c r="G92" i="27"/>
  <c r="F92" i="27"/>
  <c r="E92" i="27"/>
  <c r="D92" i="27"/>
  <c r="C92" i="27"/>
  <c r="B92" i="27"/>
  <c r="A92" i="27"/>
  <c r="M91" i="27"/>
  <c r="L91" i="27"/>
  <c r="K91" i="27"/>
  <c r="J91" i="27"/>
  <c r="I91" i="27"/>
  <c r="H91" i="27"/>
  <c r="G91" i="27"/>
  <c r="F91" i="27"/>
  <c r="E91" i="27"/>
  <c r="D91" i="27"/>
  <c r="C91" i="27"/>
  <c r="B91" i="27"/>
  <c r="A91" i="27"/>
  <c r="M90" i="27"/>
  <c r="L90" i="27"/>
  <c r="K90" i="27"/>
  <c r="J90" i="27"/>
  <c r="I90" i="27"/>
  <c r="H90" i="27"/>
  <c r="G90" i="27"/>
  <c r="F90" i="27"/>
  <c r="E90" i="27"/>
  <c r="D90" i="27"/>
  <c r="C90" i="27"/>
  <c r="B90" i="27"/>
  <c r="A90" i="27"/>
  <c r="M89" i="27"/>
  <c r="L89" i="27"/>
  <c r="K89" i="27"/>
  <c r="J89" i="27"/>
  <c r="I89" i="27"/>
  <c r="H89" i="27"/>
  <c r="G89" i="27"/>
  <c r="F89" i="27"/>
  <c r="E89" i="27"/>
  <c r="D89" i="27"/>
  <c r="C89" i="27"/>
  <c r="B89" i="27"/>
  <c r="A89" i="27"/>
  <c r="M88" i="27"/>
  <c r="L88" i="27"/>
  <c r="K88" i="27"/>
  <c r="J88" i="27"/>
  <c r="I88" i="27"/>
  <c r="H88" i="27"/>
  <c r="G88" i="27"/>
  <c r="F88" i="27"/>
  <c r="E88" i="27"/>
  <c r="D88" i="27"/>
  <c r="C88" i="27"/>
  <c r="B88" i="27"/>
  <c r="A88" i="27"/>
  <c r="M87" i="27"/>
  <c r="L87" i="27"/>
  <c r="K87" i="27"/>
  <c r="J87" i="27"/>
  <c r="I87" i="27"/>
  <c r="H87" i="27"/>
  <c r="G87" i="27"/>
  <c r="F87" i="27"/>
  <c r="E87" i="27"/>
  <c r="D87" i="27"/>
  <c r="C87" i="27"/>
  <c r="B87" i="27"/>
  <c r="A87" i="27"/>
  <c r="M86" i="27"/>
  <c r="L86" i="27"/>
  <c r="K86" i="27"/>
  <c r="J86" i="27"/>
  <c r="I86" i="27"/>
  <c r="H86" i="27"/>
  <c r="G86" i="27"/>
  <c r="F86" i="27"/>
  <c r="E86" i="27"/>
  <c r="D86" i="27"/>
  <c r="C86" i="27"/>
  <c r="B86" i="27"/>
  <c r="A86" i="27"/>
  <c r="M85" i="27"/>
  <c r="L85" i="27"/>
  <c r="K85" i="27"/>
  <c r="J85" i="27"/>
  <c r="I85" i="27"/>
  <c r="H85" i="27"/>
  <c r="G85" i="27"/>
  <c r="F85" i="27"/>
  <c r="E85" i="27"/>
  <c r="D85" i="27"/>
  <c r="C85" i="27"/>
  <c r="B85" i="27"/>
  <c r="A85" i="27"/>
  <c r="M84" i="27"/>
  <c r="L84" i="27"/>
  <c r="K84" i="27"/>
  <c r="J84" i="27"/>
  <c r="I84" i="27"/>
  <c r="H84" i="27"/>
  <c r="G84" i="27"/>
  <c r="F84" i="27"/>
  <c r="E84" i="27"/>
  <c r="D84" i="27"/>
  <c r="C84" i="27"/>
  <c r="B84" i="27"/>
  <c r="A84" i="27"/>
  <c r="M83" i="27"/>
  <c r="L83" i="27"/>
  <c r="K83" i="27"/>
  <c r="J83" i="27"/>
  <c r="I83" i="27"/>
  <c r="H83" i="27"/>
  <c r="G83" i="27"/>
  <c r="F83" i="27"/>
  <c r="E83" i="27"/>
  <c r="D83" i="27"/>
  <c r="C83" i="27"/>
  <c r="B83" i="27"/>
  <c r="A83" i="27"/>
  <c r="M82" i="27"/>
  <c r="L82" i="27"/>
  <c r="K82" i="27"/>
  <c r="J82" i="27"/>
  <c r="I82" i="27"/>
  <c r="H82" i="27"/>
  <c r="G82" i="27"/>
  <c r="F82" i="27"/>
  <c r="E82" i="27"/>
  <c r="D82" i="27"/>
  <c r="C82" i="27"/>
  <c r="B82" i="27"/>
  <c r="A82" i="27"/>
  <c r="M81" i="27"/>
  <c r="L81" i="27"/>
  <c r="K81" i="27"/>
  <c r="J81" i="27"/>
  <c r="I81" i="27"/>
  <c r="H81" i="27"/>
  <c r="G81" i="27"/>
  <c r="F81" i="27"/>
  <c r="E81" i="27"/>
  <c r="D81" i="27"/>
  <c r="C81" i="27"/>
  <c r="B81" i="27"/>
  <c r="A81" i="27"/>
  <c r="M80" i="27"/>
  <c r="L80" i="27"/>
  <c r="K80" i="27"/>
  <c r="J80" i="27"/>
  <c r="I80" i="27"/>
  <c r="H80" i="27"/>
  <c r="G80" i="27"/>
  <c r="F80" i="27"/>
  <c r="E80" i="27"/>
  <c r="D80" i="27"/>
  <c r="C80" i="27"/>
  <c r="B80" i="27"/>
  <c r="A80" i="27"/>
  <c r="M79" i="27"/>
  <c r="L79" i="27"/>
  <c r="K79" i="27"/>
  <c r="J79" i="27"/>
  <c r="I79" i="27"/>
  <c r="H79" i="27"/>
  <c r="G79" i="27"/>
  <c r="F79" i="27"/>
  <c r="E79" i="27"/>
  <c r="D79" i="27"/>
  <c r="C79" i="27"/>
  <c r="B79" i="27"/>
  <c r="A79" i="27"/>
  <c r="M78" i="27"/>
  <c r="L78" i="27"/>
  <c r="K78" i="27"/>
  <c r="J78" i="27"/>
  <c r="I78" i="27"/>
  <c r="H78" i="27"/>
  <c r="G78" i="27"/>
  <c r="F78" i="27"/>
  <c r="E78" i="27"/>
  <c r="D78" i="27"/>
  <c r="C78" i="27"/>
  <c r="B78" i="27"/>
  <c r="A78" i="27"/>
  <c r="M77" i="27"/>
  <c r="L77" i="27"/>
  <c r="K77" i="27"/>
  <c r="J77" i="27"/>
  <c r="I77" i="27"/>
  <c r="H77" i="27"/>
  <c r="G77" i="27"/>
  <c r="F77" i="27"/>
  <c r="E77" i="27"/>
  <c r="D77" i="27"/>
  <c r="C77" i="27"/>
  <c r="B77" i="27"/>
  <c r="A77" i="27"/>
  <c r="M76" i="27"/>
  <c r="L76" i="27"/>
  <c r="K76" i="27"/>
  <c r="J76" i="27"/>
  <c r="I76" i="27"/>
  <c r="H76" i="27"/>
  <c r="G76" i="27"/>
  <c r="F76" i="27"/>
  <c r="E76" i="27"/>
  <c r="D76" i="27"/>
  <c r="C76" i="27"/>
  <c r="B76" i="27"/>
  <c r="A76" i="27"/>
  <c r="M75" i="27"/>
  <c r="L75" i="27"/>
  <c r="K75" i="27"/>
  <c r="J75" i="27"/>
  <c r="I75" i="27"/>
  <c r="H75" i="27"/>
  <c r="G75" i="27"/>
  <c r="F75" i="27"/>
  <c r="E75" i="27"/>
  <c r="D75" i="27"/>
  <c r="C75" i="27"/>
  <c r="B75" i="27"/>
  <c r="A75" i="27"/>
  <c r="M74" i="27"/>
  <c r="L74" i="27"/>
  <c r="K74" i="27"/>
  <c r="J74" i="27"/>
  <c r="I74" i="27"/>
  <c r="H74" i="27"/>
  <c r="G74" i="27"/>
  <c r="F74" i="27"/>
  <c r="E74" i="27"/>
  <c r="D74" i="27"/>
  <c r="C74" i="27"/>
  <c r="B74" i="27"/>
  <c r="A74" i="27"/>
  <c r="M73" i="27"/>
  <c r="L73" i="27"/>
  <c r="K73" i="27"/>
  <c r="J73" i="27"/>
  <c r="I73" i="27"/>
  <c r="H73" i="27"/>
  <c r="G73" i="27"/>
  <c r="F73" i="27"/>
  <c r="E73" i="27"/>
  <c r="D73" i="27"/>
  <c r="C73" i="27"/>
  <c r="B73" i="27"/>
  <c r="A73" i="27"/>
  <c r="M72" i="27"/>
  <c r="L72" i="27"/>
  <c r="K72" i="27"/>
  <c r="J72" i="27"/>
  <c r="I72" i="27"/>
  <c r="H72" i="27"/>
  <c r="G72" i="27"/>
  <c r="F72" i="27"/>
  <c r="E72" i="27"/>
  <c r="D72" i="27"/>
  <c r="C72" i="27"/>
  <c r="B72" i="27"/>
  <c r="A72" i="27"/>
  <c r="M71" i="27"/>
  <c r="L71" i="27"/>
  <c r="K71" i="27"/>
  <c r="J71" i="27"/>
  <c r="I71" i="27"/>
  <c r="H71" i="27"/>
  <c r="G71" i="27"/>
  <c r="F71" i="27"/>
  <c r="E71" i="27"/>
  <c r="D71" i="27"/>
  <c r="C71" i="27"/>
  <c r="B71" i="27"/>
  <c r="A71" i="27"/>
  <c r="M70" i="27"/>
  <c r="L70" i="27"/>
  <c r="K70" i="27"/>
  <c r="J70" i="27"/>
  <c r="I70" i="27"/>
  <c r="H70" i="27"/>
  <c r="G70" i="27"/>
  <c r="F70" i="27"/>
  <c r="E70" i="27"/>
  <c r="D70" i="27"/>
  <c r="C70" i="27"/>
  <c r="B70" i="27"/>
  <c r="A70" i="27"/>
  <c r="M69" i="27"/>
  <c r="L69" i="27"/>
  <c r="K69" i="27"/>
  <c r="J69" i="27"/>
  <c r="I69" i="27"/>
  <c r="H69" i="27"/>
  <c r="G69" i="27"/>
  <c r="F69" i="27"/>
  <c r="E69" i="27"/>
  <c r="D69" i="27"/>
  <c r="C69" i="27"/>
  <c r="B69" i="27"/>
  <c r="A69" i="27"/>
  <c r="M68" i="27"/>
  <c r="L68" i="27"/>
  <c r="K68" i="27"/>
  <c r="J68" i="27"/>
  <c r="I68" i="27"/>
  <c r="H68" i="27"/>
  <c r="G68" i="27"/>
  <c r="F68" i="27"/>
  <c r="E68" i="27"/>
  <c r="D68" i="27"/>
  <c r="C68" i="27"/>
  <c r="B68" i="27"/>
  <c r="A68" i="27"/>
  <c r="M67" i="27"/>
  <c r="L67" i="27"/>
  <c r="K67" i="27"/>
  <c r="J67" i="27"/>
  <c r="I67" i="27"/>
  <c r="H67" i="27"/>
  <c r="G67" i="27"/>
  <c r="F67" i="27"/>
  <c r="E67" i="27"/>
  <c r="D67" i="27"/>
  <c r="C67" i="27"/>
  <c r="B67" i="27"/>
  <c r="A67" i="27"/>
  <c r="M66" i="27"/>
  <c r="L66" i="27"/>
  <c r="K66" i="27"/>
  <c r="J66" i="27"/>
  <c r="I66" i="27"/>
  <c r="H66" i="27"/>
  <c r="G66" i="27"/>
  <c r="F66" i="27"/>
  <c r="E66" i="27"/>
  <c r="D66" i="27"/>
  <c r="C66" i="27"/>
  <c r="B66" i="27"/>
  <c r="A66" i="27"/>
  <c r="M65" i="27"/>
  <c r="L65" i="27"/>
  <c r="K65" i="27"/>
  <c r="J65" i="27"/>
  <c r="I65" i="27"/>
  <c r="H65" i="27"/>
  <c r="G65" i="27"/>
  <c r="F65" i="27"/>
  <c r="E65" i="27"/>
  <c r="D65" i="27"/>
  <c r="C65" i="27"/>
  <c r="B65" i="27"/>
  <c r="A65" i="27"/>
  <c r="M64" i="27"/>
  <c r="L64" i="27"/>
  <c r="K64" i="27"/>
  <c r="J64" i="27"/>
  <c r="I64" i="27"/>
  <c r="H64" i="27"/>
  <c r="G64" i="27"/>
  <c r="F64" i="27"/>
  <c r="E64" i="27"/>
  <c r="D64" i="27"/>
  <c r="C64" i="27"/>
  <c r="B64" i="27"/>
  <c r="A64" i="27"/>
  <c r="M63" i="27"/>
  <c r="L63" i="27"/>
  <c r="K63" i="27"/>
  <c r="J63" i="27"/>
  <c r="I63" i="27"/>
  <c r="H63" i="27"/>
  <c r="G63" i="27"/>
  <c r="F63" i="27"/>
  <c r="E63" i="27"/>
  <c r="D63" i="27"/>
  <c r="C63" i="27"/>
  <c r="B63" i="27"/>
  <c r="A63" i="27"/>
  <c r="M62" i="27"/>
  <c r="L62" i="27"/>
  <c r="K62" i="27"/>
  <c r="J62" i="27"/>
  <c r="I62" i="27"/>
  <c r="H62" i="27"/>
  <c r="G62" i="27"/>
  <c r="F62" i="27"/>
  <c r="E62" i="27"/>
  <c r="D62" i="27"/>
  <c r="C62" i="27"/>
  <c r="B62" i="27"/>
  <c r="A62" i="27"/>
  <c r="M61" i="27"/>
  <c r="L61" i="27"/>
  <c r="K61" i="27"/>
  <c r="J61" i="27"/>
  <c r="I61" i="27"/>
  <c r="H61" i="27"/>
  <c r="G61" i="27"/>
  <c r="F61" i="27"/>
  <c r="E61" i="27"/>
  <c r="D61" i="27"/>
  <c r="C61" i="27"/>
  <c r="B61" i="27"/>
  <c r="A61" i="27"/>
  <c r="M60" i="27"/>
  <c r="L60" i="27"/>
  <c r="K60" i="27"/>
  <c r="J60" i="27"/>
  <c r="I60" i="27"/>
  <c r="H60" i="27"/>
  <c r="G60" i="27"/>
  <c r="F60" i="27"/>
  <c r="E60" i="27"/>
  <c r="D60" i="27"/>
  <c r="C60" i="27"/>
  <c r="B60" i="27"/>
  <c r="A60" i="27"/>
  <c r="M59" i="27"/>
  <c r="L59" i="27"/>
  <c r="K59" i="27"/>
  <c r="J59" i="27"/>
  <c r="I59" i="27"/>
  <c r="H59" i="27"/>
  <c r="G59" i="27"/>
  <c r="F59" i="27"/>
  <c r="E59" i="27"/>
  <c r="D59" i="27"/>
  <c r="C59" i="27"/>
  <c r="B59" i="27"/>
  <c r="A59" i="27"/>
  <c r="M58" i="27"/>
  <c r="L58" i="27"/>
  <c r="K58" i="27"/>
  <c r="J58" i="27"/>
  <c r="I58" i="27"/>
  <c r="H58" i="27"/>
  <c r="G58" i="27"/>
  <c r="F58" i="27"/>
  <c r="E58" i="27"/>
  <c r="D58" i="27"/>
  <c r="C58" i="27"/>
  <c r="B58" i="27"/>
  <c r="A58" i="27"/>
  <c r="M57" i="27"/>
  <c r="L57" i="27"/>
  <c r="K57" i="27"/>
  <c r="J57" i="27"/>
  <c r="I57" i="27"/>
  <c r="H57" i="27"/>
  <c r="G57" i="27"/>
  <c r="F57" i="27"/>
  <c r="E57" i="27"/>
  <c r="D57" i="27"/>
  <c r="C57" i="27"/>
  <c r="B57" i="27"/>
  <c r="A57" i="27"/>
  <c r="M56" i="27"/>
  <c r="L56" i="27"/>
  <c r="K56" i="27"/>
  <c r="J56" i="27"/>
  <c r="I56" i="27"/>
  <c r="H56" i="27"/>
  <c r="G56" i="27"/>
  <c r="F56" i="27"/>
  <c r="E56" i="27"/>
  <c r="D56" i="27"/>
  <c r="C56" i="27"/>
  <c r="B56" i="27"/>
  <c r="A56" i="27"/>
  <c r="M55" i="27"/>
  <c r="L55" i="27"/>
  <c r="K55" i="27"/>
  <c r="J55" i="27"/>
  <c r="I55" i="27"/>
  <c r="H55" i="27"/>
  <c r="G55" i="27"/>
  <c r="F55" i="27"/>
  <c r="E55" i="27"/>
  <c r="D55" i="27"/>
  <c r="C55" i="27"/>
  <c r="B55" i="27"/>
  <c r="A55" i="27"/>
  <c r="M54" i="27"/>
  <c r="L54" i="27"/>
  <c r="K54" i="27"/>
  <c r="J54" i="27"/>
  <c r="I54" i="27"/>
  <c r="H54" i="27"/>
  <c r="G54" i="27"/>
  <c r="F54" i="27"/>
  <c r="E54" i="27"/>
  <c r="D54" i="27"/>
  <c r="C54" i="27"/>
  <c r="B54" i="27"/>
  <c r="A54" i="27"/>
  <c r="M53" i="27"/>
  <c r="L53" i="27"/>
  <c r="K53" i="27"/>
  <c r="J53" i="27"/>
  <c r="I53" i="27"/>
  <c r="H53" i="27"/>
  <c r="G53" i="27"/>
  <c r="F53" i="27"/>
  <c r="E53" i="27"/>
  <c r="D53" i="27"/>
  <c r="C53" i="27"/>
  <c r="B53" i="27"/>
  <c r="A53" i="27"/>
  <c r="M52" i="27"/>
  <c r="L52" i="27"/>
  <c r="K52" i="27"/>
  <c r="J52" i="27"/>
  <c r="I52" i="27"/>
  <c r="H52" i="27"/>
  <c r="G52" i="27"/>
  <c r="F52" i="27"/>
  <c r="E52" i="27"/>
  <c r="D52" i="27"/>
  <c r="C52" i="27"/>
  <c r="B52" i="27"/>
  <c r="A52" i="27"/>
  <c r="M51" i="27"/>
  <c r="L51" i="27"/>
  <c r="K51" i="27"/>
  <c r="J51" i="27"/>
  <c r="I51" i="27"/>
  <c r="H51" i="27"/>
  <c r="G51" i="27"/>
  <c r="F51" i="27"/>
  <c r="E51" i="27"/>
  <c r="D51" i="27"/>
  <c r="C51" i="27"/>
  <c r="B51" i="27"/>
  <c r="A51" i="27"/>
  <c r="M50" i="27"/>
  <c r="L50" i="27"/>
  <c r="K50" i="27"/>
  <c r="J50" i="27"/>
  <c r="I50" i="27"/>
  <c r="H50" i="27"/>
  <c r="G50" i="27"/>
  <c r="F50" i="27"/>
  <c r="E50" i="27"/>
  <c r="D50" i="27"/>
  <c r="C50" i="27"/>
  <c r="B50" i="27"/>
  <c r="A50" i="27"/>
  <c r="M49" i="27"/>
  <c r="L49" i="27"/>
  <c r="K49" i="27"/>
  <c r="J49" i="27"/>
  <c r="I49" i="27"/>
  <c r="H49" i="27"/>
  <c r="G49" i="27"/>
  <c r="F49" i="27"/>
  <c r="E49" i="27"/>
  <c r="D49" i="27"/>
  <c r="C49" i="27"/>
  <c r="B49" i="27"/>
  <c r="A49" i="27"/>
  <c r="M48" i="27"/>
  <c r="L48" i="27"/>
  <c r="K48" i="27"/>
  <c r="J48" i="27"/>
  <c r="I48" i="27"/>
  <c r="H48" i="27"/>
  <c r="G48" i="27"/>
  <c r="F48" i="27"/>
  <c r="E48" i="27"/>
  <c r="D48" i="27"/>
  <c r="C48" i="27"/>
  <c r="B48" i="27"/>
  <c r="A48" i="27"/>
  <c r="M47" i="27"/>
  <c r="L47" i="27"/>
  <c r="K47" i="27"/>
  <c r="J47" i="27"/>
  <c r="I47" i="27"/>
  <c r="H47" i="27"/>
  <c r="G47" i="27"/>
  <c r="F47" i="27"/>
  <c r="E47" i="27"/>
  <c r="D47" i="27"/>
  <c r="C47" i="27"/>
  <c r="B47" i="27"/>
  <c r="A47" i="27"/>
  <c r="M46" i="27"/>
  <c r="L46" i="27"/>
  <c r="K46" i="27"/>
  <c r="J46" i="27"/>
  <c r="I46" i="27"/>
  <c r="H46" i="27"/>
  <c r="G46" i="27"/>
  <c r="F46" i="27"/>
  <c r="E46" i="27"/>
  <c r="D46" i="27"/>
  <c r="C46" i="27"/>
  <c r="B46" i="27"/>
  <c r="A46" i="27"/>
  <c r="M45" i="27"/>
  <c r="L45" i="27"/>
  <c r="K45" i="27"/>
  <c r="J45" i="27"/>
  <c r="I45" i="27"/>
  <c r="H45" i="27"/>
  <c r="G45" i="27"/>
  <c r="F45" i="27"/>
  <c r="E45" i="27"/>
  <c r="D45" i="27"/>
  <c r="C45" i="27"/>
  <c r="B45" i="27"/>
  <c r="A45" i="27"/>
  <c r="M44" i="27"/>
  <c r="L44" i="27"/>
  <c r="K44" i="27"/>
  <c r="J44" i="27"/>
  <c r="I44" i="27"/>
  <c r="H44" i="27"/>
  <c r="G44" i="27"/>
  <c r="F44" i="27"/>
  <c r="E44" i="27"/>
  <c r="D44" i="27"/>
  <c r="C44" i="27"/>
  <c r="B44" i="27"/>
  <c r="A44" i="27"/>
  <c r="M43" i="27"/>
  <c r="L43" i="27"/>
  <c r="K43" i="27"/>
  <c r="J43" i="27"/>
  <c r="I43" i="27"/>
  <c r="H43" i="27"/>
  <c r="G43" i="27"/>
  <c r="F43" i="27"/>
  <c r="E43" i="27"/>
  <c r="D43" i="27"/>
  <c r="C43" i="27"/>
  <c r="B43" i="27"/>
  <c r="A43" i="27"/>
  <c r="M42" i="27"/>
  <c r="L42" i="27"/>
  <c r="K42" i="27"/>
  <c r="J42" i="27"/>
  <c r="I42" i="27"/>
  <c r="H42" i="27"/>
  <c r="G42" i="27"/>
  <c r="F42" i="27"/>
  <c r="E42" i="27"/>
  <c r="D42" i="27"/>
  <c r="C42" i="27"/>
  <c r="B42" i="27"/>
  <c r="A42" i="27"/>
  <c r="M41" i="27"/>
  <c r="L41" i="27"/>
  <c r="K41" i="27"/>
  <c r="J41" i="27"/>
  <c r="I41" i="27"/>
  <c r="H41" i="27"/>
  <c r="G41" i="27"/>
  <c r="F41" i="27"/>
  <c r="E41" i="27"/>
  <c r="D41" i="27"/>
  <c r="C41" i="27"/>
  <c r="B41" i="27"/>
  <c r="A41" i="27"/>
  <c r="M40" i="27"/>
  <c r="L40" i="27"/>
  <c r="K40" i="27"/>
  <c r="J40" i="27"/>
  <c r="I40" i="27"/>
  <c r="H40" i="27"/>
  <c r="G40" i="27"/>
  <c r="F40" i="27"/>
  <c r="E40" i="27"/>
  <c r="D40" i="27"/>
  <c r="C40" i="27"/>
  <c r="B40" i="27"/>
  <c r="A40" i="27"/>
  <c r="M39" i="27"/>
  <c r="L39" i="27"/>
  <c r="K39" i="27"/>
  <c r="J39" i="27"/>
  <c r="I39" i="27"/>
  <c r="H39" i="27"/>
  <c r="G39" i="27"/>
  <c r="F39" i="27"/>
  <c r="E39" i="27"/>
  <c r="D39" i="27"/>
  <c r="C39" i="27"/>
  <c r="B39" i="27"/>
  <c r="L34" i="27"/>
  <c r="D34" i="27"/>
  <c r="L33" i="27"/>
  <c r="D33" i="27"/>
  <c r="D31" i="27"/>
  <c r="D29" i="27"/>
  <c r="A28" i="27"/>
  <c r="H27" i="27"/>
  <c r="D27" i="27"/>
  <c r="C27" i="27"/>
  <c r="D26" i="27"/>
  <c r="D25" i="27"/>
  <c r="D24" i="27"/>
  <c r="D21" i="27"/>
  <c r="D20" i="27"/>
  <c r="D19" i="27"/>
  <c r="D18" i="27"/>
  <c r="E17" i="27"/>
  <c r="L3" i="27"/>
  <c r="F41" i="26"/>
  <c r="F40" i="26"/>
  <c r="F39" i="26"/>
  <c r="F38" i="26"/>
  <c r="F35" i="26"/>
  <c r="S34" i="26"/>
  <c r="F33" i="26"/>
  <c r="F32" i="26"/>
  <c r="L28" i="26"/>
  <c r="D28" i="26"/>
  <c r="L27" i="26"/>
  <c r="D27" i="26"/>
  <c r="D26" i="26"/>
  <c r="D23" i="26"/>
  <c r="A22" i="26"/>
  <c r="D21" i="26"/>
  <c r="D20" i="26"/>
  <c r="D19" i="26"/>
  <c r="D18" i="26"/>
  <c r="D17" i="26"/>
  <c r="E16" i="26"/>
  <c r="L3" i="26"/>
  <c r="O106" i="24"/>
  <c r="N106" i="24"/>
  <c r="M106" i="24"/>
  <c r="L106" i="24"/>
  <c r="K106" i="24"/>
  <c r="J106" i="24"/>
  <c r="I106" i="24"/>
  <c r="H106" i="24"/>
  <c r="G106" i="24"/>
  <c r="F106" i="24"/>
  <c r="E106" i="24"/>
  <c r="D106" i="24"/>
  <c r="C106" i="24"/>
  <c r="B106" i="24"/>
  <c r="A106" i="24"/>
  <c r="O105" i="24"/>
  <c r="N105" i="24"/>
  <c r="M105" i="24"/>
  <c r="L105" i="24"/>
  <c r="K105" i="24"/>
  <c r="J105" i="24"/>
  <c r="I105" i="24"/>
  <c r="H105" i="24"/>
  <c r="G105" i="24"/>
  <c r="F105" i="24"/>
  <c r="E105" i="24"/>
  <c r="D105" i="24"/>
  <c r="C105" i="24"/>
  <c r="B105" i="24"/>
  <c r="A105" i="24"/>
  <c r="O104" i="24"/>
  <c r="N104" i="24"/>
  <c r="M104" i="24"/>
  <c r="L104" i="24"/>
  <c r="K104" i="24"/>
  <c r="J104" i="24"/>
  <c r="I104" i="24"/>
  <c r="H104" i="24"/>
  <c r="G104" i="24"/>
  <c r="F104" i="24"/>
  <c r="E104" i="24"/>
  <c r="D104" i="24"/>
  <c r="C104" i="24"/>
  <c r="B104" i="24"/>
  <c r="A104" i="24"/>
  <c r="O103" i="24"/>
  <c r="N103" i="24"/>
  <c r="M103" i="24"/>
  <c r="L103" i="24"/>
  <c r="K103" i="24"/>
  <c r="J103" i="24"/>
  <c r="I103" i="24"/>
  <c r="H103" i="24"/>
  <c r="G103" i="24"/>
  <c r="F103" i="24"/>
  <c r="E103" i="24"/>
  <c r="D103" i="24"/>
  <c r="C103" i="24"/>
  <c r="B103" i="24"/>
  <c r="A103" i="24"/>
  <c r="O102" i="24"/>
  <c r="N102" i="24"/>
  <c r="M102" i="24"/>
  <c r="L102" i="24"/>
  <c r="K102" i="24"/>
  <c r="J102" i="24"/>
  <c r="I102" i="24"/>
  <c r="H102" i="24"/>
  <c r="G102" i="24"/>
  <c r="F102" i="24"/>
  <c r="E102" i="24"/>
  <c r="D102" i="24"/>
  <c r="C102" i="24"/>
  <c r="B102" i="24"/>
  <c r="A102" i="24"/>
  <c r="O101" i="24"/>
  <c r="N101" i="24"/>
  <c r="M101" i="24"/>
  <c r="L101" i="24"/>
  <c r="K101" i="24"/>
  <c r="J101" i="24"/>
  <c r="I101" i="24"/>
  <c r="H101" i="24"/>
  <c r="G101" i="24"/>
  <c r="F101" i="24"/>
  <c r="E101" i="24"/>
  <c r="D101" i="24"/>
  <c r="C101" i="24"/>
  <c r="B101" i="24"/>
  <c r="A101" i="24"/>
  <c r="O100" i="24"/>
  <c r="N100" i="24"/>
  <c r="M100" i="24"/>
  <c r="L100" i="24"/>
  <c r="K100" i="24"/>
  <c r="J100" i="24"/>
  <c r="I100" i="24"/>
  <c r="H100" i="24"/>
  <c r="G100" i="24"/>
  <c r="F100" i="24"/>
  <c r="E100" i="24"/>
  <c r="D100" i="24"/>
  <c r="C100" i="24"/>
  <c r="B100" i="24"/>
  <c r="A100" i="24"/>
  <c r="O99" i="24"/>
  <c r="N99" i="24"/>
  <c r="M99" i="24"/>
  <c r="L99" i="24"/>
  <c r="K99" i="24"/>
  <c r="J99" i="24"/>
  <c r="I99" i="24"/>
  <c r="H99" i="24"/>
  <c r="G99" i="24"/>
  <c r="F99" i="24"/>
  <c r="E99" i="24"/>
  <c r="D99" i="24"/>
  <c r="C99" i="24"/>
  <c r="B99" i="24"/>
  <c r="A99" i="24"/>
  <c r="O98" i="24"/>
  <c r="N98" i="24"/>
  <c r="M98" i="24"/>
  <c r="L98" i="24"/>
  <c r="K98" i="24"/>
  <c r="J98" i="24"/>
  <c r="I98" i="24"/>
  <c r="H98" i="24"/>
  <c r="G98" i="24"/>
  <c r="F98" i="24"/>
  <c r="E98" i="24"/>
  <c r="D98" i="24"/>
  <c r="C98" i="24"/>
  <c r="B98" i="24"/>
  <c r="A98" i="24"/>
  <c r="O97" i="24"/>
  <c r="N97" i="24"/>
  <c r="M97" i="24"/>
  <c r="L97" i="24"/>
  <c r="K97" i="24"/>
  <c r="J97" i="24"/>
  <c r="I97" i="24"/>
  <c r="H97" i="24"/>
  <c r="G97" i="24"/>
  <c r="F97" i="24"/>
  <c r="E97" i="24"/>
  <c r="D97" i="24"/>
  <c r="C97" i="24"/>
  <c r="B97" i="24"/>
  <c r="A97" i="24"/>
  <c r="O96" i="24"/>
  <c r="N96" i="24"/>
  <c r="M96" i="24"/>
  <c r="L96" i="24"/>
  <c r="K96" i="24"/>
  <c r="J96" i="24"/>
  <c r="I96" i="24"/>
  <c r="H96" i="24"/>
  <c r="G96" i="24"/>
  <c r="F96" i="24"/>
  <c r="E96" i="24"/>
  <c r="D96" i="24"/>
  <c r="C96" i="24"/>
  <c r="B96" i="24"/>
  <c r="A96" i="24"/>
  <c r="O95" i="24"/>
  <c r="N95" i="24"/>
  <c r="M95" i="24"/>
  <c r="L95" i="24"/>
  <c r="K95" i="24"/>
  <c r="J95" i="24"/>
  <c r="I95" i="24"/>
  <c r="H95" i="24"/>
  <c r="G95" i="24"/>
  <c r="F95" i="24"/>
  <c r="E95" i="24"/>
  <c r="D95" i="24"/>
  <c r="C95" i="24"/>
  <c r="B95" i="24"/>
  <c r="A95" i="24"/>
  <c r="O94" i="24"/>
  <c r="N94" i="24"/>
  <c r="M94" i="24"/>
  <c r="L94" i="24"/>
  <c r="K94" i="24"/>
  <c r="J94" i="24"/>
  <c r="I94" i="24"/>
  <c r="H94" i="24"/>
  <c r="G94" i="24"/>
  <c r="F94" i="24"/>
  <c r="E94" i="24"/>
  <c r="D94" i="24"/>
  <c r="C94" i="24"/>
  <c r="B94" i="24"/>
  <c r="A94" i="24"/>
  <c r="O93" i="24"/>
  <c r="N93" i="24"/>
  <c r="M93" i="24"/>
  <c r="L93" i="24"/>
  <c r="K93" i="24"/>
  <c r="J93" i="24"/>
  <c r="I93" i="24"/>
  <c r="H93" i="24"/>
  <c r="G93" i="24"/>
  <c r="F93" i="24"/>
  <c r="E93" i="24"/>
  <c r="D93" i="24"/>
  <c r="C93" i="24"/>
  <c r="B93" i="24"/>
  <c r="A93" i="24"/>
  <c r="O92" i="24"/>
  <c r="N92" i="24"/>
  <c r="M92" i="24"/>
  <c r="L92" i="24"/>
  <c r="K92" i="24"/>
  <c r="J92" i="24"/>
  <c r="I92" i="24"/>
  <c r="H92" i="24"/>
  <c r="G92" i="24"/>
  <c r="F92" i="24"/>
  <c r="E92" i="24"/>
  <c r="D92" i="24"/>
  <c r="C92" i="24"/>
  <c r="B92" i="24"/>
  <c r="A92" i="24"/>
  <c r="O91" i="24"/>
  <c r="N91" i="24"/>
  <c r="M91" i="24"/>
  <c r="L91" i="24"/>
  <c r="K91" i="24"/>
  <c r="J91" i="24"/>
  <c r="I91" i="24"/>
  <c r="H91" i="24"/>
  <c r="G91" i="24"/>
  <c r="F91" i="24"/>
  <c r="E91" i="24"/>
  <c r="D91" i="24"/>
  <c r="C91" i="24"/>
  <c r="B91" i="24"/>
  <c r="A91" i="24"/>
  <c r="O90" i="24"/>
  <c r="N90" i="24"/>
  <c r="M90" i="24"/>
  <c r="L90" i="24"/>
  <c r="K90" i="24"/>
  <c r="J90" i="24"/>
  <c r="I90" i="24"/>
  <c r="H90" i="24"/>
  <c r="G90" i="24"/>
  <c r="F90" i="24"/>
  <c r="E90" i="24"/>
  <c r="D90" i="24"/>
  <c r="C90" i="24"/>
  <c r="B90" i="24"/>
  <c r="A90" i="24"/>
  <c r="O89" i="24"/>
  <c r="N89" i="24"/>
  <c r="M89" i="24"/>
  <c r="L89" i="24"/>
  <c r="K89" i="24"/>
  <c r="J89" i="24"/>
  <c r="I89" i="24"/>
  <c r="H89" i="24"/>
  <c r="G89" i="24"/>
  <c r="F89" i="24"/>
  <c r="E89" i="24"/>
  <c r="D89" i="24"/>
  <c r="C89" i="24"/>
  <c r="B89" i="24"/>
  <c r="A89" i="24"/>
  <c r="O88" i="24"/>
  <c r="N88" i="24"/>
  <c r="M88" i="24"/>
  <c r="L88" i="24"/>
  <c r="K88" i="24"/>
  <c r="J88" i="24"/>
  <c r="I88" i="24"/>
  <c r="H88" i="24"/>
  <c r="G88" i="24"/>
  <c r="F88" i="24"/>
  <c r="E88" i="24"/>
  <c r="D88" i="24"/>
  <c r="C88" i="24"/>
  <c r="B88" i="24"/>
  <c r="A88" i="24"/>
  <c r="O87" i="24"/>
  <c r="N87" i="24"/>
  <c r="M87" i="24"/>
  <c r="L87" i="24"/>
  <c r="K87" i="24"/>
  <c r="J87" i="24"/>
  <c r="I87" i="24"/>
  <c r="H87" i="24"/>
  <c r="G87" i="24"/>
  <c r="F87" i="24"/>
  <c r="E87" i="24"/>
  <c r="D87" i="24"/>
  <c r="C87" i="24"/>
  <c r="B87" i="24"/>
  <c r="A87" i="24"/>
  <c r="O86" i="24"/>
  <c r="N86" i="24"/>
  <c r="M86" i="24"/>
  <c r="L86" i="24"/>
  <c r="K86" i="24"/>
  <c r="J86" i="24"/>
  <c r="I86" i="24"/>
  <c r="H86" i="24"/>
  <c r="G86" i="24"/>
  <c r="F86" i="24"/>
  <c r="E86" i="24"/>
  <c r="D86" i="24"/>
  <c r="C86" i="24"/>
  <c r="B86" i="24"/>
  <c r="A86" i="24"/>
  <c r="O85" i="24"/>
  <c r="N85" i="24"/>
  <c r="M85" i="24"/>
  <c r="L85" i="24"/>
  <c r="K85" i="24"/>
  <c r="J85" i="24"/>
  <c r="I85" i="24"/>
  <c r="H85" i="24"/>
  <c r="G85" i="24"/>
  <c r="F85" i="24"/>
  <c r="E85" i="24"/>
  <c r="D85" i="24"/>
  <c r="C85" i="24"/>
  <c r="B85" i="24"/>
  <c r="A85" i="24"/>
  <c r="O84" i="24"/>
  <c r="N84" i="24"/>
  <c r="M84" i="24"/>
  <c r="L84" i="24"/>
  <c r="K84" i="24"/>
  <c r="J84" i="24"/>
  <c r="I84" i="24"/>
  <c r="H84" i="24"/>
  <c r="G84" i="24"/>
  <c r="F84" i="24"/>
  <c r="E84" i="24"/>
  <c r="D84" i="24"/>
  <c r="C84" i="24"/>
  <c r="B84" i="24"/>
  <c r="A84" i="24"/>
  <c r="O83" i="24"/>
  <c r="N83" i="24"/>
  <c r="M83" i="24"/>
  <c r="L83" i="24"/>
  <c r="K83" i="24"/>
  <c r="J83" i="24"/>
  <c r="I83" i="24"/>
  <c r="H83" i="24"/>
  <c r="G83" i="24"/>
  <c r="F83" i="24"/>
  <c r="E83" i="24"/>
  <c r="D83" i="24"/>
  <c r="C83" i="24"/>
  <c r="B83" i="24"/>
  <c r="A83" i="24"/>
  <c r="O82" i="24"/>
  <c r="N82" i="24"/>
  <c r="M82" i="24"/>
  <c r="L82" i="24"/>
  <c r="K82" i="24"/>
  <c r="J82" i="24"/>
  <c r="I82" i="24"/>
  <c r="H82" i="24"/>
  <c r="G82" i="24"/>
  <c r="F82" i="24"/>
  <c r="E82" i="24"/>
  <c r="D82" i="24"/>
  <c r="C82" i="24"/>
  <c r="B82" i="24"/>
  <c r="A82" i="24"/>
  <c r="O81" i="24"/>
  <c r="N81" i="24"/>
  <c r="M81" i="24"/>
  <c r="L81" i="24"/>
  <c r="K81" i="24"/>
  <c r="J81" i="24"/>
  <c r="I81" i="24"/>
  <c r="H81" i="24"/>
  <c r="G81" i="24"/>
  <c r="F81" i="24"/>
  <c r="E81" i="24"/>
  <c r="D81" i="24"/>
  <c r="C81" i="24"/>
  <c r="B81" i="24"/>
  <c r="A81" i="24"/>
  <c r="O80" i="24"/>
  <c r="N80" i="24"/>
  <c r="M80" i="24"/>
  <c r="L80" i="24"/>
  <c r="K80" i="24"/>
  <c r="J80" i="24"/>
  <c r="I80" i="24"/>
  <c r="H80" i="24"/>
  <c r="G80" i="24"/>
  <c r="F80" i="24"/>
  <c r="E80" i="24"/>
  <c r="D80" i="24"/>
  <c r="C80" i="24"/>
  <c r="B80" i="24"/>
  <c r="A80" i="24"/>
  <c r="O79" i="24"/>
  <c r="N79" i="24"/>
  <c r="M79" i="24"/>
  <c r="L79" i="24"/>
  <c r="K79" i="24"/>
  <c r="J79" i="24"/>
  <c r="I79" i="24"/>
  <c r="H79" i="24"/>
  <c r="G79" i="24"/>
  <c r="F79" i="24"/>
  <c r="E79" i="24"/>
  <c r="D79" i="24"/>
  <c r="C79" i="24"/>
  <c r="B79" i="24"/>
  <c r="A79" i="24"/>
  <c r="O78" i="24"/>
  <c r="N78" i="24"/>
  <c r="M78" i="24"/>
  <c r="L78" i="24"/>
  <c r="K78" i="24"/>
  <c r="J78" i="24"/>
  <c r="I78" i="24"/>
  <c r="H78" i="24"/>
  <c r="G78" i="24"/>
  <c r="F78" i="24"/>
  <c r="E78" i="24"/>
  <c r="D78" i="24"/>
  <c r="C78" i="24"/>
  <c r="B78" i="24"/>
  <c r="A78" i="24"/>
  <c r="O77" i="24"/>
  <c r="N77" i="24"/>
  <c r="M77" i="24"/>
  <c r="L77" i="24"/>
  <c r="K77" i="24"/>
  <c r="J77" i="24"/>
  <c r="I77" i="24"/>
  <c r="H77" i="24"/>
  <c r="G77" i="24"/>
  <c r="F77" i="24"/>
  <c r="E77" i="24"/>
  <c r="D77" i="24"/>
  <c r="C77" i="24"/>
  <c r="B77" i="24"/>
  <c r="A77" i="24"/>
  <c r="O76" i="24"/>
  <c r="N76" i="24"/>
  <c r="M76" i="24"/>
  <c r="L76" i="24"/>
  <c r="K76" i="24"/>
  <c r="J76" i="24"/>
  <c r="I76" i="24"/>
  <c r="H76" i="24"/>
  <c r="G76" i="24"/>
  <c r="F76" i="24"/>
  <c r="E76" i="24"/>
  <c r="D76" i="24"/>
  <c r="C76" i="24"/>
  <c r="B76" i="24"/>
  <c r="A76" i="24"/>
  <c r="O75" i="24"/>
  <c r="N75" i="24"/>
  <c r="M75" i="24"/>
  <c r="L75" i="24"/>
  <c r="K75" i="24"/>
  <c r="J75" i="24"/>
  <c r="I75" i="24"/>
  <c r="H75" i="24"/>
  <c r="G75" i="24"/>
  <c r="F75" i="24"/>
  <c r="E75" i="24"/>
  <c r="D75" i="24"/>
  <c r="C75" i="24"/>
  <c r="B75" i="24"/>
  <c r="A75" i="24"/>
  <c r="O74" i="24"/>
  <c r="N74" i="24"/>
  <c r="M74" i="24"/>
  <c r="L74" i="24"/>
  <c r="K74" i="24"/>
  <c r="J74" i="24"/>
  <c r="I74" i="24"/>
  <c r="H74" i="24"/>
  <c r="G74" i="24"/>
  <c r="F74" i="24"/>
  <c r="E74" i="24"/>
  <c r="D74" i="24"/>
  <c r="C74" i="24"/>
  <c r="B74" i="24"/>
  <c r="A74" i="24"/>
  <c r="O73" i="24"/>
  <c r="N73" i="24"/>
  <c r="M73" i="24"/>
  <c r="L73" i="24"/>
  <c r="K73" i="24"/>
  <c r="J73" i="24"/>
  <c r="I73" i="24"/>
  <c r="H73" i="24"/>
  <c r="G73" i="24"/>
  <c r="F73" i="24"/>
  <c r="E73" i="24"/>
  <c r="D73" i="24"/>
  <c r="C73" i="24"/>
  <c r="B73" i="24"/>
  <c r="A73" i="24"/>
  <c r="O72" i="24"/>
  <c r="N72" i="24"/>
  <c r="M72" i="24"/>
  <c r="L72" i="24"/>
  <c r="K72" i="24"/>
  <c r="J72" i="24"/>
  <c r="I72" i="24"/>
  <c r="H72" i="24"/>
  <c r="G72" i="24"/>
  <c r="F72" i="24"/>
  <c r="E72" i="24"/>
  <c r="D72" i="24"/>
  <c r="C72" i="24"/>
  <c r="B72" i="24"/>
  <c r="A72" i="24"/>
  <c r="O71" i="24"/>
  <c r="N71" i="24"/>
  <c r="M71" i="24"/>
  <c r="L71" i="24"/>
  <c r="K71" i="24"/>
  <c r="J71" i="24"/>
  <c r="I71" i="24"/>
  <c r="H71" i="24"/>
  <c r="G71" i="24"/>
  <c r="F71" i="24"/>
  <c r="E71" i="24"/>
  <c r="D71" i="24"/>
  <c r="C71" i="24"/>
  <c r="B71" i="24"/>
  <c r="A71" i="24"/>
  <c r="O70" i="24"/>
  <c r="N70" i="24"/>
  <c r="M70" i="24"/>
  <c r="L70" i="24"/>
  <c r="K70" i="24"/>
  <c r="J70" i="24"/>
  <c r="I70" i="24"/>
  <c r="H70" i="24"/>
  <c r="G70" i="24"/>
  <c r="F70" i="24"/>
  <c r="E70" i="24"/>
  <c r="D70" i="24"/>
  <c r="C70" i="24"/>
  <c r="B70" i="24"/>
  <c r="A70" i="24"/>
  <c r="O69" i="24"/>
  <c r="N69" i="24"/>
  <c r="M69" i="24"/>
  <c r="L69" i="24"/>
  <c r="K69" i="24"/>
  <c r="J69" i="24"/>
  <c r="I69" i="24"/>
  <c r="H69" i="24"/>
  <c r="G69" i="24"/>
  <c r="F69" i="24"/>
  <c r="E69" i="24"/>
  <c r="D69" i="24"/>
  <c r="C69" i="24"/>
  <c r="B69" i="24"/>
  <c r="A69" i="24"/>
  <c r="O68" i="24"/>
  <c r="N68" i="24"/>
  <c r="M68" i="24"/>
  <c r="L68" i="24"/>
  <c r="K68" i="24"/>
  <c r="J68" i="24"/>
  <c r="I68" i="24"/>
  <c r="H68" i="24"/>
  <c r="G68" i="24"/>
  <c r="F68" i="24"/>
  <c r="E68" i="24"/>
  <c r="D68" i="24"/>
  <c r="C68" i="24"/>
  <c r="B68" i="24"/>
  <c r="A68" i="24"/>
  <c r="O67" i="24"/>
  <c r="N67" i="24"/>
  <c r="M67" i="24"/>
  <c r="L67" i="24"/>
  <c r="K67" i="24"/>
  <c r="J67" i="24"/>
  <c r="I67" i="24"/>
  <c r="H67" i="24"/>
  <c r="G67" i="24"/>
  <c r="F67" i="24"/>
  <c r="E67" i="24"/>
  <c r="D67" i="24"/>
  <c r="C67" i="24"/>
  <c r="B67" i="24"/>
  <c r="A67" i="24"/>
  <c r="O66" i="24"/>
  <c r="N66" i="24"/>
  <c r="M66" i="24"/>
  <c r="L66" i="24"/>
  <c r="K66" i="24"/>
  <c r="J66" i="24"/>
  <c r="I66" i="24"/>
  <c r="H66" i="24"/>
  <c r="G66" i="24"/>
  <c r="F66" i="24"/>
  <c r="E66" i="24"/>
  <c r="D66" i="24"/>
  <c r="C66" i="24"/>
  <c r="B66" i="24"/>
  <c r="A66" i="24"/>
  <c r="O65" i="24"/>
  <c r="N65" i="24"/>
  <c r="M65" i="24"/>
  <c r="L65" i="24"/>
  <c r="K65" i="24"/>
  <c r="J65" i="24"/>
  <c r="I65" i="24"/>
  <c r="H65" i="24"/>
  <c r="G65" i="24"/>
  <c r="F65" i="24"/>
  <c r="E65" i="24"/>
  <c r="D65" i="24"/>
  <c r="C65" i="24"/>
  <c r="B65" i="24"/>
  <c r="A65" i="24"/>
  <c r="O64" i="24"/>
  <c r="N64" i="24"/>
  <c r="M64" i="24"/>
  <c r="L64" i="24"/>
  <c r="K64" i="24"/>
  <c r="J64" i="24"/>
  <c r="I64" i="24"/>
  <c r="H64" i="24"/>
  <c r="G64" i="24"/>
  <c r="F64" i="24"/>
  <c r="E64" i="24"/>
  <c r="D64" i="24"/>
  <c r="C64" i="24"/>
  <c r="B64" i="24"/>
  <c r="A64" i="24"/>
  <c r="O63" i="24"/>
  <c r="N63" i="24"/>
  <c r="M63" i="24"/>
  <c r="L63" i="24"/>
  <c r="K63" i="24"/>
  <c r="J63" i="24"/>
  <c r="I63" i="24"/>
  <c r="H63" i="24"/>
  <c r="G63" i="24"/>
  <c r="F63" i="24"/>
  <c r="E63" i="24"/>
  <c r="D63" i="24"/>
  <c r="C63" i="24"/>
  <c r="B63" i="24"/>
  <c r="A63" i="24"/>
  <c r="O62" i="24"/>
  <c r="N62" i="24"/>
  <c r="M62" i="24"/>
  <c r="L62" i="24"/>
  <c r="K62" i="24"/>
  <c r="J62" i="24"/>
  <c r="I62" i="24"/>
  <c r="H62" i="24"/>
  <c r="G62" i="24"/>
  <c r="F62" i="24"/>
  <c r="E62" i="24"/>
  <c r="D62" i="24"/>
  <c r="C62" i="24"/>
  <c r="B62" i="24"/>
  <c r="A62" i="24"/>
  <c r="O61" i="24"/>
  <c r="N61" i="24"/>
  <c r="M61" i="24"/>
  <c r="L61" i="24"/>
  <c r="K61" i="24"/>
  <c r="J61" i="24"/>
  <c r="I61" i="24"/>
  <c r="H61" i="24"/>
  <c r="G61" i="24"/>
  <c r="F61" i="24"/>
  <c r="E61" i="24"/>
  <c r="D61" i="24"/>
  <c r="C61" i="24"/>
  <c r="B61" i="24"/>
  <c r="A61" i="24"/>
  <c r="O60" i="24"/>
  <c r="N60" i="24"/>
  <c r="M60" i="24"/>
  <c r="L60" i="24"/>
  <c r="K60" i="24"/>
  <c r="J60" i="24"/>
  <c r="I60" i="24"/>
  <c r="H60" i="24"/>
  <c r="G60" i="24"/>
  <c r="F60" i="24"/>
  <c r="E60" i="24"/>
  <c r="D60" i="24"/>
  <c r="C60" i="24"/>
  <c r="B60" i="24"/>
  <c r="A60" i="24"/>
  <c r="O59" i="24"/>
  <c r="N59" i="24"/>
  <c r="M59" i="24"/>
  <c r="L59" i="24"/>
  <c r="K59" i="24"/>
  <c r="J59" i="24"/>
  <c r="I59" i="24"/>
  <c r="H59" i="24"/>
  <c r="G59" i="24"/>
  <c r="F59" i="24"/>
  <c r="E59" i="24"/>
  <c r="D59" i="24"/>
  <c r="C59" i="24"/>
  <c r="B59" i="24"/>
  <c r="A59" i="24"/>
  <c r="O58" i="24"/>
  <c r="N58" i="24"/>
  <c r="M58" i="24"/>
  <c r="L58" i="24"/>
  <c r="K58" i="24"/>
  <c r="J58" i="24"/>
  <c r="I58" i="24"/>
  <c r="H58" i="24"/>
  <c r="G58" i="24"/>
  <c r="F58" i="24"/>
  <c r="E58" i="24"/>
  <c r="D58" i="24"/>
  <c r="C58" i="24"/>
  <c r="B58" i="24"/>
  <c r="A58" i="24"/>
  <c r="O57" i="24"/>
  <c r="N57" i="24"/>
  <c r="M57" i="24"/>
  <c r="L57" i="24"/>
  <c r="K57" i="24"/>
  <c r="J57" i="24"/>
  <c r="I57" i="24"/>
  <c r="H57" i="24"/>
  <c r="G57" i="24"/>
  <c r="F57" i="24"/>
  <c r="E57" i="24"/>
  <c r="D57" i="24"/>
  <c r="C57" i="24"/>
  <c r="B57" i="24"/>
  <c r="A57" i="24"/>
  <c r="O56" i="24"/>
  <c r="N56" i="24"/>
  <c r="M56" i="24"/>
  <c r="L56" i="24"/>
  <c r="K56" i="24"/>
  <c r="J56" i="24"/>
  <c r="I56" i="24"/>
  <c r="H56" i="24"/>
  <c r="G56" i="24"/>
  <c r="F56" i="24"/>
  <c r="E56" i="24"/>
  <c r="D56" i="24"/>
  <c r="C56" i="24"/>
  <c r="B56" i="24"/>
  <c r="A56" i="24"/>
  <c r="O55" i="24"/>
  <c r="N55" i="24"/>
  <c r="M55" i="24"/>
  <c r="L55" i="24"/>
  <c r="K55" i="24"/>
  <c r="J55" i="24"/>
  <c r="I55" i="24"/>
  <c r="H55" i="24"/>
  <c r="G55" i="24"/>
  <c r="F55" i="24"/>
  <c r="E55" i="24"/>
  <c r="D55" i="24"/>
  <c r="C55" i="24"/>
  <c r="B55" i="24"/>
  <c r="A55" i="24"/>
  <c r="O54" i="24"/>
  <c r="N54" i="24"/>
  <c r="M54" i="24"/>
  <c r="L54" i="24"/>
  <c r="K54" i="24"/>
  <c r="J54" i="24"/>
  <c r="I54" i="24"/>
  <c r="H54" i="24"/>
  <c r="G54" i="24"/>
  <c r="F54" i="24"/>
  <c r="E54" i="24"/>
  <c r="D54" i="24"/>
  <c r="C54" i="24"/>
  <c r="B54" i="24"/>
  <c r="A54" i="24"/>
  <c r="O53" i="24"/>
  <c r="N53" i="24"/>
  <c r="M53" i="24"/>
  <c r="L53" i="24"/>
  <c r="K53" i="24"/>
  <c r="J53" i="24"/>
  <c r="I53" i="24"/>
  <c r="H53" i="24"/>
  <c r="G53" i="24"/>
  <c r="F53" i="24"/>
  <c r="E53" i="24"/>
  <c r="D53" i="24"/>
  <c r="C53" i="24"/>
  <c r="B53" i="24"/>
  <c r="A53" i="24"/>
  <c r="O52" i="24"/>
  <c r="N52" i="24"/>
  <c r="M52" i="24"/>
  <c r="L52" i="24"/>
  <c r="K52" i="24"/>
  <c r="J52" i="24"/>
  <c r="I52" i="24"/>
  <c r="H52" i="24"/>
  <c r="G52" i="24"/>
  <c r="F52" i="24"/>
  <c r="E52" i="24"/>
  <c r="D52" i="24"/>
  <c r="C52" i="24"/>
  <c r="B52" i="24"/>
  <c r="A52" i="24"/>
  <c r="O51" i="24"/>
  <c r="N51" i="24"/>
  <c r="M51" i="24"/>
  <c r="L51" i="24"/>
  <c r="K51" i="24"/>
  <c r="J51" i="24"/>
  <c r="I51" i="24"/>
  <c r="H51" i="24"/>
  <c r="G51" i="24"/>
  <c r="F51" i="24"/>
  <c r="E51" i="24"/>
  <c r="D51" i="24"/>
  <c r="C51" i="24"/>
  <c r="B51" i="24"/>
  <c r="A51" i="24"/>
  <c r="O50" i="24"/>
  <c r="N50" i="24"/>
  <c r="M50" i="24"/>
  <c r="L50" i="24"/>
  <c r="K50" i="24"/>
  <c r="J50" i="24"/>
  <c r="I50" i="24"/>
  <c r="H50" i="24"/>
  <c r="G50" i="24"/>
  <c r="F50" i="24"/>
  <c r="E50" i="24"/>
  <c r="D50" i="24"/>
  <c r="C50" i="24"/>
  <c r="B50" i="24"/>
  <c r="A50" i="24"/>
  <c r="O49" i="24"/>
  <c r="N49" i="24"/>
  <c r="M49" i="24"/>
  <c r="L49" i="24"/>
  <c r="K49" i="24"/>
  <c r="J49" i="24"/>
  <c r="I49" i="24"/>
  <c r="H49" i="24"/>
  <c r="G49" i="24"/>
  <c r="F49" i="24"/>
  <c r="E49" i="24"/>
  <c r="D49" i="24"/>
  <c r="C49" i="24"/>
  <c r="B49" i="24"/>
  <c r="A49" i="24"/>
  <c r="O48" i="24"/>
  <c r="N48" i="24"/>
  <c r="M48" i="24"/>
  <c r="L48" i="24"/>
  <c r="K48" i="24"/>
  <c r="J48" i="24"/>
  <c r="I48" i="24"/>
  <c r="H48" i="24"/>
  <c r="G48" i="24"/>
  <c r="F48" i="24"/>
  <c r="E48" i="24"/>
  <c r="D48" i="24"/>
  <c r="C48" i="24"/>
  <c r="B48" i="24"/>
  <c r="A48" i="24"/>
  <c r="O47" i="24"/>
  <c r="N47" i="24"/>
  <c r="M47" i="24"/>
  <c r="L47" i="24"/>
  <c r="K47" i="24"/>
  <c r="J47" i="24"/>
  <c r="I47" i="24"/>
  <c r="H47" i="24"/>
  <c r="G47" i="24"/>
  <c r="F47" i="24"/>
  <c r="E47" i="24"/>
  <c r="D47" i="24"/>
  <c r="C47" i="24"/>
  <c r="B47" i="24"/>
  <c r="A47" i="24"/>
  <c r="O46" i="24"/>
  <c r="N46" i="24"/>
  <c r="M46" i="24"/>
  <c r="L46" i="24"/>
  <c r="K46" i="24"/>
  <c r="J46" i="24"/>
  <c r="I46" i="24"/>
  <c r="H46" i="24"/>
  <c r="G46" i="24"/>
  <c r="F46" i="24"/>
  <c r="E46" i="24"/>
  <c r="D46" i="24"/>
  <c r="C46" i="24"/>
  <c r="B46" i="24"/>
  <c r="A46" i="24"/>
  <c r="O45" i="24"/>
  <c r="N45" i="24"/>
  <c r="M45" i="24"/>
  <c r="L45" i="24"/>
  <c r="K45" i="24"/>
  <c r="J45" i="24"/>
  <c r="I45" i="24"/>
  <c r="H45" i="24"/>
  <c r="G45" i="24"/>
  <c r="F45" i="24"/>
  <c r="E45" i="24"/>
  <c r="D45" i="24"/>
  <c r="C45" i="24"/>
  <c r="B45" i="24"/>
  <c r="A45" i="24"/>
  <c r="O44" i="24"/>
  <c r="N44" i="24"/>
  <c r="M44" i="24"/>
  <c r="L44" i="24"/>
  <c r="K44" i="24"/>
  <c r="J44" i="24"/>
  <c r="I44" i="24"/>
  <c r="H44" i="24"/>
  <c r="G44" i="24"/>
  <c r="F44" i="24"/>
  <c r="E44" i="24"/>
  <c r="D44" i="24"/>
  <c r="C44" i="24"/>
  <c r="B44" i="24"/>
  <c r="A44" i="24"/>
  <c r="O43" i="24"/>
  <c r="N43" i="24"/>
  <c r="M43" i="24"/>
  <c r="L43" i="24"/>
  <c r="K43" i="24"/>
  <c r="J43" i="24"/>
  <c r="I43" i="24"/>
  <c r="H43" i="24"/>
  <c r="G43" i="24"/>
  <c r="F43" i="24"/>
  <c r="E43" i="24"/>
  <c r="D43" i="24"/>
  <c r="C43" i="24"/>
  <c r="B43" i="24"/>
  <c r="A43" i="24"/>
  <c r="O42" i="24"/>
  <c r="N42" i="24"/>
  <c r="M42" i="24"/>
  <c r="L42" i="24"/>
  <c r="K42" i="24"/>
  <c r="J42" i="24"/>
  <c r="I42" i="24"/>
  <c r="H42" i="24"/>
  <c r="G42" i="24"/>
  <c r="F42" i="24"/>
  <c r="E42" i="24"/>
  <c r="D42" i="24"/>
  <c r="C42" i="24"/>
  <c r="B42" i="24"/>
  <c r="A42" i="24"/>
  <c r="O41" i="24"/>
  <c r="N41" i="24"/>
  <c r="M41" i="24"/>
  <c r="L41" i="24"/>
  <c r="K41" i="24"/>
  <c r="J41" i="24"/>
  <c r="I41" i="24"/>
  <c r="H41" i="24"/>
  <c r="G41" i="24"/>
  <c r="F41" i="24"/>
  <c r="E41" i="24"/>
  <c r="D41" i="24"/>
  <c r="C41" i="24"/>
  <c r="B41" i="24"/>
  <c r="A41" i="24"/>
  <c r="O40" i="24"/>
  <c r="N40" i="24"/>
  <c r="M40" i="24"/>
  <c r="L40" i="24"/>
  <c r="K40" i="24"/>
  <c r="J40" i="24"/>
  <c r="I40" i="24"/>
  <c r="H40" i="24"/>
  <c r="G40" i="24"/>
  <c r="F40" i="24"/>
  <c r="E40" i="24"/>
  <c r="D40" i="24"/>
  <c r="C40" i="24"/>
  <c r="B40" i="24"/>
  <c r="A40" i="24"/>
  <c r="O39" i="24"/>
  <c r="N39" i="24"/>
  <c r="M39" i="24"/>
  <c r="L39" i="24"/>
  <c r="K39" i="24"/>
  <c r="J39" i="24"/>
  <c r="I39" i="24"/>
  <c r="H39" i="24"/>
  <c r="G39" i="24"/>
  <c r="F39" i="24"/>
  <c r="E39" i="24"/>
  <c r="D39" i="24"/>
  <c r="C39" i="24"/>
  <c r="B39" i="24"/>
  <c r="A39" i="24"/>
  <c r="O38" i="24"/>
  <c r="N38" i="24"/>
  <c r="M38" i="24"/>
  <c r="L38" i="24"/>
  <c r="K38" i="24"/>
  <c r="J38" i="24"/>
  <c r="I38" i="24"/>
  <c r="H38" i="24"/>
  <c r="G38" i="24"/>
  <c r="F38" i="24"/>
  <c r="E38" i="24"/>
  <c r="D38" i="24"/>
  <c r="C38" i="24"/>
  <c r="B38" i="24"/>
  <c r="A38" i="24"/>
  <c r="O37" i="24"/>
  <c r="N37" i="24"/>
  <c r="M37" i="24"/>
  <c r="L37" i="24"/>
  <c r="K37" i="24"/>
  <c r="J37" i="24"/>
  <c r="I37" i="24"/>
  <c r="H37" i="24"/>
  <c r="G37" i="24"/>
  <c r="F37" i="24"/>
  <c r="E37" i="24"/>
  <c r="D37" i="24"/>
  <c r="C37" i="24"/>
  <c r="B37" i="24"/>
  <c r="D34" i="24"/>
  <c r="N33" i="24"/>
  <c r="D33" i="24"/>
  <c r="N32" i="24"/>
  <c r="D32" i="24"/>
  <c r="J29" i="24"/>
  <c r="D29" i="24"/>
  <c r="N28" i="24"/>
  <c r="J28" i="24"/>
  <c r="A28" i="24"/>
  <c r="N27" i="24"/>
  <c r="D27" i="24"/>
  <c r="C27" i="24"/>
  <c r="J26" i="24"/>
  <c r="D26" i="24"/>
  <c r="H25" i="24"/>
  <c r="G25" i="24"/>
  <c r="D25" i="24"/>
  <c r="D24" i="24"/>
  <c r="D23" i="24"/>
  <c r="D22" i="24"/>
  <c r="D21" i="24"/>
  <c r="E16" i="24"/>
  <c r="N3" i="24"/>
  <c r="M104" i="22"/>
  <c r="L104" i="22"/>
  <c r="K104" i="22"/>
  <c r="J104" i="22"/>
  <c r="I104" i="22"/>
  <c r="H104" i="22"/>
  <c r="G104" i="22"/>
  <c r="F104" i="22"/>
  <c r="E104" i="22"/>
  <c r="D104" i="22"/>
  <c r="C104" i="22"/>
  <c r="B104" i="22"/>
  <c r="A104" i="22"/>
  <c r="M103" i="22"/>
  <c r="L103" i="22"/>
  <c r="K103" i="22"/>
  <c r="J103" i="22"/>
  <c r="I103" i="22"/>
  <c r="H103" i="22"/>
  <c r="G103" i="22"/>
  <c r="F103" i="22"/>
  <c r="E103" i="22"/>
  <c r="D103" i="22"/>
  <c r="C103" i="22"/>
  <c r="B103" i="22"/>
  <c r="A103" i="22"/>
  <c r="M102" i="22"/>
  <c r="L102" i="22"/>
  <c r="K102" i="22"/>
  <c r="J102" i="22"/>
  <c r="I102" i="22"/>
  <c r="H102" i="22"/>
  <c r="G102" i="22"/>
  <c r="F102" i="22"/>
  <c r="E102" i="22"/>
  <c r="D102" i="22"/>
  <c r="C102" i="22"/>
  <c r="B102" i="22"/>
  <c r="A102" i="22"/>
  <c r="M101" i="22"/>
  <c r="L101" i="22"/>
  <c r="K101" i="22"/>
  <c r="J101" i="22"/>
  <c r="I101" i="22"/>
  <c r="H101" i="22"/>
  <c r="G101" i="22"/>
  <c r="F101" i="22"/>
  <c r="E101" i="22"/>
  <c r="D101" i="22"/>
  <c r="C101" i="22"/>
  <c r="B101" i="22"/>
  <c r="A101" i="22"/>
  <c r="M100" i="22"/>
  <c r="L100" i="22"/>
  <c r="K100" i="22"/>
  <c r="J100" i="22"/>
  <c r="I100" i="22"/>
  <c r="H100" i="22"/>
  <c r="G100" i="22"/>
  <c r="F100" i="22"/>
  <c r="E100" i="22"/>
  <c r="D100" i="22"/>
  <c r="C100" i="22"/>
  <c r="B100" i="22"/>
  <c r="A100" i="22"/>
  <c r="M99" i="22"/>
  <c r="L99" i="22"/>
  <c r="K99" i="22"/>
  <c r="J99" i="22"/>
  <c r="I99" i="22"/>
  <c r="H99" i="22"/>
  <c r="G99" i="22"/>
  <c r="F99" i="22"/>
  <c r="E99" i="22"/>
  <c r="D99" i="22"/>
  <c r="C99" i="22"/>
  <c r="B99" i="22"/>
  <c r="A99" i="22"/>
  <c r="M98" i="22"/>
  <c r="L98" i="22"/>
  <c r="K98" i="22"/>
  <c r="J98" i="22"/>
  <c r="I98" i="22"/>
  <c r="H98" i="22"/>
  <c r="G98" i="22"/>
  <c r="F98" i="22"/>
  <c r="E98" i="22"/>
  <c r="D98" i="22"/>
  <c r="C98" i="22"/>
  <c r="B98" i="22"/>
  <c r="A98" i="22"/>
  <c r="M97" i="22"/>
  <c r="L97" i="22"/>
  <c r="K97" i="22"/>
  <c r="J97" i="22"/>
  <c r="I97" i="22"/>
  <c r="H97" i="22"/>
  <c r="G97" i="22"/>
  <c r="F97" i="22"/>
  <c r="E97" i="22"/>
  <c r="D97" i="22"/>
  <c r="C97" i="22"/>
  <c r="B97" i="22"/>
  <c r="A97" i="22"/>
  <c r="M96" i="22"/>
  <c r="L96" i="22"/>
  <c r="K96" i="22"/>
  <c r="J96" i="22"/>
  <c r="I96" i="22"/>
  <c r="H96" i="22"/>
  <c r="G96" i="22"/>
  <c r="F96" i="22"/>
  <c r="E96" i="22"/>
  <c r="D96" i="22"/>
  <c r="C96" i="22"/>
  <c r="B96" i="22"/>
  <c r="A96" i="22"/>
  <c r="M95" i="22"/>
  <c r="L95" i="22"/>
  <c r="K95" i="22"/>
  <c r="J95" i="22"/>
  <c r="I95" i="22"/>
  <c r="H95" i="22"/>
  <c r="G95" i="22"/>
  <c r="F95" i="22"/>
  <c r="E95" i="22"/>
  <c r="D95" i="22"/>
  <c r="C95" i="22"/>
  <c r="B95" i="22"/>
  <c r="A95" i="22"/>
  <c r="M94" i="22"/>
  <c r="L94" i="22"/>
  <c r="K94" i="22"/>
  <c r="J94" i="22"/>
  <c r="I94" i="22"/>
  <c r="H94" i="22"/>
  <c r="G94" i="22"/>
  <c r="F94" i="22"/>
  <c r="E94" i="22"/>
  <c r="D94" i="22"/>
  <c r="C94" i="22"/>
  <c r="B94" i="22"/>
  <c r="A94" i="22"/>
  <c r="M93" i="22"/>
  <c r="L93" i="22"/>
  <c r="K93" i="22"/>
  <c r="J93" i="22"/>
  <c r="I93" i="22"/>
  <c r="H93" i="22"/>
  <c r="G93" i="22"/>
  <c r="F93" i="22"/>
  <c r="E93" i="22"/>
  <c r="D93" i="22"/>
  <c r="C93" i="22"/>
  <c r="B93" i="22"/>
  <c r="A93" i="22"/>
  <c r="M92" i="22"/>
  <c r="L92" i="22"/>
  <c r="K92" i="22"/>
  <c r="J92" i="22"/>
  <c r="I92" i="22"/>
  <c r="H92" i="22"/>
  <c r="G92" i="22"/>
  <c r="F92" i="22"/>
  <c r="E92" i="22"/>
  <c r="D92" i="22"/>
  <c r="C92" i="22"/>
  <c r="B92" i="22"/>
  <c r="A92" i="22"/>
  <c r="M91" i="22"/>
  <c r="L91" i="22"/>
  <c r="K91" i="22"/>
  <c r="J91" i="22"/>
  <c r="I91" i="22"/>
  <c r="H91" i="22"/>
  <c r="G91" i="22"/>
  <c r="F91" i="22"/>
  <c r="E91" i="22"/>
  <c r="D91" i="22"/>
  <c r="C91" i="22"/>
  <c r="B91" i="22"/>
  <c r="A91" i="22"/>
  <c r="M90" i="22"/>
  <c r="L90" i="22"/>
  <c r="K90" i="22"/>
  <c r="J90" i="22"/>
  <c r="I90" i="22"/>
  <c r="H90" i="22"/>
  <c r="G90" i="22"/>
  <c r="F90" i="22"/>
  <c r="E90" i="22"/>
  <c r="D90" i="22"/>
  <c r="C90" i="22"/>
  <c r="B90" i="22"/>
  <c r="A90" i="22"/>
  <c r="M89" i="22"/>
  <c r="L89" i="22"/>
  <c r="K89" i="22"/>
  <c r="J89" i="22"/>
  <c r="I89" i="22"/>
  <c r="H89" i="22"/>
  <c r="G89" i="22"/>
  <c r="F89" i="22"/>
  <c r="E89" i="22"/>
  <c r="D89" i="22"/>
  <c r="C89" i="22"/>
  <c r="B89" i="22"/>
  <c r="A89" i="22"/>
  <c r="M88" i="22"/>
  <c r="L88" i="22"/>
  <c r="K88" i="22"/>
  <c r="J88" i="22"/>
  <c r="I88" i="22"/>
  <c r="H88" i="22"/>
  <c r="G88" i="22"/>
  <c r="F88" i="22"/>
  <c r="E88" i="22"/>
  <c r="D88" i="22"/>
  <c r="C88" i="22"/>
  <c r="B88" i="22"/>
  <c r="A88" i="22"/>
  <c r="M87" i="22"/>
  <c r="L87" i="22"/>
  <c r="K87" i="22"/>
  <c r="J87" i="22"/>
  <c r="I87" i="22"/>
  <c r="H87" i="22"/>
  <c r="G87" i="22"/>
  <c r="F87" i="22"/>
  <c r="E87" i="22"/>
  <c r="D87" i="22"/>
  <c r="C87" i="22"/>
  <c r="B87" i="22"/>
  <c r="A87" i="22"/>
  <c r="M86" i="22"/>
  <c r="L86" i="22"/>
  <c r="K86" i="22"/>
  <c r="J86" i="22"/>
  <c r="I86" i="22"/>
  <c r="H86" i="22"/>
  <c r="G86" i="22"/>
  <c r="F86" i="22"/>
  <c r="E86" i="22"/>
  <c r="D86" i="22"/>
  <c r="C86" i="22"/>
  <c r="B86" i="22"/>
  <c r="A86" i="22"/>
  <c r="M85" i="22"/>
  <c r="L85" i="22"/>
  <c r="K85" i="22"/>
  <c r="J85" i="22"/>
  <c r="I85" i="22"/>
  <c r="H85" i="22"/>
  <c r="G85" i="22"/>
  <c r="F85" i="22"/>
  <c r="E85" i="22"/>
  <c r="D85" i="22"/>
  <c r="C85" i="22"/>
  <c r="B85" i="22"/>
  <c r="A85" i="22"/>
  <c r="M84" i="22"/>
  <c r="L84" i="22"/>
  <c r="K84" i="22"/>
  <c r="J84" i="22"/>
  <c r="I84" i="22"/>
  <c r="H84" i="22"/>
  <c r="G84" i="22"/>
  <c r="F84" i="22"/>
  <c r="E84" i="22"/>
  <c r="D84" i="22"/>
  <c r="C84" i="22"/>
  <c r="B84" i="22"/>
  <c r="A84" i="22"/>
  <c r="M83" i="22"/>
  <c r="L83" i="22"/>
  <c r="K83" i="22"/>
  <c r="J83" i="22"/>
  <c r="I83" i="22"/>
  <c r="H83" i="22"/>
  <c r="G83" i="22"/>
  <c r="F83" i="22"/>
  <c r="E83" i="22"/>
  <c r="D83" i="22"/>
  <c r="C83" i="22"/>
  <c r="B83" i="22"/>
  <c r="A83" i="22"/>
  <c r="M82" i="22"/>
  <c r="L82" i="22"/>
  <c r="K82" i="22"/>
  <c r="J82" i="22"/>
  <c r="I82" i="22"/>
  <c r="H82" i="22"/>
  <c r="G82" i="22"/>
  <c r="F82" i="22"/>
  <c r="E82" i="22"/>
  <c r="D82" i="22"/>
  <c r="C82" i="22"/>
  <c r="B82" i="22"/>
  <c r="A82" i="22"/>
  <c r="M81" i="22"/>
  <c r="L81" i="22"/>
  <c r="K81" i="22"/>
  <c r="J81" i="22"/>
  <c r="I81" i="22"/>
  <c r="H81" i="22"/>
  <c r="G81" i="22"/>
  <c r="F81" i="22"/>
  <c r="E81" i="22"/>
  <c r="D81" i="22"/>
  <c r="C81" i="22"/>
  <c r="B81" i="22"/>
  <c r="A81" i="22"/>
  <c r="M80" i="22"/>
  <c r="L80" i="22"/>
  <c r="K80" i="22"/>
  <c r="J80" i="22"/>
  <c r="I80" i="22"/>
  <c r="H80" i="22"/>
  <c r="G80" i="22"/>
  <c r="F80" i="22"/>
  <c r="E80" i="22"/>
  <c r="D80" i="22"/>
  <c r="C80" i="22"/>
  <c r="B80" i="22"/>
  <c r="A80" i="22"/>
  <c r="M79" i="22"/>
  <c r="L79" i="22"/>
  <c r="K79" i="22"/>
  <c r="J79" i="22"/>
  <c r="I79" i="22"/>
  <c r="H79" i="22"/>
  <c r="G79" i="22"/>
  <c r="F79" i="22"/>
  <c r="E79" i="22"/>
  <c r="D79" i="22"/>
  <c r="C79" i="22"/>
  <c r="B79" i="22"/>
  <c r="A79" i="22"/>
  <c r="M78" i="22"/>
  <c r="L78" i="22"/>
  <c r="K78" i="22"/>
  <c r="J78" i="22"/>
  <c r="I78" i="22"/>
  <c r="H78" i="22"/>
  <c r="G78" i="22"/>
  <c r="F78" i="22"/>
  <c r="E78" i="22"/>
  <c r="D78" i="22"/>
  <c r="C78" i="22"/>
  <c r="B78" i="22"/>
  <c r="A78" i="22"/>
  <c r="M77" i="22"/>
  <c r="L77" i="22"/>
  <c r="K77" i="22"/>
  <c r="J77" i="22"/>
  <c r="I77" i="22"/>
  <c r="H77" i="22"/>
  <c r="G77" i="22"/>
  <c r="F77" i="22"/>
  <c r="E77" i="22"/>
  <c r="D77" i="22"/>
  <c r="C77" i="22"/>
  <c r="B77" i="22"/>
  <c r="A77" i="22"/>
  <c r="M76" i="22"/>
  <c r="L76" i="22"/>
  <c r="K76" i="22"/>
  <c r="J76" i="22"/>
  <c r="I76" i="22"/>
  <c r="H76" i="22"/>
  <c r="G76" i="22"/>
  <c r="F76" i="22"/>
  <c r="E76" i="22"/>
  <c r="D76" i="22"/>
  <c r="C76" i="22"/>
  <c r="B76" i="22"/>
  <c r="A76" i="22"/>
  <c r="M75" i="22"/>
  <c r="L75" i="22"/>
  <c r="K75" i="22"/>
  <c r="J75" i="22"/>
  <c r="I75" i="22"/>
  <c r="H75" i="22"/>
  <c r="G75" i="22"/>
  <c r="F75" i="22"/>
  <c r="E75" i="22"/>
  <c r="D75" i="22"/>
  <c r="C75" i="22"/>
  <c r="B75" i="22"/>
  <c r="A75" i="22"/>
  <c r="M74" i="22"/>
  <c r="L74" i="22"/>
  <c r="K74" i="22"/>
  <c r="J74" i="22"/>
  <c r="I74" i="22"/>
  <c r="H74" i="22"/>
  <c r="G74" i="22"/>
  <c r="F74" i="22"/>
  <c r="E74" i="22"/>
  <c r="D74" i="22"/>
  <c r="C74" i="22"/>
  <c r="B74" i="22"/>
  <c r="A74" i="22"/>
  <c r="M73" i="22"/>
  <c r="L73" i="22"/>
  <c r="K73" i="22"/>
  <c r="J73" i="22"/>
  <c r="I73" i="22"/>
  <c r="H73" i="22"/>
  <c r="G73" i="22"/>
  <c r="F73" i="22"/>
  <c r="E73" i="22"/>
  <c r="D73" i="22"/>
  <c r="C73" i="22"/>
  <c r="B73" i="22"/>
  <c r="A73" i="22"/>
  <c r="M72" i="22"/>
  <c r="L72" i="22"/>
  <c r="K72" i="22"/>
  <c r="J72" i="22"/>
  <c r="I72" i="22"/>
  <c r="H72" i="22"/>
  <c r="G72" i="22"/>
  <c r="F72" i="22"/>
  <c r="E72" i="22"/>
  <c r="D72" i="22"/>
  <c r="C72" i="22"/>
  <c r="B72" i="22"/>
  <c r="A72" i="22"/>
  <c r="M71" i="22"/>
  <c r="L71" i="22"/>
  <c r="K71" i="22"/>
  <c r="J71" i="22"/>
  <c r="I71" i="22"/>
  <c r="H71" i="22"/>
  <c r="G71" i="22"/>
  <c r="F71" i="22"/>
  <c r="E71" i="22"/>
  <c r="D71" i="22"/>
  <c r="C71" i="22"/>
  <c r="B71" i="22"/>
  <c r="A71" i="22"/>
  <c r="M70" i="22"/>
  <c r="L70" i="22"/>
  <c r="K70" i="22"/>
  <c r="J70" i="22"/>
  <c r="I70" i="22"/>
  <c r="H70" i="22"/>
  <c r="G70" i="22"/>
  <c r="F70" i="22"/>
  <c r="E70" i="22"/>
  <c r="D70" i="22"/>
  <c r="C70" i="22"/>
  <c r="B70" i="22"/>
  <c r="A70" i="22"/>
  <c r="M69" i="22"/>
  <c r="L69" i="22"/>
  <c r="K69" i="22"/>
  <c r="J69" i="22"/>
  <c r="I69" i="22"/>
  <c r="H69" i="22"/>
  <c r="G69" i="22"/>
  <c r="F69" i="22"/>
  <c r="E69" i="22"/>
  <c r="D69" i="22"/>
  <c r="C69" i="22"/>
  <c r="B69" i="22"/>
  <c r="A69" i="22"/>
  <c r="M68" i="22"/>
  <c r="L68" i="22"/>
  <c r="K68" i="22"/>
  <c r="J68" i="22"/>
  <c r="I68" i="22"/>
  <c r="H68" i="22"/>
  <c r="G68" i="22"/>
  <c r="F68" i="22"/>
  <c r="E68" i="22"/>
  <c r="D68" i="22"/>
  <c r="C68" i="22"/>
  <c r="B68" i="22"/>
  <c r="A68" i="22"/>
  <c r="M67" i="22"/>
  <c r="L67" i="22"/>
  <c r="K67" i="22"/>
  <c r="J67" i="22"/>
  <c r="I67" i="22"/>
  <c r="H67" i="22"/>
  <c r="G67" i="22"/>
  <c r="F67" i="22"/>
  <c r="E67" i="22"/>
  <c r="D67" i="22"/>
  <c r="C67" i="22"/>
  <c r="B67" i="22"/>
  <c r="A67" i="22"/>
  <c r="M66" i="22"/>
  <c r="L66" i="22"/>
  <c r="K66" i="22"/>
  <c r="J66" i="22"/>
  <c r="I66" i="22"/>
  <c r="H66" i="22"/>
  <c r="G66" i="22"/>
  <c r="F66" i="22"/>
  <c r="E66" i="22"/>
  <c r="D66" i="22"/>
  <c r="C66" i="22"/>
  <c r="B66" i="22"/>
  <c r="A66" i="22"/>
  <c r="M65" i="22"/>
  <c r="L65" i="22"/>
  <c r="K65" i="22"/>
  <c r="J65" i="22"/>
  <c r="I65" i="22"/>
  <c r="H65" i="22"/>
  <c r="G65" i="22"/>
  <c r="F65" i="22"/>
  <c r="E65" i="22"/>
  <c r="D65" i="22"/>
  <c r="C65" i="22"/>
  <c r="B65" i="22"/>
  <c r="A65" i="22"/>
  <c r="M64" i="22"/>
  <c r="L64" i="22"/>
  <c r="K64" i="22"/>
  <c r="J64" i="22"/>
  <c r="I64" i="22"/>
  <c r="H64" i="22"/>
  <c r="G64" i="22"/>
  <c r="F64" i="22"/>
  <c r="E64" i="22"/>
  <c r="D64" i="22"/>
  <c r="C64" i="22"/>
  <c r="B64" i="22"/>
  <c r="A64" i="22"/>
  <c r="M63" i="22"/>
  <c r="L63" i="22"/>
  <c r="K63" i="22"/>
  <c r="J63" i="22"/>
  <c r="I63" i="22"/>
  <c r="H63" i="22"/>
  <c r="G63" i="22"/>
  <c r="F63" i="22"/>
  <c r="E63" i="22"/>
  <c r="D63" i="22"/>
  <c r="C63" i="22"/>
  <c r="B63" i="22"/>
  <c r="A63" i="22"/>
  <c r="M62" i="22"/>
  <c r="L62" i="22"/>
  <c r="K62" i="22"/>
  <c r="J62" i="22"/>
  <c r="I62" i="22"/>
  <c r="H62" i="22"/>
  <c r="G62" i="22"/>
  <c r="F62" i="22"/>
  <c r="E62" i="22"/>
  <c r="D62" i="22"/>
  <c r="C62" i="22"/>
  <c r="B62" i="22"/>
  <c r="A62" i="22"/>
  <c r="M61" i="22"/>
  <c r="L61" i="22"/>
  <c r="K61" i="22"/>
  <c r="J61" i="22"/>
  <c r="I61" i="22"/>
  <c r="H61" i="22"/>
  <c r="G61" i="22"/>
  <c r="F61" i="22"/>
  <c r="E61" i="22"/>
  <c r="D61" i="22"/>
  <c r="C61" i="22"/>
  <c r="B61" i="22"/>
  <c r="A61" i="22"/>
  <c r="M60" i="22"/>
  <c r="L60" i="22"/>
  <c r="K60" i="22"/>
  <c r="J60" i="22"/>
  <c r="I60" i="22"/>
  <c r="H60" i="22"/>
  <c r="G60" i="22"/>
  <c r="F60" i="22"/>
  <c r="E60" i="22"/>
  <c r="D60" i="22"/>
  <c r="C60" i="22"/>
  <c r="B60" i="22"/>
  <c r="A60" i="22"/>
  <c r="M59" i="22"/>
  <c r="L59" i="22"/>
  <c r="K59" i="22"/>
  <c r="J59" i="22"/>
  <c r="I59" i="22"/>
  <c r="H59" i="22"/>
  <c r="G59" i="22"/>
  <c r="F59" i="22"/>
  <c r="E59" i="22"/>
  <c r="D59" i="22"/>
  <c r="C59" i="22"/>
  <c r="B59" i="22"/>
  <c r="A59" i="22"/>
  <c r="M58" i="22"/>
  <c r="L58" i="22"/>
  <c r="K58" i="22"/>
  <c r="J58" i="22"/>
  <c r="I58" i="22"/>
  <c r="H58" i="22"/>
  <c r="G58" i="22"/>
  <c r="F58" i="22"/>
  <c r="E58" i="22"/>
  <c r="D58" i="22"/>
  <c r="C58" i="22"/>
  <c r="B58" i="22"/>
  <c r="A58" i="22"/>
  <c r="M57" i="22"/>
  <c r="L57" i="22"/>
  <c r="K57" i="22"/>
  <c r="J57" i="22"/>
  <c r="I57" i="22"/>
  <c r="H57" i="22"/>
  <c r="G57" i="22"/>
  <c r="F57" i="22"/>
  <c r="E57" i="22"/>
  <c r="D57" i="22"/>
  <c r="C57" i="22"/>
  <c r="B57" i="22"/>
  <c r="A57" i="22"/>
  <c r="M56" i="22"/>
  <c r="L56" i="22"/>
  <c r="K56" i="22"/>
  <c r="J56" i="22"/>
  <c r="I56" i="22"/>
  <c r="H56" i="22"/>
  <c r="G56" i="22"/>
  <c r="F56" i="22"/>
  <c r="E56" i="22"/>
  <c r="D56" i="22"/>
  <c r="C56" i="22"/>
  <c r="B56" i="22"/>
  <c r="A56" i="22"/>
  <c r="M55" i="22"/>
  <c r="L55" i="22"/>
  <c r="K55" i="22"/>
  <c r="J55" i="22"/>
  <c r="I55" i="22"/>
  <c r="H55" i="22"/>
  <c r="G55" i="22"/>
  <c r="F55" i="22"/>
  <c r="E55" i="22"/>
  <c r="D55" i="22"/>
  <c r="C55" i="22"/>
  <c r="B55" i="22"/>
  <c r="A55" i="22"/>
  <c r="M54" i="22"/>
  <c r="L54" i="22"/>
  <c r="K54" i="22"/>
  <c r="J54" i="22"/>
  <c r="I54" i="22"/>
  <c r="H54" i="22"/>
  <c r="G54" i="22"/>
  <c r="F54" i="22"/>
  <c r="E54" i="22"/>
  <c r="D54" i="22"/>
  <c r="C54" i="22"/>
  <c r="B54" i="22"/>
  <c r="A54" i="22"/>
  <c r="M53" i="22"/>
  <c r="L53" i="22"/>
  <c r="K53" i="22"/>
  <c r="J53" i="22"/>
  <c r="I53" i="22"/>
  <c r="H53" i="22"/>
  <c r="G53" i="22"/>
  <c r="F53" i="22"/>
  <c r="E53" i="22"/>
  <c r="D53" i="22"/>
  <c r="C53" i="22"/>
  <c r="B53" i="22"/>
  <c r="A53" i="22"/>
  <c r="M52" i="22"/>
  <c r="L52" i="22"/>
  <c r="K52" i="22"/>
  <c r="J52" i="22"/>
  <c r="I52" i="22"/>
  <c r="H52" i="22"/>
  <c r="G52" i="22"/>
  <c r="F52" i="22"/>
  <c r="E52" i="22"/>
  <c r="D52" i="22"/>
  <c r="C52" i="22"/>
  <c r="B52" i="22"/>
  <c r="A52" i="22"/>
  <c r="M51" i="22"/>
  <c r="L51" i="22"/>
  <c r="K51" i="22"/>
  <c r="J51" i="22"/>
  <c r="I51" i="22"/>
  <c r="H51" i="22"/>
  <c r="G51" i="22"/>
  <c r="F51" i="22"/>
  <c r="E51" i="22"/>
  <c r="D51" i="22"/>
  <c r="C51" i="22"/>
  <c r="B51" i="22"/>
  <c r="A51" i="22"/>
  <c r="M50" i="22"/>
  <c r="L50" i="22"/>
  <c r="K50" i="22"/>
  <c r="J50" i="22"/>
  <c r="I50" i="22"/>
  <c r="H50" i="22"/>
  <c r="G50" i="22"/>
  <c r="F50" i="22"/>
  <c r="E50" i="22"/>
  <c r="D50" i="22"/>
  <c r="C50" i="22"/>
  <c r="B50" i="22"/>
  <c r="A50" i="22"/>
  <c r="M49" i="22"/>
  <c r="L49" i="22"/>
  <c r="K49" i="22"/>
  <c r="J49" i="22"/>
  <c r="I49" i="22"/>
  <c r="H49" i="22"/>
  <c r="G49" i="22"/>
  <c r="F49" i="22"/>
  <c r="E49" i="22"/>
  <c r="D49" i="22"/>
  <c r="C49" i="22"/>
  <c r="B49" i="22"/>
  <c r="A49" i="22"/>
  <c r="M48" i="22"/>
  <c r="L48" i="22"/>
  <c r="K48" i="22"/>
  <c r="J48" i="22"/>
  <c r="I48" i="22"/>
  <c r="H48" i="22"/>
  <c r="G48" i="22"/>
  <c r="F48" i="22"/>
  <c r="E48" i="22"/>
  <c r="D48" i="22"/>
  <c r="C48" i="22"/>
  <c r="B48" i="22"/>
  <c r="A48" i="22"/>
  <c r="M47" i="22"/>
  <c r="L47" i="22"/>
  <c r="K47" i="22"/>
  <c r="J47" i="22"/>
  <c r="I47" i="22"/>
  <c r="H47" i="22"/>
  <c r="G47" i="22"/>
  <c r="F47" i="22"/>
  <c r="E47" i="22"/>
  <c r="D47" i="22"/>
  <c r="C47" i="22"/>
  <c r="B47" i="22"/>
  <c r="A47" i="22"/>
  <c r="M46" i="22"/>
  <c r="L46" i="22"/>
  <c r="K46" i="22"/>
  <c r="J46" i="22"/>
  <c r="I46" i="22"/>
  <c r="H46" i="22"/>
  <c r="G46" i="22"/>
  <c r="F46" i="22"/>
  <c r="E46" i="22"/>
  <c r="D46" i="22"/>
  <c r="C46" i="22"/>
  <c r="B46" i="22"/>
  <c r="A46" i="22"/>
  <c r="M45" i="22"/>
  <c r="L45" i="22"/>
  <c r="K45" i="22"/>
  <c r="J45" i="22"/>
  <c r="I45" i="22"/>
  <c r="H45" i="22"/>
  <c r="G45" i="22"/>
  <c r="F45" i="22"/>
  <c r="E45" i="22"/>
  <c r="D45" i="22"/>
  <c r="C45" i="22"/>
  <c r="B45" i="22"/>
  <c r="A45" i="22"/>
  <c r="M44" i="22"/>
  <c r="L44" i="22"/>
  <c r="K44" i="22"/>
  <c r="J44" i="22"/>
  <c r="I44" i="22"/>
  <c r="H44" i="22"/>
  <c r="G44" i="22"/>
  <c r="F44" i="22"/>
  <c r="E44" i="22"/>
  <c r="D44" i="22"/>
  <c r="C44" i="22"/>
  <c r="B44" i="22"/>
  <c r="A44" i="22"/>
  <c r="M43" i="22"/>
  <c r="L43" i="22"/>
  <c r="K43" i="22"/>
  <c r="J43" i="22"/>
  <c r="I43" i="22"/>
  <c r="H43" i="22"/>
  <c r="G43" i="22"/>
  <c r="F43" i="22"/>
  <c r="E43" i="22"/>
  <c r="D43" i="22"/>
  <c r="C43" i="22"/>
  <c r="B43" i="22"/>
  <c r="A43" i="22"/>
  <c r="M42" i="22"/>
  <c r="L42" i="22"/>
  <c r="K42" i="22"/>
  <c r="J42" i="22"/>
  <c r="I42" i="22"/>
  <c r="H42" i="22"/>
  <c r="G42" i="22"/>
  <c r="F42" i="22"/>
  <c r="E42" i="22"/>
  <c r="D42" i="22"/>
  <c r="C42" i="22"/>
  <c r="B42" i="22"/>
  <c r="A42" i="22"/>
  <c r="M41" i="22"/>
  <c r="L41" i="22"/>
  <c r="K41" i="22"/>
  <c r="J41" i="22"/>
  <c r="I41" i="22"/>
  <c r="H41" i="22"/>
  <c r="G41" i="22"/>
  <c r="F41" i="22"/>
  <c r="E41" i="22"/>
  <c r="D41" i="22"/>
  <c r="C41" i="22"/>
  <c r="B41" i="22"/>
  <c r="A41" i="22"/>
  <c r="M40" i="22"/>
  <c r="L40" i="22"/>
  <c r="K40" i="22"/>
  <c r="J40" i="22"/>
  <c r="I40" i="22"/>
  <c r="H40" i="22"/>
  <c r="G40" i="22"/>
  <c r="F40" i="22"/>
  <c r="E40" i="22"/>
  <c r="D40" i="22"/>
  <c r="C40" i="22"/>
  <c r="B40" i="22"/>
  <c r="A40" i="22"/>
  <c r="M39" i="22"/>
  <c r="L39" i="22"/>
  <c r="K39" i="22"/>
  <c r="J39" i="22"/>
  <c r="I39" i="22"/>
  <c r="H39" i="22"/>
  <c r="G39" i="22"/>
  <c r="F39" i="22"/>
  <c r="E39" i="22"/>
  <c r="D39" i="22"/>
  <c r="C39" i="22"/>
  <c r="B39" i="22"/>
  <c r="A39" i="22"/>
  <c r="M38" i="22"/>
  <c r="L38" i="22"/>
  <c r="K38" i="22"/>
  <c r="J38" i="22"/>
  <c r="I38" i="22"/>
  <c r="H38" i="22"/>
  <c r="G38" i="22"/>
  <c r="F38" i="22"/>
  <c r="E38" i="22"/>
  <c r="D38" i="22"/>
  <c r="C38" i="22"/>
  <c r="B38" i="22"/>
  <c r="A38" i="22"/>
  <c r="M37" i="22"/>
  <c r="L37" i="22"/>
  <c r="K37" i="22"/>
  <c r="J37" i="22"/>
  <c r="I37" i="22"/>
  <c r="H37" i="22"/>
  <c r="G37" i="22"/>
  <c r="F37" i="22"/>
  <c r="E37" i="22"/>
  <c r="D37" i="22"/>
  <c r="C37" i="22"/>
  <c r="B37" i="22"/>
  <c r="A37" i="22"/>
  <c r="M36" i="22"/>
  <c r="L36" i="22"/>
  <c r="K36" i="22"/>
  <c r="J36" i="22"/>
  <c r="I36" i="22"/>
  <c r="H36" i="22"/>
  <c r="G36" i="22"/>
  <c r="F36" i="22"/>
  <c r="E36" i="22"/>
  <c r="D36" i="22"/>
  <c r="C36" i="22"/>
  <c r="B36" i="22"/>
  <c r="A36" i="22"/>
  <c r="M35" i="22"/>
  <c r="L35" i="22"/>
  <c r="K35" i="22"/>
  <c r="J35" i="22"/>
  <c r="I35" i="22"/>
  <c r="H35" i="22"/>
  <c r="G35" i="22"/>
  <c r="F35" i="22"/>
  <c r="E35" i="22"/>
  <c r="D35" i="22"/>
  <c r="C35" i="22"/>
  <c r="B35" i="22"/>
  <c r="L31" i="22"/>
  <c r="D31" i="22"/>
  <c r="L30" i="22"/>
  <c r="D30" i="22"/>
  <c r="D29" i="22"/>
  <c r="G27" i="22"/>
  <c r="F27" i="22"/>
  <c r="G26" i="22"/>
  <c r="F26" i="22"/>
  <c r="D26" i="22"/>
  <c r="G25" i="22"/>
  <c r="F25" i="22"/>
  <c r="A25" i="22"/>
  <c r="D24" i="22"/>
  <c r="C24" i="22"/>
  <c r="D23" i="22"/>
  <c r="D22" i="22"/>
  <c r="D21" i="22"/>
  <c r="D20" i="22"/>
  <c r="D19" i="22"/>
  <c r="D18" i="22"/>
  <c r="E16" i="22"/>
  <c r="L3" i="22"/>
  <c r="FA1" i="22"/>
  <c r="EV1" i="22"/>
  <c r="EQ1" i="22"/>
  <c r="EL1" i="22"/>
  <c r="EG1" i="22"/>
  <c r="EB1" i="22"/>
  <c r="DW1" i="22"/>
  <c r="DR1" i="22"/>
  <c r="DM1" i="22"/>
  <c r="DH1" i="22"/>
  <c r="DC1" i="22"/>
  <c r="CX1" i="22"/>
  <c r="CS1" i="22"/>
  <c r="CN1" i="22"/>
  <c r="CI1" i="22"/>
  <c r="CD1" i="22"/>
  <c r="BY1" i="22"/>
  <c r="BT1" i="22"/>
  <c r="BO1" i="22"/>
  <c r="BJ1" i="22"/>
  <c r="BE1" i="22"/>
  <c r="AZ1" i="22"/>
  <c r="AU1" i="22"/>
  <c r="AP1" i="22"/>
  <c r="AK1" i="22"/>
  <c r="AF1" i="22"/>
  <c r="AA1" i="22"/>
  <c r="V1" i="22"/>
  <c r="AA1000" i="20"/>
  <c r="Z1000" i="20"/>
  <c r="Y1000" i="20"/>
  <c r="X1000" i="20"/>
  <c r="W1000" i="20"/>
  <c r="V1000" i="20"/>
  <c r="AA999" i="20"/>
  <c r="Z999" i="20"/>
  <c r="Y999" i="20"/>
  <c r="X999" i="20"/>
  <c r="W999" i="20"/>
  <c r="V999" i="20"/>
  <c r="AA998" i="20"/>
  <c r="Z998" i="20"/>
  <c r="Y998" i="20"/>
  <c r="X998" i="20"/>
  <c r="W998" i="20"/>
  <c r="V998" i="20"/>
  <c r="AA997" i="20"/>
  <c r="Z997" i="20"/>
  <c r="Y997" i="20"/>
  <c r="X997" i="20"/>
  <c r="W997" i="20"/>
  <c r="V997" i="20"/>
  <c r="AA996" i="20"/>
  <c r="Z996" i="20"/>
  <c r="Y996" i="20"/>
  <c r="X996" i="20"/>
  <c r="W996" i="20"/>
  <c r="V996" i="20"/>
  <c r="AA995" i="20"/>
  <c r="Z995" i="20"/>
  <c r="Y995" i="20"/>
  <c r="X995" i="20"/>
  <c r="W995" i="20"/>
  <c r="V995" i="20"/>
  <c r="AA994" i="20"/>
  <c r="Z994" i="20"/>
  <c r="Y994" i="20"/>
  <c r="X994" i="20"/>
  <c r="W994" i="20"/>
  <c r="V994" i="20"/>
  <c r="AA993" i="20"/>
  <c r="Z993" i="20"/>
  <c r="Y993" i="20"/>
  <c r="X993" i="20"/>
  <c r="W993" i="20"/>
  <c r="V993" i="20"/>
  <c r="AA992" i="20"/>
  <c r="Z992" i="20"/>
  <c r="Y992" i="20"/>
  <c r="X992" i="20"/>
  <c r="W992" i="20"/>
  <c r="V992" i="20"/>
  <c r="AA991" i="20"/>
  <c r="Z991" i="20"/>
  <c r="Y991" i="20"/>
  <c r="X991" i="20"/>
  <c r="W991" i="20"/>
  <c r="V991" i="20"/>
  <c r="AA990" i="20"/>
  <c r="Z990" i="20"/>
  <c r="Y990" i="20"/>
  <c r="X990" i="20"/>
  <c r="W990" i="20"/>
  <c r="V990" i="20"/>
  <c r="AA989" i="20"/>
  <c r="Z989" i="20"/>
  <c r="Y989" i="20"/>
  <c r="X989" i="20"/>
  <c r="W989" i="20"/>
  <c r="V989" i="20"/>
  <c r="AA988" i="20"/>
  <c r="Z988" i="20"/>
  <c r="Y988" i="20"/>
  <c r="X988" i="20"/>
  <c r="W988" i="20"/>
  <c r="V988" i="20"/>
  <c r="AA987" i="20"/>
  <c r="Z987" i="20"/>
  <c r="Y987" i="20"/>
  <c r="X987" i="20"/>
  <c r="W987" i="20"/>
  <c r="V987" i="20"/>
  <c r="AA986" i="20"/>
  <c r="Z986" i="20"/>
  <c r="Y986" i="20"/>
  <c r="X986" i="20"/>
  <c r="W986" i="20"/>
  <c r="V986" i="20"/>
  <c r="AA985" i="20"/>
  <c r="Z985" i="20"/>
  <c r="Y985" i="20"/>
  <c r="X985" i="20"/>
  <c r="W985" i="20"/>
  <c r="V985" i="20"/>
  <c r="AA984" i="20"/>
  <c r="Z984" i="20"/>
  <c r="Y984" i="20"/>
  <c r="X984" i="20"/>
  <c r="W984" i="20"/>
  <c r="V984" i="20"/>
  <c r="AA983" i="20"/>
  <c r="Z983" i="20"/>
  <c r="Y983" i="20"/>
  <c r="X983" i="20"/>
  <c r="W983" i="20"/>
  <c r="V983" i="20"/>
  <c r="AA982" i="20"/>
  <c r="Z982" i="20"/>
  <c r="Y982" i="20"/>
  <c r="X982" i="20"/>
  <c r="W982" i="20"/>
  <c r="V982" i="20"/>
  <c r="AA981" i="20"/>
  <c r="Z981" i="20"/>
  <c r="Y981" i="20"/>
  <c r="X981" i="20"/>
  <c r="W981" i="20"/>
  <c r="V981" i="20"/>
  <c r="AA980" i="20"/>
  <c r="Z980" i="20"/>
  <c r="Y980" i="20"/>
  <c r="X980" i="20"/>
  <c r="W980" i="20"/>
  <c r="V980" i="20"/>
  <c r="AA979" i="20"/>
  <c r="Z979" i="20"/>
  <c r="Y979" i="20"/>
  <c r="X979" i="20"/>
  <c r="W979" i="20"/>
  <c r="V979" i="20"/>
  <c r="AA978" i="20"/>
  <c r="Z978" i="20"/>
  <c r="Y978" i="20"/>
  <c r="X978" i="20"/>
  <c r="W978" i="20"/>
  <c r="V978" i="20"/>
  <c r="AA977" i="20"/>
  <c r="Z977" i="20"/>
  <c r="Y977" i="20"/>
  <c r="X977" i="20"/>
  <c r="W977" i="20"/>
  <c r="V977" i="20"/>
  <c r="AA976" i="20"/>
  <c r="Z976" i="20"/>
  <c r="Y976" i="20"/>
  <c r="X976" i="20"/>
  <c r="W976" i="20"/>
  <c r="V976" i="20"/>
  <c r="AA975" i="20"/>
  <c r="Z975" i="20"/>
  <c r="Y975" i="20"/>
  <c r="X975" i="20"/>
  <c r="W975" i="20"/>
  <c r="V975" i="20"/>
  <c r="AA974" i="20"/>
  <c r="Z974" i="20"/>
  <c r="Y974" i="20"/>
  <c r="X974" i="20"/>
  <c r="W974" i="20"/>
  <c r="V974" i="20"/>
  <c r="AA973" i="20"/>
  <c r="Z973" i="20"/>
  <c r="Y973" i="20"/>
  <c r="X973" i="20"/>
  <c r="W973" i="20"/>
  <c r="V973" i="20"/>
  <c r="AA972" i="20"/>
  <c r="Z972" i="20"/>
  <c r="Y972" i="20"/>
  <c r="X972" i="20"/>
  <c r="W972" i="20"/>
  <c r="V972" i="20"/>
  <c r="AA971" i="20"/>
  <c r="Z971" i="20"/>
  <c r="Y971" i="20"/>
  <c r="X971" i="20"/>
  <c r="W971" i="20"/>
  <c r="V971" i="20"/>
  <c r="AA970" i="20"/>
  <c r="Z970" i="20"/>
  <c r="Y970" i="20"/>
  <c r="X970" i="20"/>
  <c r="W970" i="20"/>
  <c r="V970" i="20"/>
  <c r="AA969" i="20"/>
  <c r="Z969" i="20"/>
  <c r="Y969" i="20"/>
  <c r="X969" i="20"/>
  <c r="W969" i="20"/>
  <c r="V969" i="20"/>
  <c r="AA968" i="20"/>
  <c r="Z968" i="20"/>
  <c r="Y968" i="20"/>
  <c r="X968" i="20"/>
  <c r="W968" i="20"/>
  <c r="V968" i="20"/>
  <c r="AA967" i="20"/>
  <c r="Z967" i="20"/>
  <c r="Y967" i="20"/>
  <c r="X967" i="20"/>
  <c r="W967" i="20"/>
  <c r="V967" i="20"/>
  <c r="AA966" i="20"/>
  <c r="Z966" i="20"/>
  <c r="Y966" i="20"/>
  <c r="X966" i="20"/>
  <c r="W966" i="20"/>
  <c r="V966" i="20"/>
  <c r="AA965" i="20"/>
  <c r="Z965" i="20"/>
  <c r="Y965" i="20"/>
  <c r="X965" i="20"/>
  <c r="W965" i="20"/>
  <c r="V965" i="20"/>
  <c r="AA964" i="20"/>
  <c r="Z964" i="20"/>
  <c r="Y964" i="20"/>
  <c r="X964" i="20"/>
  <c r="W964" i="20"/>
  <c r="V964" i="20"/>
  <c r="AA963" i="20"/>
  <c r="Z963" i="20"/>
  <c r="Y963" i="20"/>
  <c r="X963" i="20"/>
  <c r="W963" i="20"/>
  <c r="V963" i="20"/>
  <c r="AA962" i="20"/>
  <c r="Z962" i="20"/>
  <c r="Y962" i="20"/>
  <c r="X962" i="20"/>
  <c r="W962" i="20"/>
  <c r="V962" i="20"/>
  <c r="AA961" i="20"/>
  <c r="Z961" i="20"/>
  <c r="Y961" i="20"/>
  <c r="X961" i="20"/>
  <c r="W961" i="20"/>
  <c r="V961" i="20"/>
  <c r="AA960" i="20"/>
  <c r="Z960" i="20"/>
  <c r="Y960" i="20"/>
  <c r="X960" i="20"/>
  <c r="W960" i="20"/>
  <c r="V960" i="20"/>
  <c r="AA959" i="20"/>
  <c r="Z959" i="20"/>
  <c r="Y959" i="20"/>
  <c r="X959" i="20"/>
  <c r="W959" i="20"/>
  <c r="V959" i="20"/>
  <c r="AA958" i="20"/>
  <c r="Z958" i="20"/>
  <c r="Y958" i="20"/>
  <c r="X958" i="20"/>
  <c r="W958" i="20"/>
  <c r="V958" i="20"/>
  <c r="AA957" i="20"/>
  <c r="Z957" i="20"/>
  <c r="Y957" i="20"/>
  <c r="X957" i="20"/>
  <c r="W957" i="20"/>
  <c r="V957" i="20"/>
  <c r="AA956" i="20"/>
  <c r="Z956" i="20"/>
  <c r="Y956" i="20"/>
  <c r="X956" i="20"/>
  <c r="W956" i="20"/>
  <c r="V956" i="20"/>
  <c r="AA955" i="20"/>
  <c r="Z955" i="20"/>
  <c r="Y955" i="20"/>
  <c r="X955" i="20"/>
  <c r="W955" i="20"/>
  <c r="V955" i="20"/>
  <c r="AA954" i="20"/>
  <c r="Z954" i="20"/>
  <c r="Y954" i="20"/>
  <c r="X954" i="20"/>
  <c r="W954" i="20"/>
  <c r="V954" i="20"/>
  <c r="AA953" i="20"/>
  <c r="Z953" i="20"/>
  <c r="Y953" i="20"/>
  <c r="X953" i="20"/>
  <c r="W953" i="20"/>
  <c r="V953" i="20"/>
  <c r="AA952" i="20"/>
  <c r="Z952" i="20"/>
  <c r="Y952" i="20"/>
  <c r="X952" i="20"/>
  <c r="W952" i="20"/>
  <c r="V952" i="20"/>
  <c r="AA951" i="20"/>
  <c r="Z951" i="20"/>
  <c r="Y951" i="20"/>
  <c r="X951" i="20"/>
  <c r="W951" i="20"/>
  <c r="V951" i="20"/>
  <c r="AA950" i="20"/>
  <c r="Z950" i="20"/>
  <c r="Y950" i="20"/>
  <c r="X950" i="20"/>
  <c r="W950" i="20"/>
  <c r="V950" i="20"/>
  <c r="AA949" i="20"/>
  <c r="Z949" i="20"/>
  <c r="Y949" i="20"/>
  <c r="X949" i="20"/>
  <c r="W949" i="20"/>
  <c r="V949" i="20"/>
  <c r="AA948" i="20"/>
  <c r="Z948" i="20"/>
  <c r="Y948" i="20"/>
  <c r="X948" i="20"/>
  <c r="W948" i="20"/>
  <c r="V948" i="20"/>
  <c r="AA947" i="20"/>
  <c r="Z947" i="20"/>
  <c r="Y947" i="20"/>
  <c r="X947" i="20"/>
  <c r="W947" i="20"/>
  <c r="V947" i="20"/>
  <c r="AA946" i="20"/>
  <c r="Z946" i="20"/>
  <c r="Y946" i="20"/>
  <c r="X946" i="20"/>
  <c r="W946" i="20"/>
  <c r="V946" i="20"/>
  <c r="AA945" i="20"/>
  <c r="Z945" i="20"/>
  <c r="Y945" i="20"/>
  <c r="X945" i="20"/>
  <c r="W945" i="20"/>
  <c r="V945" i="20"/>
  <c r="AA944" i="20"/>
  <c r="Z944" i="20"/>
  <c r="Y944" i="20"/>
  <c r="X944" i="20"/>
  <c r="W944" i="20"/>
  <c r="V944" i="20"/>
  <c r="AA943" i="20"/>
  <c r="Z943" i="20"/>
  <c r="Y943" i="20"/>
  <c r="X943" i="20"/>
  <c r="W943" i="20"/>
  <c r="V943" i="20"/>
  <c r="AA942" i="20"/>
  <c r="Z942" i="20"/>
  <c r="Y942" i="20"/>
  <c r="X942" i="20"/>
  <c r="W942" i="20"/>
  <c r="V942" i="20"/>
  <c r="AA941" i="20"/>
  <c r="Z941" i="20"/>
  <c r="Y941" i="20"/>
  <c r="X941" i="20"/>
  <c r="W941" i="20"/>
  <c r="V941" i="20"/>
  <c r="AA940" i="20"/>
  <c r="Z940" i="20"/>
  <c r="Y940" i="20"/>
  <c r="X940" i="20"/>
  <c r="W940" i="20"/>
  <c r="V940" i="20"/>
  <c r="AA939" i="20"/>
  <c r="Z939" i="20"/>
  <c r="Y939" i="20"/>
  <c r="X939" i="20"/>
  <c r="W939" i="20"/>
  <c r="V939" i="20"/>
  <c r="AA938" i="20"/>
  <c r="Z938" i="20"/>
  <c r="Y938" i="20"/>
  <c r="X938" i="20"/>
  <c r="W938" i="20"/>
  <c r="V938" i="20"/>
  <c r="AA937" i="20"/>
  <c r="Z937" i="20"/>
  <c r="Y937" i="20"/>
  <c r="X937" i="20"/>
  <c r="W937" i="20"/>
  <c r="V937" i="20"/>
  <c r="AA936" i="20"/>
  <c r="Z936" i="20"/>
  <c r="Y936" i="20"/>
  <c r="X936" i="20"/>
  <c r="W936" i="20"/>
  <c r="V936" i="20"/>
  <c r="AA935" i="20"/>
  <c r="Z935" i="20"/>
  <c r="Y935" i="20"/>
  <c r="X935" i="20"/>
  <c r="W935" i="20"/>
  <c r="V935" i="20"/>
  <c r="AA934" i="20"/>
  <c r="Z934" i="20"/>
  <c r="Y934" i="20"/>
  <c r="X934" i="20"/>
  <c r="W934" i="20"/>
  <c r="V934" i="20"/>
  <c r="AA933" i="20"/>
  <c r="Z933" i="20"/>
  <c r="Y933" i="20"/>
  <c r="X933" i="20"/>
  <c r="W933" i="20"/>
  <c r="V933" i="20"/>
  <c r="AA932" i="20"/>
  <c r="Z932" i="20"/>
  <c r="Y932" i="20"/>
  <c r="X932" i="20"/>
  <c r="W932" i="20"/>
  <c r="V932" i="20"/>
  <c r="AA931" i="20"/>
  <c r="Z931" i="20"/>
  <c r="Y931" i="20"/>
  <c r="X931" i="20"/>
  <c r="W931" i="20"/>
  <c r="V931" i="20"/>
  <c r="AA930" i="20"/>
  <c r="Z930" i="20"/>
  <c r="Y930" i="20"/>
  <c r="X930" i="20"/>
  <c r="W930" i="20"/>
  <c r="V930" i="20"/>
  <c r="AA929" i="20"/>
  <c r="Z929" i="20"/>
  <c r="Y929" i="20"/>
  <c r="X929" i="20"/>
  <c r="W929" i="20"/>
  <c r="V929" i="20"/>
  <c r="AA928" i="20"/>
  <c r="Z928" i="20"/>
  <c r="Y928" i="20"/>
  <c r="X928" i="20"/>
  <c r="W928" i="20"/>
  <c r="V928" i="20"/>
  <c r="AA927" i="20"/>
  <c r="Z927" i="20"/>
  <c r="Y927" i="20"/>
  <c r="X927" i="20"/>
  <c r="W927" i="20"/>
  <c r="V927" i="20"/>
  <c r="AA926" i="20"/>
  <c r="Z926" i="20"/>
  <c r="Y926" i="20"/>
  <c r="X926" i="20"/>
  <c r="W926" i="20"/>
  <c r="V926" i="20"/>
  <c r="AA925" i="20"/>
  <c r="Z925" i="20"/>
  <c r="Y925" i="20"/>
  <c r="X925" i="20"/>
  <c r="W925" i="20"/>
  <c r="V925" i="20"/>
  <c r="AA924" i="20"/>
  <c r="Z924" i="20"/>
  <c r="Y924" i="20"/>
  <c r="X924" i="20"/>
  <c r="W924" i="20"/>
  <c r="V924" i="20"/>
  <c r="AA923" i="20"/>
  <c r="Z923" i="20"/>
  <c r="Y923" i="20"/>
  <c r="X923" i="20"/>
  <c r="W923" i="20"/>
  <c r="V923" i="20"/>
  <c r="AA922" i="20"/>
  <c r="Z922" i="20"/>
  <c r="Y922" i="20"/>
  <c r="X922" i="20"/>
  <c r="W922" i="20"/>
  <c r="V922" i="20"/>
  <c r="AA921" i="20"/>
  <c r="Z921" i="20"/>
  <c r="Y921" i="20"/>
  <c r="X921" i="20"/>
  <c r="W921" i="20"/>
  <c r="V921" i="20"/>
  <c r="AA920" i="20"/>
  <c r="Z920" i="20"/>
  <c r="Y920" i="20"/>
  <c r="X920" i="20"/>
  <c r="W920" i="20"/>
  <c r="V920" i="20"/>
  <c r="AA919" i="20"/>
  <c r="Z919" i="20"/>
  <c r="Y919" i="20"/>
  <c r="X919" i="20"/>
  <c r="W919" i="20"/>
  <c r="V919" i="20"/>
  <c r="AA918" i="20"/>
  <c r="Z918" i="20"/>
  <c r="Y918" i="20"/>
  <c r="X918" i="20"/>
  <c r="W918" i="20"/>
  <c r="V918" i="20"/>
  <c r="AA917" i="20"/>
  <c r="Z917" i="20"/>
  <c r="Y917" i="20"/>
  <c r="X917" i="20"/>
  <c r="W917" i="20"/>
  <c r="V917" i="20"/>
  <c r="AA916" i="20"/>
  <c r="Z916" i="20"/>
  <c r="Y916" i="20"/>
  <c r="X916" i="20"/>
  <c r="W916" i="20"/>
  <c r="V916" i="20"/>
  <c r="AA915" i="20"/>
  <c r="Z915" i="20"/>
  <c r="Y915" i="20"/>
  <c r="X915" i="20"/>
  <c r="W915" i="20"/>
  <c r="V915" i="20"/>
  <c r="AA914" i="20"/>
  <c r="Z914" i="20"/>
  <c r="Y914" i="20"/>
  <c r="X914" i="20"/>
  <c r="W914" i="20"/>
  <c r="V914" i="20"/>
  <c r="AA913" i="20"/>
  <c r="Z913" i="20"/>
  <c r="Y913" i="20"/>
  <c r="X913" i="20"/>
  <c r="W913" i="20"/>
  <c r="V913" i="20"/>
  <c r="AA912" i="20"/>
  <c r="Z912" i="20"/>
  <c r="Y912" i="20"/>
  <c r="X912" i="20"/>
  <c r="W912" i="20"/>
  <c r="V912" i="20"/>
  <c r="AA911" i="20"/>
  <c r="Z911" i="20"/>
  <c r="Y911" i="20"/>
  <c r="X911" i="20"/>
  <c r="W911" i="20"/>
  <c r="V911" i="20"/>
  <c r="AA910" i="20"/>
  <c r="Z910" i="20"/>
  <c r="Y910" i="20"/>
  <c r="X910" i="20"/>
  <c r="W910" i="20"/>
  <c r="V910" i="20"/>
  <c r="AA909" i="20"/>
  <c r="Z909" i="20"/>
  <c r="Y909" i="20"/>
  <c r="X909" i="20"/>
  <c r="W909" i="20"/>
  <c r="V909" i="20"/>
  <c r="AA908" i="20"/>
  <c r="Z908" i="20"/>
  <c r="Y908" i="20"/>
  <c r="X908" i="20"/>
  <c r="W908" i="20"/>
  <c r="V908" i="20"/>
  <c r="AA907" i="20"/>
  <c r="Z907" i="20"/>
  <c r="Y907" i="20"/>
  <c r="X907" i="20"/>
  <c r="W907" i="20"/>
  <c r="V907" i="20"/>
  <c r="AA906" i="20"/>
  <c r="Z906" i="20"/>
  <c r="Y906" i="20"/>
  <c r="X906" i="20"/>
  <c r="W906" i="20"/>
  <c r="V906" i="20"/>
  <c r="AA905" i="20"/>
  <c r="Z905" i="20"/>
  <c r="Y905" i="20"/>
  <c r="X905" i="20"/>
  <c r="W905" i="20"/>
  <c r="V905" i="20"/>
  <c r="AA904" i="20"/>
  <c r="Z904" i="20"/>
  <c r="Y904" i="20"/>
  <c r="X904" i="20"/>
  <c r="W904" i="20"/>
  <c r="V904" i="20"/>
  <c r="AA903" i="20"/>
  <c r="Z903" i="20"/>
  <c r="Y903" i="20"/>
  <c r="X903" i="20"/>
  <c r="W903" i="20"/>
  <c r="V903" i="20"/>
  <c r="AA902" i="20"/>
  <c r="Z902" i="20"/>
  <c r="Y902" i="20"/>
  <c r="X902" i="20"/>
  <c r="W902" i="20"/>
  <c r="V902" i="20"/>
  <c r="AA901" i="20"/>
  <c r="Z901" i="20"/>
  <c r="Y901" i="20"/>
  <c r="X901" i="20"/>
  <c r="W901" i="20"/>
  <c r="V901" i="20"/>
  <c r="AA900" i="20"/>
  <c r="Z900" i="20"/>
  <c r="Y900" i="20"/>
  <c r="X900" i="20"/>
  <c r="W900" i="20"/>
  <c r="V900" i="20"/>
  <c r="AA899" i="20"/>
  <c r="Z899" i="20"/>
  <c r="Y899" i="20"/>
  <c r="X899" i="20"/>
  <c r="W899" i="20"/>
  <c r="V899" i="20"/>
  <c r="AA898" i="20"/>
  <c r="Z898" i="20"/>
  <c r="Y898" i="20"/>
  <c r="X898" i="20"/>
  <c r="W898" i="20"/>
  <c r="V898" i="20"/>
  <c r="AA897" i="20"/>
  <c r="Z897" i="20"/>
  <c r="Y897" i="20"/>
  <c r="X897" i="20"/>
  <c r="W897" i="20"/>
  <c r="V897" i="20"/>
  <c r="AA896" i="20"/>
  <c r="Z896" i="20"/>
  <c r="Y896" i="20"/>
  <c r="X896" i="20"/>
  <c r="W896" i="20"/>
  <c r="V896" i="20"/>
  <c r="AA895" i="20"/>
  <c r="Z895" i="20"/>
  <c r="Y895" i="20"/>
  <c r="X895" i="20"/>
  <c r="W895" i="20"/>
  <c r="V895" i="20"/>
  <c r="AA894" i="20"/>
  <c r="Z894" i="20"/>
  <c r="Y894" i="20"/>
  <c r="X894" i="20"/>
  <c r="W894" i="20"/>
  <c r="V894" i="20"/>
  <c r="AA893" i="20"/>
  <c r="Z893" i="20"/>
  <c r="Y893" i="20"/>
  <c r="X893" i="20"/>
  <c r="W893" i="20"/>
  <c r="V893" i="20"/>
  <c r="AA892" i="20"/>
  <c r="Z892" i="20"/>
  <c r="Y892" i="20"/>
  <c r="X892" i="20"/>
  <c r="W892" i="20"/>
  <c r="V892" i="20"/>
  <c r="AA891" i="20"/>
  <c r="Z891" i="20"/>
  <c r="Y891" i="20"/>
  <c r="X891" i="20"/>
  <c r="W891" i="20"/>
  <c r="V891" i="20"/>
  <c r="AA890" i="20"/>
  <c r="Z890" i="20"/>
  <c r="Y890" i="20"/>
  <c r="X890" i="20"/>
  <c r="W890" i="20"/>
  <c r="V890" i="20"/>
  <c r="AA889" i="20"/>
  <c r="Z889" i="20"/>
  <c r="Y889" i="20"/>
  <c r="X889" i="20"/>
  <c r="W889" i="20"/>
  <c r="V889" i="20"/>
  <c r="AA888" i="20"/>
  <c r="Z888" i="20"/>
  <c r="Y888" i="20"/>
  <c r="X888" i="20"/>
  <c r="W888" i="20"/>
  <c r="V888" i="20"/>
  <c r="AA887" i="20"/>
  <c r="Z887" i="20"/>
  <c r="Y887" i="20"/>
  <c r="X887" i="20"/>
  <c r="W887" i="20"/>
  <c r="V887" i="20"/>
  <c r="AA886" i="20"/>
  <c r="Z886" i="20"/>
  <c r="Y886" i="20"/>
  <c r="X886" i="20"/>
  <c r="W886" i="20"/>
  <c r="V886" i="20"/>
  <c r="AA885" i="20"/>
  <c r="Z885" i="20"/>
  <c r="Y885" i="20"/>
  <c r="X885" i="20"/>
  <c r="W885" i="20"/>
  <c r="V885" i="20"/>
  <c r="AA884" i="20"/>
  <c r="Z884" i="20"/>
  <c r="Y884" i="20"/>
  <c r="X884" i="20"/>
  <c r="W884" i="20"/>
  <c r="V884" i="20"/>
  <c r="AA883" i="20"/>
  <c r="Z883" i="20"/>
  <c r="Y883" i="20"/>
  <c r="X883" i="20"/>
  <c r="W883" i="20"/>
  <c r="V883" i="20"/>
  <c r="AA882" i="20"/>
  <c r="Z882" i="20"/>
  <c r="Y882" i="20"/>
  <c r="X882" i="20"/>
  <c r="W882" i="20"/>
  <c r="V882" i="20"/>
  <c r="AA881" i="20"/>
  <c r="Z881" i="20"/>
  <c r="Y881" i="20"/>
  <c r="X881" i="20"/>
  <c r="W881" i="20"/>
  <c r="V881" i="20"/>
  <c r="AA880" i="20"/>
  <c r="Z880" i="20"/>
  <c r="Y880" i="20"/>
  <c r="X880" i="20"/>
  <c r="W880" i="20"/>
  <c r="V880" i="20"/>
  <c r="AA879" i="20"/>
  <c r="Z879" i="20"/>
  <c r="Y879" i="20"/>
  <c r="X879" i="20"/>
  <c r="W879" i="20"/>
  <c r="V879" i="20"/>
  <c r="AA878" i="20"/>
  <c r="Z878" i="20"/>
  <c r="Y878" i="20"/>
  <c r="X878" i="20"/>
  <c r="W878" i="20"/>
  <c r="V878" i="20"/>
  <c r="AA877" i="20"/>
  <c r="Z877" i="20"/>
  <c r="Y877" i="20"/>
  <c r="X877" i="20"/>
  <c r="W877" i="20"/>
  <c r="V877" i="20"/>
  <c r="AA876" i="20"/>
  <c r="Z876" i="20"/>
  <c r="Y876" i="20"/>
  <c r="X876" i="20"/>
  <c r="W876" i="20"/>
  <c r="V876" i="20"/>
  <c r="AA875" i="20"/>
  <c r="Z875" i="20"/>
  <c r="Y875" i="20"/>
  <c r="X875" i="20"/>
  <c r="W875" i="20"/>
  <c r="V875" i="20"/>
  <c r="AA874" i="20"/>
  <c r="Z874" i="20"/>
  <c r="Y874" i="20"/>
  <c r="X874" i="20"/>
  <c r="W874" i="20"/>
  <c r="V874" i="20"/>
  <c r="AA873" i="20"/>
  <c r="Z873" i="20"/>
  <c r="Y873" i="20"/>
  <c r="X873" i="20"/>
  <c r="W873" i="20"/>
  <c r="V873" i="20"/>
  <c r="AA872" i="20"/>
  <c r="Z872" i="20"/>
  <c r="Y872" i="20"/>
  <c r="X872" i="20"/>
  <c r="W872" i="20"/>
  <c r="V872" i="20"/>
  <c r="AA871" i="20"/>
  <c r="Z871" i="20"/>
  <c r="Y871" i="20"/>
  <c r="X871" i="20"/>
  <c r="W871" i="20"/>
  <c r="V871" i="20"/>
  <c r="AA870" i="20"/>
  <c r="Z870" i="20"/>
  <c r="Y870" i="20"/>
  <c r="X870" i="20"/>
  <c r="W870" i="20"/>
  <c r="V870" i="20"/>
  <c r="AA869" i="20"/>
  <c r="Z869" i="20"/>
  <c r="Y869" i="20"/>
  <c r="X869" i="20"/>
  <c r="W869" i="20"/>
  <c r="V869" i="20"/>
  <c r="AA868" i="20"/>
  <c r="Z868" i="20"/>
  <c r="Y868" i="20"/>
  <c r="X868" i="20"/>
  <c r="W868" i="20"/>
  <c r="V868" i="20"/>
  <c r="AA867" i="20"/>
  <c r="Z867" i="20"/>
  <c r="Y867" i="20"/>
  <c r="X867" i="20"/>
  <c r="W867" i="20"/>
  <c r="V867" i="20"/>
  <c r="AA866" i="20"/>
  <c r="Z866" i="20"/>
  <c r="Y866" i="20"/>
  <c r="X866" i="20"/>
  <c r="W866" i="20"/>
  <c r="V866" i="20"/>
  <c r="AA865" i="20"/>
  <c r="Z865" i="20"/>
  <c r="Y865" i="20"/>
  <c r="X865" i="20"/>
  <c r="W865" i="20"/>
  <c r="V865" i="20"/>
  <c r="AA864" i="20"/>
  <c r="Z864" i="20"/>
  <c r="Y864" i="20"/>
  <c r="X864" i="20"/>
  <c r="W864" i="20"/>
  <c r="V864" i="20"/>
  <c r="AA863" i="20"/>
  <c r="Z863" i="20"/>
  <c r="Y863" i="20"/>
  <c r="X863" i="20"/>
  <c r="W863" i="20"/>
  <c r="V863" i="20"/>
  <c r="AA862" i="20"/>
  <c r="Z862" i="20"/>
  <c r="Y862" i="20"/>
  <c r="X862" i="20"/>
  <c r="W862" i="20"/>
  <c r="V862" i="20"/>
  <c r="AA861" i="20"/>
  <c r="Z861" i="20"/>
  <c r="Y861" i="20"/>
  <c r="X861" i="20"/>
  <c r="W861" i="20"/>
  <c r="V861" i="20"/>
  <c r="AA860" i="20"/>
  <c r="Z860" i="20"/>
  <c r="Y860" i="20"/>
  <c r="X860" i="20"/>
  <c r="W860" i="20"/>
  <c r="V860" i="20"/>
  <c r="AA859" i="20"/>
  <c r="Z859" i="20"/>
  <c r="Y859" i="20"/>
  <c r="X859" i="20"/>
  <c r="W859" i="20"/>
  <c r="V859" i="20"/>
  <c r="AA858" i="20"/>
  <c r="Z858" i="20"/>
  <c r="Y858" i="20"/>
  <c r="X858" i="20"/>
  <c r="W858" i="20"/>
  <c r="V858" i="20"/>
  <c r="AA857" i="20"/>
  <c r="Z857" i="20"/>
  <c r="Y857" i="20"/>
  <c r="X857" i="20"/>
  <c r="W857" i="20"/>
  <c r="V857" i="20"/>
  <c r="AA856" i="20"/>
  <c r="Z856" i="20"/>
  <c r="Y856" i="20"/>
  <c r="X856" i="20"/>
  <c r="W856" i="20"/>
  <c r="V856" i="20"/>
  <c r="AA855" i="20"/>
  <c r="Z855" i="20"/>
  <c r="Y855" i="20"/>
  <c r="X855" i="20"/>
  <c r="W855" i="20"/>
  <c r="V855" i="20"/>
  <c r="AA854" i="20"/>
  <c r="Z854" i="20"/>
  <c r="Y854" i="20"/>
  <c r="X854" i="20"/>
  <c r="W854" i="20"/>
  <c r="V854" i="20"/>
  <c r="AA853" i="20"/>
  <c r="Z853" i="20"/>
  <c r="Y853" i="20"/>
  <c r="X853" i="20"/>
  <c r="W853" i="20"/>
  <c r="V853" i="20"/>
  <c r="AA852" i="20"/>
  <c r="Z852" i="20"/>
  <c r="Y852" i="20"/>
  <c r="X852" i="20"/>
  <c r="W852" i="20"/>
  <c r="V852" i="20"/>
  <c r="AA851" i="20"/>
  <c r="Z851" i="20"/>
  <c r="Y851" i="20"/>
  <c r="X851" i="20"/>
  <c r="W851" i="20"/>
  <c r="V851" i="20"/>
  <c r="AA850" i="20"/>
  <c r="Z850" i="20"/>
  <c r="Y850" i="20"/>
  <c r="X850" i="20"/>
  <c r="W850" i="20"/>
  <c r="V850" i="20"/>
  <c r="AA849" i="20"/>
  <c r="Z849" i="20"/>
  <c r="Y849" i="20"/>
  <c r="X849" i="20"/>
  <c r="W849" i="20"/>
  <c r="V849" i="20"/>
  <c r="AA848" i="20"/>
  <c r="Z848" i="20"/>
  <c r="Y848" i="20"/>
  <c r="X848" i="20"/>
  <c r="W848" i="20"/>
  <c r="V848" i="20"/>
  <c r="AA847" i="20"/>
  <c r="Z847" i="20"/>
  <c r="Y847" i="20"/>
  <c r="X847" i="20"/>
  <c r="W847" i="20"/>
  <c r="V847" i="20"/>
  <c r="AA846" i="20"/>
  <c r="Z846" i="20"/>
  <c r="Y846" i="20"/>
  <c r="X846" i="20"/>
  <c r="W846" i="20"/>
  <c r="V846" i="20"/>
  <c r="AA845" i="20"/>
  <c r="Z845" i="20"/>
  <c r="Y845" i="20"/>
  <c r="X845" i="20"/>
  <c r="W845" i="20"/>
  <c r="V845" i="20"/>
  <c r="AA844" i="20"/>
  <c r="Z844" i="20"/>
  <c r="Y844" i="20"/>
  <c r="X844" i="20"/>
  <c r="W844" i="20"/>
  <c r="V844" i="20"/>
  <c r="AA843" i="20"/>
  <c r="Z843" i="20"/>
  <c r="Y843" i="20"/>
  <c r="X843" i="20"/>
  <c r="W843" i="20"/>
  <c r="V843" i="20"/>
  <c r="AA842" i="20"/>
  <c r="Z842" i="20"/>
  <c r="Y842" i="20"/>
  <c r="X842" i="20"/>
  <c r="W842" i="20"/>
  <c r="V842" i="20"/>
  <c r="AA841" i="20"/>
  <c r="Z841" i="20"/>
  <c r="Y841" i="20"/>
  <c r="X841" i="20"/>
  <c r="W841" i="20"/>
  <c r="V841" i="20"/>
  <c r="AA840" i="20"/>
  <c r="Z840" i="20"/>
  <c r="Y840" i="20"/>
  <c r="X840" i="20"/>
  <c r="W840" i="20"/>
  <c r="V840" i="20"/>
  <c r="AA839" i="20"/>
  <c r="Z839" i="20"/>
  <c r="Y839" i="20"/>
  <c r="X839" i="20"/>
  <c r="W839" i="20"/>
  <c r="V839" i="20"/>
  <c r="AA838" i="20"/>
  <c r="Z838" i="20"/>
  <c r="Y838" i="20"/>
  <c r="X838" i="20"/>
  <c r="W838" i="20"/>
  <c r="V838" i="20"/>
  <c r="AA837" i="20"/>
  <c r="Z837" i="20"/>
  <c r="Y837" i="20"/>
  <c r="X837" i="20"/>
  <c r="W837" i="20"/>
  <c r="V837" i="20"/>
  <c r="AA836" i="20"/>
  <c r="Z836" i="20"/>
  <c r="Y836" i="20"/>
  <c r="X836" i="20"/>
  <c r="W836" i="20"/>
  <c r="V836" i="20"/>
  <c r="AA835" i="20"/>
  <c r="Z835" i="20"/>
  <c r="Y835" i="20"/>
  <c r="X835" i="20"/>
  <c r="W835" i="20"/>
  <c r="V835" i="20"/>
  <c r="AA834" i="20"/>
  <c r="Z834" i="20"/>
  <c r="Y834" i="20"/>
  <c r="X834" i="20"/>
  <c r="W834" i="20"/>
  <c r="V834" i="20"/>
  <c r="AA833" i="20"/>
  <c r="Z833" i="20"/>
  <c r="Y833" i="20"/>
  <c r="X833" i="20"/>
  <c r="W833" i="20"/>
  <c r="V833" i="20"/>
  <c r="AA832" i="20"/>
  <c r="Z832" i="20"/>
  <c r="Y832" i="20"/>
  <c r="X832" i="20"/>
  <c r="W832" i="20"/>
  <c r="V832" i="20"/>
  <c r="AA831" i="20"/>
  <c r="Z831" i="20"/>
  <c r="Y831" i="20"/>
  <c r="X831" i="20"/>
  <c r="W831" i="20"/>
  <c r="V831" i="20"/>
  <c r="AA830" i="20"/>
  <c r="Z830" i="20"/>
  <c r="Y830" i="20"/>
  <c r="X830" i="20"/>
  <c r="W830" i="20"/>
  <c r="V830" i="20"/>
  <c r="AA829" i="20"/>
  <c r="Z829" i="20"/>
  <c r="Y829" i="20"/>
  <c r="X829" i="20"/>
  <c r="W829" i="20"/>
  <c r="V829" i="20"/>
  <c r="AA828" i="20"/>
  <c r="Z828" i="20"/>
  <c r="Y828" i="20"/>
  <c r="X828" i="20"/>
  <c r="W828" i="20"/>
  <c r="V828" i="20"/>
  <c r="AA827" i="20"/>
  <c r="Z827" i="20"/>
  <c r="Y827" i="20"/>
  <c r="X827" i="20"/>
  <c r="W827" i="20"/>
  <c r="V827" i="20"/>
  <c r="AA826" i="20"/>
  <c r="Z826" i="20"/>
  <c r="Y826" i="20"/>
  <c r="X826" i="20"/>
  <c r="W826" i="20"/>
  <c r="V826" i="20"/>
  <c r="AA825" i="20"/>
  <c r="Z825" i="20"/>
  <c r="Y825" i="20"/>
  <c r="X825" i="20"/>
  <c r="W825" i="20"/>
  <c r="V825" i="20"/>
  <c r="AA824" i="20"/>
  <c r="Z824" i="20"/>
  <c r="Y824" i="20"/>
  <c r="X824" i="20"/>
  <c r="W824" i="20"/>
  <c r="V824" i="20"/>
  <c r="AA823" i="20"/>
  <c r="Z823" i="20"/>
  <c r="Y823" i="20"/>
  <c r="X823" i="20"/>
  <c r="W823" i="20"/>
  <c r="V823" i="20"/>
  <c r="AA822" i="20"/>
  <c r="Z822" i="20"/>
  <c r="Y822" i="20"/>
  <c r="X822" i="20"/>
  <c r="W822" i="20"/>
  <c r="V822" i="20"/>
  <c r="AA821" i="20"/>
  <c r="Z821" i="20"/>
  <c r="Y821" i="20"/>
  <c r="X821" i="20"/>
  <c r="W821" i="20"/>
  <c r="V821" i="20"/>
  <c r="AA820" i="20"/>
  <c r="Z820" i="20"/>
  <c r="Y820" i="20"/>
  <c r="X820" i="20"/>
  <c r="W820" i="20"/>
  <c r="V820" i="20"/>
  <c r="AA819" i="20"/>
  <c r="Z819" i="20"/>
  <c r="Y819" i="20"/>
  <c r="X819" i="20"/>
  <c r="W819" i="20"/>
  <c r="V819" i="20"/>
  <c r="AA818" i="20"/>
  <c r="Z818" i="20"/>
  <c r="Y818" i="20"/>
  <c r="X818" i="20"/>
  <c r="W818" i="20"/>
  <c r="V818" i="20"/>
  <c r="AA817" i="20"/>
  <c r="Z817" i="20"/>
  <c r="Y817" i="20"/>
  <c r="X817" i="20"/>
  <c r="W817" i="20"/>
  <c r="V817" i="20"/>
  <c r="AA816" i="20"/>
  <c r="Z816" i="20"/>
  <c r="Y816" i="20"/>
  <c r="X816" i="20"/>
  <c r="W816" i="20"/>
  <c r="V816" i="20"/>
  <c r="AA815" i="20"/>
  <c r="Z815" i="20"/>
  <c r="Y815" i="20"/>
  <c r="X815" i="20"/>
  <c r="W815" i="20"/>
  <c r="V815" i="20"/>
  <c r="AA814" i="20"/>
  <c r="Z814" i="20"/>
  <c r="Y814" i="20"/>
  <c r="X814" i="20"/>
  <c r="W814" i="20"/>
  <c r="V814" i="20"/>
  <c r="AA813" i="20"/>
  <c r="Z813" i="20"/>
  <c r="Y813" i="20"/>
  <c r="X813" i="20"/>
  <c r="W813" i="20"/>
  <c r="V813" i="20"/>
  <c r="AA812" i="20"/>
  <c r="Z812" i="20"/>
  <c r="Y812" i="20"/>
  <c r="X812" i="20"/>
  <c r="W812" i="20"/>
  <c r="V812" i="20"/>
  <c r="AA811" i="20"/>
  <c r="Z811" i="20"/>
  <c r="Y811" i="20"/>
  <c r="X811" i="20"/>
  <c r="W811" i="20"/>
  <c r="V811" i="20"/>
  <c r="AA810" i="20"/>
  <c r="Z810" i="20"/>
  <c r="Y810" i="20"/>
  <c r="X810" i="20"/>
  <c r="W810" i="20"/>
  <c r="V810" i="20"/>
  <c r="AA809" i="20"/>
  <c r="Z809" i="20"/>
  <c r="Y809" i="20"/>
  <c r="X809" i="20"/>
  <c r="W809" i="20"/>
  <c r="V809" i="20"/>
  <c r="AA808" i="20"/>
  <c r="Z808" i="20"/>
  <c r="Y808" i="20"/>
  <c r="X808" i="20"/>
  <c r="W808" i="20"/>
  <c r="V808" i="20"/>
  <c r="AA807" i="20"/>
  <c r="Z807" i="20"/>
  <c r="Y807" i="20"/>
  <c r="X807" i="20"/>
  <c r="W807" i="20"/>
  <c r="V807" i="20"/>
  <c r="AA806" i="20"/>
  <c r="Z806" i="20"/>
  <c r="Y806" i="20"/>
  <c r="X806" i="20"/>
  <c r="W806" i="20"/>
  <c r="V806" i="20"/>
  <c r="AA805" i="20"/>
  <c r="Z805" i="20"/>
  <c r="Y805" i="20"/>
  <c r="X805" i="20"/>
  <c r="W805" i="20"/>
  <c r="V805" i="20"/>
  <c r="AA804" i="20"/>
  <c r="Z804" i="20"/>
  <c r="Y804" i="20"/>
  <c r="X804" i="20"/>
  <c r="W804" i="20"/>
  <c r="V804" i="20"/>
  <c r="AA803" i="20"/>
  <c r="Z803" i="20"/>
  <c r="Y803" i="20"/>
  <c r="X803" i="20"/>
  <c r="W803" i="20"/>
  <c r="V803" i="20"/>
  <c r="AA802" i="20"/>
  <c r="Z802" i="20"/>
  <c r="Y802" i="20"/>
  <c r="X802" i="20"/>
  <c r="W802" i="20"/>
  <c r="V802" i="20"/>
  <c r="AA801" i="20"/>
  <c r="Z801" i="20"/>
  <c r="Y801" i="20"/>
  <c r="X801" i="20"/>
  <c r="W801" i="20"/>
  <c r="V801" i="20"/>
  <c r="AA800" i="20"/>
  <c r="Z800" i="20"/>
  <c r="Y800" i="20"/>
  <c r="X800" i="20"/>
  <c r="W800" i="20"/>
  <c r="V800" i="20"/>
  <c r="AA799" i="20"/>
  <c r="Z799" i="20"/>
  <c r="Y799" i="20"/>
  <c r="X799" i="20"/>
  <c r="W799" i="20"/>
  <c r="V799" i="20"/>
  <c r="AA798" i="20"/>
  <c r="Z798" i="20"/>
  <c r="Y798" i="20"/>
  <c r="X798" i="20"/>
  <c r="W798" i="20"/>
  <c r="V798" i="20"/>
  <c r="AA797" i="20"/>
  <c r="Z797" i="20"/>
  <c r="Y797" i="20"/>
  <c r="X797" i="20"/>
  <c r="W797" i="20"/>
  <c r="V797" i="20"/>
  <c r="AA796" i="20"/>
  <c r="Z796" i="20"/>
  <c r="Y796" i="20"/>
  <c r="X796" i="20"/>
  <c r="W796" i="20"/>
  <c r="V796" i="20"/>
  <c r="AA795" i="20"/>
  <c r="Z795" i="20"/>
  <c r="Y795" i="20"/>
  <c r="X795" i="20"/>
  <c r="W795" i="20"/>
  <c r="V795" i="20"/>
  <c r="AA794" i="20"/>
  <c r="Z794" i="20"/>
  <c r="Y794" i="20"/>
  <c r="X794" i="20"/>
  <c r="W794" i="20"/>
  <c r="V794" i="20"/>
  <c r="AA793" i="20"/>
  <c r="Z793" i="20"/>
  <c r="Y793" i="20"/>
  <c r="X793" i="20"/>
  <c r="W793" i="20"/>
  <c r="V793" i="20"/>
  <c r="AA792" i="20"/>
  <c r="Z792" i="20"/>
  <c r="Y792" i="20"/>
  <c r="X792" i="20"/>
  <c r="W792" i="20"/>
  <c r="V792" i="20"/>
  <c r="AA791" i="20"/>
  <c r="Z791" i="20"/>
  <c r="Y791" i="20"/>
  <c r="X791" i="20"/>
  <c r="W791" i="20"/>
  <c r="V791" i="20"/>
  <c r="AA790" i="20"/>
  <c r="Z790" i="20"/>
  <c r="Y790" i="20"/>
  <c r="X790" i="20"/>
  <c r="W790" i="20"/>
  <c r="V790" i="20"/>
  <c r="AA789" i="20"/>
  <c r="Z789" i="20"/>
  <c r="Y789" i="20"/>
  <c r="X789" i="20"/>
  <c r="W789" i="20"/>
  <c r="V789" i="20"/>
  <c r="AA788" i="20"/>
  <c r="Z788" i="20"/>
  <c r="Y788" i="20"/>
  <c r="X788" i="20"/>
  <c r="W788" i="20"/>
  <c r="V788" i="20"/>
  <c r="AA787" i="20"/>
  <c r="Z787" i="20"/>
  <c r="Y787" i="20"/>
  <c r="X787" i="20"/>
  <c r="W787" i="20"/>
  <c r="V787" i="20"/>
  <c r="AA786" i="20"/>
  <c r="Z786" i="20"/>
  <c r="Y786" i="20"/>
  <c r="X786" i="20"/>
  <c r="W786" i="20"/>
  <c r="V786" i="20"/>
  <c r="AA785" i="20"/>
  <c r="Z785" i="20"/>
  <c r="Y785" i="20"/>
  <c r="X785" i="20"/>
  <c r="W785" i="20"/>
  <c r="V785" i="20"/>
  <c r="AA784" i="20"/>
  <c r="Z784" i="20"/>
  <c r="Y784" i="20"/>
  <c r="X784" i="20"/>
  <c r="W784" i="20"/>
  <c r="V784" i="20"/>
  <c r="AA783" i="20"/>
  <c r="Z783" i="20"/>
  <c r="Y783" i="20"/>
  <c r="X783" i="20"/>
  <c r="W783" i="20"/>
  <c r="V783" i="20"/>
  <c r="AA782" i="20"/>
  <c r="Z782" i="20"/>
  <c r="Y782" i="20"/>
  <c r="X782" i="20"/>
  <c r="W782" i="20"/>
  <c r="V782" i="20"/>
  <c r="AA781" i="20"/>
  <c r="Z781" i="20"/>
  <c r="Y781" i="20"/>
  <c r="X781" i="20"/>
  <c r="W781" i="20"/>
  <c r="V781" i="20"/>
  <c r="AA780" i="20"/>
  <c r="Z780" i="20"/>
  <c r="Y780" i="20"/>
  <c r="X780" i="20"/>
  <c r="W780" i="20"/>
  <c r="V780" i="20"/>
  <c r="AA779" i="20"/>
  <c r="Z779" i="20"/>
  <c r="Y779" i="20"/>
  <c r="X779" i="20"/>
  <c r="W779" i="20"/>
  <c r="V779" i="20"/>
  <c r="AA778" i="20"/>
  <c r="Z778" i="20"/>
  <c r="Y778" i="20"/>
  <c r="X778" i="20"/>
  <c r="W778" i="20"/>
  <c r="V778" i="20"/>
  <c r="AA777" i="20"/>
  <c r="Z777" i="20"/>
  <c r="Y777" i="20"/>
  <c r="X777" i="20"/>
  <c r="W777" i="20"/>
  <c r="V777" i="20"/>
  <c r="AA776" i="20"/>
  <c r="Z776" i="20"/>
  <c r="Y776" i="20"/>
  <c r="X776" i="20"/>
  <c r="W776" i="20"/>
  <c r="V776" i="20"/>
  <c r="AA775" i="20"/>
  <c r="Z775" i="20"/>
  <c r="Y775" i="20"/>
  <c r="X775" i="20"/>
  <c r="W775" i="20"/>
  <c r="V775" i="20"/>
  <c r="AA774" i="20"/>
  <c r="Z774" i="20"/>
  <c r="Y774" i="20"/>
  <c r="X774" i="20"/>
  <c r="W774" i="20"/>
  <c r="V774" i="20"/>
  <c r="AA773" i="20"/>
  <c r="Z773" i="20"/>
  <c r="Y773" i="20"/>
  <c r="X773" i="20"/>
  <c r="W773" i="20"/>
  <c r="V773" i="20"/>
  <c r="AA772" i="20"/>
  <c r="Z772" i="20"/>
  <c r="Y772" i="20"/>
  <c r="X772" i="20"/>
  <c r="W772" i="20"/>
  <c r="V772" i="20"/>
  <c r="AA771" i="20"/>
  <c r="Z771" i="20"/>
  <c r="Y771" i="20"/>
  <c r="X771" i="20"/>
  <c r="W771" i="20"/>
  <c r="V771" i="20"/>
  <c r="AA770" i="20"/>
  <c r="Z770" i="20"/>
  <c r="Y770" i="20"/>
  <c r="X770" i="20"/>
  <c r="W770" i="20"/>
  <c r="V770" i="20"/>
  <c r="AA769" i="20"/>
  <c r="Z769" i="20"/>
  <c r="Y769" i="20"/>
  <c r="X769" i="20"/>
  <c r="W769" i="20"/>
  <c r="V769" i="20"/>
  <c r="AA768" i="20"/>
  <c r="Z768" i="20"/>
  <c r="Y768" i="20"/>
  <c r="X768" i="20"/>
  <c r="W768" i="20"/>
  <c r="V768" i="20"/>
  <c r="AA767" i="20"/>
  <c r="Z767" i="20"/>
  <c r="Y767" i="20"/>
  <c r="X767" i="20"/>
  <c r="W767" i="20"/>
  <c r="V767" i="20"/>
  <c r="AA766" i="20"/>
  <c r="Z766" i="20"/>
  <c r="Y766" i="20"/>
  <c r="X766" i="20"/>
  <c r="W766" i="20"/>
  <c r="V766" i="20"/>
  <c r="AA765" i="20"/>
  <c r="Z765" i="20"/>
  <c r="Y765" i="20"/>
  <c r="X765" i="20"/>
  <c r="W765" i="20"/>
  <c r="V765" i="20"/>
  <c r="AA764" i="20"/>
  <c r="Z764" i="20"/>
  <c r="Y764" i="20"/>
  <c r="X764" i="20"/>
  <c r="W764" i="20"/>
  <c r="V764" i="20"/>
  <c r="AA763" i="20"/>
  <c r="Z763" i="20"/>
  <c r="Y763" i="20"/>
  <c r="X763" i="20"/>
  <c r="W763" i="20"/>
  <c r="V763" i="20"/>
  <c r="AA762" i="20"/>
  <c r="Z762" i="20"/>
  <c r="Y762" i="20"/>
  <c r="X762" i="20"/>
  <c r="W762" i="20"/>
  <c r="V762" i="20"/>
  <c r="AA761" i="20"/>
  <c r="Z761" i="20"/>
  <c r="Y761" i="20"/>
  <c r="X761" i="20"/>
  <c r="W761" i="20"/>
  <c r="V761" i="20"/>
  <c r="AA760" i="20"/>
  <c r="Z760" i="20"/>
  <c r="Y760" i="20"/>
  <c r="X760" i="20"/>
  <c r="W760" i="20"/>
  <c r="V760" i="20"/>
  <c r="AA759" i="20"/>
  <c r="Z759" i="20"/>
  <c r="Y759" i="20"/>
  <c r="X759" i="20"/>
  <c r="W759" i="20"/>
  <c r="V759" i="20"/>
  <c r="AA758" i="20"/>
  <c r="Z758" i="20"/>
  <c r="Y758" i="20"/>
  <c r="X758" i="20"/>
  <c r="W758" i="20"/>
  <c r="V758" i="20"/>
  <c r="AA757" i="20"/>
  <c r="Z757" i="20"/>
  <c r="Y757" i="20"/>
  <c r="X757" i="20"/>
  <c r="W757" i="20"/>
  <c r="V757" i="20"/>
  <c r="AA756" i="20"/>
  <c r="Z756" i="20"/>
  <c r="Y756" i="20"/>
  <c r="X756" i="20"/>
  <c r="W756" i="20"/>
  <c r="V756" i="20"/>
  <c r="AA755" i="20"/>
  <c r="Z755" i="20"/>
  <c r="Y755" i="20"/>
  <c r="X755" i="20"/>
  <c r="W755" i="20"/>
  <c r="V755" i="20"/>
  <c r="AA754" i="20"/>
  <c r="Z754" i="20"/>
  <c r="Y754" i="20"/>
  <c r="X754" i="20"/>
  <c r="W754" i="20"/>
  <c r="V754" i="20"/>
  <c r="AA753" i="20"/>
  <c r="Z753" i="20"/>
  <c r="Y753" i="20"/>
  <c r="X753" i="20"/>
  <c r="W753" i="20"/>
  <c r="V753" i="20"/>
  <c r="AA752" i="20"/>
  <c r="Z752" i="20"/>
  <c r="Y752" i="20"/>
  <c r="X752" i="20"/>
  <c r="W752" i="20"/>
  <c r="V752" i="20"/>
  <c r="AA751" i="20"/>
  <c r="Z751" i="20"/>
  <c r="Y751" i="20"/>
  <c r="X751" i="20"/>
  <c r="W751" i="20"/>
  <c r="V751" i="20"/>
  <c r="AA750" i="20"/>
  <c r="Z750" i="20"/>
  <c r="Y750" i="20"/>
  <c r="X750" i="20"/>
  <c r="W750" i="20"/>
  <c r="V750" i="20"/>
  <c r="AA749" i="20"/>
  <c r="Z749" i="20"/>
  <c r="Y749" i="20"/>
  <c r="X749" i="20"/>
  <c r="W749" i="20"/>
  <c r="V749" i="20"/>
  <c r="AA748" i="20"/>
  <c r="Z748" i="20"/>
  <c r="Y748" i="20"/>
  <c r="X748" i="20"/>
  <c r="W748" i="20"/>
  <c r="V748" i="20"/>
  <c r="AA747" i="20"/>
  <c r="Z747" i="20"/>
  <c r="Y747" i="20"/>
  <c r="X747" i="20"/>
  <c r="W747" i="20"/>
  <c r="V747" i="20"/>
  <c r="AA746" i="20"/>
  <c r="Z746" i="20"/>
  <c r="Y746" i="20"/>
  <c r="X746" i="20"/>
  <c r="W746" i="20"/>
  <c r="V746" i="20"/>
  <c r="AA745" i="20"/>
  <c r="Z745" i="20"/>
  <c r="Y745" i="20"/>
  <c r="X745" i="20"/>
  <c r="W745" i="20"/>
  <c r="V745" i="20"/>
  <c r="AA744" i="20"/>
  <c r="Z744" i="20"/>
  <c r="Y744" i="20"/>
  <c r="X744" i="20"/>
  <c r="W744" i="20"/>
  <c r="V744" i="20"/>
  <c r="AA743" i="20"/>
  <c r="Z743" i="20"/>
  <c r="Y743" i="20"/>
  <c r="X743" i="20"/>
  <c r="W743" i="20"/>
  <c r="V743" i="20"/>
  <c r="AA742" i="20"/>
  <c r="Z742" i="20"/>
  <c r="Y742" i="20"/>
  <c r="X742" i="20"/>
  <c r="W742" i="20"/>
  <c r="V742" i="20"/>
  <c r="AA741" i="20"/>
  <c r="Z741" i="20"/>
  <c r="Y741" i="20"/>
  <c r="X741" i="20"/>
  <c r="W741" i="20"/>
  <c r="V741" i="20"/>
  <c r="AA740" i="20"/>
  <c r="Z740" i="20"/>
  <c r="Y740" i="20"/>
  <c r="X740" i="20"/>
  <c r="W740" i="20"/>
  <c r="V740" i="20"/>
  <c r="AA739" i="20"/>
  <c r="Z739" i="20"/>
  <c r="Y739" i="20"/>
  <c r="X739" i="20"/>
  <c r="W739" i="20"/>
  <c r="V739" i="20"/>
  <c r="AA738" i="20"/>
  <c r="Z738" i="20"/>
  <c r="Y738" i="20"/>
  <c r="X738" i="20"/>
  <c r="W738" i="20"/>
  <c r="V738" i="20"/>
  <c r="AA737" i="20"/>
  <c r="Z737" i="20"/>
  <c r="Y737" i="20"/>
  <c r="X737" i="20"/>
  <c r="W737" i="20"/>
  <c r="V737" i="20"/>
  <c r="AA736" i="20"/>
  <c r="Z736" i="20"/>
  <c r="Y736" i="20"/>
  <c r="X736" i="20"/>
  <c r="W736" i="20"/>
  <c r="V736" i="20"/>
  <c r="AA735" i="20"/>
  <c r="Z735" i="20"/>
  <c r="Y735" i="20"/>
  <c r="X735" i="20"/>
  <c r="W735" i="20"/>
  <c r="V735" i="20"/>
  <c r="AA734" i="20"/>
  <c r="Z734" i="20"/>
  <c r="Y734" i="20"/>
  <c r="X734" i="20"/>
  <c r="W734" i="20"/>
  <c r="V734" i="20"/>
  <c r="AA733" i="20"/>
  <c r="Z733" i="20"/>
  <c r="Y733" i="20"/>
  <c r="X733" i="20"/>
  <c r="W733" i="20"/>
  <c r="V733" i="20"/>
  <c r="AA732" i="20"/>
  <c r="Z732" i="20"/>
  <c r="Y732" i="20"/>
  <c r="X732" i="20"/>
  <c r="W732" i="20"/>
  <c r="V732" i="20"/>
  <c r="AA731" i="20"/>
  <c r="Z731" i="20"/>
  <c r="Y731" i="20"/>
  <c r="X731" i="20"/>
  <c r="W731" i="20"/>
  <c r="V731" i="20"/>
  <c r="AA730" i="20"/>
  <c r="Z730" i="20"/>
  <c r="Y730" i="20"/>
  <c r="X730" i="20"/>
  <c r="W730" i="20"/>
  <c r="V730" i="20"/>
  <c r="AA729" i="20"/>
  <c r="Z729" i="20"/>
  <c r="Y729" i="20"/>
  <c r="X729" i="20"/>
  <c r="W729" i="20"/>
  <c r="V729" i="20"/>
  <c r="AA728" i="20"/>
  <c r="Z728" i="20"/>
  <c r="Y728" i="20"/>
  <c r="X728" i="20"/>
  <c r="W728" i="20"/>
  <c r="V728" i="20"/>
  <c r="AA727" i="20"/>
  <c r="Z727" i="20"/>
  <c r="Y727" i="20"/>
  <c r="X727" i="20"/>
  <c r="W727" i="20"/>
  <c r="V727" i="20"/>
  <c r="AA726" i="20"/>
  <c r="Z726" i="20"/>
  <c r="Y726" i="20"/>
  <c r="X726" i="20"/>
  <c r="W726" i="20"/>
  <c r="V726" i="20"/>
  <c r="AA725" i="20"/>
  <c r="Z725" i="20"/>
  <c r="Y725" i="20"/>
  <c r="X725" i="20"/>
  <c r="W725" i="20"/>
  <c r="V725" i="20"/>
  <c r="AA724" i="20"/>
  <c r="Z724" i="20"/>
  <c r="Y724" i="20"/>
  <c r="X724" i="20"/>
  <c r="W724" i="20"/>
  <c r="V724" i="20"/>
  <c r="AA723" i="20"/>
  <c r="Z723" i="20"/>
  <c r="Y723" i="20"/>
  <c r="X723" i="20"/>
  <c r="W723" i="20"/>
  <c r="V723" i="20"/>
  <c r="AA722" i="20"/>
  <c r="Z722" i="20"/>
  <c r="Y722" i="20"/>
  <c r="X722" i="20"/>
  <c r="W722" i="20"/>
  <c r="V722" i="20"/>
  <c r="AA721" i="20"/>
  <c r="Z721" i="20"/>
  <c r="Y721" i="20"/>
  <c r="X721" i="20"/>
  <c r="W721" i="20"/>
  <c r="V721" i="20"/>
  <c r="AA720" i="20"/>
  <c r="Z720" i="20"/>
  <c r="Y720" i="20"/>
  <c r="X720" i="20"/>
  <c r="W720" i="20"/>
  <c r="V720" i="20"/>
  <c r="AA719" i="20"/>
  <c r="Z719" i="20"/>
  <c r="Y719" i="20"/>
  <c r="X719" i="20"/>
  <c r="W719" i="20"/>
  <c r="V719" i="20"/>
  <c r="AA718" i="20"/>
  <c r="Z718" i="20"/>
  <c r="Y718" i="20"/>
  <c r="X718" i="20"/>
  <c r="W718" i="20"/>
  <c r="V718" i="20"/>
  <c r="AA717" i="20"/>
  <c r="Z717" i="20"/>
  <c r="Y717" i="20"/>
  <c r="X717" i="20"/>
  <c r="W717" i="20"/>
  <c r="V717" i="20"/>
  <c r="AA716" i="20"/>
  <c r="Z716" i="20"/>
  <c r="Y716" i="20"/>
  <c r="X716" i="20"/>
  <c r="W716" i="20"/>
  <c r="V716" i="20"/>
  <c r="AA715" i="20"/>
  <c r="Z715" i="20"/>
  <c r="Y715" i="20"/>
  <c r="X715" i="20"/>
  <c r="W715" i="20"/>
  <c r="V715" i="20"/>
  <c r="AA714" i="20"/>
  <c r="Z714" i="20"/>
  <c r="Y714" i="20"/>
  <c r="X714" i="20"/>
  <c r="W714" i="20"/>
  <c r="V714" i="20"/>
  <c r="AA713" i="20"/>
  <c r="Z713" i="20"/>
  <c r="Y713" i="20"/>
  <c r="X713" i="20"/>
  <c r="W713" i="20"/>
  <c r="V713" i="20"/>
  <c r="AA712" i="20"/>
  <c r="Z712" i="20"/>
  <c r="Y712" i="20"/>
  <c r="X712" i="20"/>
  <c r="W712" i="20"/>
  <c r="V712" i="20"/>
  <c r="AA711" i="20"/>
  <c r="Z711" i="20"/>
  <c r="Y711" i="20"/>
  <c r="X711" i="20"/>
  <c r="W711" i="20"/>
  <c r="V711" i="20"/>
  <c r="AA710" i="20"/>
  <c r="Z710" i="20"/>
  <c r="Y710" i="20"/>
  <c r="X710" i="20"/>
  <c r="W710" i="20"/>
  <c r="V710" i="20"/>
  <c r="AA709" i="20"/>
  <c r="Z709" i="20"/>
  <c r="Y709" i="20"/>
  <c r="X709" i="20"/>
  <c r="W709" i="20"/>
  <c r="V709" i="20"/>
  <c r="AA708" i="20"/>
  <c r="Z708" i="20"/>
  <c r="Y708" i="20"/>
  <c r="X708" i="20"/>
  <c r="W708" i="20"/>
  <c r="V708" i="20"/>
  <c r="AA707" i="20"/>
  <c r="Z707" i="20"/>
  <c r="Y707" i="20"/>
  <c r="X707" i="20"/>
  <c r="W707" i="20"/>
  <c r="V707" i="20"/>
  <c r="AA706" i="20"/>
  <c r="Z706" i="20"/>
  <c r="Y706" i="20"/>
  <c r="X706" i="20"/>
  <c r="W706" i="20"/>
  <c r="V706" i="20"/>
  <c r="AA705" i="20"/>
  <c r="Z705" i="20"/>
  <c r="Y705" i="20"/>
  <c r="X705" i="20"/>
  <c r="W705" i="20"/>
  <c r="V705" i="20"/>
  <c r="AA704" i="20"/>
  <c r="Z704" i="20"/>
  <c r="Y704" i="20"/>
  <c r="X704" i="20"/>
  <c r="W704" i="20"/>
  <c r="V704" i="20"/>
  <c r="AA703" i="20"/>
  <c r="Z703" i="20"/>
  <c r="Y703" i="20"/>
  <c r="X703" i="20"/>
  <c r="W703" i="20"/>
  <c r="V703" i="20"/>
  <c r="AA702" i="20"/>
  <c r="Z702" i="20"/>
  <c r="Y702" i="20"/>
  <c r="X702" i="20"/>
  <c r="W702" i="20"/>
  <c r="V702" i="20"/>
  <c r="AA701" i="20"/>
  <c r="Z701" i="20"/>
  <c r="Y701" i="20"/>
  <c r="X701" i="20"/>
  <c r="W701" i="20"/>
  <c r="V701" i="20"/>
  <c r="AA700" i="20"/>
  <c r="Z700" i="20"/>
  <c r="Y700" i="20"/>
  <c r="X700" i="20"/>
  <c r="W700" i="20"/>
  <c r="V700" i="20"/>
  <c r="AA699" i="20"/>
  <c r="Z699" i="20"/>
  <c r="Y699" i="20"/>
  <c r="X699" i="20"/>
  <c r="W699" i="20"/>
  <c r="V699" i="20"/>
  <c r="AA698" i="20"/>
  <c r="Z698" i="20"/>
  <c r="Y698" i="20"/>
  <c r="X698" i="20"/>
  <c r="W698" i="20"/>
  <c r="V698" i="20"/>
  <c r="AA697" i="20"/>
  <c r="Z697" i="20"/>
  <c r="Y697" i="20"/>
  <c r="X697" i="20"/>
  <c r="W697" i="20"/>
  <c r="V697" i="20"/>
  <c r="AA696" i="20"/>
  <c r="Z696" i="20"/>
  <c r="Y696" i="20"/>
  <c r="X696" i="20"/>
  <c r="W696" i="20"/>
  <c r="V696" i="20"/>
  <c r="AA695" i="20"/>
  <c r="Z695" i="20"/>
  <c r="Y695" i="20"/>
  <c r="X695" i="20"/>
  <c r="W695" i="20"/>
  <c r="V695" i="20"/>
  <c r="AA694" i="20"/>
  <c r="Z694" i="20"/>
  <c r="Y694" i="20"/>
  <c r="X694" i="20"/>
  <c r="W694" i="20"/>
  <c r="V694" i="20"/>
  <c r="AA693" i="20"/>
  <c r="Z693" i="20"/>
  <c r="Y693" i="20"/>
  <c r="X693" i="20"/>
  <c r="W693" i="20"/>
  <c r="V693" i="20"/>
  <c r="AA692" i="20"/>
  <c r="Z692" i="20"/>
  <c r="Y692" i="20"/>
  <c r="X692" i="20"/>
  <c r="W692" i="20"/>
  <c r="V692" i="20"/>
  <c r="AA691" i="20"/>
  <c r="Z691" i="20"/>
  <c r="Y691" i="20"/>
  <c r="X691" i="20"/>
  <c r="W691" i="20"/>
  <c r="V691" i="20"/>
  <c r="AA690" i="20"/>
  <c r="Z690" i="20"/>
  <c r="Y690" i="20"/>
  <c r="X690" i="20"/>
  <c r="W690" i="20"/>
  <c r="V690" i="20"/>
  <c r="AA689" i="20"/>
  <c r="Z689" i="20"/>
  <c r="Y689" i="20"/>
  <c r="X689" i="20"/>
  <c r="W689" i="20"/>
  <c r="V689" i="20"/>
  <c r="AA688" i="20"/>
  <c r="Z688" i="20"/>
  <c r="Y688" i="20"/>
  <c r="X688" i="20"/>
  <c r="W688" i="20"/>
  <c r="V688" i="20"/>
  <c r="AA687" i="20"/>
  <c r="Z687" i="20"/>
  <c r="Y687" i="20"/>
  <c r="X687" i="20"/>
  <c r="W687" i="20"/>
  <c r="V687" i="20"/>
  <c r="AA686" i="20"/>
  <c r="Z686" i="20"/>
  <c r="Y686" i="20"/>
  <c r="X686" i="20"/>
  <c r="W686" i="20"/>
  <c r="V686" i="20"/>
  <c r="AA685" i="20"/>
  <c r="Z685" i="20"/>
  <c r="Y685" i="20"/>
  <c r="X685" i="20"/>
  <c r="W685" i="20"/>
  <c r="V685" i="20"/>
  <c r="AA684" i="20"/>
  <c r="Z684" i="20"/>
  <c r="Y684" i="20"/>
  <c r="X684" i="20"/>
  <c r="W684" i="20"/>
  <c r="V684" i="20"/>
  <c r="AA683" i="20"/>
  <c r="Z683" i="20"/>
  <c r="Y683" i="20"/>
  <c r="X683" i="20"/>
  <c r="W683" i="20"/>
  <c r="V683" i="20"/>
  <c r="AA682" i="20"/>
  <c r="Z682" i="20"/>
  <c r="Y682" i="20"/>
  <c r="X682" i="20"/>
  <c r="W682" i="20"/>
  <c r="V682" i="20"/>
  <c r="AA681" i="20"/>
  <c r="Z681" i="20"/>
  <c r="Y681" i="20"/>
  <c r="X681" i="20"/>
  <c r="W681" i="20"/>
  <c r="V681" i="20"/>
  <c r="AA680" i="20"/>
  <c r="Z680" i="20"/>
  <c r="Y680" i="20"/>
  <c r="X680" i="20"/>
  <c r="W680" i="20"/>
  <c r="V680" i="20"/>
  <c r="AA679" i="20"/>
  <c r="Z679" i="20"/>
  <c r="Y679" i="20"/>
  <c r="X679" i="20"/>
  <c r="W679" i="20"/>
  <c r="V679" i="20"/>
  <c r="AA678" i="20"/>
  <c r="Z678" i="20"/>
  <c r="Y678" i="20"/>
  <c r="X678" i="20"/>
  <c r="W678" i="20"/>
  <c r="V678" i="20"/>
  <c r="AA677" i="20"/>
  <c r="Z677" i="20"/>
  <c r="Y677" i="20"/>
  <c r="X677" i="20"/>
  <c r="W677" i="20"/>
  <c r="V677" i="20"/>
  <c r="AA676" i="20"/>
  <c r="Z676" i="20"/>
  <c r="Y676" i="20"/>
  <c r="X676" i="20"/>
  <c r="W676" i="20"/>
  <c r="V676" i="20"/>
  <c r="AA675" i="20"/>
  <c r="Z675" i="20"/>
  <c r="Y675" i="20"/>
  <c r="X675" i="20"/>
  <c r="W675" i="20"/>
  <c r="V675" i="20"/>
  <c r="AA674" i="20"/>
  <c r="Z674" i="20"/>
  <c r="Y674" i="20"/>
  <c r="X674" i="20"/>
  <c r="W674" i="20"/>
  <c r="V674" i="20"/>
  <c r="AA673" i="20"/>
  <c r="Z673" i="20"/>
  <c r="Y673" i="20"/>
  <c r="X673" i="20"/>
  <c r="W673" i="20"/>
  <c r="V673" i="20"/>
  <c r="AA672" i="20"/>
  <c r="Z672" i="20"/>
  <c r="Y672" i="20"/>
  <c r="X672" i="20"/>
  <c r="W672" i="20"/>
  <c r="V672" i="20"/>
  <c r="AA671" i="20"/>
  <c r="Z671" i="20"/>
  <c r="Y671" i="20"/>
  <c r="X671" i="20"/>
  <c r="W671" i="20"/>
  <c r="V671" i="20"/>
  <c r="AA670" i="20"/>
  <c r="Z670" i="20"/>
  <c r="Y670" i="20"/>
  <c r="X670" i="20"/>
  <c r="W670" i="20"/>
  <c r="V670" i="20"/>
  <c r="AA669" i="20"/>
  <c r="Z669" i="20"/>
  <c r="Y669" i="20"/>
  <c r="X669" i="20"/>
  <c r="W669" i="20"/>
  <c r="V669" i="20"/>
  <c r="AA668" i="20"/>
  <c r="Z668" i="20"/>
  <c r="Y668" i="20"/>
  <c r="X668" i="20"/>
  <c r="W668" i="20"/>
  <c r="V668" i="20"/>
  <c r="AA667" i="20"/>
  <c r="Z667" i="20"/>
  <c r="Y667" i="20"/>
  <c r="X667" i="20"/>
  <c r="W667" i="20"/>
  <c r="V667" i="20"/>
  <c r="AA666" i="20"/>
  <c r="Z666" i="20"/>
  <c r="Y666" i="20"/>
  <c r="X666" i="20"/>
  <c r="W666" i="20"/>
  <c r="V666" i="20"/>
  <c r="AA665" i="20"/>
  <c r="Z665" i="20"/>
  <c r="Y665" i="20"/>
  <c r="X665" i="20"/>
  <c r="W665" i="20"/>
  <c r="V665" i="20"/>
  <c r="AA664" i="20"/>
  <c r="Z664" i="20"/>
  <c r="Y664" i="20"/>
  <c r="X664" i="20"/>
  <c r="W664" i="20"/>
  <c r="V664" i="20"/>
  <c r="AA663" i="20"/>
  <c r="Z663" i="20"/>
  <c r="Y663" i="20"/>
  <c r="X663" i="20"/>
  <c r="W663" i="20"/>
  <c r="V663" i="20"/>
  <c r="AA662" i="20"/>
  <c r="Z662" i="20"/>
  <c r="Y662" i="20"/>
  <c r="X662" i="20"/>
  <c r="W662" i="20"/>
  <c r="V662" i="20"/>
  <c r="AA661" i="20"/>
  <c r="Z661" i="20"/>
  <c r="Y661" i="20"/>
  <c r="X661" i="20"/>
  <c r="W661" i="20"/>
  <c r="V661" i="20"/>
  <c r="AA660" i="20"/>
  <c r="Z660" i="20"/>
  <c r="Y660" i="20"/>
  <c r="X660" i="20"/>
  <c r="W660" i="20"/>
  <c r="V660" i="20"/>
  <c r="AA659" i="20"/>
  <c r="Z659" i="20"/>
  <c r="Y659" i="20"/>
  <c r="X659" i="20"/>
  <c r="W659" i="20"/>
  <c r="V659" i="20"/>
  <c r="AA658" i="20"/>
  <c r="Z658" i="20"/>
  <c r="Y658" i="20"/>
  <c r="X658" i="20"/>
  <c r="W658" i="20"/>
  <c r="V658" i="20"/>
  <c r="AA657" i="20"/>
  <c r="Z657" i="20"/>
  <c r="Y657" i="20"/>
  <c r="X657" i="20"/>
  <c r="W657" i="20"/>
  <c r="V657" i="20"/>
  <c r="AA656" i="20"/>
  <c r="Z656" i="20"/>
  <c r="Y656" i="20"/>
  <c r="X656" i="20"/>
  <c r="W656" i="20"/>
  <c r="V656" i="20"/>
  <c r="AA655" i="20"/>
  <c r="Z655" i="20"/>
  <c r="Y655" i="20"/>
  <c r="X655" i="20"/>
  <c r="W655" i="20"/>
  <c r="V655" i="20"/>
  <c r="AA654" i="20"/>
  <c r="Z654" i="20"/>
  <c r="Y654" i="20"/>
  <c r="X654" i="20"/>
  <c r="W654" i="20"/>
  <c r="V654" i="20"/>
  <c r="AA653" i="20"/>
  <c r="Z653" i="20"/>
  <c r="Y653" i="20"/>
  <c r="X653" i="20"/>
  <c r="W653" i="20"/>
  <c r="V653" i="20"/>
  <c r="AA652" i="20"/>
  <c r="Z652" i="20"/>
  <c r="Y652" i="20"/>
  <c r="X652" i="20"/>
  <c r="W652" i="20"/>
  <c r="V652" i="20"/>
  <c r="AA651" i="20"/>
  <c r="Z651" i="20"/>
  <c r="Y651" i="20"/>
  <c r="X651" i="20"/>
  <c r="W651" i="20"/>
  <c r="V651" i="20"/>
  <c r="AA650" i="20"/>
  <c r="Z650" i="20"/>
  <c r="Y650" i="20"/>
  <c r="X650" i="20"/>
  <c r="W650" i="20"/>
  <c r="V650" i="20"/>
  <c r="AA649" i="20"/>
  <c r="Z649" i="20"/>
  <c r="Y649" i="20"/>
  <c r="X649" i="20"/>
  <c r="W649" i="20"/>
  <c r="V649" i="20"/>
  <c r="AA648" i="20"/>
  <c r="Z648" i="20"/>
  <c r="Y648" i="20"/>
  <c r="X648" i="20"/>
  <c r="W648" i="20"/>
  <c r="V648" i="20"/>
  <c r="AA647" i="20"/>
  <c r="Z647" i="20"/>
  <c r="Y647" i="20"/>
  <c r="X647" i="20"/>
  <c r="W647" i="20"/>
  <c r="V647" i="20"/>
  <c r="AA646" i="20"/>
  <c r="Z646" i="20"/>
  <c r="Y646" i="20"/>
  <c r="X646" i="20"/>
  <c r="W646" i="20"/>
  <c r="V646" i="20"/>
  <c r="AA645" i="20"/>
  <c r="Z645" i="20"/>
  <c r="Y645" i="20"/>
  <c r="X645" i="20"/>
  <c r="W645" i="20"/>
  <c r="V645" i="20"/>
  <c r="AA644" i="20"/>
  <c r="Z644" i="20"/>
  <c r="Y644" i="20"/>
  <c r="X644" i="20"/>
  <c r="W644" i="20"/>
  <c r="V644" i="20"/>
  <c r="AA643" i="20"/>
  <c r="Z643" i="20"/>
  <c r="Y643" i="20"/>
  <c r="X643" i="20"/>
  <c r="W643" i="20"/>
  <c r="V643" i="20"/>
  <c r="AA642" i="20"/>
  <c r="Z642" i="20"/>
  <c r="Y642" i="20"/>
  <c r="X642" i="20"/>
  <c r="W642" i="20"/>
  <c r="V642" i="20"/>
  <c r="AA641" i="20"/>
  <c r="Z641" i="20"/>
  <c r="Y641" i="20"/>
  <c r="X641" i="20"/>
  <c r="W641" i="20"/>
  <c r="V641" i="20"/>
  <c r="AA640" i="20"/>
  <c r="Z640" i="20"/>
  <c r="Y640" i="20"/>
  <c r="X640" i="20"/>
  <c r="W640" i="20"/>
  <c r="V640" i="20"/>
  <c r="AA639" i="20"/>
  <c r="Z639" i="20"/>
  <c r="Y639" i="20"/>
  <c r="X639" i="20"/>
  <c r="W639" i="20"/>
  <c r="V639" i="20"/>
  <c r="AA638" i="20"/>
  <c r="Z638" i="20"/>
  <c r="Y638" i="20"/>
  <c r="X638" i="20"/>
  <c r="W638" i="20"/>
  <c r="V638" i="20"/>
  <c r="AA637" i="20"/>
  <c r="Z637" i="20"/>
  <c r="Y637" i="20"/>
  <c r="X637" i="20"/>
  <c r="W637" i="20"/>
  <c r="V637" i="20"/>
  <c r="AA636" i="20"/>
  <c r="Z636" i="20"/>
  <c r="Y636" i="20"/>
  <c r="X636" i="20"/>
  <c r="W636" i="20"/>
  <c r="V636" i="20"/>
  <c r="AA635" i="20"/>
  <c r="Z635" i="20"/>
  <c r="Y635" i="20"/>
  <c r="X635" i="20"/>
  <c r="W635" i="20"/>
  <c r="V635" i="20"/>
  <c r="AA634" i="20"/>
  <c r="Z634" i="20"/>
  <c r="Y634" i="20"/>
  <c r="X634" i="20"/>
  <c r="W634" i="20"/>
  <c r="V634" i="20"/>
  <c r="AA633" i="20"/>
  <c r="Z633" i="20"/>
  <c r="Y633" i="20"/>
  <c r="X633" i="20"/>
  <c r="W633" i="20"/>
  <c r="V633" i="20"/>
  <c r="AA632" i="20"/>
  <c r="Z632" i="20"/>
  <c r="Y632" i="20"/>
  <c r="X632" i="20"/>
  <c r="W632" i="20"/>
  <c r="V632" i="20"/>
  <c r="AA631" i="20"/>
  <c r="Z631" i="20"/>
  <c r="Y631" i="20"/>
  <c r="X631" i="20"/>
  <c r="W631" i="20"/>
  <c r="V631" i="20"/>
  <c r="AA630" i="20"/>
  <c r="Z630" i="20"/>
  <c r="Y630" i="20"/>
  <c r="X630" i="20"/>
  <c r="W630" i="20"/>
  <c r="V630" i="20"/>
  <c r="AA629" i="20"/>
  <c r="Z629" i="20"/>
  <c r="Y629" i="20"/>
  <c r="X629" i="20"/>
  <c r="W629" i="20"/>
  <c r="V629" i="20"/>
  <c r="AA628" i="20"/>
  <c r="Z628" i="20"/>
  <c r="Y628" i="20"/>
  <c r="X628" i="20"/>
  <c r="W628" i="20"/>
  <c r="V628" i="20"/>
  <c r="AA627" i="20"/>
  <c r="Z627" i="20"/>
  <c r="Y627" i="20"/>
  <c r="X627" i="20"/>
  <c r="W627" i="20"/>
  <c r="V627" i="20"/>
  <c r="AA626" i="20"/>
  <c r="Z626" i="20"/>
  <c r="Y626" i="20"/>
  <c r="X626" i="20"/>
  <c r="W626" i="20"/>
  <c r="V626" i="20"/>
  <c r="AA625" i="20"/>
  <c r="Z625" i="20"/>
  <c r="Y625" i="20"/>
  <c r="X625" i="20"/>
  <c r="W625" i="20"/>
  <c r="V625" i="20"/>
  <c r="AA624" i="20"/>
  <c r="Z624" i="20"/>
  <c r="Y624" i="20"/>
  <c r="X624" i="20"/>
  <c r="W624" i="20"/>
  <c r="V624" i="20"/>
  <c r="AA623" i="20"/>
  <c r="Z623" i="20"/>
  <c r="Y623" i="20"/>
  <c r="X623" i="20"/>
  <c r="W623" i="20"/>
  <c r="V623" i="20"/>
  <c r="AA622" i="20"/>
  <c r="Z622" i="20"/>
  <c r="Y622" i="20"/>
  <c r="X622" i="20"/>
  <c r="W622" i="20"/>
  <c r="V622" i="20"/>
  <c r="AA621" i="20"/>
  <c r="Z621" i="20"/>
  <c r="Y621" i="20"/>
  <c r="X621" i="20"/>
  <c r="W621" i="20"/>
  <c r="V621" i="20"/>
  <c r="AA620" i="20"/>
  <c r="Z620" i="20"/>
  <c r="Y620" i="20"/>
  <c r="X620" i="20"/>
  <c r="W620" i="20"/>
  <c r="V620" i="20"/>
  <c r="AA619" i="20"/>
  <c r="Z619" i="20"/>
  <c r="Y619" i="20"/>
  <c r="X619" i="20"/>
  <c r="W619" i="20"/>
  <c r="V619" i="20"/>
  <c r="AA618" i="20"/>
  <c r="Z618" i="20"/>
  <c r="Y618" i="20"/>
  <c r="X618" i="20"/>
  <c r="W618" i="20"/>
  <c r="V618" i="20"/>
  <c r="AA617" i="20"/>
  <c r="Z617" i="20"/>
  <c r="Y617" i="20"/>
  <c r="X617" i="20"/>
  <c r="W617" i="20"/>
  <c r="V617" i="20"/>
  <c r="AA616" i="20"/>
  <c r="Z616" i="20"/>
  <c r="Y616" i="20"/>
  <c r="X616" i="20"/>
  <c r="W616" i="20"/>
  <c r="V616" i="20"/>
  <c r="AA615" i="20"/>
  <c r="Z615" i="20"/>
  <c r="Y615" i="20"/>
  <c r="X615" i="20"/>
  <c r="W615" i="20"/>
  <c r="V615" i="20"/>
  <c r="AA614" i="20"/>
  <c r="Z614" i="20"/>
  <c r="Y614" i="20"/>
  <c r="X614" i="20"/>
  <c r="W614" i="20"/>
  <c r="V614" i="20"/>
  <c r="AA613" i="20"/>
  <c r="Z613" i="20"/>
  <c r="Y613" i="20"/>
  <c r="X613" i="20"/>
  <c r="W613" i="20"/>
  <c r="V613" i="20"/>
  <c r="AA612" i="20"/>
  <c r="Z612" i="20"/>
  <c r="Y612" i="20"/>
  <c r="X612" i="20"/>
  <c r="W612" i="20"/>
  <c r="V612" i="20"/>
  <c r="AA611" i="20"/>
  <c r="Z611" i="20"/>
  <c r="Y611" i="20"/>
  <c r="X611" i="20"/>
  <c r="W611" i="20"/>
  <c r="V611" i="20"/>
  <c r="AA610" i="20"/>
  <c r="Z610" i="20"/>
  <c r="Y610" i="20"/>
  <c r="X610" i="20"/>
  <c r="W610" i="20"/>
  <c r="V610" i="20"/>
  <c r="AA609" i="20"/>
  <c r="Z609" i="20"/>
  <c r="Y609" i="20"/>
  <c r="X609" i="20"/>
  <c r="W609" i="20"/>
  <c r="V609" i="20"/>
  <c r="AA608" i="20"/>
  <c r="Z608" i="20"/>
  <c r="Y608" i="20"/>
  <c r="X608" i="20"/>
  <c r="W608" i="20"/>
  <c r="V608" i="20"/>
  <c r="AA607" i="20"/>
  <c r="Z607" i="20"/>
  <c r="Y607" i="20"/>
  <c r="X607" i="20"/>
  <c r="W607" i="20"/>
  <c r="V607" i="20"/>
  <c r="AA606" i="20"/>
  <c r="Z606" i="20"/>
  <c r="Y606" i="20"/>
  <c r="X606" i="20"/>
  <c r="W606" i="20"/>
  <c r="V606" i="20"/>
  <c r="AA605" i="20"/>
  <c r="Z605" i="20"/>
  <c r="Y605" i="20"/>
  <c r="X605" i="20"/>
  <c r="W605" i="20"/>
  <c r="V605" i="20"/>
  <c r="AA604" i="20"/>
  <c r="Z604" i="20"/>
  <c r="Y604" i="20"/>
  <c r="X604" i="20"/>
  <c r="W604" i="20"/>
  <c r="V604" i="20"/>
  <c r="AA603" i="20"/>
  <c r="Z603" i="20"/>
  <c r="Y603" i="20"/>
  <c r="X603" i="20"/>
  <c r="W603" i="20"/>
  <c r="V603" i="20"/>
  <c r="AA602" i="20"/>
  <c r="Z602" i="20"/>
  <c r="Y602" i="20"/>
  <c r="X602" i="20"/>
  <c r="W602" i="20"/>
  <c r="V602" i="20"/>
  <c r="AA601" i="20"/>
  <c r="Z601" i="20"/>
  <c r="Y601" i="20"/>
  <c r="X601" i="20"/>
  <c r="W601" i="20"/>
  <c r="V601" i="20"/>
  <c r="AA600" i="20"/>
  <c r="Z600" i="20"/>
  <c r="Y600" i="20"/>
  <c r="X600" i="20"/>
  <c r="W600" i="20"/>
  <c r="V600" i="20"/>
  <c r="AA599" i="20"/>
  <c r="Z599" i="20"/>
  <c r="Y599" i="20"/>
  <c r="X599" i="20"/>
  <c r="W599" i="20"/>
  <c r="V599" i="20"/>
  <c r="AA598" i="20"/>
  <c r="Z598" i="20"/>
  <c r="Y598" i="20"/>
  <c r="X598" i="20"/>
  <c r="W598" i="20"/>
  <c r="V598" i="20"/>
  <c r="AA597" i="20"/>
  <c r="Z597" i="20"/>
  <c r="Y597" i="20"/>
  <c r="X597" i="20"/>
  <c r="W597" i="20"/>
  <c r="V597" i="20"/>
  <c r="AA596" i="20"/>
  <c r="Z596" i="20"/>
  <c r="Y596" i="20"/>
  <c r="X596" i="20"/>
  <c r="W596" i="20"/>
  <c r="V596" i="20"/>
  <c r="AA595" i="20"/>
  <c r="Z595" i="20"/>
  <c r="Y595" i="20"/>
  <c r="X595" i="20"/>
  <c r="W595" i="20"/>
  <c r="V595" i="20"/>
  <c r="AA594" i="20"/>
  <c r="Z594" i="20"/>
  <c r="Y594" i="20"/>
  <c r="X594" i="20"/>
  <c r="W594" i="20"/>
  <c r="V594" i="20"/>
  <c r="AA593" i="20"/>
  <c r="Z593" i="20"/>
  <c r="Y593" i="20"/>
  <c r="X593" i="20"/>
  <c r="W593" i="20"/>
  <c r="V593" i="20"/>
  <c r="AA592" i="20"/>
  <c r="Z592" i="20"/>
  <c r="Y592" i="20"/>
  <c r="X592" i="20"/>
  <c r="W592" i="20"/>
  <c r="V592" i="20"/>
  <c r="AA591" i="20"/>
  <c r="Z591" i="20"/>
  <c r="Y591" i="20"/>
  <c r="X591" i="20"/>
  <c r="W591" i="20"/>
  <c r="V591" i="20"/>
  <c r="AA590" i="20"/>
  <c r="Z590" i="20"/>
  <c r="Y590" i="20"/>
  <c r="X590" i="20"/>
  <c r="W590" i="20"/>
  <c r="V590" i="20"/>
  <c r="AA589" i="20"/>
  <c r="Z589" i="20"/>
  <c r="Y589" i="20"/>
  <c r="X589" i="20"/>
  <c r="W589" i="20"/>
  <c r="V589" i="20"/>
  <c r="AA588" i="20"/>
  <c r="Z588" i="20"/>
  <c r="Y588" i="20"/>
  <c r="X588" i="20"/>
  <c r="W588" i="20"/>
  <c r="V588" i="20"/>
  <c r="AA587" i="20"/>
  <c r="Z587" i="20"/>
  <c r="Y587" i="20"/>
  <c r="X587" i="20"/>
  <c r="W587" i="20"/>
  <c r="V587" i="20"/>
  <c r="AA586" i="20"/>
  <c r="Z586" i="20"/>
  <c r="Y586" i="20"/>
  <c r="X586" i="20"/>
  <c r="W586" i="20"/>
  <c r="V586" i="20"/>
  <c r="AA585" i="20"/>
  <c r="Z585" i="20"/>
  <c r="Y585" i="20"/>
  <c r="X585" i="20"/>
  <c r="W585" i="20"/>
  <c r="V585" i="20"/>
  <c r="AA584" i="20"/>
  <c r="Z584" i="20"/>
  <c r="Y584" i="20"/>
  <c r="X584" i="20"/>
  <c r="W584" i="20"/>
  <c r="V584" i="20"/>
  <c r="AA583" i="20"/>
  <c r="Z583" i="20"/>
  <c r="Y583" i="20"/>
  <c r="X583" i="20"/>
  <c r="W583" i="20"/>
  <c r="V583" i="20"/>
  <c r="AA582" i="20"/>
  <c r="Z582" i="20"/>
  <c r="Y582" i="20"/>
  <c r="X582" i="20"/>
  <c r="W582" i="20"/>
  <c r="V582" i="20"/>
  <c r="AA581" i="20"/>
  <c r="Z581" i="20"/>
  <c r="Y581" i="20"/>
  <c r="X581" i="20"/>
  <c r="W581" i="20"/>
  <c r="V581" i="20"/>
  <c r="AA580" i="20"/>
  <c r="Z580" i="20"/>
  <c r="Y580" i="20"/>
  <c r="X580" i="20"/>
  <c r="W580" i="20"/>
  <c r="V580" i="20"/>
  <c r="AA579" i="20"/>
  <c r="Z579" i="20"/>
  <c r="Y579" i="20"/>
  <c r="X579" i="20"/>
  <c r="W579" i="20"/>
  <c r="V579" i="20"/>
  <c r="AA578" i="20"/>
  <c r="Z578" i="20"/>
  <c r="Y578" i="20"/>
  <c r="X578" i="20"/>
  <c r="W578" i="20"/>
  <c r="V578" i="20"/>
  <c r="AA577" i="20"/>
  <c r="Z577" i="20"/>
  <c r="Y577" i="20"/>
  <c r="X577" i="20"/>
  <c r="W577" i="20"/>
  <c r="V577" i="20"/>
  <c r="AA576" i="20"/>
  <c r="Z576" i="20"/>
  <c r="Y576" i="20"/>
  <c r="X576" i="20"/>
  <c r="W576" i="20"/>
  <c r="V576" i="20"/>
  <c r="AA575" i="20"/>
  <c r="Z575" i="20"/>
  <c r="Y575" i="20"/>
  <c r="X575" i="20"/>
  <c r="W575" i="20"/>
  <c r="V575" i="20"/>
  <c r="AA574" i="20"/>
  <c r="Z574" i="20"/>
  <c r="Y574" i="20"/>
  <c r="X574" i="20"/>
  <c r="W574" i="20"/>
  <c r="V574" i="20"/>
  <c r="AA573" i="20"/>
  <c r="Z573" i="20"/>
  <c r="Y573" i="20"/>
  <c r="X573" i="20"/>
  <c r="W573" i="20"/>
  <c r="V573" i="20"/>
  <c r="AA572" i="20"/>
  <c r="Z572" i="20"/>
  <c r="Y572" i="20"/>
  <c r="X572" i="20"/>
  <c r="W572" i="20"/>
  <c r="V572" i="20"/>
  <c r="AA571" i="20"/>
  <c r="Z571" i="20"/>
  <c r="Y571" i="20"/>
  <c r="X571" i="20"/>
  <c r="W571" i="20"/>
  <c r="V571" i="20"/>
  <c r="AA570" i="20"/>
  <c r="Z570" i="20"/>
  <c r="Y570" i="20"/>
  <c r="X570" i="20"/>
  <c r="W570" i="20"/>
  <c r="V570" i="20"/>
  <c r="AA569" i="20"/>
  <c r="Z569" i="20"/>
  <c r="Y569" i="20"/>
  <c r="X569" i="20"/>
  <c r="W569" i="20"/>
  <c r="V569" i="20"/>
  <c r="AA568" i="20"/>
  <c r="Z568" i="20"/>
  <c r="Y568" i="20"/>
  <c r="X568" i="20"/>
  <c r="W568" i="20"/>
  <c r="V568" i="20"/>
  <c r="AA567" i="20"/>
  <c r="Z567" i="20"/>
  <c r="Y567" i="20"/>
  <c r="X567" i="20"/>
  <c r="W567" i="20"/>
  <c r="V567" i="20"/>
  <c r="AA566" i="20"/>
  <c r="Z566" i="20"/>
  <c r="Y566" i="20"/>
  <c r="X566" i="20"/>
  <c r="W566" i="20"/>
  <c r="V566" i="20"/>
  <c r="AA565" i="20"/>
  <c r="Z565" i="20"/>
  <c r="Y565" i="20"/>
  <c r="X565" i="20"/>
  <c r="W565" i="20"/>
  <c r="V565" i="20"/>
  <c r="AA564" i="20"/>
  <c r="Z564" i="20"/>
  <c r="Y564" i="20"/>
  <c r="X564" i="20"/>
  <c r="W564" i="20"/>
  <c r="V564" i="20"/>
  <c r="AA563" i="20"/>
  <c r="Z563" i="20"/>
  <c r="Y563" i="20"/>
  <c r="X563" i="20"/>
  <c r="W563" i="20"/>
  <c r="V563" i="20"/>
  <c r="AA562" i="20"/>
  <c r="Z562" i="20"/>
  <c r="Y562" i="20"/>
  <c r="X562" i="20"/>
  <c r="W562" i="20"/>
  <c r="V562" i="20"/>
  <c r="AA561" i="20"/>
  <c r="Z561" i="20"/>
  <c r="Y561" i="20"/>
  <c r="X561" i="20"/>
  <c r="W561" i="20"/>
  <c r="V561" i="20"/>
  <c r="AA560" i="20"/>
  <c r="Z560" i="20"/>
  <c r="Y560" i="20"/>
  <c r="X560" i="20"/>
  <c r="W560" i="20"/>
  <c r="V560" i="20"/>
  <c r="AA559" i="20"/>
  <c r="Z559" i="20"/>
  <c r="Y559" i="20"/>
  <c r="X559" i="20"/>
  <c r="W559" i="20"/>
  <c r="V559" i="20"/>
  <c r="AA558" i="20"/>
  <c r="Z558" i="20"/>
  <c r="Y558" i="20"/>
  <c r="X558" i="20"/>
  <c r="W558" i="20"/>
  <c r="V558" i="20"/>
  <c r="AA557" i="20"/>
  <c r="Z557" i="20"/>
  <c r="Y557" i="20"/>
  <c r="X557" i="20"/>
  <c r="W557" i="20"/>
  <c r="V557" i="20"/>
  <c r="AA556" i="20"/>
  <c r="Z556" i="20"/>
  <c r="Y556" i="20"/>
  <c r="X556" i="20"/>
  <c r="W556" i="20"/>
  <c r="V556" i="20"/>
  <c r="AA555" i="20"/>
  <c r="Z555" i="20"/>
  <c r="Y555" i="20"/>
  <c r="X555" i="20"/>
  <c r="W555" i="20"/>
  <c r="V555" i="20"/>
  <c r="AA554" i="20"/>
  <c r="Z554" i="20"/>
  <c r="Y554" i="20"/>
  <c r="X554" i="20"/>
  <c r="W554" i="20"/>
  <c r="V554" i="20"/>
  <c r="AA553" i="20"/>
  <c r="Z553" i="20"/>
  <c r="Y553" i="20"/>
  <c r="X553" i="20"/>
  <c r="W553" i="20"/>
  <c r="V553" i="20"/>
  <c r="AA552" i="20"/>
  <c r="Z552" i="20"/>
  <c r="Y552" i="20"/>
  <c r="X552" i="20"/>
  <c r="W552" i="20"/>
  <c r="V552" i="20"/>
  <c r="AA551" i="20"/>
  <c r="Z551" i="20"/>
  <c r="Y551" i="20"/>
  <c r="X551" i="20"/>
  <c r="W551" i="20"/>
  <c r="V551" i="20"/>
  <c r="AA550" i="20"/>
  <c r="Z550" i="20"/>
  <c r="Y550" i="20"/>
  <c r="X550" i="20"/>
  <c r="W550" i="20"/>
  <c r="V550" i="20"/>
  <c r="AA549" i="20"/>
  <c r="Z549" i="20"/>
  <c r="Y549" i="20"/>
  <c r="X549" i="20"/>
  <c r="W549" i="20"/>
  <c r="V549" i="20"/>
  <c r="AA548" i="20"/>
  <c r="Z548" i="20"/>
  <c r="Y548" i="20"/>
  <c r="X548" i="20"/>
  <c r="W548" i="20"/>
  <c r="V548" i="20"/>
  <c r="AA547" i="20"/>
  <c r="Z547" i="20"/>
  <c r="Y547" i="20"/>
  <c r="X547" i="20"/>
  <c r="W547" i="20"/>
  <c r="V547" i="20"/>
  <c r="AA546" i="20"/>
  <c r="Z546" i="20"/>
  <c r="Y546" i="20"/>
  <c r="X546" i="20"/>
  <c r="W546" i="20"/>
  <c r="V546" i="20"/>
  <c r="AA545" i="20"/>
  <c r="Z545" i="20"/>
  <c r="Y545" i="20"/>
  <c r="X545" i="20"/>
  <c r="W545" i="20"/>
  <c r="V545" i="20"/>
  <c r="AA544" i="20"/>
  <c r="Z544" i="20"/>
  <c r="Y544" i="20"/>
  <c r="X544" i="20"/>
  <c r="W544" i="20"/>
  <c r="V544" i="20"/>
  <c r="AA543" i="20"/>
  <c r="Z543" i="20"/>
  <c r="Y543" i="20"/>
  <c r="X543" i="20"/>
  <c r="W543" i="20"/>
  <c r="V543" i="20"/>
  <c r="AA542" i="20"/>
  <c r="Z542" i="20"/>
  <c r="Y542" i="20"/>
  <c r="X542" i="20"/>
  <c r="W542" i="20"/>
  <c r="V542" i="20"/>
  <c r="AA541" i="20"/>
  <c r="Z541" i="20"/>
  <c r="Y541" i="20"/>
  <c r="X541" i="20"/>
  <c r="W541" i="20"/>
  <c r="V541" i="20"/>
  <c r="AA540" i="20"/>
  <c r="Z540" i="20"/>
  <c r="Y540" i="20"/>
  <c r="X540" i="20"/>
  <c r="W540" i="20"/>
  <c r="V540" i="20"/>
  <c r="AA539" i="20"/>
  <c r="Z539" i="20"/>
  <c r="Y539" i="20"/>
  <c r="X539" i="20"/>
  <c r="W539" i="20"/>
  <c r="V539" i="20"/>
  <c r="AA538" i="20"/>
  <c r="Z538" i="20"/>
  <c r="Y538" i="20"/>
  <c r="X538" i="20"/>
  <c r="W538" i="20"/>
  <c r="V538" i="20"/>
  <c r="AA537" i="20"/>
  <c r="Z537" i="20"/>
  <c r="Y537" i="20"/>
  <c r="X537" i="20"/>
  <c r="W537" i="20"/>
  <c r="V537" i="20"/>
  <c r="AA536" i="20"/>
  <c r="Z536" i="20"/>
  <c r="Y536" i="20"/>
  <c r="X536" i="20"/>
  <c r="W536" i="20"/>
  <c r="V536" i="20"/>
  <c r="AA535" i="20"/>
  <c r="Z535" i="20"/>
  <c r="Y535" i="20"/>
  <c r="X535" i="20"/>
  <c r="W535" i="20"/>
  <c r="V535" i="20"/>
  <c r="AA534" i="20"/>
  <c r="Z534" i="20"/>
  <c r="Y534" i="20"/>
  <c r="X534" i="20"/>
  <c r="W534" i="20"/>
  <c r="V534" i="20"/>
  <c r="AA533" i="20"/>
  <c r="Z533" i="20"/>
  <c r="Y533" i="20"/>
  <c r="X533" i="20"/>
  <c r="W533" i="20"/>
  <c r="V533" i="20"/>
  <c r="AA532" i="20"/>
  <c r="Z532" i="20"/>
  <c r="Y532" i="20"/>
  <c r="X532" i="20"/>
  <c r="W532" i="20"/>
  <c r="V532" i="20"/>
  <c r="AA531" i="20"/>
  <c r="Z531" i="20"/>
  <c r="Y531" i="20"/>
  <c r="X531" i="20"/>
  <c r="W531" i="20"/>
  <c r="V531" i="20"/>
  <c r="AA530" i="20"/>
  <c r="Z530" i="20"/>
  <c r="Y530" i="20"/>
  <c r="X530" i="20"/>
  <c r="W530" i="20"/>
  <c r="V530" i="20"/>
  <c r="AA529" i="20"/>
  <c r="Z529" i="20"/>
  <c r="Y529" i="20"/>
  <c r="X529" i="20"/>
  <c r="W529" i="20"/>
  <c r="V529" i="20"/>
  <c r="AA528" i="20"/>
  <c r="Z528" i="20"/>
  <c r="Y528" i="20"/>
  <c r="X528" i="20"/>
  <c r="W528" i="20"/>
  <c r="V528" i="20"/>
  <c r="AA527" i="20"/>
  <c r="Z527" i="20"/>
  <c r="Y527" i="20"/>
  <c r="X527" i="20"/>
  <c r="W527" i="20"/>
  <c r="V527" i="20"/>
  <c r="AA526" i="20"/>
  <c r="Z526" i="20"/>
  <c r="Y526" i="20"/>
  <c r="X526" i="20"/>
  <c r="W526" i="20"/>
  <c r="V526" i="20"/>
  <c r="AA525" i="20"/>
  <c r="Z525" i="20"/>
  <c r="Y525" i="20"/>
  <c r="X525" i="20"/>
  <c r="W525" i="20"/>
  <c r="V525" i="20"/>
  <c r="AA524" i="20"/>
  <c r="Z524" i="20"/>
  <c r="Y524" i="20"/>
  <c r="X524" i="20"/>
  <c r="W524" i="20"/>
  <c r="V524" i="20"/>
  <c r="AA523" i="20"/>
  <c r="Z523" i="20"/>
  <c r="Y523" i="20"/>
  <c r="X523" i="20"/>
  <c r="W523" i="20"/>
  <c r="V523" i="20"/>
  <c r="AA522" i="20"/>
  <c r="Z522" i="20"/>
  <c r="Y522" i="20"/>
  <c r="X522" i="20"/>
  <c r="W522" i="20"/>
  <c r="V522" i="20"/>
  <c r="AA521" i="20"/>
  <c r="Z521" i="20"/>
  <c r="Y521" i="20"/>
  <c r="X521" i="20"/>
  <c r="W521" i="20"/>
  <c r="V521" i="20"/>
  <c r="AA520" i="20"/>
  <c r="Z520" i="20"/>
  <c r="Y520" i="20"/>
  <c r="X520" i="20"/>
  <c r="W520" i="20"/>
  <c r="V520" i="20"/>
  <c r="AA519" i="20"/>
  <c r="Z519" i="20"/>
  <c r="Y519" i="20"/>
  <c r="X519" i="20"/>
  <c r="W519" i="20"/>
  <c r="V519" i="20"/>
  <c r="AA518" i="20"/>
  <c r="Z518" i="20"/>
  <c r="Y518" i="20"/>
  <c r="X518" i="20"/>
  <c r="W518" i="20"/>
  <c r="V518" i="20"/>
  <c r="AA517" i="20"/>
  <c r="Z517" i="20"/>
  <c r="Y517" i="20"/>
  <c r="X517" i="20"/>
  <c r="W517" i="20"/>
  <c r="V517" i="20"/>
  <c r="AA516" i="20"/>
  <c r="Z516" i="20"/>
  <c r="Y516" i="20"/>
  <c r="X516" i="20"/>
  <c r="W516" i="20"/>
  <c r="V516" i="20"/>
  <c r="AA515" i="20"/>
  <c r="Z515" i="20"/>
  <c r="Y515" i="20"/>
  <c r="X515" i="20"/>
  <c r="W515" i="20"/>
  <c r="V515" i="20"/>
  <c r="AA514" i="20"/>
  <c r="Z514" i="20"/>
  <c r="Y514" i="20"/>
  <c r="X514" i="20"/>
  <c r="W514" i="20"/>
  <c r="V514" i="20"/>
  <c r="AA513" i="20"/>
  <c r="Z513" i="20"/>
  <c r="Y513" i="20"/>
  <c r="X513" i="20"/>
  <c r="W513" i="20"/>
  <c r="V513" i="20"/>
  <c r="AA512" i="20"/>
  <c r="Z512" i="20"/>
  <c r="Y512" i="20"/>
  <c r="X512" i="20"/>
  <c r="W512" i="20"/>
  <c r="V512" i="20"/>
  <c r="AA511" i="20"/>
  <c r="Z511" i="20"/>
  <c r="Y511" i="20"/>
  <c r="X511" i="20"/>
  <c r="W511" i="20"/>
  <c r="V511" i="20"/>
  <c r="AA510" i="20"/>
  <c r="Z510" i="20"/>
  <c r="Y510" i="20"/>
  <c r="X510" i="20"/>
  <c r="W510" i="20"/>
  <c r="V510" i="20"/>
  <c r="AA509" i="20"/>
  <c r="Z509" i="20"/>
  <c r="Y509" i="20"/>
  <c r="X509" i="20"/>
  <c r="W509" i="20"/>
  <c r="V509" i="20"/>
  <c r="AA508" i="20"/>
  <c r="Z508" i="20"/>
  <c r="Y508" i="20"/>
  <c r="X508" i="20"/>
  <c r="W508" i="20"/>
  <c r="V508" i="20"/>
  <c r="AA507" i="20"/>
  <c r="Z507" i="20"/>
  <c r="Y507" i="20"/>
  <c r="X507" i="20"/>
  <c r="W507" i="20"/>
  <c r="V507" i="20"/>
  <c r="AA506" i="20"/>
  <c r="Z506" i="20"/>
  <c r="Y506" i="20"/>
  <c r="X506" i="20"/>
  <c r="W506" i="20"/>
  <c r="V506" i="20"/>
  <c r="AA505" i="20"/>
  <c r="Z505" i="20"/>
  <c r="Y505" i="20"/>
  <c r="X505" i="20"/>
  <c r="W505" i="20"/>
  <c r="V505" i="20"/>
  <c r="AA504" i="20"/>
  <c r="Z504" i="20"/>
  <c r="Y504" i="20"/>
  <c r="X504" i="20"/>
  <c r="W504" i="20"/>
  <c r="V504" i="20"/>
  <c r="AA503" i="20"/>
  <c r="Z503" i="20"/>
  <c r="Y503" i="20"/>
  <c r="X503" i="20"/>
  <c r="W503" i="20"/>
  <c r="V503" i="20"/>
  <c r="AA502" i="20"/>
  <c r="Z502" i="20"/>
  <c r="Y502" i="20"/>
  <c r="X502" i="20"/>
  <c r="W502" i="20"/>
  <c r="V502" i="20"/>
  <c r="AA501" i="20"/>
  <c r="Z501" i="20"/>
  <c r="Y501" i="20"/>
  <c r="X501" i="20"/>
  <c r="W501" i="20"/>
  <c r="V501" i="20"/>
  <c r="AA500" i="20"/>
  <c r="Z500" i="20"/>
  <c r="Y500" i="20"/>
  <c r="X500" i="20"/>
  <c r="W500" i="20"/>
  <c r="V500" i="20"/>
  <c r="AA499" i="20"/>
  <c r="Z499" i="20"/>
  <c r="Y499" i="20"/>
  <c r="X499" i="20"/>
  <c r="W499" i="20"/>
  <c r="V499" i="20"/>
  <c r="AA498" i="20"/>
  <c r="Z498" i="20"/>
  <c r="Y498" i="20"/>
  <c r="X498" i="20"/>
  <c r="W498" i="20"/>
  <c r="V498" i="20"/>
  <c r="AA497" i="20"/>
  <c r="Z497" i="20"/>
  <c r="Y497" i="20"/>
  <c r="X497" i="20"/>
  <c r="W497" i="20"/>
  <c r="V497" i="20"/>
  <c r="AA496" i="20"/>
  <c r="Z496" i="20"/>
  <c r="Y496" i="20"/>
  <c r="X496" i="20"/>
  <c r="W496" i="20"/>
  <c r="V496" i="20"/>
  <c r="AA495" i="20"/>
  <c r="Z495" i="20"/>
  <c r="Y495" i="20"/>
  <c r="X495" i="20"/>
  <c r="W495" i="20"/>
  <c r="V495" i="20"/>
  <c r="AA494" i="20"/>
  <c r="Z494" i="20"/>
  <c r="Y494" i="20"/>
  <c r="X494" i="20"/>
  <c r="W494" i="20"/>
  <c r="V494" i="20"/>
  <c r="AA493" i="20"/>
  <c r="Z493" i="20"/>
  <c r="Y493" i="20"/>
  <c r="X493" i="20"/>
  <c r="W493" i="20"/>
  <c r="V493" i="20"/>
  <c r="AA492" i="20"/>
  <c r="Z492" i="20"/>
  <c r="Y492" i="20"/>
  <c r="X492" i="20"/>
  <c r="W492" i="20"/>
  <c r="V492" i="20"/>
  <c r="AA491" i="20"/>
  <c r="Z491" i="20"/>
  <c r="Y491" i="20"/>
  <c r="X491" i="20"/>
  <c r="W491" i="20"/>
  <c r="V491" i="20"/>
  <c r="AA490" i="20"/>
  <c r="Z490" i="20"/>
  <c r="Y490" i="20"/>
  <c r="X490" i="20"/>
  <c r="W490" i="20"/>
  <c r="V490" i="20"/>
  <c r="AA489" i="20"/>
  <c r="Z489" i="20"/>
  <c r="Y489" i="20"/>
  <c r="X489" i="20"/>
  <c r="W489" i="20"/>
  <c r="V489" i="20"/>
  <c r="AA488" i="20"/>
  <c r="Z488" i="20"/>
  <c r="Y488" i="20"/>
  <c r="X488" i="20"/>
  <c r="W488" i="20"/>
  <c r="V488" i="20"/>
  <c r="AA487" i="20"/>
  <c r="Z487" i="20"/>
  <c r="Y487" i="20"/>
  <c r="X487" i="20"/>
  <c r="W487" i="20"/>
  <c r="V487" i="20"/>
  <c r="AA486" i="20"/>
  <c r="Z486" i="20"/>
  <c r="Y486" i="20"/>
  <c r="X486" i="20"/>
  <c r="W486" i="20"/>
  <c r="V486" i="20"/>
  <c r="AA485" i="20"/>
  <c r="Z485" i="20"/>
  <c r="Y485" i="20"/>
  <c r="X485" i="20"/>
  <c r="W485" i="20"/>
  <c r="V485" i="20"/>
  <c r="AA484" i="20"/>
  <c r="Z484" i="20"/>
  <c r="Y484" i="20"/>
  <c r="X484" i="20"/>
  <c r="W484" i="20"/>
  <c r="V484" i="20"/>
  <c r="AA483" i="20"/>
  <c r="Z483" i="20"/>
  <c r="Y483" i="20"/>
  <c r="X483" i="20"/>
  <c r="W483" i="20"/>
  <c r="V483" i="20"/>
  <c r="AA482" i="20"/>
  <c r="Z482" i="20"/>
  <c r="Y482" i="20"/>
  <c r="X482" i="20"/>
  <c r="W482" i="20"/>
  <c r="V482" i="20"/>
  <c r="AA481" i="20"/>
  <c r="Z481" i="20"/>
  <c r="Y481" i="20"/>
  <c r="X481" i="20"/>
  <c r="W481" i="20"/>
  <c r="V481" i="20"/>
  <c r="AA480" i="20"/>
  <c r="Z480" i="20"/>
  <c r="Y480" i="20"/>
  <c r="X480" i="20"/>
  <c r="W480" i="20"/>
  <c r="V480" i="20"/>
  <c r="AA479" i="20"/>
  <c r="Z479" i="20"/>
  <c r="Y479" i="20"/>
  <c r="X479" i="20"/>
  <c r="W479" i="20"/>
  <c r="V479" i="20"/>
  <c r="AA478" i="20"/>
  <c r="Z478" i="20"/>
  <c r="Y478" i="20"/>
  <c r="X478" i="20"/>
  <c r="W478" i="20"/>
  <c r="V478" i="20"/>
  <c r="AA477" i="20"/>
  <c r="Z477" i="20"/>
  <c r="Y477" i="20"/>
  <c r="X477" i="20"/>
  <c r="W477" i="20"/>
  <c r="V477" i="20"/>
  <c r="AA476" i="20"/>
  <c r="Z476" i="20"/>
  <c r="Y476" i="20"/>
  <c r="X476" i="20"/>
  <c r="W476" i="20"/>
  <c r="V476" i="20"/>
  <c r="AA475" i="20"/>
  <c r="Z475" i="20"/>
  <c r="Y475" i="20"/>
  <c r="X475" i="20"/>
  <c r="W475" i="20"/>
  <c r="V475" i="20"/>
  <c r="AA474" i="20"/>
  <c r="Z474" i="20"/>
  <c r="Y474" i="20"/>
  <c r="X474" i="20"/>
  <c r="W474" i="20"/>
  <c r="V474" i="20"/>
  <c r="AA473" i="20"/>
  <c r="Z473" i="20"/>
  <c r="Y473" i="20"/>
  <c r="X473" i="20"/>
  <c r="W473" i="20"/>
  <c r="V473" i="20"/>
  <c r="AA472" i="20"/>
  <c r="Z472" i="20"/>
  <c r="Y472" i="20"/>
  <c r="X472" i="20"/>
  <c r="W472" i="20"/>
  <c r="V472" i="20"/>
  <c r="AA471" i="20"/>
  <c r="Z471" i="20"/>
  <c r="Y471" i="20"/>
  <c r="X471" i="20"/>
  <c r="W471" i="20"/>
  <c r="V471" i="20"/>
  <c r="AA470" i="20"/>
  <c r="Z470" i="20"/>
  <c r="Y470" i="20"/>
  <c r="X470" i="20"/>
  <c r="W470" i="20"/>
  <c r="V470" i="20"/>
  <c r="AA469" i="20"/>
  <c r="Z469" i="20"/>
  <c r="Y469" i="20"/>
  <c r="X469" i="20"/>
  <c r="W469" i="20"/>
  <c r="V469" i="20"/>
  <c r="AA468" i="20"/>
  <c r="Z468" i="20"/>
  <c r="Y468" i="20"/>
  <c r="X468" i="20"/>
  <c r="W468" i="20"/>
  <c r="V468" i="20"/>
  <c r="AA467" i="20"/>
  <c r="Z467" i="20"/>
  <c r="Y467" i="20"/>
  <c r="X467" i="20"/>
  <c r="W467" i="20"/>
  <c r="V467" i="20"/>
  <c r="AA466" i="20"/>
  <c r="Z466" i="20"/>
  <c r="Y466" i="20"/>
  <c r="X466" i="20"/>
  <c r="W466" i="20"/>
  <c r="V466" i="20"/>
  <c r="AA465" i="20"/>
  <c r="Z465" i="20"/>
  <c r="Y465" i="20"/>
  <c r="X465" i="20"/>
  <c r="W465" i="20"/>
  <c r="V465" i="20"/>
  <c r="AA464" i="20"/>
  <c r="Z464" i="20"/>
  <c r="Y464" i="20"/>
  <c r="X464" i="20"/>
  <c r="W464" i="20"/>
  <c r="V464" i="20"/>
  <c r="AA463" i="20"/>
  <c r="Z463" i="20"/>
  <c r="Y463" i="20"/>
  <c r="X463" i="20"/>
  <c r="W463" i="20"/>
  <c r="V463" i="20"/>
  <c r="AA462" i="20"/>
  <c r="Z462" i="20"/>
  <c r="Y462" i="20"/>
  <c r="X462" i="20"/>
  <c r="W462" i="20"/>
  <c r="V462" i="20"/>
  <c r="AA461" i="20"/>
  <c r="Z461" i="20"/>
  <c r="Y461" i="20"/>
  <c r="X461" i="20"/>
  <c r="W461" i="20"/>
  <c r="V461" i="20"/>
  <c r="AA460" i="20"/>
  <c r="Z460" i="20"/>
  <c r="Y460" i="20"/>
  <c r="X460" i="20"/>
  <c r="W460" i="20"/>
  <c r="V460" i="20"/>
  <c r="AA459" i="20"/>
  <c r="Z459" i="20"/>
  <c r="Y459" i="20"/>
  <c r="X459" i="20"/>
  <c r="W459" i="20"/>
  <c r="V459" i="20"/>
  <c r="AA458" i="20"/>
  <c r="Z458" i="20"/>
  <c r="Y458" i="20"/>
  <c r="X458" i="20"/>
  <c r="W458" i="20"/>
  <c r="V458" i="20"/>
  <c r="AA457" i="20"/>
  <c r="Z457" i="20"/>
  <c r="Y457" i="20"/>
  <c r="X457" i="20"/>
  <c r="W457" i="20"/>
  <c r="V457" i="20"/>
  <c r="AA456" i="20"/>
  <c r="Z456" i="20"/>
  <c r="Y456" i="20"/>
  <c r="X456" i="20"/>
  <c r="W456" i="20"/>
  <c r="V456" i="20"/>
  <c r="AA455" i="20"/>
  <c r="Z455" i="20"/>
  <c r="Y455" i="20"/>
  <c r="X455" i="20"/>
  <c r="W455" i="20"/>
  <c r="V455" i="20"/>
  <c r="AA454" i="20"/>
  <c r="Z454" i="20"/>
  <c r="Y454" i="20"/>
  <c r="X454" i="20"/>
  <c r="W454" i="20"/>
  <c r="V454" i="20"/>
  <c r="AA453" i="20"/>
  <c r="Z453" i="20"/>
  <c r="Y453" i="20"/>
  <c r="X453" i="20"/>
  <c r="W453" i="20"/>
  <c r="V453" i="20"/>
  <c r="AA452" i="20"/>
  <c r="Z452" i="20"/>
  <c r="Y452" i="20"/>
  <c r="X452" i="20"/>
  <c r="W452" i="20"/>
  <c r="V452" i="20"/>
  <c r="AA451" i="20"/>
  <c r="Z451" i="20"/>
  <c r="Y451" i="20"/>
  <c r="X451" i="20"/>
  <c r="W451" i="20"/>
  <c r="V451" i="20"/>
  <c r="AA450" i="20"/>
  <c r="Z450" i="20"/>
  <c r="Y450" i="20"/>
  <c r="X450" i="20"/>
  <c r="W450" i="20"/>
  <c r="V450" i="20"/>
  <c r="AA449" i="20"/>
  <c r="Z449" i="20"/>
  <c r="Y449" i="20"/>
  <c r="X449" i="20"/>
  <c r="W449" i="20"/>
  <c r="V449" i="20"/>
  <c r="AA448" i="20"/>
  <c r="Z448" i="20"/>
  <c r="Y448" i="20"/>
  <c r="X448" i="20"/>
  <c r="W448" i="20"/>
  <c r="V448" i="20"/>
  <c r="AA447" i="20"/>
  <c r="Z447" i="20"/>
  <c r="Y447" i="20"/>
  <c r="X447" i="20"/>
  <c r="W447" i="20"/>
  <c r="V447" i="20"/>
  <c r="AA446" i="20"/>
  <c r="Z446" i="20"/>
  <c r="Y446" i="20"/>
  <c r="X446" i="20"/>
  <c r="W446" i="20"/>
  <c r="V446" i="20"/>
  <c r="AA445" i="20"/>
  <c r="Z445" i="20"/>
  <c r="Y445" i="20"/>
  <c r="X445" i="20"/>
  <c r="W445" i="20"/>
  <c r="V445" i="20"/>
  <c r="AA444" i="20"/>
  <c r="Z444" i="20"/>
  <c r="Y444" i="20"/>
  <c r="X444" i="20"/>
  <c r="W444" i="20"/>
  <c r="V444" i="20"/>
  <c r="AA443" i="20"/>
  <c r="Z443" i="20"/>
  <c r="Y443" i="20"/>
  <c r="X443" i="20"/>
  <c r="W443" i="20"/>
  <c r="V443" i="20"/>
  <c r="AA442" i="20"/>
  <c r="Z442" i="20"/>
  <c r="Y442" i="20"/>
  <c r="X442" i="20"/>
  <c r="W442" i="20"/>
  <c r="V442" i="20"/>
  <c r="AA441" i="20"/>
  <c r="Z441" i="20"/>
  <c r="Y441" i="20"/>
  <c r="X441" i="20"/>
  <c r="W441" i="20"/>
  <c r="V441" i="20"/>
  <c r="AA440" i="20"/>
  <c r="Z440" i="20"/>
  <c r="Y440" i="20"/>
  <c r="X440" i="20"/>
  <c r="W440" i="20"/>
  <c r="V440" i="20"/>
  <c r="AA439" i="20"/>
  <c r="Z439" i="20"/>
  <c r="Y439" i="20"/>
  <c r="X439" i="20"/>
  <c r="W439" i="20"/>
  <c r="V439" i="20"/>
  <c r="AA438" i="20"/>
  <c r="Z438" i="20"/>
  <c r="Y438" i="20"/>
  <c r="X438" i="20"/>
  <c r="W438" i="20"/>
  <c r="V438" i="20"/>
  <c r="AA437" i="20"/>
  <c r="Z437" i="20"/>
  <c r="Y437" i="20"/>
  <c r="X437" i="20"/>
  <c r="W437" i="20"/>
  <c r="V437" i="20"/>
  <c r="AA436" i="20"/>
  <c r="Z436" i="20"/>
  <c r="Y436" i="20"/>
  <c r="X436" i="20"/>
  <c r="W436" i="20"/>
  <c r="V436" i="20"/>
  <c r="AA435" i="20"/>
  <c r="Z435" i="20"/>
  <c r="Y435" i="20"/>
  <c r="X435" i="20"/>
  <c r="W435" i="20"/>
  <c r="V435" i="20"/>
  <c r="AA434" i="20"/>
  <c r="Z434" i="20"/>
  <c r="Y434" i="20"/>
  <c r="X434" i="20"/>
  <c r="W434" i="20"/>
  <c r="V434" i="20"/>
  <c r="AA433" i="20"/>
  <c r="Z433" i="20"/>
  <c r="Y433" i="20"/>
  <c r="X433" i="20"/>
  <c r="W433" i="20"/>
  <c r="V433" i="20"/>
  <c r="AA432" i="20"/>
  <c r="Z432" i="20"/>
  <c r="Y432" i="20"/>
  <c r="X432" i="20"/>
  <c r="W432" i="20"/>
  <c r="V432" i="20"/>
  <c r="AA431" i="20"/>
  <c r="Z431" i="20"/>
  <c r="Y431" i="20"/>
  <c r="X431" i="20"/>
  <c r="W431" i="20"/>
  <c r="V431" i="20"/>
  <c r="AA430" i="20"/>
  <c r="Z430" i="20"/>
  <c r="Y430" i="20"/>
  <c r="X430" i="20"/>
  <c r="W430" i="20"/>
  <c r="V430" i="20"/>
  <c r="AA429" i="20"/>
  <c r="Z429" i="20"/>
  <c r="Y429" i="20"/>
  <c r="X429" i="20"/>
  <c r="W429" i="20"/>
  <c r="V429" i="20"/>
  <c r="AA428" i="20"/>
  <c r="Z428" i="20"/>
  <c r="Y428" i="20"/>
  <c r="X428" i="20"/>
  <c r="W428" i="20"/>
  <c r="V428" i="20"/>
  <c r="AA427" i="20"/>
  <c r="Z427" i="20"/>
  <c r="Y427" i="20"/>
  <c r="X427" i="20"/>
  <c r="W427" i="20"/>
  <c r="V427" i="20"/>
  <c r="AA426" i="20"/>
  <c r="Z426" i="20"/>
  <c r="Y426" i="20"/>
  <c r="X426" i="20"/>
  <c r="W426" i="20"/>
  <c r="V426" i="20"/>
  <c r="AA425" i="20"/>
  <c r="Z425" i="20"/>
  <c r="Y425" i="20"/>
  <c r="X425" i="20"/>
  <c r="W425" i="20"/>
  <c r="V425" i="20"/>
  <c r="AA424" i="20"/>
  <c r="Z424" i="20"/>
  <c r="Y424" i="20"/>
  <c r="X424" i="20"/>
  <c r="W424" i="20"/>
  <c r="V424" i="20"/>
  <c r="AA423" i="20"/>
  <c r="Z423" i="20"/>
  <c r="Y423" i="20"/>
  <c r="X423" i="20"/>
  <c r="W423" i="20"/>
  <c r="V423" i="20"/>
  <c r="AA422" i="20"/>
  <c r="Z422" i="20"/>
  <c r="Y422" i="20"/>
  <c r="X422" i="20"/>
  <c r="W422" i="20"/>
  <c r="V422" i="20"/>
  <c r="AA421" i="20"/>
  <c r="Z421" i="20"/>
  <c r="Y421" i="20"/>
  <c r="X421" i="20"/>
  <c r="W421" i="20"/>
  <c r="V421" i="20"/>
  <c r="AA420" i="20"/>
  <c r="Z420" i="20"/>
  <c r="Y420" i="20"/>
  <c r="X420" i="20"/>
  <c r="W420" i="20"/>
  <c r="V420" i="20"/>
  <c r="AA419" i="20"/>
  <c r="Z419" i="20"/>
  <c r="Y419" i="20"/>
  <c r="X419" i="20"/>
  <c r="W419" i="20"/>
  <c r="V419" i="20"/>
  <c r="AA418" i="20"/>
  <c r="Z418" i="20"/>
  <c r="Y418" i="20"/>
  <c r="X418" i="20"/>
  <c r="W418" i="20"/>
  <c r="V418" i="20"/>
  <c r="AA417" i="20"/>
  <c r="Z417" i="20"/>
  <c r="Y417" i="20"/>
  <c r="X417" i="20"/>
  <c r="W417" i="20"/>
  <c r="V417" i="20"/>
  <c r="AA416" i="20"/>
  <c r="Z416" i="20"/>
  <c r="Y416" i="20"/>
  <c r="X416" i="20"/>
  <c r="W416" i="20"/>
  <c r="V416" i="20"/>
  <c r="AA415" i="20"/>
  <c r="Z415" i="20"/>
  <c r="Y415" i="20"/>
  <c r="X415" i="20"/>
  <c r="W415" i="20"/>
  <c r="V415" i="20"/>
  <c r="AA414" i="20"/>
  <c r="Z414" i="20"/>
  <c r="Y414" i="20"/>
  <c r="X414" i="20"/>
  <c r="W414" i="20"/>
  <c r="V414" i="20"/>
  <c r="AA413" i="20"/>
  <c r="Z413" i="20"/>
  <c r="Y413" i="20"/>
  <c r="X413" i="20"/>
  <c r="W413" i="20"/>
  <c r="V413" i="20"/>
  <c r="AA412" i="20"/>
  <c r="Z412" i="20"/>
  <c r="Y412" i="20"/>
  <c r="X412" i="20"/>
  <c r="W412" i="20"/>
  <c r="V412" i="20"/>
  <c r="AA411" i="20"/>
  <c r="Z411" i="20"/>
  <c r="Y411" i="20"/>
  <c r="X411" i="20"/>
  <c r="W411" i="20"/>
  <c r="V411" i="20"/>
  <c r="AA410" i="20"/>
  <c r="Z410" i="20"/>
  <c r="Y410" i="20"/>
  <c r="X410" i="20"/>
  <c r="W410" i="20"/>
  <c r="V410" i="20"/>
  <c r="AA409" i="20"/>
  <c r="Z409" i="20"/>
  <c r="Y409" i="20"/>
  <c r="X409" i="20"/>
  <c r="W409" i="20"/>
  <c r="V409" i="20"/>
  <c r="AA408" i="20"/>
  <c r="Z408" i="20"/>
  <c r="Y408" i="20"/>
  <c r="X408" i="20"/>
  <c r="W408" i="20"/>
  <c r="V408" i="20"/>
  <c r="AA407" i="20"/>
  <c r="Z407" i="20"/>
  <c r="Y407" i="20"/>
  <c r="X407" i="20"/>
  <c r="W407" i="20"/>
  <c r="V407" i="20"/>
  <c r="AA406" i="20"/>
  <c r="Z406" i="20"/>
  <c r="Y406" i="20"/>
  <c r="X406" i="20"/>
  <c r="W406" i="20"/>
  <c r="V406" i="20"/>
  <c r="AA405" i="20"/>
  <c r="Z405" i="20"/>
  <c r="Y405" i="20"/>
  <c r="X405" i="20"/>
  <c r="W405" i="20"/>
  <c r="V405" i="20"/>
  <c r="AA404" i="20"/>
  <c r="Z404" i="20"/>
  <c r="Y404" i="20"/>
  <c r="X404" i="20"/>
  <c r="W404" i="20"/>
  <c r="V404" i="20"/>
  <c r="AA403" i="20"/>
  <c r="Z403" i="20"/>
  <c r="Y403" i="20"/>
  <c r="X403" i="20"/>
  <c r="W403" i="20"/>
  <c r="V403" i="20"/>
  <c r="AA402" i="20"/>
  <c r="Z402" i="20"/>
  <c r="Y402" i="20"/>
  <c r="X402" i="20"/>
  <c r="W402" i="20"/>
  <c r="V402" i="20"/>
  <c r="AA401" i="20"/>
  <c r="Z401" i="20"/>
  <c r="Y401" i="20"/>
  <c r="X401" i="20"/>
  <c r="W401" i="20"/>
  <c r="V401" i="20"/>
  <c r="AA400" i="20"/>
  <c r="Z400" i="20"/>
  <c r="Y400" i="20"/>
  <c r="X400" i="20"/>
  <c r="W400" i="20"/>
  <c r="V400" i="20"/>
  <c r="AA399" i="20"/>
  <c r="Z399" i="20"/>
  <c r="Y399" i="20"/>
  <c r="X399" i="20"/>
  <c r="W399" i="20"/>
  <c r="V399" i="20"/>
  <c r="AA398" i="20"/>
  <c r="Z398" i="20"/>
  <c r="Y398" i="20"/>
  <c r="X398" i="20"/>
  <c r="W398" i="20"/>
  <c r="V398" i="20"/>
  <c r="AA397" i="20"/>
  <c r="Z397" i="20"/>
  <c r="Y397" i="20"/>
  <c r="X397" i="20"/>
  <c r="W397" i="20"/>
  <c r="V397" i="20"/>
  <c r="AA396" i="20"/>
  <c r="Z396" i="20"/>
  <c r="Y396" i="20"/>
  <c r="X396" i="20"/>
  <c r="W396" i="20"/>
  <c r="V396" i="20"/>
  <c r="AA395" i="20"/>
  <c r="Z395" i="20"/>
  <c r="Y395" i="20"/>
  <c r="X395" i="20"/>
  <c r="W395" i="20"/>
  <c r="V395" i="20"/>
  <c r="AA394" i="20"/>
  <c r="Z394" i="20"/>
  <c r="Y394" i="20"/>
  <c r="X394" i="20"/>
  <c r="W394" i="20"/>
  <c r="V394" i="20"/>
  <c r="AA393" i="20"/>
  <c r="Z393" i="20"/>
  <c r="Y393" i="20"/>
  <c r="X393" i="20"/>
  <c r="W393" i="20"/>
  <c r="V393" i="20"/>
  <c r="AA392" i="20"/>
  <c r="Z392" i="20"/>
  <c r="Y392" i="20"/>
  <c r="X392" i="20"/>
  <c r="W392" i="20"/>
  <c r="V392" i="20"/>
  <c r="AA391" i="20"/>
  <c r="Z391" i="20"/>
  <c r="Y391" i="20"/>
  <c r="X391" i="20"/>
  <c r="W391" i="20"/>
  <c r="V391" i="20"/>
  <c r="AA390" i="20"/>
  <c r="Z390" i="20"/>
  <c r="Y390" i="20"/>
  <c r="X390" i="20"/>
  <c r="W390" i="20"/>
  <c r="V390" i="20"/>
  <c r="AA389" i="20"/>
  <c r="Z389" i="20"/>
  <c r="Y389" i="20"/>
  <c r="X389" i="20"/>
  <c r="W389" i="20"/>
  <c r="V389" i="20"/>
  <c r="AA388" i="20"/>
  <c r="Z388" i="20"/>
  <c r="Y388" i="20"/>
  <c r="X388" i="20"/>
  <c r="W388" i="20"/>
  <c r="V388" i="20"/>
  <c r="AA387" i="20"/>
  <c r="Z387" i="20"/>
  <c r="Y387" i="20"/>
  <c r="X387" i="20"/>
  <c r="W387" i="20"/>
  <c r="V387" i="20"/>
  <c r="AA386" i="20"/>
  <c r="Z386" i="20"/>
  <c r="Y386" i="20"/>
  <c r="X386" i="20"/>
  <c r="W386" i="20"/>
  <c r="V386" i="20"/>
  <c r="AA385" i="20"/>
  <c r="Z385" i="20"/>
  <c r="Y385" i="20"/>
  <c r="X385" i="20"/>
  <c r="W385" i="20"/>
  <c r="V385" i="20"/>
  <c r="AA384" i="20"/>
  <c r="Z384" i="20"/>
  <c r="Y384" i="20"/>
  <c r="X384" i="20"/>
  <c r="W384" i="20"/>
  <c r="V384" i="20"/>
  <c r="AA383" i="20"/>
  <c r="Z383" i="20"/>
  <c r="Y383" i="20"/>
  <c r="X383" i="20"/>
  <c r="W383" i="20"/>
  <c r="V383" i="20"/>
  <c r="AA382" i="20"/>
  <c r="Z382" i="20"/>
  <c r="Y382" i="20"/>
  <c r="X382" i="20"/>
  <c r="W382" i="20"/>
  <c r="V382" i="20"/>
  <c r="AA381" i="20"/>
  <c r="Z381" i="20"/>
  <c r="Y381" i="20"/>
  <c r="X381" i="20"/>
  <c r="W381" i="20"/>
  <c r="V381" i="20"/>
  <c r="AA380" i="20"/>
  <c r="Z380" i="20"/>
  <c r="Y380" i="20"/>
  <c r="X380" i="20"/>
  <c r="W380" i="20"/>
  <c r="V380" i="20"/>
  <c r="AA379" i="20"/>
  <c r="Z379" i="20"/>
  <c r="Y379" i="20"/>
  <c r="X379" i="20"/>
  <c r="W379" i="20"/>
  <c r="V379" i="20"/>
  <c r="AA378" i="20"/>
  <c r="Z378" i="20"/>
  <c r="Y378" i="20"/>
  <c r="X378" i="20"/>
  <c r="W378" i="20"/>
  <c r="V378" i="20"/>
  <c r="AA377" i="20"/>
  <c r="Z377" i="20"/>
  <c r="Y377" i="20"/>
  <c r="X377" i="20"/>
  <c r="W377" i="20"/>
  <c r="V377" i="20"/>
  <c r="AA376" i="20"/>
  <c r="Z376" i="20"/>
  <c r="Y376" i="20"/>
  <c r="X376" i="20"/>
  <c r="W376" i="20"/>
  <c r="V376" i="20"/>
  <c r="AA375" i="20"/>
  <c r="Z375" i="20"/>
  <c r="Y375" i="20"/>
  <c r="X375" i="20"/>
  <c r="W375" i="20"/>
  <c r="V375" i="20"/>
  <c r="AA374" i="20"/>
  <c r="Z374" i="20"/>
  <c r="Y374" i="20"/>
  <c r="X374" i="20"/>
  <c r="W374" i="20"/>
  <c r="V374" i="20"/>
  <c r="AA373" i="20"/>
  <c r="Z373" i="20"/>
  <c r="Y373" i="20"/>
  <c r="X373" i="20"/>
  <c r="W373" i="20"/>
  <c r="V373" i="20"/>
  <c r="AA372" i="20"/>
  <c r="Z372" i="20"/>
  <c r="Y372" i="20"/>
  <c r="X372" i="20"/>
  <c r="W372" i="20"/>
  <c r="V372" i="20"/>
  <c r="AA371" i="20"/>
  <c r="Z371" i="20"/>
  <c r="Y371" i="20"/>
  <c r="X371" i="20"/>
  <c r="W371" i="20"/>
  <c r="V371" i="20"/>
  <c r="AA370" i="20"/>
  <c r="Z370" i="20"/>
  <c r="Y370" i="20"/>
  <c r="X370" i="20"/>
  <c r="W370" i="20"/>
  <c r="V370" i="20"/>
  <c r="AA369" i="20"/>
  <c r="Z369" i="20"/>
  <c r="Y369" i="20"/>
  <c r="X369" i="20"/>
  <c r="W369" i="20"/>
  <c r="V369" i="20"/>
  <c r="AA368" i="20"/>
  <c r="Z368" i="20"/>
  <c r="Y368" i="20"/>
  <c r="X368" i="20"/>
  <c r="W368" i="20"/>
  <c r="V368" i="20"/>
  <c r="AA367" i="20"/>
  <c r="Z367" i="20"/>
  <c r="Y367" i="20"/>
  <c r="X367" i="20"/>
  <c r="W367" i="20"/>
  <c r="V367" i="20"/>
  <c r="AA366" i="20"/>
  <c r="Z366" i="20"/>
  <c r="Y366" i="20"/>
  <c r="X366" i="20"/>
  <c r="W366" i="20"/>
  <c r="V366" i="20"/>
  <c r="AA365" i="20"/>
  <c r="Z365" i="20"/>
  <c r="Y365" i="20"/>
  <c r="X365" i="20"/>
  <c r="W365" i="20"/>
  <c r="V365" i="20"/>
  <c r="AA364" i="20"/>
  <c r="Z364" i="20"/>
  <c r="Y364" i="20"/>
  <c r="X364" i="20"/>
  <c r="W364" i="20"/>
  <c r="V364" i="20"/>
  <c r="AA363" i="20"/>
  <c r="Z363" i="20"/>
  <c r="Y363" i="20"/>
  <c r="X363" i="20"/>
  <c r="W363" i="20"/>
  <c r="V363" i="20"/>
  <c r="AA362" i="20"/>
  <c r="Z362" i="20"/>
  <c r="Y362" i="20"/>
  <c r="X362" i="20"/>
  <c r="W362" i="20"/>
  <c r="V362" i="20"/>
  <c r="AA361" i="20"/>
  <c r="Z361" i="20"/>
  <c r="Y361" i="20"/>
  <c r="X361" i="20"/>
  <c r="W361" i="20"/>
  <c r="V361" i="20"/>
  <c r="AA360" i="20"/>
  <c r="Z360" i="20"/>
  <c r="Y360" i="20"/>
  <c r="X360" i="20"/>
  <c r="W360" i="20"/>
  <c r="V360" i="20"/>
  <c r="AA359" i="20"/>
  <c r="Z359" i="20"/>
  <c r="Y359" i="20"/>
  <c r="X359" i="20"/>
  <c r="W359" i="20"/>
  <c r="V359" i="20"/>
  <c r="AA358" i="20"/>
  <c r="Z358" i="20"/>
  <c r="Y358" i="20"/>
  <c r="X358" i="20"/>
  <c r="W358" i="20"/>
  <c r="V358" i="20"/>
  <c r="AA357" i="20"/>
  <c r="Z357" i="20"/>
  <c r="Y357" i="20"/>
  <c r="X357" i="20"/>
  <c r="W357" i="20"/>
  <c r="V357" i="20"/>
  <c r="AA356" i="20"/>
  <c r="Z356" i="20"/>
  <c r="Y356" i="20"/>
  <c r="X356" i="20"/>
  <c r="W356" i="20"/>
  <c r="V356" i="20"/>
  <c r="AA355" i="20"/>
  <c r="Z355" i="20"/>
  <c r="Y355" i="20"/>
  <c r="X355" i="20"/>
  <c r="W355" i="20"/>
  <c r="V355" i="20"/>
  <c r="AA354" i="20"/>
  <c r="Z354" i="20"/>
  <c r="Y354" i="20"/>
  <c r="X354" i="20"/>
  <c r="W354" i="20"/>
  <c r="V354" i="20"/>
  <c r="AA353" i="20"/>
  <c r="Z353" i="20"/>
  <c r="Y353" i="20"/>
  <c r="X353" i="20"/>
  <c r="W353" i="20"/>
  <c r="V353" i="20"/>
  <c r="AA352" i="20"/>
  <c r="Z352" i="20"/>
  <c r="Y352" i="20"/>
  <c r="X352" i="20"/>
  <c r="W352" i="20"/>
  <c r="V352" i="20"/>
  <c r="AA351" i="20"/>
  <c r="Z351" i="20"/>
  <c r="Y351" i="20"/>
  <c r="X351" i="20"/>
  <c r="W351" i="20"/>
  <c r="V351" i="20"/>
  <c r="AA350" i="20"/>
  <c r="Z350" i="20"/>
  <c r="Y350" i="20"/>
  <c r="X350" i="20"/>
  <c r="W350" i="20"/>
  <c r="V350" i="20"/>
  <c r="AA349" i="20"/>
  <c r="Z349" i="20"/>
  <c r="Y349" i="20"/>
  <c r="X349" i="20"/>
  <c r="W349" i="20"/>
  <c r="V349" i="20"/>
  <c r="AA348" i="20"/>
  <c r="Z348" i="20"/>
  <c r="Y348" i="20"/>
  <c r="X348" i="20"/>
  <c r="W348" i="20"/>
  <c r="V348" i="20"/>
  <c r="AA347" i="20"/>
  <c r="Z347" i="20"/>
  <c r="Y347" i="20"/>
  <c r="X347" i="20"/>
  <c r="W347" i="20"/>
  <c r="V347" i="20"/>
  <c r="AA346" i="20"/>
  <c r="Z346" i="20"/>
  <c r="Y346" i="20"/>
  <c r="X346" i="20"/>
  <c r="W346" i="20"/>
  <c r="V346" i="20"/>
  <c r="AA345" i="20"/>
  <c r="Z345" i="20"/>
  <c r="Y345" i="20"/>
  <c r="X345" i="20"/>
  <c r="W345" i="20"/>
  <c r="V345" i="20"/>
  <c r="AA344" i="20"/>
  <c r="Z344" i="20"/>
  <c r="Y344" i="20"/>
  <c r="X344" i="20"/>
  <c r="W344" i="20"/>
  <c r="V344" i="20"/>
  <c r="AA343" i="20"/>
  <c r="Z343" i="20"/>
  <c r="Y343" i="20"/>
  <c r="X343" i="20"/>
  <c r="W343" i="20"/>
  <c r="V343" i="20"/>
  <c r="AA342" i="20"/>
  <c r="Z342" i="20"/>
  <c r="Y342" i="20"/>
  <c r="X342" i="20"/>
  <c r="W342" i="20"/>
  <c r="V342" i="20"/>
  <c r="AA341" i="20"/>
  <c r="Z341" i="20"/>
  <c r="Y341" i="20"/>
  <c r="X341" i="20"/>
  <c r="W341" i="20"/>
  <c r="V341" i="20"/>
  <c r="AA340" i="20"/>
  <c r="Z340" i="20"/>
  <c r="Y340" i="20"/>
  <c r="X340" i="20"/>
  <c r="W340" i="20"/>
  <c r="V340" i="20"/>
  <c r="AA339" i="20"/>
  <c r="Z339" i="20"/>
  <c r="Y339" i="20"/>
  <c r="X339" i="20"/>
  <c r="W339" i="20"/>
  <c r="V339" i="20"/>
  <c r="AA338" i="20"/>
  <c r="Z338" i="20"/>
  <c r="Y338" i="20"/>
  <c r="X338" i="20"/>
  <c r="W338" i="20"/>
  <c r="V338" i="20"/>
  <c r="AA337" i="20"/>
  <c r="Z337" i="20"/>
  <c r="Y337" i="20"/>
  <c r="X337" i="20"/>
  <c r="W337" i="20"/>
  <c r="V337" i="20"/>
  <c r="AA336" i="20"/>
  <c r="Z336" i="20"/>
  <c r="Y336" i="20"/>
  <c r="X336" i="20"/>
  <c r="W336" i="20"/>
  <c r="V336" i="20"/>
  <c r="AA335" i="20"/>
  <c r="Z335" i="20"/>
  <c r="Y335" i="20"/>
  <c r="X335" i="20"/>
  <c r="W335" i="20"/>
  <c r="V335" i="20"/>
  <c r="AA334" i="20"/>
  <c r="Z334" i="20"/>
  <c r="Y334" i="20"/>
  <c r="X334" i="20"/>
  <c r="W334" i="20"/>
  <c r="V334" i="20"/>
  <c r="AA333" i="20"/>
  <c r="Z333" i="20"/>
  <c r="Y333" i="20"/>
  <c r="X333" i="20"/>
  <c r="W333" i="20"/>
  <c r="V333" i="20"/>
  <c r="AA332" i="20"/>
  <c r="Z332" i="20"/>
  <c r="Y332" i="20"/>
  <c r="X332" i="20"/>
  <c r="W332" i="20"/>
  <c r="V332" i="20"/>
  <c r="AA331" i="20"/>
  <c r="Z331" i="20"/>
  <c r="Y331" i="20"/>
  <c r="X331" i="20"/>
  <c r="W331" i="20"/>
  <c r="V331" i="20"/>
  <c r="AA330" i="20"/>
  <c r="Z330" i="20"/>
  <c r="Y330" i="20"/>
  <c r="X330" i="20"/>
  <c r="W330" i="20"/>
  <c r="V330" i="20"/>
  <c r="AA329" i="20"/>
  <c r="Z329" i="20"/>
  <c r="Y329" i="20"/>
  <c r="X329" i="20"/>
  <c r="W329" i="20"/>
  <c r="V329" i="20"/>
  <c r="AA328" i="20"/>
  <c r="Z328" i="20"/>
  <c r="Y328" i="20"/>
  <c r="X328" i="20"/>
  <c r="W328" i="20"/>
  <c r="V328" i="20"/>
  <c r="AA327" i="20"/>
  <c r="Z327" i="20"/>
  <c r="Y327" i="20"/>
  <c r="X327" i="20"/>
  <c r="W327" i="20"/>
  <c r="V327" i="20"/>
  <c r="AA326" i="20"/>
  <c r="Z326" i="20"/>
  <c r="Y326" i="20"/>
  <c r="X326" i="20"/>
  <c r="W326" i="20"/>
  <c r="V326" i="20"/>
  <c r="AA325" i="20"/>
  <c r="Z325" i="20"/>
  <c r="Y325" i="20"/>
  <c r="X325" i="20"/>
  <c r="W325" i="20"/>
  <c r="V325" i="20"/>
  <c r="AA324" i="20"/>
  <c r="Z324" i="20"/>
  <c r="Y324" i="20"/>
  <c r="X324" i="20"/>
  <c r="W324" i="20"/>
  <c r="V324" i="20"/>
  <c r="AA323" i="20"/>
  <c r="Z323" i="20"/>
  <c r="Y323" i="20"/>
  <c r="X323" i="20"/>
  <c r="W323" i="20"/>
  <c r="V323" i="20"/>
  <c r="AA322" i="20"/>
  <c r="Z322" i="20"/>
  <c r="Y322" i="20"/>
  <c r="X322" i="20"/>
  <c r="W322" i="20"/>
  <c r="V322" i="20"/>
  <c r="AA321" i="20"/>
  <c r="Z321" i="20"/>
  <c r="Y321" i="20"/>
  <c r="X321" i="20"/>
  <c r="W321" i="20"/>
  <c r="V321" i="20"/>
  <c r="AA320" i="20"/>
  <c r="Z320" i="20"/>
  <c r="Y320" i="20"/>
  <c r="X320" i="20"/>
  <c r="W320" i="20"/>
  <c r="V320" i="20"/>
  <c r="AA319" i="20"/>
  <c r="Z319" i="20"/>
  <c r="Y319" i="20"/>
  <c r="X319" i="20"/>
  <c r="W319" i="20"/>
  <c r="V319" i="20"/>
  <c r="AA318" i="20"/>
  <c r="Z318" i="20"/>
  <c r="Y318" i="20"/>
  <c r="X318" i="20"/>
  <c r="W318" i="20"/>
  <c r="V318" i="20"/>
  <c r="AA317" i="20"/>
  <c r="Z317" i="20"/>
  <c r="Y317" i="20"/>
  <c r="X317" i="20"/>
  <c r="W317" i="20"/>
  <c r="V317" i="20"/>
  <c r="AA316" i="20"/>
  <c r="Z316" i="20"/>
  <c r="Y316" i="20"/>
  <c r="X316" i="20"/>
  <c r="W316" i="20"/>
  <c r="V316" i="20"/>
  <c r="AA315" i="20"/>
  <c r="Z315" i="20"/>
  <c r="Y315" i="20"/>
  <c r="X315" i="20"/>
  <c r="W315" i="20"/>
  <c r="V315" i="20"/>
  <c r="AA314" i="20"/>
  <c r="Z314" i="20"/>
  <c r="Y314" i="20"/>
  <c r="X314" i="20"/>
  <c r="W314" i="20"/>
  <c r="V314" i="20"/>
  <c r="AA313" i="20"/>
  <c r="Z313" i="20"/>
  <c r="Y313" i="20"/>
  <c r="X313" i="20"/>
  <c r="W313" i="20"/>
  <c r="V313" i="20"/>
  <c r="AA312" i="20"/>
  <c r="Z312" i="20"/>
  <c r="Y312" i="20"/>
  <c r="X312" i="20"/>
  <c r="W312" i="20"/>
  <c r="V312" i="20"/>
  <c r="AA311" i="20"/>
  <c r="Z311" i="20"/>
  <c r="Y311" i="20"/>
  <c r="X311" i="20"/>
  <c r="W311" i="20"/>
  <c r="V311" i="20"/>
  <c r="AA310" i="20"/>
  <c r="Z310" i="20"/>
  <c r="Y310" i="20"/>
  <c r="X310" i="20"/>
  <c r="W310" i="20"/>
  <c r="V310" i="20"/>
  <c r="AA309" i="20"/>
  <c r="Z309" i="20"/>
  <c r="Y309" i="20"/>
  <c r="X309" i="20"/>
  <c r="W309" i="20"/>
  <c r="V309" i="20"/>
  <c r="AA308" i="20"/>
  <c r="Z308" i="20"/>
  <c r="Y308" i="20"/>
  <c r="X308" i="20"/>
  <c r="W308" i="20"/>
  <c r="V308" i="20"/>
  <c r="AA307" i="20"/>
  <c r="Z307" i="20"/>
  <c r="Y307" i="20"/>
  <c r="X307" i="20"/>
  <c r="W307" i="20"/>
  <c r="V307" i="20"/>
  <c r="AA306" i="20"/>
  <c r="Z306" i="20"/>
  <c r="Y306" i="20"/>
  <c r="X306" i="20"/>
  <c r="W306" i="20"/>
  <c r="V306" i="20"/>
  <c r="AA305" i="20"/>
  <c r="Z305" i="20"/>
  <c r="Y305" i="20"/>
  <c r="X305" i="20"/>
  <c r="W305" i="20"/>
  <c r="V305" i="20"/>
  <c r="AA304" i="20"/>
  <c r="Z304" i="20"/>
  <c r="Y304" i="20"/>
  <c r="X304" i="20"/>
  <c r="W304" i="20"/>
  <c r="V304" i="20"/>
  <c r="AA303" i="20"/>
  <c r="Z303" i="20"/>
  <c r="Y303" i="20"/>
  <c r="X303" i="20"/>
  <c r="W303" i="20"/>
  <c r="V303" i="20"/>
  <c r="AA302" i="20"/>
  <c r="Z302" i="20"/>
  <c r="Y302" i="20"/>
  <c r="X302" i="20"/>
  <c r="W302" i="20"/>
  <c r="V302" i="20"/>
  <c r="AA301" i="20"/>
  <c r="Z301" i="20"/>
  <c r="Y301" i="20"/>
  <c r="X301" i="20"/>
  <c r="W301" i="20"/>
  <c r="V301" i="20"/>
  <c r="AA300" i="20"/>
  <c r="Z300" i="20"/>
  <c r="Y300" i="20"/>
  <c r="X300" i="20"/>
  <c r="W300" i="20"/>
  <c r="V300" i="20"/>
  <c r="AA299" i="20"/>
  <c r="Z299" i="20"/>
  <c r="Y299" i="20"/>
  <c r="X299" i="20"/>
  <c r="W299" i="20"/>
  <c r="V299" i="20"/>
  <c r="AA298" i="20"/>
  <c r="Z298" i="20"/>
  <c r="Y298" i="20"/>
  <c r="X298" i="20"/>
  <c r="W298" i="20"/>
  <c r="V298" i="20"/>
  <c r="AA297" i="20"/>
  <c r="Z297" i="20"/>
  <c r="Y297" i="20"/>
  <c r="X297" i="20"/>
  <c r="W297" i="20"/>
  <c r="V297" i="20"/>
  <c r="AA296" i="20"/>
  <c r="Z296" i="20"/>
  <c r="Y296" i="20"/>
  <c r="X296" i="20"/>
  <c r="W296" i="20"/>
  <c r="V296" i="20"/>
  <c r="AA295" i="20"/>
  <c r="Z295" i="20"/>
  <c r="Y295" i="20"/>
  <c r="X295" i="20"/>
  <c r="W295" i="20"/>
  <c r="V295" i="20"/>
  <c r="AA294" i="20"/>
  <c r="Z294" i="20"/>
  <c r="Y294" i="20"/>
  <c r="X294" i="20"/>
  <c r="W294" i="20"/>
  <c r="V294" i="20"/>
  <c r="AA293" i="20"/>
  <c r="Z293" i="20"/>
  <c r="Y293" i="20"/>
  <c r="X293" i="20"/>
  <c r="W293" i="20"/>
  <c r="V293" i="20"/>
  <c r="AA292" i="20"/>
  <c r="Z292" i="20"/>
  <c r="Y292" i="20"/>
  <c r="X292" i="20"/>
  <c r="W292" i="20"/>
  <c r="V292" i="20"/>
  <c r="AA291" i="20"/>
  <c r="Z291" i="20"/>
  <c r="Y291" i="20"/>
  <c r="X291" i="20"/>
  <c r="W291" i="20"/>
  <c r="V291" i="20"/>
  <c r="AA290" i="20"/>
  <c r="Z290" i="20"/>
  <c r="Y290" i="20"/>
  <c r="X290" i="20"/>
  <c r="W290" i="20"/>
  <c r="V290" i="20"/>
  <c r="AA289" i="20"/>
  <c r="Z289" i="20"/>
  <c r="Y289" i="20"/>
  <c r="X289" i="20"/>
  <c r="W289" i="20"/>
  <c r="V289" i="20"/>
  <c r="AA288" i="20"/>
  <c r="Z288" i="20"/>
  <c r="Y288" i="20"/>
  <c r="X288" i="20"/>
  <c r="W288" i="20"/>
  <c r="V288" i="20"/>
  <c r="AA287" i="20"/>
  <c r="Z287" i="20"/>
  <c r="Y287" i="20"/>
  <c r="X287" i="20"/>
  <c r="W287" i="20"/>
  <c r="V287" i="20"/>
  <c r="AA286" i="20"/>
  <c r="Z286" i="20"/>
  <c r="Y286" i="20"/>
  <c r="X286" i="20"/>
  <c r="W286" i="20"/>
  <c r="V286" i="20"/>
  <c r="AA285" i="20"/>
  <c r="Z285" i="20"/>
  <c r="Y285" i="20"/>
  <c r="X285" i="20"/>
  <c r="W285" i="20"/>
  <c r="V285" i="20"/>
  <c r="AA284" i="20"/>
  <c r="Z284" i="20"/>
  <c r="Y284" i="20"/>
  <c r="X284" i="20"/>
  <c r="W284" i="20"/>
  <c r="V284" i="20"/>
  <c r="AA283" i="20"/>
  <c r="Z283" i="20"/>
  <c r="Y283" i="20"/>
  <c r="X283" i="20"/>
  <c r="W283" i="20"/>
  <c r="V283" i="20"/>
  <c r="AA282" i="20"/>
  <c r="Z282" i="20"/>
  <c r="Y282" i="20"/>
  <c r="X282" i="20"/>
  <c r="W282" i="20"/>
  <c r="V282" i="20"/>
  <c r="AA281" i="20"/>
  <c r="Z281" i="20"/>
  <c r="Y281" i="20"/>
  <c r="X281" i="20"/>
  <c r="W281" i="20"/>
  <c r="V281" i="20"/>
  <c r="AA280" i="20"/>
  <c r="Z280" i="20"/>
  <c r="Y280" i="20"/>
  <c r="X280" i="20"/>
  <c r="W280" i="20"/>
  <c r="V280" i="20"/>
  <c r="AA279" i="20"/>
  <c r="Z279" i="20"/>
  <c r="Y279" i="20"/>
  <c r="X279" i="20"/>
  <c r="W279" i="20"/>
  <c r="V279" i="20"/>
  <c r="AA278" i="20"/>
  <c r="Z278" i="20"/>
  <c r="Y278" i="20"/>
  <c r="X278" i="20"/>
  <c r="W278" i="20"/>
  <c r="V278" i="20"/>
  <c r="AA277" i="20"/>
  <c r="Z277" i="20"/>
  <c r="Y277" i="20"/>
  <c r="X277" i="20"/>
  <c r="W277" i="20"/>
  <c r="V277" i="20"/>
  <c r="AA276" i="20"/>
  <c r="Z276" i="20"/>
  <c r="Y276" i="20"/>
  <c r="X276" i="20"/>
  <c r="W276" i="20"/>
  <c r="V276" i="20"/>
  <c r="AA275" i="20"/>
  <c r="Z275" i="20"/>
  <c r="Y275" i="20"/>
  <c r="X275" i="20"/>
  <c r="W275" i="20"/>
  <c r="V275" i="20"/>
  <c r="AA274" i="20"/>
  <c r="Z274" i="20"/>
  <c r="Y274" i="20"/>
  <c r="X274" i="20"/>
  <c r="W274" i="20"/>
  <c r="V274" i="20"/>
  <c r="AA273" i="20"/>
  <c r="Z273" i="20"/>
  <c r="Y273" i="20"/>
  <c r="X273" i="20"/>
  <c r="W273" i="20"/>
  <c r="V273" i="20"/>
  <c r="AA272" i="20"/>
  <c r="Z272" i="20"/>
  <c r="Y272" i="20"/>
  <c r="X272" i="20"/>
  <c r="W272" i="20"/>
  <c r="V272" i="20"/>
  <c r="AA271" i="20"/>
  <c r="Z271" i="20"/>
  <c r="Y271" i="20"/>
  <c r="X271" i="20"/>
  <c r="W271" i="20"/>
  <c r="V271" i="20"/>
  <c r="AA270" i="20"/>
  <c r="Z270" i="20"/>
  <c r="Y270" i="20"/>
  <c r="X270" i="20"/>
  <c r="W270" i="20"/>
  <c r="V270" i="20"/>
  <c r="AA269" i="20"/>
  <c r="Z269" i="20"/>
  <c r="Y269" i="20"/>
  <c r="X269" i="20"/>
  <c r="W269" i="20"/>
  <c r="V269" i="20"/>
  <c r="AA268" i="20"/>
  <c r="Z268" i="20"/>
  <c r="Y268" i="20"/>
  <c r="X268" i="20"/>
  <c r="W268" i="20"/>
  <c r="V268" i="20"/>
  <c r="AA267" i="20"/>
  <c r="Z267" i="20"/>
  <c r="Y267" i="20"/>
  <c r="X267" i="20"/>
  <c r="W267" i="20"/>
  <c r="V267" i="20"/>
  <c r="AA266" i="20"/>
  <c r="Z266" i="20"/>
  <c r="Y266" i="20"/>
  <c r="X266" i="20"/>
  <c r="W266" i="20"/>
  <c r="V266" i="20"/>
  <c r="AA265" i="20"/>
  <c r="Z265" i="20"/>
  <c r="Y265" i="20"/>
  <c r="X265" i="20"/>
  <c r="W265" i="20"/>
  <c r="V265" i="20"/>
  <c r="AA264" i="20"/>
  <c r="Z264" i="20"/>
  <c r="Y264" i="20"/>
  <c r="X264" i="20"/>
  <c r="W264" i="20"/>
  <c r="V264" i="20"/>
  <c r="AA263" i="20"/>
  <c r="Z263" i="20"/>
  <c r="Y263" i="20"/>
  <c r="X263" i="20"/>
  <c r="W263" i="20"/>
  <c r="V263" i="20"/>
  <c r="AA262" i="20"/>
  <c r="Z262" i="20"/>
  <c r="Y262" i="20"/>
  <c r="X262" i="20"/>
  <c r="W262" i="20"/>
  <c r="V262" i="20"/>
  <c r="AA261" i="20"/>
  <c r="Z261" i="20"/>
  <c r="Y261" i="20"/>
  <c r="X261" i="20"/>
  <c r="W261" i="20"/>
  <c r="V261" i="20"/>
  <c r="AA260" i="20"/>
  <c r="Z260" i="20"/>
  <c r="Y260" i="20"/>
  <c r="X260" i="20"/>
  <c r="W260" i="20"/>
  <c r="V260" i="20"/>
  <c r="AA259" i="20"/>
  <c r="Z259" i="20"/>
  <c r="Y259" i="20"/>
  <c r="X259" i="20"/>
  <c r="W259" i="20"/>
  <c r="V259" i="20"/>
  <c r="AA258" i="20"/>
  <c r="Z258" i="20"/>
  <c r="Y258" i="20"/>
  <c r="X258" i="20"/>
  <c r="W258" i="20"/>
  <c r="V258" i="20"/>
  <c r="AA257" i="20"/>
  <c r="Z257" i="20"/>
  <c r="Y257" i="20"/>
  <c r="X257" i="20"/>
  <c r="W257" i="20"/>
  <c r="V257" i="20"/>
  <c r="AA256" i="20"/>
  <c r="Z256" i="20"/>
  <c r="Y256" i="20"/>
  <c r="X256" i="20"/>
  <c r="W256" i="20"/>
  <c r="V256" i="20"/>
  <c r="AA255" i="20"/>
  <c r="Z255" i="20"/>
  <c r="Y255" i="20"/>
  <c r="X255" i="20"/>
  <c r="W255" i="20"/>
  <c r="V255" i="20"/>
  <c r="AA254" i="20"/>
  <c r="Z254" i="20"/>
  <c r="Y254" i="20"/>
  <c r="X254" i="20"/>
  <c r="W254" i="20"/>
  <c r="V254" i="20"/>
  <c r="AA253" i="20"/>
  <c r="Z253" i="20"/>
  <c r="Y253" i="20"/>
  <c r="X253" i="20"/>
  <c r="W253" i="20"/>
  <c r="V253" i="20"/>
  <c r="AA252" i="20"/>
  <c r="Z252" i="20"/>
  <c r="Y252" i="20"/>
  <c r="X252" i="20"/>
  <c r="W252" i="20"/>
  <c r="V252" i="20"/>
  <c r="AA251" i="20"/>
  <c r="Z251" i="20"/>
  <c r="Y251" i="20"/>
  <c r="X251" i="20"/>
  <c r="W251" i="20"/>
  <c r="V251" i="20"/>
  <c r="AA250" i="20"/>
  <c r="Z250" i="20"/>
  <c r="Y250" i="20"/>
  <c r="X250" i="20"/>
  <c r="W250" i="20"/>
  <c r="V250" i="20"/>
  <c r="AA249" i="20"/>
  <c r="Z249" i="20"/>
  <c r="Y249" i="20"/>
  <c r="X249" i="20"/>
  <c r="W249" i="20"/>
  <c r="V249" i="20"/>
  <c r="AA248" i="20"/>
  <c r="Z248" i="20"/>
  <c r="Y248" i="20"/>
  <c r="X248" i="20"/>
  <c r="W248" i="20"/>
  <c r="V248" i="20"/>
  <c r="AA247" i="20"/>
  <c r="Z247" i="20"/>
  <c r="Y247" i="20"/>
  <c r="X247" i="20"/>
  <c r="W247" i="20"/>
  <c r="V247" i="20"/>
  <c r="AA246" i="20"/>
  <c r="Z246" i="20"/>
  <c r="Y246" i="20"/>
  <c r="X246" i="20"/>
  <c r="W246" i="20"/>
  <c r="V246" i="20"/>
  <c r="AA245" i="20"/>
  <c r="Z245" i="20"/>
  <c r="Y245" i="20"/>
  <c r="X245" i="20"/>
  <c r="W245" i="20"/>
  <c r="V245" i="20"/>
  <c r="AA244" i="20"/>
  <c r="Z244" i="20"/>
  <c r="Y244" i="20"/>
  <c r="X244" i="20"/>
  <c r="W244" i="20"/>
  <c r="V244" i="20"/>
  <c r="AA243" i="20"/>
  <c r="Z243" i="20"/>
  <c r="Y243" i="20"/>
  <c r="X243" i="20"/>
  <c r="W243" i="20"/>
  <c r="V243" i="20"/>
  <c r="AA242" i="20"/>
  <c r="Z242" i="20"/>
  <c r="Y242" i="20"/>
  <c r="X242" i="20"/>
  <c r="W242" i="20"/>
  <c r="V242" i="20"/>
  <c r="AA241" i="20"/>
  <c r="Z241" i="20"/>
  <c r="Y241" i="20"/>
  <c r="X241" i="20"/>
  <c r="W241" i="20"/>
  <c r="V241" i="20"/>
  <c r="AA240" i="20"/>
  <c r="Z240" i="20"/>
  <c r="Y240" i="20"/>
  <c r="X240" i="20"/>
  <c r="W240" i="20"/>
  <c r="V240" i="20"/>
  <c r="AA239" i="20"/>
  <c r="Z239" i="20"/>
  <c r="Y239" i="20"/>
  <c r="X239" i="20"/>
  <c r="W239" i="20"/>
  <c r="V239" i="20"/>
  <c r="AA238" i="20"/>
  <c r="Z238" i="20"/>
  <c r="Y238" i="20"/>
  <c r="X238" i="20"/>
  <c r="W238" i="20"/>
  <c r="V238" i="20"/>
  <c r="AA237" i="20"/>
  <c r="Z237" i="20"/>
  <c r="Y237" i="20"/>
  <c r="X237" i="20"/>
  <c r="W237" i="20"/>
  <c r="V237" i="20"/>
  <c r="AA236" i="20"/>
  <c r="Z236" i="20"/>
  <c r="Y236" i="20"/>
  <c r="X236" i="20"/>
  <c r="W236" i="20"/>
  <c r="V236" i="20"/>
  <c r="AA235" i="20"/>
  <c r="Z235" i="20"/>
  <c r="Y235" i="20"/>
  <c r="X235" i="20"/>
  <c r="W235" i="20"/>
  <c r="V235" i="20"/>
  <c r="AA234" i="20"/>
  <c r="Z234" i="20"/>
  <c r="Y234" i="20"/>
  <c r="X234" i="20"/>
  <c r="W234" i="20"/>
  <c r="V234" i="20"/>
  <c r="AA233" i="20"/>
  <c r="Z233" i="20"/>
  <c r="Y233" i="20"/>
  <c r="X233" i="20"/>
  <c r="W233" i="20"/>
  <c r="V233" i="20"/>
  <c r="AA232" i="20"/>
  <c r="Z232" i="20"/>
  <c r="Y232" i="20"/>
  <c r="X232" i="20"/>
  <c r="W232" i="20"/>
  <c r="V232" i="20"/>
  <c r="AA231" i="20"/>
  <c r="Z231" i="20"/>
  <c r="Y231" i="20"/>
  <c r="X231" i="20"/>
  <c r="W231" i="20"/>
  <c r="V231" i="20"/>
  <c r="AA230" i="20"/>
  <c r="Z230" i="20"/>
  <c r="Y230" i="20"/>
  <c r="X230" i="20"/>
  <c r="W230" i="20"/>
  <c r="V230" i="20"/>
  <c r="AA229" i="20"/>
  <c r="Z229" i="20"/>
  <c r="Y229" i="20"/>
  <c r="X229" i="20"/>
  <c r="W229" i="20"/>
  <c r="V229" i="20"/>
  <c r="AA228" i="20"/>
  <c r="Z228" i="20"/>
  <c r="Y228" i="20"/>
  <c r="X228" i="20"/>
  <c r="W228" i="20"/>
  <c r="V228" i="20"/>
  <c r="AA227" i="20"/>
  <c r="Z227" i="20"/>
  <c r="Y227" i="20"/>
  <c r="X227" i="20"/>
  <c r="W227" i="20"/>
  <c r="V227" i="20"/>
  <c r="AA226" i="20"/>
  <c r="Z226" i="20"/>
  <c r="Y226" i="20"/>
  <c r="X226" i="20"/>
  <c r="W226" i="20"/>
  <c r="V226" i="20"/>
  <c r="AA225" i="20"/>
  <c r="Z225" i="20"/>
  <c r="Y225" i="20"/>
  <c r="X225" i="20"/>
  <c r="W225" i="20"/>
  <c r="V225" i="20"/>
  <c r="AA224" i="20"/>
  <c r="Z224" i="20"/>
  <c r="Y224" i="20"/>
  <c r="X224" i="20"/>
  <c r="W224" i="20"/>
  <c r="V224" i="20"/>
  <c r="AA223" i="20"/>
  <c r="Z223" i="20"/>
  <c r="Y223" i="20"/>
  <c r="X223" i="20"/>
  <c r="W223" i="20"/>
  <c r="V223" i="20"/>
  <c r="AA222" i="20"/>
  <c r="Z222" i="20"/>
  <c r="Y222" i="20"/>
  <c r="X222" i="20"/>
  <c r="W222" i="20"/>
  <c r="V222" i="20"/>
  <c r="AA221" i="20"/>
  <c r="Z221" i="20"/>
  <c r="Y221" i="20"/>
  <c r="X221" i="20"/>
  <c r="W221" i="20"/>
  <c r="V221" i="20"/>
  <c r="AA220" i="20"/>
  <c r="Z220" i="20"/>
  <c r="Y220" i="20"/>
  <c r="X220" i="20"/>
  <c r="W220" i="20"/>
  <c r="V220" i="20"/>
  <c r="AA219" i="20"/>
  <c r="Z219" i="20"/>
  <c r="Y219" i="20"/>
  <c r="X219" i="20"/>
  <c r="W219" i="20"/>
  <c r="V219" i="20"/>
  <c r="AA218" i="20"/>
  <c r="Z218" i="20"/>
  <c r="Y218" i="20"/>
  <c r="X218" i="20"/>
  <c r="W218" i="20"/>
  <c r="V218" i="20"/>
  <c r="AA217" i="20"/>
  <c r="Z217" i="20"/>
  <c r="Y217" i="20"/>
  <c r="X217" i="20"/>
  <c r="W217" i="20"/>
  <c r="V217" i="20"/>
  <c r="AA216" i="20"/>
  <c r="Z216" i="20"/>
  <c r="Y216" i="20"/>
  <c r="X216" i="20"/>
  <c r="W216" i="20"/>
  <c r="V216" i="20"/>
  <c r="AA215" i="20"/>
  <c r="Z215" i="20"/>
  <c r="Y215" i="20"/>
  <c r="X215" i="20"/>
  <c r="W215" i="20"/>
  <c r="V215" i="20"/>
  <c r="AA214" i="20"/>
  <c r="Z214" i="20"/>
  <c r="Y214" i="20"/>
  <c r="X214" i="20"/>
  <c r="W214" i="20"/>
  <c r="V214" i="20"/>
  <c r="AA213" i="20"/>
  <c r="Z213" i="20"/>
  <c r="Y213" i="20"/>
  <c r="X213" i="20"/>
  <c r="W213" i="20"/>
  <c r="V213" i="20"/>
  <c r="AA212" i="20"/>
  <c r="Z212" i="20"/>
  <c r="Y212" i="20"/>
  <c r="X212" i="20"/>
  <c r="W212" i="20"/>
  <c r="V212" i="20"/>
  <c r="AA211" i="20"/>
  <c r="Z211" i="20"/>
  <c r="Y211" i="20"/>
  <c r="X211" i="20"/>
  <c r="W211" i="20"/>
  <c r="V211" i="20"/>
  <c r="AA210" i="20"/>
  <c r="Z210" i="20"/>
  <c r="Y210" i="20"/>
  <c r="X210" i="20"/>
  <c r="W210" i="20"/>
  <c r="V210" i="20"/>
  <c r="AA209" i="20"/>
  <c r="Z209" i="20"/>
  <c r="Y209" i="20"/>
  <c r="X209" i="20"/>
  <c r="W209" i="20"/>
  <c r="V209" i="20"/>
  <c r="AA208" i="20"/>
  <c r="Z208" i="20"/>
  <c r="Y208" i="20"/>
  <c r="X208" i="20"/>
  <c r="W208" i="20"/>
  <c r="V208" i="20"/>
  <c r="AA207" i="20"/>
  <c r="Z207" i="20"/>
  <c r="Y207" i="20"/>
  <c r="X207" i="20"/>
  <c r="W207" i="20"/>
  <c r="V207" i="20"/>
  <c r="AA206" i="20"/>
  <c r="Z206" i="20"/>
  <c r="Y206" i="20"/>
  <c r="X206" i="20"/>
  <c r="W206" i="20"/>
  <c r="V206" i="20"/>
  <c r="AA205" i="20"/>
  <c r="Z205" i="20"/>
  <c r="Y205" i="20"/>
  <c r="X205" i="20"/>
  <c r="W205" i="20"/>
  <c r="V205" i="20"/>
  <c r="AA204" i="20"/>
  <c r="Z204" i="20"/>
  <c r="Y204" i="20"/>
  <c r="X204" i="20"/>
  <c r="W204" i="20"/>
  <c r="V204" i="20"/>
  <c r="AA203" i="20"/>
  <c r="Z203" i="20"/>
  <c r="Y203" i="20"/>
  <c r="X203" i="20"/>
  <c r="W203" i="20"/>
  <c r="V203" i="20"/>
  <c r="AA202" i="20"/>
  <c r="Z202" i="20"/>
  <c r="Y202" i="20"/>
  <c r="X202" i="20"/>
  <c r="W202" i="20"/>
  <c r="V202" i="20"/>
  <c r="AA201" i="20"/>
  <c r="Z201" i="20"/>
  <c r="Y201" i="20"/>
  <c r="X201" i="20"/>
  <c r="W201" i="20"/>
  <c r="V201" i="20"/>
  <c r="AA200" i="20"/>
  <c r="Z200" i="20"/>
  <c r="Y200" i="20"/>
  <c r="X200" i="20"/>
  <c r="W200" i="20"/>
  <c r="V200" i="20"/>
  <c r="AA199" i="20"/>
  <c r="Z199" i="20"/>
  <c r="Y199" i="20"/>
  <c r="X199" i="20"/>
  <c r="W199" i="20"/>
  <c r="V199" i="20"/>
  <c r="AA198" i="20"/>
  <c r="Z198" i="20"/>
  <c r="Y198" i="20"/>
  <c r="X198" i="20"/>
  <c r="W198" i="20"/>
  <c r="V198" i="20"/>
  <c r="AA197" i="20"/>
  <c r="Z197" i="20"/>
  <c r="Y197" i="20"/>
  <c r="X197" i="20"/>
  <c r="W197" i="20"/>
  <c r="V197" i="20"/>
  <c r="AA196" i="20"/>
  <c r="Z196" i="20"/>
  <c r="Y196" i="20"/>
  <c r="X196" i="20"/>
  <c r="W196" i="20"/>
  <c r="V196" i="20"/>
  <c r="AA195" i="20"/>
  <c r="Z195" i="20"/>
  <c r="Y195" i="20"/>
  <c r="X195" i="20"/>
  <c r="W195" i="20"/>
  <c r="V195" i="20"/>
  <c r="AA194" i="20"/>
  <c r="Z194" i="20"/>
  <c r="Y194" i="20"/>
  <c r="X194" i="20"/>
  <c r="W194" i="20"/>
  <c r="V194" i="20"/>
  <c r="AA193" i="20"/>
  <c r="Z193" i="20"/>
  <c r="Y193" i="20"/>
  <c r="X193" i="20"/>
  <c r="W193" i="20"/>
  <c r="V193" i="20"/>
  <c r="AA192" i="20"/>
  <c r="Z192" i="20"/>
  <c r="Y192" i="20"/>
  <c r="X192" i="20"/>
  <c r="W192" i="20"/>
  <c r="V192" i="20"/>
  <c r="AA191" i="20"/>
  <c r="Z191" i="20"/>
  <c r="Y191" i="20"/>
  <c r="X191" i="20"/>
  <c r="W191" i="20"/>
  <c r="V191" i="20"/>
  <c r="AA190" i="20"/>
  <c r="Z190" i="20"/>
  <c r="Y190" i="20"/>
  <c r="X190" i="20"/>
  <c r="W190" i="20"/>
  <c r="V190" i="20"/>
  <c r="AA189" i="20"/>
  <c r="Z189" i="20"/>
  <c r="Y189" i="20"/>
  <c r="X189" i="20"/>
  <c r="W189" i="20"/>
  <c r="V189" i="20"/>
  <c r="AA188" i="20"/>
  <c r="Z188" i="20"/>
  <c r="Y188" i="20"/>
  <c r="X188" i="20"/>
  <c r="W188" i="20"/>
  <c r="V188" i="20"/>
  <c r="AA187" i="20"/>
  <c r="Z187" i="20"/>
  <c r="Y187" i="20"/>
  <c r="X187" i="20"/>
  <c r="W187" i="20"/>
  <c r="V187" i="20"/>
  <c r="AA186" i="20"/>
  <c r="Z186" i="20"/>
  <c r="Y186" i="20"/>
  <c r="X186" i="20"/>
  <c r="W186" i="20"/>
  <c r="V186" i="20"/>
  <c r="AA185" i="20"/>
  <c r="Z185" i="20"/>
  <c r="Y185" i="20"/>
  <c r="X185" i="20"/>
  <c r="W185" i="20"/>
  <c r="V185" i="20"/>
  <c r="AA184" i="20"/>
  <c r="Z184" i="20"/>
  <c r="Y184" i="20"/>
  <c r="X184" i="20"/>
  <c r="W184" i="20"/>
  <c r="V184" i="20"/>
  <c r="AA183" i="20"/>
  <c r="Z183" i="20"/>
  <c r="Y183" i="20"/>
  <c r="X183" i="20"/>
  <c r="W183" i="20"/>
  <c r="V183" i="20"/>
  <c r="AA182" i="20"/>
  <c r="Z182" i="20"/>
  <c r="Y182" i="20"/>
  <c r="X182" i="20"/>
  <c r="W182" i="20"/>
  <c r="V182" i="20"/>
  <c r="AA181" i="20"/>
  <c r="Z181" i="20"/>
  <c r="Y181" i="20"/>
  <c r="X181" i="20"/>
  <c r="W181" i="20"/>
  <c r="V181" i="20"/>
  <c r="AA180" i="20"/>
  <c r="Z180" i="20"/>
  <c r="Y180" i="20"/>
  <c r="X180" i="20"/>
  <c r="W180" i="20"/>
  <c r="V180" i="20"/>
  <c r="AA179" i="20"/>
  <c r="Z179" i="20"/>
  <c r="Y179" i="20"/>
  <c r="X179" i="20"/>
  <c r="W179" i="20"/>
  <c r="V179" i="20"/>
  <c r="AA178" i="20"/>
  <c r="Z178" i="20"/>
  <c r="Y178" i="20"/>
  <c r="X178" i="20"/>
  <c r="W178" i="20"/>
  <c r="V178" i="20"/>
  <c r="AA177" i="20"/>
  <c r="Z177" i="20"/>
  <c r="Y177" i="20"/>
  <c r="X177" i="20"/>
  <c r="W177" i="20"/>
  <c r="V177" i="20"/>
  <c r="AA176" i="20"/>
  <c r="Z176" i="20"/>
  <c r="Y176" i="20"/>
  <c r="X176" i="20"/>
  <c r="W176" i="20"/>
  <c r="V176" i="20"/>
  <c r="AA175" i="20"/>
  <c r="Z175" i="20"/>
  <c r="Y175" i="20"/>
  <c r="X175" i="20"/>
  <c r="W175" i="20"/>
  <c r="V175" i="20"/>
  <c r="AA174" i="20"/>
  <c r="Z174" i="20"/>
  <c r="Y174" i="20"/>
  <c r="X174" i="20"/>
  <c r="W174" i="20"/>
  <c r="V174" i="20"/>
  <c r="AA173" i="20"/>
  <c r="Z173" i="20"/>
  <c r="Y173" i="20"/>
  <c r="X173" i="20"/>
  <c r="W173" i="20"/>
  <c r="V173" i="20"/>
  <c r="AA172" i="20"/>
  <c r="Z172" i="20"/>
  <c r="Y172" i="20"/>
  <c r="X172" i="20"/>
  <c r="W172" i="20"/>
  <c r="V172" i="20"/>
  <c r="AA171" i="20"/>
  <c r="Z171" i="20"/>
  <c r="Y171" i="20"/>
  <c r="X171" i="20"/>
  <c r="W171" i="20"/>
  <c r="V171" i="20"/>
  <c r="AA170" i="20"/>
  <c r="Z170" i="20"/>
  <c r="Y170" i="20"/>
  <c r="X170" i="20"/>
  <c r="W170" i="20"/>
  <c r="V170" i="20"/>
  <c r="AA169" i="20"/>
  <c r="Z169" i="20"/>
  <c r="Y169" i="20"/>
  <c r="X169" i="20"/>
  <c r="W169" i="20"/>
  <c r="V169" i="20"/>
  <c r="AA168" i="20"/>
  <c r="Z168" i="20"/>
  <c r="Y168" i="20"/>
  <c r="X168" i="20"/>
  <c r="W168" i="20"/>
  <c r="V168" i="20"/>
  <c r="AA167" i="20"/>
  <c r="Z167" i="20"/>
  <c r="Y167" i="20"/>
  <c r="X167" i="20"/>
  <c r="W167" i="20"/>
  <c r="V167" i="20"/>
  <c r="AA166" i="20"/>
  <c r="Z166" i="20"/>
  <c r="Y166" i="20"/>
  <c r="X166" i="20"/>
  <c r="W166" i="20"/>
  <c r="V166" i="20"/>
  <c r="AA165" i="20"/>
  <c r="Z165" i="20"/>
  <c r="Y165" i="20"/>
  <c r="X165" i="20"/>
  <c r="W165" i="20"/>
  <c r="V165" i="20"/>
  <c r="AA164" i="20"/>
  <c r="Z164" i="20"/>
  <c r="Y164" i="20"/>
  <c r="X164" i="20"/>
  <c r="W164" i="20"/>
  <c r="V164" i="20"/>
  <c r="AA163" i="20"/>
  <c r="Z163" i="20"/>
  <c r="Y163" i="20"/>
  <c r="X163" i="20"/>
  <c r="W163" i="20"/>
  <c r="V163" i="20"/>
  <c r="AA162" i="20"/>
  <c r="Z162" i="20"/>
  <c r="Y162" i="20"/>
  <c r="X162" i="20"/>
  <c r="W162" i="20"/>
  <c r="V162" i="20"/>
  <c r="AA161" i="20"/>
  <c r="Z161" i="20"/>
  <c r="Y161" i="20"/>
  <c r="X161" i="20"/>
  <c r="W161" i="20"/>
  <c r="V161" i="20"/>
  <c r="AA160" i="20"/>
  <c r="Z160" i="20"/>
  <c r="Y160" i="20"/>
  <c r="X160" i="20"/>
  <c r="W160" i="20"/>
  <c r="V160" i="20"/>
  <c r="AA159" i="20"/>
  <c r="Z159" i="20"/>
  <c r="Y159" i="20"/>
  <c r="X159" i="20"/>
  <c r="W159" i="20"/>
  <c r="V159" i="20"/>
  <c r="AA158" i="20"/>
  <c r="Z158" i="20"/>
  <c r="Y158" i="20"/>
  <c r="X158" i="20"/>
  <c r="W158" i="20"/>
  <c r="V158" i="20"/>
  <c r="AA157" i="20"/>
  <c r="Z157" i="20"/>
  <c r="Y157" i="20"/>
  <c r="X157" i="20"/>
  <c r="W157" i="20"/>
  <c r="V157" i="20"/>
  <c r="AA156" i="20"/>
  <c r="Z156" i="20"/>
  <c r="Y156" i="20"/>
  <c r="X156" i="20"/>
  <c r="W156" i="20"/>
  <c r="V156" i="20"/>
  <c r="AA155" i="20"/>
  <c r="Z155" i="20"/>
  <c r="Y155" i="20"/>
  <c r="X155" i="20"/>
  <c r="W155" i="20"/>
  <c r="V155" i="20"/>
  <c r="AA154" i="20"/>
  <c r="Z154" i="20"/>
  <c r="Y154" i="20"/>
  <c r="X154" i="20"/>
  <c r="W154" i="20"/>
  <c r="V154" i="20"/>
  <c r="AA153" i="20"/>
  <c r="Z153" i="20"/>
  <c r="Y153" i="20"/>
  <c r="X153" i="20"/>
  <c r="W153" i="20"/>
  <c r="V153" i="20"/>
  <c r="AA152" i="20"/>
  <c r="Z152" i="20"/>
  <c r="Y152" i="20"/>
  <c r="X152" i="20"/>
  <c r="W152" i="20"/>
  <c r="V152" i="20"/>
  <c r="AA151" i="20"/>
  <c r="Z151" i="20"/>
  <c r="Y151" i="20"/>
  <c r="X151" i="20"/>
  <c r="W151" i="20"/>
  <c r="V151" i="20"/>
  <c r="AA150" i="20"/>
  <c r="Z150" i="20"/>
  <c r="Y150" i="20"/>
  <c r="X150" i="20"/>
  <c r="W150" i="20"/>
  <c r="V150" i="20"/>
  <c r="AA149" i="20"/>
  <c r="Z149" i="20"/>
  <c r="Y149" i="20"/>
  <c r="X149" i="20"/>
  <c r="W149" i="20"/>
  <c r="V149" i="20"/>
  <c r="AA148" i="20"/>
  <c r="Z148" i="20"/>
  <c r="Y148" i="20"/>
  <c r="X148" i="20"/>
  <c r="W148" i="20"/>
  <c r="V148" i="20"/>
  <c r="AA147" i="20"/>
  <c r="Z147" i="20"/>
  <c r="Y147" i="20"/>
  <c r="X147" i="20"/>
  <c r="W147" i="20"/>
  <c r="V147" i="20"/>
  <c r="AA146" i="20"/>
  <c r="Z146" i="20"/>
  <c r="Y146" i="20"/>
  <c r="X146" i="20"/>
  <c r="W146" i="20"/>
  <c r="V146" i="20"/>
  <c r="AA145" i="20"/>
  <c r="Z145" i="20"/>
  <c r="Y145" i="20"/>
  <c r="X145" i="20"/>
  <c r="W145" i="20"/>
  <c r="V145" i="20"/>
  <c r="AA144" i="20"/>
  <c r="Z144" i="20"/>
  <c r="Y144" i="20"/>
  <c r="X144" i="20"/>
  <c r="W144" i="20"/>
  <c r="V144" i="20"/>
  <c r="AA143" i="20"/>
  <c r="Z143" i="20"/>
  <c r="Y143" i="20"/>
  <c r="X143" i="20"/>
  <c r="W143" i="20"/>
  <c r="V143" i="20"/>
  <c r="AA142" i="20"/>
  <c r="Z142" i="20"/>
  <c r="Y142" i="20"/>
  <c r="X142" i="20"/>
  <c r="W142" i="20"/>
  <c r="V142" i="20"/>
  <c r="AA141" i="20"/>
  <c r="Z141" i="20"/>
  <c r="Y141" i="20"/>
  <c r="X141" i="20"/>
  <c r="W141" i="20"/>
  <c r="V141" i="20"/>
  <c r="AA140" i="20"/>
  <c r="Z140" i="20"/>
  <c r="Y140" i="20"/>
  <c r="X140" i="20"/>
  <c r="W140" i="20"/>
  <c r="V140" i="20"/>
  <c r="AA139" i="20"/>
  <c r="Z139" i="20"/>
  <c r="Y139" i="20"/>
  <c r="X139" i="20"/>
  <c r="W139" i="20"/>
  <c r="V139" i="20"/>
  <c r="AA138" i="20"/>
  <c r="Z138" i="20"/>
  <c r="Y138" i="20"/>
  <c r="X138" i="20"/>
  <c r="W138" i="20"/>
  <c r="V138" i="20"/>
  <c r="AA137" i="20"/>
  <c r="Z137" i="20"/>
  <c r="Y137" i="20"/>
  <c r="X137" i="20"/>
  <c r="W137" i="20"/>
  <c r="V137" i="20"/>
  <c r="AA136" i="20"/>
  <c r="Z136" i="20"/>
  <c r="Y136" i="20"/>
  <c r="X136" i="20"/>
  <c r="W136" i="20"/>
  <c r="V136" i="20"/>
  <c r="AA135" i="20"/>
  <c r="Z135" i="20"/>
  <c r="Y135" i="20"/>
  <c r="X135" i="20"/>
  <c r="W135" i="20"/>
  <c r="V135" i="20"/>
  <c r="AA134" i="20"/>
  <c r="Z134" i="20"/>
  <c r="Y134" i="20"/>
  <c r="X134" i="20"/>
  <c r="W134" i="20"/>
  <c r="V134" i="20"/>
  <c r="AA133" i="20"/>
  <c r="Z133" i="20"/>
  <c r="Y133" i="20"/>
  <c r="X133" i="20"/>
  <c r="W133" i="20"/>
  <c r="V133" i="20"/>
  <c r="AA132" i="20"/>
  <c r="Z132" i="20"/>
  <c r="Y132" i="20"/>
  <c r="X132" i="20"/>
  <c r="W132" i="20"/>
  <c r="V132" i="20"/>
  <c r="AA131" i="20"/>
  <c r="Z131" i="20"/>
  <c r="Y131" i="20"/>
  <c r="X131" i="20"/>
  <c r="W131" i="20"/>
  <c r="V131" i="20"/>
  <c r="AA130" i="20"/>
  <c r="Z130" i="20"/>
  <c r="Y130" i="20"/>
  <c r="X130" i="20"/>
  <c r="W130" i="20"/>
  <c r="V130" i="20"/>
  <c r="O130" i="20"/>
  <c r="N130" i="20"/>
  <c r="M130" i="20"/>
  <c r="L130" i="20"/>
  <c r="K130" i="20"/>
  <c r="J130" i="20"/>
  <c r="I130" i="20"/>
  <c r="H130" i="20"/>
  <c r="D130" i="20"/>
  <c r="AA129" i="20"/>
  <c r="Z129" i="20"/>
  <c r="Y129" i="20"/>
  <c r="X129" i="20"/>
  <c r="W129" i="20"/>
  <c r="V129" i="20"/>
  <c r="O129" i="20"/>
  <c r="N129" i="20"/>
  <c r="M129" i="20"/>
  <c r="L129" i="20"/>
  <c r="K129" i="20"/>
  <c r="J129" i="20"/>
  <c r="I129" i="20"/>
  <c r="H129" i="20"/>
  <c r="D129" i="20"/>
  <c r="AA128" i="20"/>
  <c r="Z128" i="20"/>
  <c r="Y128" i="20"/>
  <c r="X128" i="20"/>
  <c r="W128" i="20"/>
  <c r="V128" i="20"/>
  <c r="O128" i="20"/>
  <c r="N128" i="20"/>
  <c r="M128" i="20"/>
  <c r="L128" i="20"/>
  <c r="K128" i="20"/>
  <c r="J128" i="20"/>
  <c r="I128" i="20"/>
  <c r="H128" i="20"/>
  <c r="D128" i="20"/>
  <c r="AA127" i="20"/>
  <c r="Z127" i="20"/>
  <c r="Y127" i="20"/>
  <c r="X127" i="20"/>
  <c r="W127" i="20"/>
  <c r="V127" i="20"/>
  <c r="O127" i="20"/>
  <c r="N127" i="20"/>
  <c r="M127" i="20"/>
  <c r="L127" i="20"/>
  <c r="K127" i="20"/>
  <c r="J127" i="20"/>
  <c r="I127" i="20"/>
  <c r="H127" i="20"/>
  <c r="D127" i="20"/>
  <c r="AA126" i="20"/>
  <c r="Z126" i="20"/>
  <c r="Y126" i="20"/>
  <c r="X126" i="20"/>
  <c r="W126" i="20"/>
  <c r="V126" i="20"/>
  <c r="O126" i="20"/>
  <c r="N126" i="20"/>
  <c r="M126" i="20"/>
  <c r="L126" i="20"/>
  <c r="K126" i="20"/>
  <c r="J126" i="20"/>
  <c r="I126" i="20"/>
  <c r="H126" i="20"/>
  <c r="D126" i="20"/>
  <c r="AA125" i="20"/>
  <c r="Z125" i="20"/>
  <c r="Y125" i="20"/>
  <c r="X125" i="20"/>
  <c r="W125" i="20"/>
  <c r="V125" i="20"/>
  <c r="O125" i="20"/>
  <c r="N125" i="20"/>
  <c r="M125" i="20"/>
  <c r="L125" i="20"/>
  <c r="K125" i="20"/>
  <c r="J125" i="20"/>
  <c r="I125" i="20"/>
  <c r="H125" i="20"/>
  <c r="D125" i="20"/>
  <c r="AA124" i="20"/>
  <c r="Z124" i="20"/>
  <c r="Y124" i="20"/>
  <c r="X124" i="20"/>
  <c r="W124" i="20"/>
  <c r="V124" i="20"/>
  <c r="O124" i="20"/>
  <c r="N124" i="20"/>
  <c r="M124" i="20"/>
  <c r="L124" i="20"/>
  <c r="K124" i="20"/>
  <c r="J124" i="20"/>
  <c r="I124" i="20"/>
  <c r="H124" i="20"/>
  <c r="D124" i="20"/>
  <c r="AA123" i="20"/>
  <c r="Z123" i="20"/>
  <c r="Y123" i="20"/>
  <c r="X123" i="20"/>
  <c r="W123" i="20"/>
  <c r="V123" i="20"/>
  <c r="O123" i="20"/>
  <c r="N123" i="20"/>
  <c r="M123" i="20"/>
  <c r="L123" i="20"/>
  <c r="K123" i="20"/>
  <c r="J123" i="20"/>
  <c r="I123" i="20"/>
  <c r="H123" i="20"/>
  <c r="D123" i="20"/>
  <c r="AA122" i="20"/>
  <c r="Z122" i="20"/>
  <c r="Y122" i="20"/>
  <c r="X122" i="20"/>
  <c r="W122" i="20"/>
  <c r="V122" i="20"/>
  <c r="O122" i="20"/>
  <c r="N122" i="20"/>
  <c r="M122" i="20"/>
  <c r="L122" i="20"/>
  <c r="K122" i="20"/>
  <c r="J122" i="20"/>
  <c r="I122" i="20"/>
  <c r="H122" i="20"/>
  <c r="D122" i="20"/>
  <c r="AA121" i="20"/>
  <c r="Z121" i="20"/>
  <c r="Y121" i="20"/>
  <c r="X121" i="20"/>
  <c r="W121" i="20"/>
  <c r="V121" i="20"/>
  <c r="O121" i="20"/>
  <c r="N121" i="20"/>
  <c r="M121" i="20"/>
  <c r="L121" i="20"/>
  <c r="K121" i="20"/>
  <c r="J121" i="20"/>
  <c r="I121" i="20"/>
  <c r="H121" i="20"/>
  <c r="D121" i="20"/>
  <c r="AA120" i="20"/>
  <c r="Z120" i="20"/>
  <c r="Y120" i="20"/>
  <c r="X120" i="20"/>
  <c r="W120" i="20"/>
  <c r="V120" i="20"/>
  <c r="O120" i="20"/>
  <c r="N120" i="20"/>
  <c r="M120" i="20"/>
  <c r="L120" i="20"/>
  <c r="K120" i="20"/>
  <c r="J120" i="20"/>
  <c r="I120" i="20"/>
  <c r="H120" i="20"/>
  <c r="D120" i="20"/>
  <c r="AA119" i="20"/>
  <c r="Z119" i="20"/>
  <c r="Y119" i="20"/>
  <c r="X119" i="20"/>
  <c r="W119" i="20"/>
  <c r="V119" i="20"/>
  <c r="O119" i="20"/>
  <c r="N119" i="20"/>
  <c r="M119" i="20"/>
  <c r="L119" i="20"/>
  <c r="K119" i="20"/>
  <c r="J119" i="20"/>
  <c r="I119" i="20"/>
  <c r="H119" i="20"/>
  <c r="D119" i="20"/>
  <c r="AA118" i="20"/>
  <c r="Z118" i="20"/>
  <c r="Y118" i="20"/>
  <c r="X118" i="20"/>
  <c r="W118" i="20"/>
  <c r="V118" i="20"/>
  <c r="O118" i="20"/>
  <c r="N118" i="20"/>
  <c r="M118" i="20"/>
  <c r="L118" i="20"/>
  <c r="K118" i="20"/>
  <c r="J118" i="20"/>
  <c r="I118" i="20"/>
  <c r="H118" i="20"/>
  <c r="D118" i="20"/>
  <c r="AA117" i="20"/>
  <c r="Z117" i="20"/>
  <c r="Y117" i="20"/>
  <c r="X117" i="20"/>
  <c r="W117" i="20"/>
  <c r="V117" i="20"/>
  <c r="O117" i="20"/>
  <c r="N117" i="20"/>
  <c r="M117" i="20"/>
  <c r="L117" i="20"/>
  <c r="K117" i="20"/>
  <c r="J117" i="20"/>
  <c r="I117" i="20"/>
  <c r="H117" i="20"/>
  <c r="D117" i="20"/>
  <c r="AA116" i="20"/>
  <c r="Z116" i="20"/>
  <c r="Y116" i="20"/>
  <c r="X116" i="20"/>
  <c r="W116" i="20"/>
  <c r="V116" i="20"/>
  <c r="O116" i="20"/>
  <c r="N116" i="20"/>
  <c r="M116" i="20"/>
  <c r="L116" i="20"/>
  <c r="K116" i="20"/>
  <c r="J116" i="20"/>
  <c r="I116" i="20"/>
  <c r="H116" i="20"/>
  <c r="D116" i="20"/>
  <c r="AA115" i="20"/>
  <c r="Z115" i="20"/>
  <c r="Y115" i="20"/>
  <c r="X115" i="20"/>
  <c r="W115" i="20"/>
  <c r="V115" i="20"/>
  <c r="O115" i="20"/>
  <c r="N115" i="20"/>
  <c r="M115" i="20"/>
  <c r="L115" i="20"/>
  <c r="K115" i="20"/>
  <c r="J115" i="20"/>
  <c r="I115" i="20"/>
  <c r="H115" i="20"/>
  <c r="D115" i="20"/>
  <c r="AA114" i="20"/>
  <c r="Z114" i="20"/>
  <c r="Y114" i="20"/>
  <c r="X114" i="20"/>
  <c r="W114" i="20"/>
  <c r="V114" i="20"/>
  <c r="O114" i="20"/>
  <c r="N114" i="20"/>
  <c r="M114" i="20"/>
  <c r="L114" i="20"/>
  <c r="K114" i="20"/>
  <c r="J114" i="20"/>
  <c r="I114" i="20"/>
  <c r="H114" i="20"/>
  <c r="D114" i="20"/>
  <c r="AA113" i="20"/>
  <c r="Z113" i="20"/>
  <c r="Y113" i="20"/>
  <c r="X113" i="20"/>
  <c r="W113" i="20"/>
  <c r="V113" i="20"/>
  <c r="O113" i="20"/>
  <c r="N113" i="20"/>
  <c r="M113" i="20"/>
  <c r="L113" i="20"/>
  <c r="K113" i="20"/>
  <c r="J113" i="20"/>
  <c r="I113" i="20"/>
  <c r="H113" i="20"/>
  <c r="D113" i="20"/>
  <c r="AA112" i="20"/>
  <c r="Z112" i="20"/>
  <c r="Y112" i="20"/>
  <c r="X112" i="20"/>
  <c r="W112" i="20"/>
  <c r="V112" i="20"/>
  <c r="O112" i="20"/>
  <c r="N112" i="20"/>
  <c r="M112" i="20"/>
  <c r="L112" i="20"/>
  <c r="K112" i="20"/>
  <c r="J112" i="20"/>
  <c r="I112" i="20"/>
  <c r="H112" i="20"/>
  <c r="D112" i="20"/>
  <c r="AA111" i="20"/>
  <c r="Z111" i="20"/>
  <c r="Y111" i="20"/>
  <c r="X111" i="20"/>
  <c r="W111" i="20"/>
  <c r="V111" i="20"/>
  <c r="O111" i="20"/>
  <c r="N111" i="20"/>
  <c r="M111" i="20"/>
  <c r="L111" i="20"/>
  <c r="K111" i="20"/>
  <c r="J111" i="20"/>
  <c r="I111" i="20"/>
  <c r="H111" i="20"/>
  <c r="D111" i="20"/>
  <c r="AA110" i="20"/>
  <c r="Z110" i="20"/>
  <c r="Y110" i="20"/>
  <c r="X110" i="20"/>
  <c r="W110" i="20"/>
  <c r="V110" i="20"/>
  <c r="O110" i="20"/>
  <c r="N110" i="20"/>
  <c r="M110" i="20"/>
  <c r="L110" i="20"/>
  <c r="K110" i="20"/>
  <c r="J110" i="20"/>
  <c r="I110" i="20"/>
  <c r="H110" i="20"/>
  <c r="D110" i="20"/>
  <c r="AA109" i="20"/>
  <c r="Z109" i="20"/>
  <c r="Y109" i="20"/>
  <c r="X109" i="20"/>
  <c r="W109" i="20"/>
  <c r="V109" i="20"/>
  <c r="O109" i="20"/>
  <c r="N109" i="20"/>
  <c r="M109" i="20"/>
  <c r="L109" i="20"/>
  <c r="K109" i="20"/>
  <c r="J109" i="20"/>
  <c r="I109" i="20"/>
  <c r="H109" i="20"/>
  <c r="D109" i="20"/>
  <c r="AA108" i="20"/>
  <c r="Z108" i="20"/>
  <c r="Y108" i="20"/>
  <c r="X108" i="20"/>
  <c r="W108" i="20"/>
  <c r="V108" i="20"/>
  <c r="O108" i="20"/>
  <c r="N108" i="20"/>
  <c r="M108" i="20"/>
  <c r="L108" i="20"/>
  <c r="K108" i="20"/>
  <c r="J108" i="20"/>
  <c r="I108" i="20"/>
  <c r="H108" i="20"/>
  <c r="D108" i="20"/>
  <c r="AA107" i="20"/>
  <c r="Z107" i="20"/>
  <c r="Y107" i="20"/>
  <c r="X107" i="20"/>
  <c r="W107" i="20"/>
  <c r="V107" i="20"/>
  <c r="O107" i="20"/>
  <c r="N107" i="20"/>
  <c r="M107" i="20"/>
  <c r="L107" i="20"/>
  <c r="K107" i="20"/>
  <c r="J107" i="20"/>
  <c r="I107" i="20"/>
  <c r="H107" i="20"/>
  <c r="D107" i="20"/>
  <c r="AA106" i="20"/>
  <c r="Z106" i="20"/>
  <c r="Y106" i="20"/>
  <c r="X106" i="20"/>
  <c r="W106" i="20"/>
  <c r="V106" i="20"/>
  <c r="O106" i="20"/>
  <c r="N106" i="20"/>
  <c r="M106" i="20"/>
  <c r="L106" i="20"/>
  <c r="K106" i="20"/>
  <c r="J106" i="20"/>
  <c r="I106" i="20"/>
  <c r="H106" i="20"/>
  <c r="D106" i="20"/>
  <c r="AA105" i="20"/>
  <c r="Z105" i="20"/>
  <c r="Y105" i="20"/>
  <c r="X105" i="20"/>
  <c r="W105" i="20"/>
  <c r="V105" i="20"/>
  <c r="O105" i="20"/>
  <c r="N105" i="20"/>
  <c r="M105" i="20"/>
  <c r="L105" i="20"/>
  <c r="K105" i="20"/>
  <c r="J105" i="20"/>
  <c r="I105" i="20"/>
  <c r="H105" i="20"/>
  <c r="D105" i="20"/>
  <c r="AA104" i="20"/>
  <c r="Z104" i="20"/>
  <c r="Y104" i="20"/>
  <c r="X104" i="20"/>
  <c r="W104" i="20"/>
  <c r="V104" i="20"/>
  <c r="O104" i="20"/>
  <c r="N104" i="20"/>
  <c r="M104" i="20"/>
  <c r="L104" i="20"/>
  <c r="K104" i="20"/>
  <c r="J104" i="20"/>
  <c r="I104" i="20"/>
  <c r="H104" i="20"/>
  <c r="D104" i="20"/>
  <c r="AA103" i="20"/>
  <c r="Z103" i="20"/>
  <c r="Y103" i="20"/>
  <c r="X103" i="20"/>
  <c r="W103" i="20"/>
  <c r="V103" i="20"/>
  <c r="O103" i="20"/>
  <c r="N103" i="20"/>
  <c r="M103" i="20"/>
  <c r="L103" i="20"/>
  <c r="K103" i="20"/>
  <c r="J103" i="20"/>
  <c r="I103" i="20"/>
  <c r="H103" i="20"/>
  <c r="D103" i="20"/>
  <c r="AA102" i="20"/>
  <c r="Z102" i="20"/>
  <c r="Y102" i="20"/>
  <c r="X102" i="20"/>
  <c r="W102" i="20"/>
  <c r="V102" i="20"/>
  <c r="O102" i="20"/>
  <c r="N102" i="20"/>
  <c r="M102" i="20"/>
  <c r="L102" i="20"/>
  <c r="K102" i="20"/>
  <c r="J102" i="20"/>
  <c r="I102" i="20"/>
  <c r="H102" i="20"/>
  <c r="D102" i="20"/>
  <c r="AA101" i="20"/>
  <c r="Z101" i="20"/>
  <c r="Y101" i="20"/>
  <c r="X101" i="20"/>
  <c r="W101" i="20"/>
  <c r="V101" i="20"/>
  <c r="O101" i="20"/>
  <c r="N101" i="20"/>
  <c r="M101" i="20"/>
  <c r="L101" i="20"/>
  <c r="K101" i="20"/>
  <c r="J101" i="20"/>
  <c r="I101" i="20"/>
  <c r="H101" i="20"/>
  <c r="D101" i="20"/>
  <c r="AA100" i="20"/>
  <c r="Z100" i="20"/>
  <c r="Y100" i="20"/>
  <c r="X100" i="20"/>
  <c r="W100" i="20"/>
  <c r="V100" i="20"/>
  <c r="O100" i="20"/>
  <c r="N100" i="20"/>
  <c r="M100" i="20"/>
  <c r="L100" i="20"/>
  <c r="K100" i="20"/>
  <c r="J100" i="20"/>
  <c r="I100" i="20"/>
  <c r="H100" i="20"/>
  <c r="D100" i="20"/>
  <c r="AA99" i="20"/>
  <c r="Z99" i="20"/>
  <c r="Y99" i="20"/>
  <c r="X99" i="20"/>
  <c r="W99" i="20"/>
  <c r="V99" i="20"/>
  <c r="O99" i="20"/>
  <c r="N99" i="20"/>
  <c r="M99" i="20"/>
  <c r="L99" i="20"/>
  <c r="K99" i="20"/>
  <c r="J99" i="20"/>
  <c r="I99" i="20"/>
  <c r="H99" i="20"/>
  <c r="D99" i="20"/>
  <c r="AA98" i="20"/>
  <c r="Z98" i="20"/>
  <c r="Y98" i="20"/>
  <c r="X98" i="20"/>
  <c r="W98" i="20"/>
  <c r="V98" i="20"/>
  <c r="O98" i="20"/>
  <c r="N98" i="20"/>
  <c r="M98" i="20"/>
  <c r="L98" i="20"/>
  <c r="K98" i="20"/>
  <c r="J98" i="20"/>
  <c r="I98" i="20"/>
  <c r="H98" i="20"/>
  <c r="D98" i="20"/>
  <c r="AA97" i="20"/>
  <c r="Z97" i="20"/>
  <c r="Y97" i="20"/>
  <c r="X97" i="20"/>
  <c r="W97" i="20"/>
  <c r="V97" i="20"/>
  <c r="O97" i="20"/>
  <c r="N97" i="20"/>
  <c r="M97" i="20"/>
  <c r="L97" i="20"/>
  <c r="K97" i="20"/>
  <c r="J97" i="20"/>
  <c r="I97" i="20"/>
  <c r="H97" i="20"/>
  <c r="D97" i="20"/>
  <c r="AA96" i="20"/>
  <c r="Z96" i="20"/>
  <c r="Y96" i="20"/>
  <c r="X96" i="20"/>
  <c r="W96" i="20"/>
  <c r="V96" i="20"/>
  <c r="O96" i="20"/>
  <c r="N96" i="20"/>
  <c r="M96" i="20"/>
  <c r="L96" i="20"/>
  <c r="K96" i="20"/>
  <c r="J96" i="20"/>
  <c r="I96" i="20"/>
  <c r="H96" i="20"/>
  <c r="D96" i="20"/>
  <c r="AA95" i="20"/>
  <c r="Z95" i="20"/>
  <c r="Y95" i="20"/>
  <c r="X95" i="20"/>
  <c r="W95" i="20"/>
  <c r="V95" i="20"/>
  <c r="O95" i="20"/>
  <c r="N95" i="20"/>
  <c r="M95" i="20"/>
  <c r="L95" i="20"/>
  <c r="K95" i="20"/>
  <c r="J95" i="20"/>
  <c r="I95" i="20"/>
  <c r="H95" i="20"/>
  <c r="D95" i="20"/>
  <c r="AA94" i="20"/>
  <c r="Z94" i="20"/>
  <c r="Y94" i="20"/>
  <c r="X94" i="20"/>
  <c r="W94" i="20"/>
  <c r="V94" i="20"/>
  <c r="O94" i="20"/>
  <c r="N94" i="20"/>
  <c r="M94" i="20"/>
  <c r="L94" i="20"/>
  <c r="K94" i="20"/>
  <c r="J94" i="20"/>
  <c r="I94" i="20"/>
  <c r="H94" i="20"/>
  <c r="D94" i="20"/>
  <c r="AA93" i="20"/>
  <c r="Z93" i="20"/>
  <c r="Y93" i="20"/>
  <c r="X93" i="20"/>
  <c r="W93" i="20"/>
  <c r="V93" i="20"/>
  <c r="O93" i="20"/>
  <c r="N93" i="20"/>
  <c r="M93" i="20"/>
  <c r="L93" i="20"/>
  <c r="K93" i="20"/>
  <c r="J93" i="20"/>
  <c r="I93" i="20"/>
  <c r="H93" i="20"/>
  <c r="D93" i="20"/>
  <c r="AA92" i="20"/>
  <c r="Z92" i="20"/>
  <c r="Y92" i="20"/>
  <c r="X92" i="20"/>
  <c r="W92" i="20"/>
  <c r="V92" i="20"/>
  <c r="O92" i="20"/>
  <c r="N92" i="20"/>
  <c r="M92" i="20"/>
  <c r="L92" i="20"/>
  <c r="K92" i="20"/>
  <c r="J92" i="20"/>
  <c r="I92" i="20"/>
  <c r="H92" i="20"/>
  <c r="D92" i="20"/>
  <c r="AA91" i="20"/>
  <c r="Z91" i="20"/>
  <c r="Y91" i="20"/>
  <c r="X91" i="20"/>
  <c r="W91" i="20"/>
  <c r="V91" i="20"/>
  <c r="O91" i="20"/>
  <c r="N91" i="20"/>
  <c r="M91" i="20"/>
  <c r="L91" i="20"/>
  <c r="K91" i="20"/>
  <c r="J91" i="20"/>
  <c r="I91" i="20"/>
  <c r="H91" i="20"/>
  <c r="D91" i="20"/>
  <c r="AA90" i="20"/>
  <c r="Z90" i="20"/>
  <c r="Y90" i="20"/>
  <c r="X90" i="20"/>
  <c r="W90" i="20"/>
  <c r="V90" i="20"/>
  <c r="O90" i="20"/>
  <c r="N90" i="20"/>
  <c r="M90" i="20"/>
  <c r="L90" i="20"/>
  <c r="K90" i="20"/>
  <c r="J90" i="20"/>
  <c r="I90" i="20"/>
  <c r="H90" i="20"/>
  <c r="D90" i="20"/>
  <c r="AA89" i="20"/>
  <c r="Z89" i="20"/>
  <c r="Y89" i="20"/>
  <c r="X89" i="20"/>
  <c r="W89" i="20"/>
  <c r="V89" i="20"/>
  <c r="O89" i="20"/>
  <c r="N89" i="20"/>
  <c r="M89" i="20"/>
  <c r="L89" i="20"/>
  <c r="K89" i="20"/>
  <c r="J89" i="20"/>
  <c r="I89" i="20"/>
  <c r="H89" i="20"/>
  <c r="D89" i="20"/>
  <c r="AA88" i="20"/>
  <c r="Z88" i="20"/>
  <c r="Y88" i="20"/>
  <c r="X88" i="20"/>
  <c r="W88" i="20"/>
  <c r="V88" i="20"/>
  <c r="O88" i="20"/>
  <c r="N88" i="20"/>
  <c r="M88" i="20"/>
  <c r="L88" i="20"/>
  <c r="K88" i="20"/>
  <c r="J88" i="20"/>
  <c r="I88" i="20"/>
  <c r="H88" i="20"/>
  <c r="D88" i="20"/>
  <c r="AA87" i="20"/>
  <c r="Z87" i="20"/>
  <c r="Y87" i="20"/>
  <c r="X87" i="20"/>
  <c r="W87" i="20"/>
  <c r="V87" i="20"/>
  <c r="O87" i="20"/>
  <c r="N87" i="20"/>
  <c r="M87" i="20"/>
  <c r="L87" i="20"/>
  <c r="K87" i="20"/>
  <c r="J87" i="20"/>
  <c r="I87" i="20"/>
  <c r="H87" i="20"/>
  <c r="D87" i="20"/>
  <c r="AA86" i="20"/>
  <c r="Z86" i="20"/>
  <c r="Y86" i="20"/>
  <c r="X86" i="20"/>
  <c r="W86" i="20"/>
  <c r="V86" i="20"/>
  <c r="O86" i="20"/>
  <c r="N86" i="20"/>
  <c r="M86" i="20"/>
  <c r="L86" i="20"/>
  <c r="K86" i="20"/>
  <c r="J86" i="20"/>
  <c r="I86" i="20"/>
  <c r="H86" i="20"/>
  <c r="D86" i="20"/>
  <c r="AA85" i="20"/>
  <c r="Z85" i="20"/>
  <c r="Y85" i="20"/>
  <c r="X85" i="20"/>
  <c r="W85" i="20"/>
  <c r="V85" i="20"/>
  <c r="O85" i="20"/>
  <c r="N85" i="20"/>
  <c r="M85" i="20"/>
  <c r="L85" i="20"/>
  <c r="K85" i="20"/>
  <c r="J85" i="20"/>
  <c r="I85" i="20"/>
  <c r="H85" i="20"/>
  <c r="D85" i="20"/>
  <c r="AA84" i="20"/>
  <c r="Z84" i="20"/>
  <c r="Y84" i="20"/>
  <c r="X84" i="20"/>
  <c r="W84" i="20"/>
  <c r="V84" i="20"/>
  <c r="O84" i="20"/>
  <c r="N84" i="20"/>
  <c r="M84" i="20"/>
  <c r="L84" i="20"/>
  <c r="K84" i="20"/>
  <c r="J84" i="20"/>
  <c r="I84" i="20"/>
  <c r="H84" i="20"/>
  <c r="D84" i="20"/>
  <c r="AA83" i="20"/>
  <c r="Z83" i="20"/>
  <c r="Y83" i="20"/>
  <c r="X83" i="20"/>
  <c r="W83" i="20"/>
  <c r="V83" i="20"/>
  <c r="O83" i="20"/>
  <c r="N83" i="20"/>
  <c r="M83" i="20"/>
  <c r="L83" i="20"/>
  <c r="K83" i="20"/>
  <c r="J83" i="20"/>
  <c r="I83" i="20"/>
  <c r="H83" i="20"/>
  <c r="D83" i="20"/>
  <c r="AA82" i="20"/>
  <c r="Z82" i="20"/>
  <c r="Y82" i="20"/>
  <c r="X82" i="20"/>
  <c r="W82" i="20"/>
  <c r="V82" i="20"/>
  <c r="O82" i="20"/>
  <c r="N82" i="20"/>
  <c r="M82" i="20"/>
  <c r="L82" i="20"/>
  <c r="K82" i="20"/>
  <c r="J82" i="20"/>
  <c r="I82" i="20"/>
  <c r="H82" i="20"/>
  <c r="D82" i="20"/>
  <c r="AA81" i="20"/>
  <c r="Z81" i="20"/>
  <c r="Y81" i="20"/>
  <c r="X81" i="20"/>
  <c r="W81" i="20"/>
  <c r="V81" i="20"/>
  <c r="O81" i="20"/>
  <c r="N81" i="20"/>
  <c r="M81" i="20"/>
  <c r="L81" i="20"/>
  <c r="K81" i="20"/>
  <c r="J81" i="20"/>
  <c r="I81" i="20"/>
  <c r="H81" i="20"/>
  <c r="D81" i="20"/>
  <c r="AA80" i="20"/>
  <c r="Z80" i="20"/>
  <c r="Y80" i="20"/>
  <c r="X80" i="20"/>
  <c r="W80" i="20"/>
  <c r="V80" i="20"/>
  <c r="O80" i="20"/>
  <c r="N80" i="20"/>
  <c r="M80" i="20"/>
  <c r="L80" i="20"/>
  <c r="K80" i="20"/>
  <c r="J80" i="20"/>
  <c r="I80" i="20"/>
  <c r="H80" i="20"/>
  <c r="D80" i="20"/>
  <c r="AA79" i="20"/>
  <c r="Z79" i="20"/>
  <c r="Y79" i="20"/>
  <c r="X79" i="20"/>
  <c r="W79" i="20"/>
  <c r="V79" i="20"/>
  <c r="O79" i="20"/>
  <c r="N79" i="20"/>
  <c r="M79" i="20"/>
  <c r="L79" i="20"/>
  <c r="K79" i="20"/>
  <c r="J79" i="20"/>
  <c r="I79" i="20"/>
  <c r="H79" i="20"/>
  <c r="D79" i="20"/>
  <c r="AA78" i="20"/>
  <c r="Z78" i="20"/>
  <c r="Y78" i="20"/>
  <c r="X78" i="20"/>
  <c r="W78" i="20"/>
  <c r="V78" i="20"/>
  <c r="O78" i="20"/>
  <c r="N78" i="20"/>
  <c r="M78" i="20"/>
  <c r="L78" i="20"/>
  <c r="K78" i="20"/>
  <c r="J78" i="20"/>
  <c r="I78" i="20"/>
  <c r="H78" i="20"/>
  <c r="D78" i="20"/>
  <c r="AA77" i="20"/>
  <c r="Z77" i="20"/>
  <c r="Y77" i="20"/>
  <c r="X77" i="20"/>
  <c r="W77" i="20"/>
  <c r="V77" i="20"/>
  <c r="O77" i="20"/>
  <c r="N77" i="20"/>
  <c r="M77" i="20"/>
  <c r="L77" i="20"/>
  <c r="K77" i="20"/>
  <c r="J77" i="20"/>
  <c r="I77" i="20"/>
  <c r="H77" i="20"/>
  <c r="D77" i="20"/>
  <c r="AA76" i="20"/>
  <c r="Z76" i="20"/>
  <c r="Y76" i="20"/>
  <c r="X76" i="20"/>
  <c r="W76" i="20"/>
  <c r="V76" i="20"/>
  <c r="O76" i="20"/>
  <c r="N76" i="20"/>
  <c r="M76" i="20"/>
  <c r="L76" i="20"/>
  <c r="K76" i="20"/>
  <c r="J76" i="20"/>
  <c r="I76" i="20"/>
  <c r="H76" i="20"/>
  <c r="D76" i="20"/>
  <c r="AA75" i="20"/>
  <c r="Z75" i="20"/>
  <c r="Y75" i="20"/>
  <c r="X75" i="20"/>
  <c r="W75" i="20"/>
  <c r="V75" i="20"/>
  <c r="O75" i="20"/>
  <c r="N75" i="20"/>
  <c r="M75" i="20"/>
  <c r="L75" i="20"/>
  <c r="K75" i="20"/>
  <c r="J75" i="20"/>
  <c r="I75" i="20"/>
  <c r="H75" i="20"/>
  <c r="D75" i="20"/>
  <c r="AA74" i="20"/>
  <c r="Z74" i="20"/>
  <c r="Y74" i="20"/>
  <c r="X74" i="20"/>
  <c r="W74" i="20"/>
  <c r="V74" i="20"/>
  <c r="O74" i="20"/>
  <c r="N74" i="20"/>
  <c r="M74" i="20"/>
  <c r="L74" i="20"/>
  <c r="K74" i="20"/>
  <c r="J74" i="20"/>
  <c r="I74" i="20"/>
  <c r="H74" i="20"/>
  <c r="D74" i="20"/>
  <c r="AA73" i="20"/>
  <c r="Z73" i="20"/>
  <c r="Y73" i="20"/>
  <c r="X73" i="20"/>
  <c r="W73" i="20"/>
  <c r="V73" i="20"/>
  <c r="O73" i="20"/>
  <c r="N73" i="20"/>
  <c r="M73" i="20"/>
  <c r="L73" i="20"/>
  <c r="K73" i="20"/>
  <c r="J73" i="20"/>
  <c r="I73" i="20"/>
  <c r="H73" i="20"/>
  <c r="D73" i="20"/>
  <c r="AA72" i="20"/>
  <c r="Z72" i="20"/>
  <c r="Y72" i="20"/>
  <c r="X72" i="20"/>
  <c r="W72" i="20"/>
  <c r="V72" i="20"/>
  <c r="O72" i="20"/>
  <c r="N72" i="20"/>
  <c r="M72" i="20"/>
  <c r="L72" i="20"/>
  <c r="K72" i="20"/>
  <c r="J72" i="20"/>
  <c r="I72" i="20"/>
  <c r="H72" i="20"/>
  <c r="D72" i="20"/>
  <c r="AA71" i="20"/>
  <c r="Z71" i="20"/>
  <c r="Y71" i="20"/>
  <c r="X71" i="20"/>
  <c r="W71" i="20"/>
  <c r="V71" i="20"/>
  <c r="O71" i="20"/>
  <c r="N71" i="20"/>
  <c r="M71" i="20"/>
  <c r="L71" i="20"/>
  <c r="K71" i="20"/>
  <c r="J71" i="20"/>
  <c r="I71" i="20"/>
  <c r="H71" i="20"/>
  <c r="D71" i="20"/>
  <c r="AA70" i="20"/>
  <c r="Z70" i="20"/>
  <c r="Y70" i="20"/>
  <c r="X70" i="20"/>
  <c r="W70" i="20"/>
  <c r="V70" i="20"/>
  <c r="O70" i="20"/>
  <c r="N70" i="20"/>
  <c r="M70" i="20"/>
  <c r="L70" i="20"/>
  <c r="K70" i="20"/>
  <c r="J70" i="20"/>
  <c r="I70" i="20"/>
  <c r="H70" i="20"/>
  <c r="D70" i="20"/>
  <c r="AA69" i="20"/>
  <c r="Z69" i="20"/>
  <c r="Y69" i="20"/>
  <c r="X69" i="20"/>
  <c r="W69" i="20"/>
  <c r="V69" i="20"/>
  <c r="O69" i="20"/>
  <c r="N69" i="20"/>
  <c r="M69" i="20"/>
  <c r="L69" i="20"/>
  <c r="K69" i="20"/>
  <c r="J69" i="20"/>
  <c r="I69" i="20"/>
  <c r="H69" i="20"/>
  <c r="D69" i="20"/>
  <c r="AA68" i="20"/>
  <c r="Z68" i="20"/>
  <c r="Y68" i="20"/>
  <c r="X68" i="20"/>
  <c r="W68" i="20"/>
  <c r="V68" i="20"/>
  <c r="O68" i="20"/>
  <c r="N68" i="20"/>
  <c r="M68" i="20"/>
  <c r="L68" i="20"/>
  <c r="K68" i="20"/>
  <c r="J68" i="20"/>
  <c r="I68" i="20"/>
  <c r="H68" i="20"/>
  <c r="D68" i="20"/>
  <c r="AA67" i="20"/>
  <c r="Z67" i="20"/>
  <c r="Y67" i="20"/>
  <c r="X67" i="20"/>
  <c r="W67" i="20"/>
  <c r="V67" i="20"/>
  <c r="O67" i="20"/>
  <c r="N67" i="20"/>
  <c r="M67" i="20"/>
  <c r="L67" i="20"/>
  <c r="K67" i="20"/>
  <c r="J67" i="20"/>
  <c r="I67" i="20"/>
  <c r="H67" i="20"/>
  <c r="D67" i="20"/>
  <c r="AA66" i="20"/>
  <c r="Z66" i="20"/>
  <c r="Y66" i="20"/>
  <c r="X66" i="20"/>
  <c r="W66" i="20"/>
  <c r="V66" i="20"/>
  <c r="O66" i="20"/>
  <c r="N66" i="20"/>
  <c r="M66" i="20"/>
  <c r="L66" i="20"/>
  <c r="K66" i="20"/>
  <c r="J66" i="20"/>
  <c r="I66" i="20"/>
  <c r="H66" i="20"/>
  <c r="D66" i="20"/>
  <c r="AA65" i="20"/>
  <c r="Z65" i="20"/>
  <c r="Y65" i="20"/>
  <c r="X65" i="20"/>
  <c r="W65" i="20"/>
  <c r="V65" i="20"/>
  <c r="O65" i="20"/>
  <c r="N65" i="20"/>
  <c r="M65" i="20"/>
  <c r="L65" i="20"/>
  <c r="K65" i="20"/>
  <c r="J65" i="20"/>
  <c r="I65" i="20"/>
  <c r="H65" i="20"/>
  <c r="D65" i="20"/>
  <c r="AA64" i="20"/>
  <c r="Z64" i="20"/>
  <c r="Y64" i="20"/>
  <c r="X64" i="20"/>
  <c r="W64" i="20"/>
  <c r="V64" i="20"/>
  <c r="O64" i="20"/>
  <c r="N64" i="20"/>
  <c r="M64" i="20"/>
  <c r="L64" i="20"/>
  <c r="K64" i="20"/>
  <c r="J64" i="20"/>
  <c r="I64" i="20"/>
  <c r="H64" i="20"/>
  <c r="D64" i="20"/>
  <c r="AA63" i="20"/>
  <c r="Z63" i="20"/>
  <c r="Y63" i="20"/>
  <c r="X63" i="20"/>
  <c r="W63" i="20"/>
  <c r="V63" i="20"/>
  <c r="O63" i="20"/>
  <c r="N63" i="20"/>
  <c r="M63" i="20"/>
  <c r="L63" i="20"/>
  <c r="K63" i="20"/>
  <c r="J63" i="20"/>
  <c r="I63" i="20"/>
  <c r="H63" i="20"/>
  <c r="D63" i="20"/>
  <c r="AA62" i="20"/>
  <c r="Z62" i="20"/>
  <c r="Y62" i="20"/>
  <c r="X62" i="20"/>
  <c r="W62" i="20"/>
  <c r="V62" i="20"/>
  <c r="O62" i="20"/>
  <c r="N62" i="20"/>
  <c r="M62" i="20"/>
  <c r="L62" i="20"/>
  <c r="K62" i="20"/>
  <c r="J62" i="20"/>
  <c r="I62" i="20"/>
  <c r="H62" i="20"/>
  <c r="D62" i="20"/>
  <c r="AA61" i="20"/>
  <c r="Z61" i="20"/>
  <c r="Y61" i="20"/>
  <c r="X61" i="20"/>
  <c r="W61" i="20"/>
  <c r="V61" i="20"/>
  <c r="O61" i="20"/>
  <c r="N61" i="20"/>
  <c r="M61" i="20"/>
  <c r="L61" i="20"/>
  <c r="K61" i="20"/>
  <c r="J61" i="20"/>
  <c r="I61" i="20"/>
  <c r="H61" i="20"/>
  <c r="D61" i="20"/>
  <c r="AA60" i="20"/>
  <c r="Z60" i="20"/>
  <c r="Y60" i="20"/>
  <c r="X60" i="20"/>
  <c r="W60" i="20"/>
  <c r="V60" i="20"/>
  <c r="O60" i="20"/>
  <c r="N60" i="20"/>
  <c r="M60" i="20"/>
  <c r="L60" i="20"/>
  <c r="K60" i="20"/>
  <c r="J60" i="20"/>
  <c r="I60" i="20"/>
  <c r="H60" i="20"/>
  <c r="D60" i="20"/>
  <c r="AA59" i="20"/>
  <c r="Z59" i="20"/>
  <c r="Y59" i="20"/>
  <c r="X59" i="20"/>
  <c r="W59" i="20"/>
  <c r="V59" i="20"/>
  <c r="O59" i="20"/>
  <c r="N59" i="20"/>
  <c r="M59" i="20"/>
  <c r="L59" i="20"/>
  <c r="K59" i="20"/>
  <c r="J59" i="20"/>
  <c r="I59" i="20"/>
  <c r="H59" i="20"/>
  <c r="D59" i="20"/>
  <c r="AA58" i="20"/>
  <c r="Z58" i="20"/>
  <c r="Y58" i="20"/>
  <c r="X58" i="20"/>
  <c r="W58" i="20"/>
  <c r="V58" i="20"/>
  <c r="O58" i="20"/>
  <c r="N58" i="20"/>
  <c r="M58" i="20"/>
  <c r="L58" i="20"/>
  <c r="K58" i="20"/>
  <c r="J58" i="20"/>
  <c r="I58" i="20"/>
  <c r="H58" i="20"/>
  <c r="D58" i="20"/>
  <c r="AA57" i="20"/>
  <c r="Z57" i="20"/>
  <c r="Y57" i="20"/>
  <c r="X57" i="20"/>
  <c r="W57" i="20"/>
  <c r="V57" i="20"/>
  <c r="O57" i="20"/>
  <c r="N57" i="20"/>
  <c r="M57" i="20"/>
  <c r="L57" i="20"/>
  <c r="K57" i="20"/>
  <c r="J57" i="20"/>
  <c r="I57" i="20"/>
  <c r="H57" i="20"/>
  <c r="D57" i="20"/>
  <c r="AA56" i="20"/>
  <c r="Z56" i="20"/>
  <c r="Y56" i="20"/>
  <c r="X56" i="20"/>
  <c r="W56" i="20"/>
  <c r="V56" i="20"/>
  <c r="O56" i="20"/>
  <c r="N56" i="20"/>
  <c r="M56" i="20"/>
  <c r="L56" i="20"/>
  <c r="K56" i="20"/>
  <c r="J56" i="20"/>
  <c r="I56" i="20"/>
  <c r="H56" i="20"/>
  <c r="D56" i="20"/>
  <c r="AA55" i="20"/>
  <c r="Z55" i="20"/>
  <c r="Y55" i="20"/>
  <c r="X55" i="20"/>
  <c r="W55" i="20"/>
  <c r="V55" i="20"/>
  <c r="O55" i="20"/>
  <c r="N55" i="20"/>
  <c r="M55" i="20"/>
  <c r="L55" i="20"/>
  <c r="K55" i="20"/>
  <c r="J55" i="20"/>
  <c r="I55" i="20"/>
  <c r="H55" i="20"/>
  <c r="D55" i="20"/>
  <c r="AA54" i="20"/>
  <c r="Z54" i="20"/>
  <c r="Y54" i="20"/>
  <c r="X54" i="20"/>
  <c r="W54" i="20"/>
  <c r="V54" i="20"/>
  <c r="O54" i="20"/>
  <c r="N54" i="20"/>
  <c r="M54" i="20"/>
  <c r="L54" i="20"/>
  <c r="K54" i="20"/>
  <c r="J54" i="20"/>
  <c r="I54" i="20"/>
  <c r="H54" i="20"/>
  <c r="D54" i="20"/>
  <c r="AA53" i="20"/>
  <c r="Z53" i="20"/>
  <c r="Y53" i="20"/>
  <c r="X53" i="20"/>
  <c r="W53" i="20"/>
  <c r="V53" i="20"/>
  <c r="O53" i="20"/>
  <c r="N53" i="20"/>
  <c r="M53" i="20"/>
  <c r="L53" i="20"/>
  <c r="K53" i="20"/>
  <c r="J53" i="20"/>
  <c r="I53" i="20"/>
  <c r="H53" i="20"/>
  <c r="D53" i="20"/>
  <c r="AA52" i="20"/>
  <c r="Z52" i="20"/>
  <c r="Y52" i="20"/>
  <c r="X52" i="20"/>
  <c r="W52" i="20"/>
  <c r="V52" i="20"/>
  <c r="O52" i="20"/>
  <c r="N52" i="20"/>
  <c r="M52" i="20"/>
  <c r="L52" i="20"/>
  <c r="K52" i="20"/>
  <c r="J52" i="20"/>
  <c r="I52" i="20"/>
  <c r="H52" i="20"/>
  <c r="D52" i="20"/>
  <c r="AA51" i="20"/>
  <c r="Z51" i="20"/>
  <c r="Y51" i="20"/>
  <c r="X51" i="20"/>
  <c r="W51" i="20"/>
  <c r="V51" i="20"/>
  <c r="O51" i="20"/>
  <c r="N51" i="20"/>
  <c r="M51" i="20"/>
  <c r="L51" i="20"/>
  <c r="K51" i="20"/>
  <c r="J51" i="20"/>
  <c r="I51" i="20"/>
  <c r="H51" i="20"/>
  <c r="D51" i="20"/>
  <c r="AA50" i="20"/>
  <c r="Z50" i="20"/>
  <c r="Y50" i="20"/>
  <c r="X50" i="20"/>
  <c r="W50" i="20"/>
  <c r="V50" i="20"/>
  <c r="O50" i="20"/>
  <c r="N50" i="20"/>
  <c r="M50" i="20"/>
  <c r="L50" i="20"/>
  <c r="K50" i="20"/>
  <c r="J50" i="20"/>
  <c r="I50" i="20"/>
  <c r="H50" i="20"/>
  <c r="D50" i="20"/>
  <c r="AA49" i="20"/>
  <c r="Z49" i="20"/>
  <c r="Y49" i="20"/>
  <c r="X49" i="20"/>
  <c r="W49" i="20"/>
  <c r="V49" i="20"/>
  <c r="O49" i="20"/>
  <c r="N49" i="20"/>
  <c r="M49" i="20"/>
  <c r="L49" i="20"/>
  <c r="K49" i="20"/>
  <c r="J49" i="20"/>
  <c r="I49" i="20"/>
  <c r="H49" i="20"/>
  <c r="D49" i="20"/>
  <c r="AA48" i="20"/>
  <c r="Z48" i="20"/>
  <c r="Y48" i="20"/>
  <c r="X48" i="20"/>
  <c r="W48" i="20"/>
  <c r="V48" i="20"/>
  <c r="O48" i="20"/>
  <c r="N48" i="20"/>
  <c r="M48" i="20"/>
  <c r="L48" i="20"/>
  <c r="K48" i="20"/>
  <c r="J48" i="20"/>
  <c r="I48" i="20"/>
  <c r="H48" i="20"/>
  <c r="D48" i="20"/>
  <c r="AA47" i="20"/>
  <c r="Z47" i="20"/>
  <c r="Y47" i="20"/>
  <c r="X47" i="20"/>
  <c r="W47" i="20"/>
  <c r="V47" i="20"/>
  <c r="O47" i="20"/>
  <c r="N47" i="20"/>
  <c r="M47" i="20"/>
  <c r="L47" i="20"/>
  <c r="K47" i="20"/>
  <c r="J47" i="20"/>
  <c r="I47" i="20"/>
  <c r="H47" i="20"/>
  <c r="D47" i="20"/>
  <c r="AA46" i="20"/>
  <c r="Z46" i="20"/>
  <c r="Y46" i="20"/>
  <c r="X46" i="20"/>
  <c r="W46" i="20"/>
  <c r="V46" i="20"/>
  <c r="O46" i="20"/>
  <c r="N46" i="20"/>
  <c r="M46" i="20"/>
  <c r="L46" i="20"/>
  <c r="K46" i="20"/>
  <c r="J46" i="20"/>
  <c r="I46" i="20"/>
  <c r="H46" i="20"/>
  <c r="D46" i="20"/>
  <c r="AA45" i="20"/>
  <c r="Z45" i="20"/>
  <c r="Y45" i="20"/>
  <c r="X45" i="20"/>
  <c r="W45" i="20"/>
  <c r="V45" i="20"/>
  <c r="O45" i="20"/>
  <c r="N45" i="20"/>
  <c r="M45" i="20"/>
  <c r="L45" i="20"/>
  <c r="K45" i="20"/>
  <c r="J45" i="20"/>
  <c r="I45" i="20"/>
  <c r="H45" i="20"/>
  <c r="D45" i="20"/>
  <c r="AA44" i="20"/>
  <c r="Z44" i="20"/>
  <c r="Y44" i="20"/>
  <c r="X44" i="20"/>
  <c r="W44" i="20"/>
  <c r="V44" i="20"/>
  <c r="O44" i="20"/>
  <c r="N44" i="20"/>
  <c r="M44" i="20"/>
  <c r="L44" i="20"/>
  <c r="K44" i="20"/>
  <c r="J44" i="20"/>
  <c r="I44" i="20"/>
  <c r="H44" i="20"/>
  <c r="D44" i="20"/>
  <c r="AA43" i="20"/>
  <c r="Z43" i="20"/>
  <c r="Y43" i="20"/>
  <c r="X43" i="20"/>
  <c r="W43" i="20"/>
  <c r="V43" i="20"/>
  <c r="O43" i="20"/>
  <c r="N43" i="20"/>
  <c r="M43" i="20"/>
  <c r="L43" i="20"/>
  <c r="K43" i="20"/>
  <c r="J43" i="20"/>
  <c r="I43" i="20"/>
  <c r="H43" i="20"/>
  <c r="D43" i="20"/>
  <c r="AA42" i="20"/>
  <c r="Z42" i="20"/>
  <c r="Y42" i="20"/>
  <c r="X42" i="20"/>
  <c r="W42" i="20"/>
  <c r="V42" i="20"/>
  <c r="O42" i="20"/>
  <c r="N42" i="20"/>
  <c r="M42" i="20"/>
  <c r="L42" i="20"/>
  <c r="K42" i="20"/>
  <c r="J42" i="20"/>
  <c r="I42" i="20"/>
  <c r="H42" i="20"/>
  <c r="D42" i="20"/>
  <c r="AA41" i="20"/>
  <c r="Z41" i="20"/>
  <c r="Y41" i="20"/>
  <c r="X41" i="20"/>
  <c r="W41" i="20"/>
  <c r="V41" i="20"/>
  <c r="O41" i="20"/>
  <c r="N41" i="20"/>
  <c r="M41" i="20"/>
  <c r="L41" i="20"/>
  <c r="K41" i="20"/>
  <c r="J41" i="20"/>
  <c r="I41" i="20"/>
  <c r="H41" i="20"/>
  <c r="D41" i="20"/>
  <c r="AA40" i="20"/>
  <c r="Z40" i="20"/>
  <c r="Y40" i="20"/>
  <c r="X40" i="20"/>
  <c r="W40" i="20"/>
  <c r="V40" i="20"/>
  <c r="O40" i="20"/>
  <c r="N40" i="20"/>
  <c r="M40" i="20"/>
  <c r="L40" i="20"/>
  <c r="K40" i="20"/>
  <c r="J40" i="20"/>
  <c r="I40" i="20"/>
  <c r="H40" i="20"/>
  <c r="D40" i="20"/>
  <c r="AA39" i="20"/>
  <c r="Z39" i="20"/>
  <c r="Y39" i="20"/>
  <c r="X39" i="20"/>
  <c r="W39" i="20"/>
  <c r="V39" i="20"/>
  <c r="O39" i="20"/>
  <c r="N39" i="20"/>
  <c r="M39" i="20"/>
  <c r="L39" i="20"/>
  <c r="K39" i="20"/>
  <c r="J39" i="20"/>
  <c r="I39" i="20"/>
  <c r="H39" i="20"/>
  <c r="D39" i="20"/>
  <c r="AA38" i="20"/>
  <c r="Z38" i="20"/>
  <c r="Y38" i="20"/>
  <c r="X38" i="20"/>
  <c r="W38" i="20"/>
  <c r="V38" i="20"/>
  <c r="O38" i="20"/>
  <c r="N38" i="20"/>
  <c r="M38" i="20"/>
  <c r="L38" i="20"/>
  <c r="K38" i="20"/>
  <c r="J38" i="20"/>
  <c r="I38" i="20"/>
  <c r="H38" i="20"/>
  <c r="D38" i="20"/>
  <c r="AA37" i="20"/>
  <c r="Z37" i="20"/>
  <c r="Y37" i="20"/>
  <c r="X37" i="20"/>
  <c r="W37" i="20"/>
  <c r="V37" i="20"/>
  <c r="O37" i="20"/>
  <c r="N37" i="20"/>
  <c r="M37" i="20"/>
  <c r="L37" i="20"/>
  <c r="K37" i="20"/>
  <c r="J37" i="20"/>
  <c r="I37" i="20"/>
  <c r="H37" i="20"/>
  <c r="D37" i="20"/>
  <c r="AA36" i="20"/>
  <c r="Z36" i="20"/>
  <c r="Y36" i="20"/>
  <c r="X36" i="20"/>
  <c r="W36" i="20"/>
  <c r="V36" i="20"/>
  <c r="O36" i="20"/>
  <c r="N36" i="20"/>
  <c r="M36" i="20"/>
  <c r="L36" i="20"/>
  <c r="K36" i="20"/>
  <c r="J36" i="20"/>
  <c r="I36" i="20"/>
  <c r="H36" i="20"/>
  <c r="D36" i="20"/>
  <c r="AA35" i="20"/>
  <c r="Z35" i="20"/>
  <c r="Y35" i="20"/>
  <c r="X35" i="20"/>
  <c r="W35" i="20"/>
  <c r="V35" i="20"/>
  <c r="O35" i="20"/>
  <c r="N35" i="20"/>
  <c r="M35" i="20"/>
  <c r="L35" i="20"/>
  <c r="K35" i="20"/>
  <c r="J35" i="20"/>
  <c r="I35" i="20"/>
  <c r="H35" i="20"/>
  <c r="D35" i="20"/>
  <c r="AA34" i="20"/>
  <c r="Z34" i="20"/>
  <c r="Y34" i="20"/>
  <c r="X34" i="20"/>
  <c r="W34" i="20"/>
  <c r="V34" i="20"/>
  <c r="O34" i="20"/>
  <c r="N34" i="20"/>
  <c r="M34" i="20"/>
  <c r="L34" i="20"/>
  <c r="K34" i="20"/>
  <c r="J34" i="20"/>
  <c r="I34" i="20"/>
  <c r="H34" i="20"/>
  <c r="D34" i="20"/>
  <c r="AA33" i="20"/>
  <c r="Z33" i="20"/>
  <c r="Y33" i="20"/>
  <c r="X33" i="20"/>
  <c r="W33" i="20"/>
  <c r="V33" i="20"/>
  <c r="O33" i="20"/>
  <c r="N33" i="20"/>
  <c r="M33" i="20"/>
  <c r="L33" i="20"/>
  <c r="K33" i="20"/>
  <c r="J33" i="20"/>
  <c r="I33" i="20"/>
  <c r="H33" i="20"/>
  <c r="D33" i="20"/>
  <c r="AA32" i="20"/>
  <c r="Z32" i="20"/>
  <c r="Y32" i="20"/>
  <c r="X32" i="20"/>
  <c r="W32" i="20"/>
  <c r="V32" i="20"/>
  <c r="O32" i="20"/>
  <c r="N32" i="20"/>
  <c r="M32" i="20"/>
  <c r="L32" i="20"/>
  <c r="K32" i="20"/>
  <c r="J32" i="20"/>
  <c r="I32" i="20"/>
  <c r="H32" i="20"/>
  <c r="D32" i="20"/>
  <c r="AA31" i="20"/>
  <c r="Z31" i="20"/>
  <c r="Y31" i="20"/>
  <c r="X31" i="20"/>
  <c r="W31" i="20"/>
  <c r="V31" i="20"/>
  <c r="O31" i="20"/>
  <c r="N31" i="20"/>
  <c r="M31" i="20"/>
  <c r="L31" i="20"/>
  <c r="K31" i="20"/>
  <c r="J31" i="20"/>
  <c r="I31" i="20"/>
  <c r="H31" i="20"/>
  <c r="D31" i="20"/>
  <c r="AA30" i="20"/>
  <c r="Z30" i="20"/>
  <c r="Y30" i="20"/>
  <c r="X30" i="20"/>
  <c r="W30" i="20"/>
  <c r="V30" i="20"/>
  <c r="O30" i="20"/>
  <c r="N30" i="20"/>
  <c r="M30" i="20"/>
  <c r="L30" i="20"/>
  <c r="K30" i="20"/>
  <c r="J30" i="20"/>
  <c r="I30" i="20"/>
  <c r="H30" i="20"/>
  <c r="D30" i="20"/>
  <c r="AA29" i="20"/>
  <c r="Z29" i="20"/>
  <c r="Y29" i="20"/>
  <c r="X29" i="20"/>
  <c r="W29" i="20"/>
  <c r="V29" i="20"/>
  <c r="O29" i="20"/>
  <c r="N29" i="20"/>
  <c r="M29" i="20"/>
  <c r="L29" i="20"/>
  <c r="K29" i="20"/>
  <c r="J29" i="20"/>
  <c r="I29" i="20"/>
  <c r="H29" i="20"/>
  <c r="D29" i="20"/>
  <c r="AA28" i="20"/>
  <c r="Z28" i="20"/>
  <c r="Y28" i="20"/>
  <c r="X28" i="20"/>
  <c r="W28" i="20"/>
  <c r="V28" i="20"/>
  <c r="O28" i="20"/>
  <c r="N28" i="20"/>
  <c r="M28" i="20"/>
  <c r="L28" i="20"/>
  <c r="K28" i="20"/>
  <c r="J28" i="20"/>
  <c r="I28" i="20"/>
  <c r="H28" i="20"/>
  <c r="D28" i="20"/>
  <c r="AA27" i="20"/>
  <c r="Z27" i="20"/>
  <c r="Y27" i="20"/>
  <c r="X27" i="20"/>
  <c r="W27" i="20"/>
  <c r="V27" i="20"/>
  <c r="O27" i="20"/>
  <c r="N27" i="20"/>
  <c r="M27" i="20"/>
  <c r="L27" i="20"/>
  <c r="K27" i="20"/>
  <c r="J27" i="20"/>
  <c r="I27" i="20"/>
  <c r="H27" i="20"/>
  <c r="D27" i="20"/>
  <c r="AA26" i="20"/>
  <c r="Z26" i="20"/>
  <c r="Y26" i="20"/>
  <c r="X26" i="20"/>
  <c r="W26" i="20"/>
  <c r="V26" i="20"/>
  <c r="O26" i="20"/>
  <c r="N26" i="20"/>
  <c r="M26" i="20"/>
  <c r="L26" i="20"/>
  <c r="K26" i="20"/>
  <c r="J26" i="20"/>
  <c r="I26" i="20"/>
  <c r="H26" i="20"/>
  <c r="D26" i="20"/>
  <c r="AA25" i="20"/>
  <c r="Z25" i="20"/>
  <c r="Y25" i="20"/>
  <c r="X25" i="20"/>
  <c r="W25" i="20"/>
  <c r="V25" i="20"/>
  <c r="O25" i="20"/>
  <c r="N25" i="20"/>
  <c r="M25" i="20"/>
  <c r="L25" i="20"/>
  <c r="K25" i="20"/>
  <c r="J25" i="20"/>
  <c r="I25" i="20"/>
  <c r="H25" i="20"/>
  <c r="D25" i="20"/>
  <c r="AA24" i="20"/>
  <c r="Z24" i="20"/>
  <c r="Y24" i="20"/>
  <c r="X24" i="20"/>
  <c r="W24" i="20"/>
  <c r="V24" i="20"/>
  <c r="O24" i="20"/>
  <c r="N24" i="20"/>
  <c r="M24" i="20"/>
  <c r="L24" i="20"/>
  <c r="K24" i="20"/>
  <c r="J24" i="20"/>
  <c r="I24" i="20"/>
  <c r="H24" i="20"/>
  <c r="D24" i="20"/>
  <c r="AA23" i="20"/>
  <c r="Z23" i="20"/>
  <c r="Y23" i="20"/>
  <c r="X23" i="20"/>
  <c r="W23" i="20"/>
  <c r="V23" i="20"/>
  <c r="O23" i="20"/>
  <c r="N23" i="20"/>
  <c r="M23" i="20"/>
  <c r="L23" i="20"/>
  <c r="K23" i="20"/>
  <c r="J23" i="20"/>
  <c r="I23" i="20"/>
  <c r="H23" i="20"/>
  <c r="D23" i="20"/>
  <c r="AA22" i="20"/>
  <c r="Z22" i="20"/>
  <c r="Y22" i="20"/>
  <c r="X22" i="20"/>
  <c r="W22" i="20"/>
  <c r="V22" i="20"/>
  <c r="O22" i="20"/>
  <c r="N22" i="20"/>
  <c r="M22" i="20"/>
  <c r="L22" i="20"/>
  <c r="K22" i="20"/>
  <c r="J22" i="20"/>
  <c r="I22" i="20"/>
  <c r="H22" i="20"/>
  <c r="D22" i="20"/>
  <c r="AA21" i="20"/>
  <c r="Z21" i="20"/>
  <c r="Y21" i="20"/>
  <c r="X21" i="20"/>
  <c r="W21" i="20"/>
  <c r="V21" i="20"/>
  <c r="O21" i="20"/>
  <c r="N21" i="20"/>
  <c r="M21" i="20"/>
  <c r="L21" i="20"/>
  <c r="K21" i="20"/>
  <c r="J21" i="20"/>
  <c r="I21" i="20"/>
  <c r="H21" i="20"/>
  <c r="D21" i="20"/>
  <c r="AA20" i="20"/>
  <c r="Z20" i="20"/>
  <c r="Y20" i="20"/>
  <c r="X20" i="20"/>
  <c r="W20" i="20"/>
  <c r="V20" i="20"/>
  <c r="O20" i="20"/>
  <c r="N20" i="20"/>
  <c r="M20" i="20"/>
  <c r="L20" i="20"/>
  <c r="K20" i="20"/>
  <c r="J20" i="20"/>
  <c r="I20" i="20"/>
  <c r="H20" i="20"/>
  <c r="D20" i="20"/>
  <c r="O17" i="20"/>
  <c r="N17" i="20"/>
  <c r="H10" i="20"/>
  <c r="C9" i="20"/>
  <c r="L3" i="20"/>
  <c r="B1" i="20"/>
  <c r="S41" i="13"/>
  <c r="R41" i="13"/>
  <c r="Q41" i="13"/>
  <c r="P41" i="13"/>
  <c r="O41" i="13"/>
  <c r="N41" i="13"/>
  <c r="M41" i="13"/>
  <c r="L41" i="13"/>
  <c r="K41" i="13"/>
  <c r="J41" i="13"/>
  <c r="I41" i="13"/>
  <c r="H41" i="13"/>
  <c r="S40" i="13"/>
  <c r="R40" i="13"/>
  <c r="Q40" i="13"/>
  <c r="P40" i="13"/>
  <c r="O40" i="13"/>
  <c r="N40" i="13"/>
  <c r="M40" i="13"/>
  <c r="L40" i="13"/>
  <c r="K40" i="13"/>
  <c r="J40" i="13"/>
  <c r="I40" i="13"/>
  <c r="H40" i="13"/>
  <c r="S39" i="13"/>
  <c r="R39" i="13"/>
  <c r="Q39" i="13"/>
  <c r="P39" i="13"/>
  <c r="O39" i="13"/>
  <c r="N39" i="13"/>
  <c r="M39" i="13"/>
  <c r="L39" i="13"/>
  <c r="K39" i="13"/>
  <c r="J39" i="13"/>
  <c r="I39" i="13"/>
  <c r="H39" i="13"/>
  <c r="S38" i="13"/>
  <c r="R38" i="13"/>
  <c r="Q38" i="13"/>
  <c r="P38" i="13"/>
  <c r="O38" i="13"/>
  <c r="N38" i="13"/>
  <c r="M38" i="13"/>
  <c r="L38" i="13"/>
  <c r="K38" i="13"/>
  <c r="J38" i="13"/>
  <c r="I38" i="13"/>
  <c r="H38" i="13"/>
  <c r="S37" i="13"/>
  <c r="R37" i="13"/>
  <c r="Q37" i="13"/>
  <c r="P37" i="13"/>
  <c r="O37" i="13"/>
  <c r="N37" i="13"/>
  <c r="M37" i="13"/>
  <c r="L37" i="13"/>
  <c r="K37" i="13"/>
  <c r="J37" i="13"/>
  <c r="I37" i="13"/>
  <c r="H37" i="13"/>
  <c r="S36" i="13"/>
  <c r="R36" i="13"/>
  <c r="Q36" i="13"/>
  <c r="P36" i="13"/>
  <c r="O36" i="13"/>
  <c r="N36" i="13"/>
  <c r="M36" i="13"/>
  <c r="L36" i="13"/>
  <c r="K36" i="13"/>
  <c r="J36" i="13"/>
  <c r="I36" i="13"/>
  <c r="H36" i="13"/>
  <c r="S35" i="13"/>
  <c r="R35" i="13"/>
  <c r="Q35" i="13"/>
  <c r="P35" i="13"/>
  <c r="O35" i="13"/>
  <c r="N35" i="13"/>
  <c r="M35" i="13"/>
  <c r="L35" i="13"/>
  <c r="K35" i="13"/>
  <c r="J35" i="13"/>
  <c r="I35" i="13"/>
  <c r="H35" i="13"/>
  <c r="S34" i="13"/>
  <c r="R34" i="13"/>
  <c r="Q34" i="13"/>
  <c r="P34" i="13"/>
  <c r="O34" i="13"/>
  <c r="N34" i="13"/>
  <c r="M34" i="13"/>
  <c r="L34" i="13"/>
  <c r="K34" i="13"/>
  <c r="J34" i="13"/>
  <c r="I34" i="13"/>
  <c r="H34" i="13"/>
  <c r="S33" i="13"/>
  <c r="R33" i="13"/>
  <c r="Q33" i="13"/>
  <c r="P33" i="13"/>
  <c r="O33" i="13"/>
  <c r="N33" i="13"/>
  <c r="M33" i="13"/>
  <c r="L33" i="13"/>
  <c r="K33" i="13"/>
  <c r="J33" i="13"/>
  <c r="I33" i="13"/>
  <c r="H33" i="13"/>
  <c r="S32" i="13"/>
  <c r="R32" i="13"/>
  <c r="Q32" i="13"/>
  <c r="P32" i="13"/>
  <c r="O32" i="13"/>
  <c r="N32" i="13"/>
  <c r="M32" i="13"/>
  <c r="L32" i="13"/>
  <c r="K32" i="13"/>
  <c r="J32" i="13"/>
  <c r="I32" i="13"/>
  <c r="H32" i="13"/>
  <c r="S31" i="13"/>
  <c r="R31" i="13"/>
  <c r="Q31" i="13"/>
  <c r="P31" i="13"/>
  <c r="O31" i="13"/>
  <c r="N31" i="13"/>
  <c r="M31" i="13"/>
  <c r="L31" i="13"/>
  <c r="K31" i="13"/>
  <c r="J31" i="13"/>
  <c r="I31" i="13"/>
  <c r="H31" i="13"/>
  <c r="S30" i="13"/>
  <c r="R30" i="13"/>
  <c r="Q30" i="13"/>
  <c r="P30" i="13"/>
  <c r="O30" i="13"/>
  <c r="N30" i="13"/>
  <c r="M30" i="13"/>
  <c r="L30" i="13"/>
  <c r="K30" i="13"/>
  <c r="J30" i="13"/>
  <c r="I30" i="13"/>
  <c r="H30" i="13"/>
  <c r="S29" i="13"/>
  <c r="R29" i="13"/>
  <c r="Q29" i="13"/>
  <c r="P29" i="13"/>
  <c r="O29" i="13"/>
  <c r="N29" i="13"/>
  <c r="M29" i="13"/>
  <c r="L29" i="13"/>
  <c r="K29" i="13"/>
  <c r="J29" i="13"/>
  <c r="I29" i="13"/>
  <c r="H29" i="13"/>
  <c r="S28" i="13"/>
  <c r="R28" i="13"/>
  <c r="Q28" i="13"/>
  <c r="P28" i="13"/>
  <c r="O28" i="13"/>
  <c r="N28" i="13"/>
  <c r="M28" i="13"/>
  <c r="L28" i="13"/>
  <c r="K28" i="13"/>
  <c r="J28" i="13"/>
  <c r="I28" i="13"/>
  <c r="H28" i="13"/>
  <c r="S27" i="13"/>
  <c r="R27" i="13"/>
  <c r="Q27" i="13"/>
  <c r="P27" i="13"/>
  <c r="O27" i="13"/>
  <c r="N27" i="13"/>
  <c r="M27" i="13"/>
  <c r="L27" i="13"/>
  <c r="K27" i="13"/>
  <c r="J27" i="13"/>
  <c r="I27" i="13"/>
  <c r="H27" i="13"/>
  <c r="S26" i="13"/>
  <c r="R26" i="13"/>
  <c r="Q26" i="13"/>
  <c r="P26" i="13"/>
  <c r="O26" i="13"/>
  <c r="N26" i="13"/>
  <c r="M26" i="13"/>
  <c r="L26" i="13"/>
  <c r="K26" i="13"/>
  <c r="J26" i="13"/>
  <c r="I26" i="13"/>
  <c r="H26" i="13"/>
  <c r="S25" i="13"/>
  <c r="R25" i="13"/>
  <c r="Q25" i="13"/>
  <c r="P25" i="13"/>
  <c r="O25" i="13"/>
  <c r="N25" i="13"/>
  <c r="M25" i="13"/>
  <c r="L25" i="13"/>
  <c r="K25" i="13"/>
  <c r="J25" i="13"/>
  <c r="I25" i="13"/>
  <c r="H25" i="13"/>
  <c r="S24" i="13"/>
  <c r="R24" i="13"/>
  <c r="Q24" i="13"/>
  <c r="P24" i="13"/>
  <c r="O24" i="13"/>
  <c r="N24" i="13"/>
  <c r="M24" i="13"/>
  <c r="L24" i="13"/>
  <c r="K24" i="13"/>
  <c r="J24" i="13"/>
  <c r="I24" i="13"/>
  <c r="H24" i="13"/>
  <c r="S23" i="13"/>
  <c r="R23" i="13"/>
  <c r="Q23" i="13"/>
  <c r="P23" i="13"/>
  <c r="O23" i="13"/>
  <c r="N23" i="13"/>
  <c r="M23" i="13"/>
  <c r="L23" i="13"/>
  <c r="K23" i="13"/>
  <c r="J23" i="13"/>
  <c r="I23" i="13"/>
  <c r="H23" i="13"/>
  <c r="S22" i="13"/>
  <c r="R22" i="13"/>
  <c r="Q22" i="13"/>
  <c r="P22" i="13"/>
  <c r="O22" i="13"/>
  <c r="N22" i="13"/>
  <c r="M22" i="13"/>
  <c r="L22" i="13"/>
  <c r="K22" i="13"/>
  <c r="J22" i="13"/>
  <c r="I22" i="13"/>
  <c r="H22" i="13"/>
  <c r="S21" i="13"/>
  <c r="R21" i="13"/>
  <c r="Q21" i="13"/>
  <c r="P21" i="13"/>
  <c r="O21" i="13"/>
  <c r="N21" i="13"/>
  <c r="M21" i="13"/>
  <c r="L21" i="13"/>
  <c r="K21" i="13"/>
  <c r="J21" i="13"/>
  <c r="I21" i="13"/>
  <c r="H21" i="13"/>
  <c r="S20" i="13"/>
  <c r="R20" i="13"/>
  <c r="Q20" i="13"/>
  <c r="P20" i="13"/>
  <c r="O20" i="13"/>
  <c r="N20" i="13"/>
  <c r="M20" i="13"/>
  <c r="L20" i="13"/>
  <c r="K20" i="13"/>
  <c r="J20" i="13"/>
  <c r="I20" i="13"/>
  <c r="H20" i="13"/>
  <c r="S19" i="13"/>
  <c r="R19" i="13"/>
  <c r="Q19" i="13"/>
  <c r="P19" i="13"/>
  <c r="O19" i="13"/>
  <c r="N19" i="13"/>
  <c r="M19" i="13"/>
  <c r="L19" i="13"/>
  <c r="K19" i="13"/>
  <c r="J19" i="13"/>
  <c r="I19" i="13"/>
  <c r="H19" i="13"/>
  <c r="S18" i="13"/>
  <c r="R18" i="13"/>
  <c r="Q18" i="13"/>
  <c r="P18" i="13"/>
  <c r="O18" i="13"/>
  <c r="N18" i="13"/>
  <c r="M18" i="13"/>
  <c r="L18" i="13"/>
  <c r="K18" i="13"/>
  <c r="J18" i="13"/>
  <c r="I18" i="13"/>
  <c r="H18" i="13"/>
  <c r="S17" i="13"/>
  <c r="R17" i="13"/>
  <c r="Q17" i="13"/>
  <c r="P17" i="13"/>
  <c r="O17" i="13"/>
  <c r="N17" i="13"/>
  <c r="M17" i="13"/>
  <c r="L17" i="13"/>
  <c r="K17" i="13"/>
  <c r="J17" i="13"/>
  <c r="I17" i="13"/>
  <c r="H17" i="13"/>
  <c r="S16" i="13"/>
  <c r="R16" i="13"/>
  <c r="Q16" i="13"/>
  <c r="P16" i="13"/>
  <c r="O16" i="13"/>
  <c r="N16" i="13"/>
  <c r="M16" i="13"/>
  <c r="L16" i="13"/>
  <c r="K16" i="13"/>
  <c r="J16" i="13"/>
  <c r="I16" i="13"/>
  <c r="H16" i="13"/>
  <c r="S15" i="13"/>
  <c r="R15" i="13"/>
  <c r="Q15" i="13"/>
  <c r="P15" i="13"/>
  <c r="O15" i="13"/>
  <c r="N15" i="13"/>
  <c r="M15" i="13"/>
  <c r="L15" i="13"/>
  <c r="K15" i="13"/>
  <c r="J15" i="13"/>
  <c r="I15" i="13"/>
  <c r="H15" i="13"/>
  <c r="S14" i="13"/>
  <c r="R14" i="13"/>
  <c r="Q14" i="13"/>
  <c r="P14" i="13"/>
  <c r="O14" i="13"/>
  <c r="N14" i="13"/>
  <c r="M14" i="13"/>
  <c r="L14" i="13"/>
  <c r="K14" i="13"/>
  <c r="J14" i="13"/>
  <c r="I14" i="13"/>
  <c r="H14" i="13"/>
  <c r="S13" i="13"/>
  <c r="R13" i="13"/>
  <c r="Q13" i="13"/>
  <c r="P13" i="13"/>
  <c r="O13" i="13"/>
  <c r="N13" i="13"/>
  <c r="M13" i="13"/>
  <c r="L13" i="13"/>
  <c r="K13" i="13"/>
  <c r="J13" i="13"/>
  <c r="I13" i="13"/>
  <c r="H13" i="13"/>
  <c r="S12" i="13"/>
  <c r="R12" i="13"/>
  <c r="Q12" i="13"/>
  <c r="P12" i="13"/>
  <c r="O12" i="13"/>
  <c r="N12" i="13"/>
  <c r="M12" i="13"/>
  <c r="L12" i="13"/>
  <c r="K12" i="13"/>
  <c r="J12" i="13"/>
  <c r="I12" i="13"/>
  <c r="H12" i="13"/>
  <c r="S11" i="13"/>
  <c r="R11" i="13"/>
  <c r="Q11" i="13"/>
  <c r="P11" i="13"/>
  <c r="O11" i="13"/>
  <c r="N11" i="13"/>
  <c r="M11" i="13"/>
  <c r="L11" i="13"/>
  <c r="K11" i="13"/>
  <c r="J11" i="13"/>
  <c r="I11" i="13"/>
  <c r="H11" i="13"/>
  <c r="S10" i="13"/>
  <c r="R10" i="13"/>
  <c r="Q10" i="13"/>
  <c r="P10" i="13"/>
  <c r="O10" i="13"/>
  <c r="N10" i="13"/>
  <c r="M10" i="13"/>
  <c r="L10" i="13"/>
  <c r="K10" i="13"/>
  <c r="J10" i="13"/>
  <c r="I10" i="13"/>
  <c r="H10" i="13"/>
  <c r="S9" i="13"/>
  <c r="R9" i="13"/>
  <c r="Q9" i="13"/>
  <c r="P9" i="13"/>
  <c r="O9" i="13"/>
  <c r="N9" i="13"/>
  <c r="M9" i="13"/>
  <c r="L9" i="13"/>
  <c r="K9" i="13"/>
  <c r="J9" i="13"/>
  <c r="I9" i="13"/>
  <c r="H9" i="13"/>
  <c r="S8" i="13"/>
  <c r="R8" i="13"/>
  <c r="Q8" i="13"/>
  <c r="P8" i="13"/>
  <c r="O8" i="13"/>
  <c r="N8" i="13"/>
  <c r="M8" i="13"/>
  <c r="L8" i="13"/>
  <c r="K8" i="13"/>
  <c r="J8" i="13"/>
  <c r="I8" i="13"/>
  <c r="H8" i="13"/>
  <c r="S7" i="13"/>
  <c r="R7" i="13"/>
  <c r="Q7" i="13"/>
  <c r="P7" i="13"/>
  <c r="O7" i="13"/>
  <c r="N7" i="13"/>
  <c r="M7" i="13"/>
  <c r="L7" i="13"/>
  <c r="K7" i="13"/>
  <c r="J7" i="13"/>
  <c r="I7" i="13"/>
  <c r="H7" i="13"/>
  <c r="S6" i="13"/>
  <c r="R6" i="13"/>
  <c r="Q6" i="13"/>
  <c r="P6" i="13"/>
  <c r="O6" i="13"/>
  <c r="N6" i="13"/>
  <c r="M6" i="13"/>
  <c r="L6" i="13"/>
  <c r="K6" i="13"/>
  <c r="J6" i="13"/>
  <c r="I6" i="13"/>
  <c r="H6" i="13"/>
  <c r="S5" i="13"/>
  <c r="R5" i="13"/>
  <c r="Q5" i="13"/>
  <c r="P5" i="13"/>
  <c r="O5" i="13"/>
  <c r="N5" i="13"/>
  <c r="M5" i="13"/>
  <c r="L5" i="13"/>
  <c r="K5" i="13"/>
  <c r="J5" i="13"/>
  <c r="I5" i="13"/>
  <c r="H5" i="13"/>
  <c r="S4" i="13"/>
  <c r="R4" i="13"/>
  <c r="Q4" i="13"/>
  <c r="P4" i="13"/>
  <c r="O4" i="13"/>
  <c r="N4" i="13"/>
  <c r="M4" i="13"/>
  <c r="L4" i="13"/>
  <c r="K4" i="13"/>
  <c r="J4" i="13"/>
  <c r="I4" i="13"/>
  <c r="H4" i="13"/>
  <c r="S3" i="13"/>
  <c r="R3" i="13"/>
  <c r="Q3" i="13"/>
  <c r="P3" i="13"/>
  <c r="O3" i="13"/>
  <c r="N3" i="13"/>
  <c r="M3" i="13"/>
  <c r="L3" i="13"/>
  <c r="K3" i="13"/>
  <c r="J3" i="13"/>
  <c r="I3" i="13"/>
  <c r="H3" i="13"/>
  <c r="O422" i="16"/>
  <c r="N422" i="16"/>
  <c r="M422" i="16"/>
  <c r="K422" i="16"/>
  <c r="J422" i="16"/>
  <c r="I422" i="16"/>
  <c r="F422" i="16"/>
  <c r="E422" i="16"/>
  <c r="D422" i="16"/>
  <c r="C422" i="16"/>
  <c r="B422" i="16"/>
  <c r="A422" i="16"/>
  <c r="O421" i="16"/>
  <c r="N421" i="16"/>
  <c r="M421" i="16"/>
  <c r="K421" i="16"/>
  <c r="J421" i="16"/>
  <c r="I421" i="16"/>
  <c r="F421" i="16"/>
  <c r="E421" i="16"/>
  <c r="D421" i="16"/>
  <c r="C421" i="16"/>
  <c r="B421" i="16"/>
  <c r="A421" i="16"/>
  <c r="O420" i="16"/>
  <c r="N420" i="16"/>
  <c r="M420" i="16"/>
  <c r="K420" i="16"/>
  <c r="J420" i="16"/>
  <c r="I420" i="16"/>
  <c r="F420" i="16"/>
  <c r="E420" i="16"/>
  <c r="D420" i="16"/>
  <c r="C420" i="16"/>
  <c r="B420" i="16"/>
  <c r="A420" i="16"/>
  <c r="O419" i="16"/>
  <c r="N419" i="16"/>
  <c r="M419" i="16"/>
  <c r="K419" i="16"/>
  <c r="J419" i="16"/>
  <c r="I419" i="16"/>
  <c r="F419" i="16"/>
  <c r="E419" i="16"/>
  <c r="D419" i="16"/>
  <c r="C419" i="16"/>
  <c r="B419" i="16"/>
  <c r="A419" i="16"/>
  <c r="O418" i="16"/>
  <c r="N418" i="16"/>
  <c r="M418" i="16"/>
  <c r="K418" i="16"/>
  <c r="J418" i="16"/>
  <c r="I418" i="16"/>
  <c r="F418" i="16"/>
  <c r="E418" i="16"/>
  <c r="D418" i="16"/>
  <c r="C418" i="16"/>
  <c r="B418" i="16"/>
  <c r="A418" i="16"/>
  <c r="O417" i="16"/>
  <c r="N417" i="16"/>
  <c r="M417" i="16"/>
  <c r="K417" i="16"/>
  <c r="J417" i="16"/>
  <c r="I417" i="16"/>
  <c r="F417" i="16"/>
  <c r="E417" i="16"/>
  <c r="D417" i="16"/>
  <c r="C417" i="16"/>
  <c r="B417" i="16"/>
  <c r="A417" i="16"/>
  <c r="O416" i="16"/>
  <c r="N416" i="16"/>
  <c r="M416" i="16"/>
  <c r="K416" i="16"/>
  <c r="J416" i="16"/>
  <c r="I416" i="16"/>
  <c r="F416" i="16"/>
  <c r="E416" i="16"/>
  <c r="D416" i="16"/>
  <c r="C416" i="16"/>
  <c r="B416" i="16"/>
  <c r="A416" i="16"/>
  <c r="O415" i="16"/>
  <c r="N415" i="16"/>
  <c r="M415" i="16"/>
  <c r="K415" i="16"/>
  <c r="J415" i="16"/>
  <c r="I415" i="16"/>
  <c r="F415" i="16"/>
  <c r="E415" i="16"/>
  <c r="D415" i="16"/>
  <c r="C415" i="16"/>
  <c r="B415" i="16"/>
  <c r="A415" i="16"/>
  <c r="O414" i="16"/>
  <c r="N414" i="16"/>
  <c r="M414" i="16"/>
  <c r="K414" i="16"/>
  <c r="J414" i="16"/>
  <c r="I414" i="16"/>
  <c r="F414" i="16"/>
  <c r="E414" i="16"/>
  <c r="D414" i="16"/>
  <c r="C414" i="16"/>
  <c r="B414" i="16"/>
  <c r="A414" i="16"/>
  <c r="O413" i="16"/>
  <c r="N413" i="16"/>
  <c r="M413" i="16"/>
  <c r="K413" i="16"/>
  <c r="J413" i="16"/>
  <c r="I413" i="16"/>
  <c r="F413" i="16"/>
  <c r="E413" i="16"/>
  <c r="D413" i="16"/>
  <c r="C413" i="16"/>
  <c r="B413" i="16"/>
  <c r="A413" i="16"/>
  <c r="O412" i="16"/>
  <c r="N412" i="16"/>
  <c r="M412" i="16"/>
  <c r="K412" i="16"/>
  <c r="J412" i="16"/>
  <c r="I412" i="16"/>
  <c r="F412" i="16"/>
  <c r="E412" i="16"/>
  <c r="D412" i="16"/>
  <c r="C412" i="16"/>
  <c r="B412" i="16"/>
  <c r="A412" i="16"/>
  <c r="O411" i="16"/>
  <c r="N411" i="16"/>
  <c r="M411" i="16"/>
  <c r="K411" i="16"/>
  <c r="J411" i="16"/>
  <c r="I411" i="16"/>
  <c r="F411" i="16"/>
  <c r="E411" i="16"/>
  <c r="D411" i="16"/>
  <c r="C411" i="16"/>
  <c r="B411" i="16"/>
  <c r="A411" i="16"/>
  <c r="O410" i="16"/>
  <c r="N410" i="16"/>
  <c r="M410" i="16"/>
  <c r="K410" i="16"/>
  <c r="J410" i="16"/>
  <c r="I410" i="16"/>
  <c r="F410" i="16"/>
  <c r="E410" i="16"/>
  <c r="D410" i="16"/>
  <c r="C410" i="16"/>
  <c r="B410" i="16"/>
  <c r="A410" i="16"/>
  <c r="R409" i="16"/>
  <c r="P409" i="16"/>
  <c r="N409" i="16"/>
  <c r="M409" i="16"/>
  <c r="K409" i="16"/>
  <c r="J409" i="16"/>
  <c r="I409" i="16"/>
  <c r="F409" i="16"/>
  <c r="E409" i="16"/>
  <c r="D409" i="16"/>
  <c r="C409" i="16"/>
  <c r="B409" i="16"/>
  <c r="A409" i="16"/>
  <c r="R408" i="16"/>
  <c r="P408" i="16"/>
  <c r="N408" i="16"/>
  <c r="M408" i="16"/>
  <c r="K408" i="16"/>
  <c r="J408" i="16"/>
  <c r="I408" i="16"/>
  <c r="F408" i="16"/>
  <c r="E408" i="16"/>
  <c r="D408" i="16"/>
  <c r="C408" i="16"/>
  <c r="B408" i="16"/>
  <c r="A408" i="16"/>
  <c r="R407" i="16"/>
  <c r="P407" i="16"/>
  <c r="N407" i="16"/>
  <c r="M407" i="16"/>
  <c r="K407" i="16"/>
  <c r="J407" i="16"/>
  <c r="I407" i="16"/>
  <c r="F407" i="16"/>
  <c r="E407" i="16"/>
  <c r="D407" i="16"/>
  <c r="C407" i="16"/>
  <c r="B407" i="16"/>
  <c r="A407" i="16"/>
  <c r="R406" i="16"/>
  <c r="P406" i="16"/>
  <c r="N406" i="16"/>
  <c r="M406" i="16"/>
  <c r="K406" i="16"/>
  <c r="J406" i="16"/>
  <c r="I406" i="16"/>
  <c r="F406" i="16"/>
  <c r="E406" i="16"/>
  <c r="D406" i="16"/>
  <c r="C406" i="16"/>
  <c r="B406" i="16"/>
  <c r="A406" i="16"/>
  <c r="R405" i="16"/>
  <c r="P405" i="16"/>
  <c r="N405" i="16"/>
  <c r="M405" i="16"/>
  <c r="K405" i="16"/>
  <c r="J405" i="16"/>
  <c r="I405" i="16"/>
  <c r="F405" i="16"/>
  <c r="E405" i="16"/>
  <c r="D405" i="16"/>
  <c r="C405" i="16"/>
  <c r="B405" i="16"/>
  <c r="A405" i="16"/>
  <c r="R404" i="16"/>
  <c r="P404" i="16"/>
  <c r="N404" i="16"/>
  <c r="M404" i="16"/>
  <c r="K404" i="16"/>
  <c r="J404" i="16"/>
  <c r="I404" i="16"/>
  <c r="F404" i="16"/>
  <c r="E404" i="16"/>
  <c r="D404" i="16"/>
  <c r="C404" i="16"/>
  <c r="B404" i="16"/>
  <c r="A404" i="16"/>
  <c r="Q222" i="16"/>
  <c r="P222" i="16"/>
  <c r="N222" i="16"/>
  <c r="M222" i="16"/>
  <c r="L222" i="16"/>
  <c r="K222" i="16"/>
  <c r="J222" i="16"/>
  <c r="I222" i="16"/>
  <c r="H222" i="16"/>
  <c r="F222" i="16"/>
  <c r="E222" i="16"/>
  <c r="D222" i="16"/>
  <c r="C222" i="16"/>
  <c r="B222" i="16"/>
  <c r="A222" i="16"/>
  <c r="Q221" i="16"/>
  <c r="P221" i="16"/>
  <c r="N221" i="16"/>
  <c r="L221" i="16"/>
  <c r="M221" i="16" s="1"/>
  <c r="K221" i="16"/>
  <c r="J221" i="16"/>
  <c r="I221" i="16"/>
  <c r="H221" i="16"/>
  <c r="F221" i="16"/>
  <c r="E221" i="16"/>
  <c r="D221" i="16"/>
  <c r="C221" i="16"/>
  <c r="B221" i="16"/>
  <c r="A221" i="16"/>
  <c r="P220" i="16"/>
  <c r="N220" i="16"/>
  <c r="L220" i="16"/>
  <c r="Q220" i="16" s="1"/>
  <c r="K220" i="16"/>
  <c r="J220" i="16"/>
  <c r="I220" i="16"/>
  <c r="H220" i="16"/>
  <c r="F220" i="16"/>
  <c r="E220" i="16"/>
  <c r="D220" i="16"/>
  <c r="C220" i="16"/>
  <c r="B220" i="16"/>
  <c r="A220" i="16"/>
  <c r="Q219" i="16"/>
  <c r="P219" i="16"/>
  <c r="N219" i="16"/>
  <c r="M219" i="16"/>
  <c r="L219" i="16"/>
  <c r="K219" i="16"/>
  <c r="J219" i="16"/>
  <c r="I219" i="16"/>
  <c r="H219" i="16"/>
  <c r="F219" i="16"/>
  <c r="E219" i="16"/>
  <c r="D219" i="16"/>
  <c r="C219" i="16"/>
  <c r="B219" i="16"/>
  <c r="A219" i="16"/>
  <c r="Q218" i="16"/>
  <c r="P218" i="16"/>
  <c r="N218" i="16"/>
  <c r="M218" i="16"/>
  <c r="L218" i="16"/>
  <c r="K218" i="16"/>
  <c r="J218" i="16"/>
  <c r="I218" i="16"/>
  <c r="H218" i="16"/>
  <c r="F218" i="16"/>
  <c r="E218" i="16"/>
  <c r="D218" i="16"/>
  <c r="C218" i="16"/>
  <c r="B218" i="16"/>
  <c r="A218" i="16"/>
  <c r="Q217" i="16"/>
  <c r="P217" i="16"/>
  <c r="N217" i="16"/>
  <c r="L217" i="16"/>
  <c r="M217" i="16" s="1"/>
  <c r="K217" i="16"/>
  <c r="J217" i="16"/>
  <c r="I217" i="16"/>
  <c r="H217" i="16"/>
  <c r="F217" i="16"/>
  <c r="E217" i="16"/>
  <c r="D217" i="16"/>
  <c r="C217" i="16"/>
  <c r="B217" i="16"/>
  <c r="A217" i="16"/>
  <c r="P216" i="16"/>
  <c r="N216" i="16"/>
  <c r="M216" i="16"/>
  <c r="L216" i="16"/>
  <c r="Q216" i="16" s="1"/>
  <c r="K216" i="16"/>
  <c r="J216" i="16"/>
  <c r="I216" i="16"/>
  <c r="H216" i="16"/>
  <c r="F216" i="16"/>
  <c r="E216" i="16"/>
  <c r="D216" i="16"/>
  <c r="C216" i="16"/>
  <c r="B216" i="16"/>
  <c r="A216" i="16"/>
  <c r="Q215" i="16"/>
  <c r="P215" i="16"/>
  <c r="N215" i="16"/>
  <c r="M215" i="16"/>
  <c r="L215" i="16"/>
  <c r="K215" i="16"/>
  <c r="J215" i="16"/>
  <c r="I215" i="16"/>
  <c r="H215" i="16"/>
  <c r="F215" i="16"/>
  <c r="E215" i="16"/>
  <c r="D215" i="16"/>
  <c r="C215" i="16"/>
  <c r="B215" i="16"/>
  <c r="A215" i="16"/>
  <c r="Q214" i="16"/>
  <c r="P214" i="16"/>
  <c r="N214" i="16"/>
  <c r="M214" i="16"/>
  <c r="L214" i="16"/>
  <c r="K214" i="16"/>
  <c r="J214" i="16"/>
  <c r="I214" i="16"/>
  <c r="H214" i="16"/>
  <c r="F214" i="16"/>
  <c r="E214" i="16"/>
  <c r="D214" i="16"/>
  <c r="C214" i="16"/>
  <c r="B214" i="16"/>
  <c r="A214" i="16"/>
  <c r="Q213" i="16"/>
  <c r="P213" i="16"/>
  <c r="N213" i="16"/>
  <c r="L213" i="16"/>
  <c r="M213" i="16" s="1"/>
  <c r="K213" i="16"/>
  <c r="J213" i="16"/>
  <c r="I213" i="16"/>
  <c r="H213" i="16"/>
  <c r="F213" i="16"/>
  <c r="E213" i="16"/>
  <c r="D213" i="16"/>
  <c r="C213" i="16"/>
  <c r="B213" i="16"/>
  <c r="A213" i="16"/>
  <c r="Q212" i="16"/>
  <c r="P212" i="16"/>
  <c r="N212" i="16"/>
  <c r="M212" i="16"/>
  <c r="L212" i="16"/>
  <c r="K212" i="16"/>
  <c r="J212" i="16"/>
  <c r="I212" i="16"/>
  <c r="H212" i="16"/>
  <c r="F212" i="16"/>
  <c r="E212" i="16"/>
  <c r="D212" i="16"/>
  <c r="C212" i="16"/>
  <c r="B212" i="16"/>
  <c r="A212" i="16"/>
  <c r="Q211" i="16"/>
  <c r="P211" i="16"/>
  <c r="N211" i="16"/>
  <c r="M211" i="16"/>
  <c r="L211" i="16"/>
  <c r="K211" i="16"/>
  <c r="J211" i="16"/>
  <c r="I211" i="16"/>
  <c r="H211" i="16"/>
  <c r="F211" i="16"/>
  <c r="E211" i="16"/>
  <c r="D211" i="16"/>
  <c r="C211" i="16"/>
  <c r="B211" i="16"/>
  <c r="A211" i="16"/>
  <c r="Q210" i="16"/>
  <c r="P210" i="16"/>
  <c r="N210" i="16"/>
  <c r="M210" i="16"/>
  <c r="L210" i="16"/>
  <c r="K210" i="16"/>
  <c r="J210" i="16"/>
  <c r="I210" i="16"/>
  <c r="H210" i="16"/>
  <c r="F210" i="16"/>
  <c r="E210" i="16"/>
  <c r="D210" i="16"/>
  <c r="C210" i="16"/>
  <c r="B210" i="16"/>
  <c r="A210" i="16"/>
  <c r="Q209" i="16"/>
  <c r="N209" i="16"/>
  <c r="L209" i="16"/>
  <c r="K209" i="16"/>
  <c r="J209" i="16"/>
  <c r="I209" i="16"/>
  <c r="H209" i="16"/>
  <c r="F209" i="16"/>
  <c r="E209" i="16"/>
  <c r="D209" i="16"/>
  <c r="C209" i="16"/>
  <c r="B209" i="16"/>
  <c r="A209" i="16"/>
  <c r="Q208" i="16"/>
  <c r="N208" i="16"/>
  <c r="L208" i="16"/>
  <c r="K208" i="16"/>
  <c r="J208" i="16"/>
  <c r="I208" i="16"/>
  <c r="H208" i="16"/>
  <c r="F208" i="16"/>
  <c r="E208" i="16"/>
  <c r="D208" i="16"/>
  <c r="C208" i="16"/>
  <c r="B208" i="16"/>
  <c r="A208" i="16"/>
  <c r="Q207" i="16"/>
  <c r="N207" i="16"/>
  <c r="L207" i="16"/>
  <c r="K207" i="16"/>
  <c r="J207" i="16"/>
  <c r="I207" i="16"/>
  <c r="H207" i="16"/>
  <c r="F207" i="16"/>
  <c r="E207" i="16"/>
  <c r="D207" i="16"/>
  <c r="C207" i="16"/>
  <c r="B207" i="16"/>
  <c r="A207" i="16"/>
  <c r="Q206" i="16"/>
  <c r="N206" i="16"/>
  <c r="L206" i="16"/>
  <c r="K206" i="16"/>
  <c r="J206" i="16"/>
  <c r="I206" i="16"/>
  <c r="H206" i="16"/>
  <c r="F206" i="16"/>
  <c r="E206" i="16"/>
  <c r="D206" i="16"/>
  <c r="C206" i="16"/>
  <c r="B206" i="16"/>
  <c r="A206" i="16"/>
  <c r="Q205" i="16"/>
  <c r="N205" i="16"/>
  <c r="L205" i="16"/>
  <c r="K205" i="16"/>
  <c r="J205" i="16"/>
  <c r="I205" i="16"/>
  <c r="H205" i="16"/>
  <c r="F205" i="16"/>
  <c r="E205" i="16"/>
  <c r="D205" i="16"/>
  <c r="C205" i="16"/>
  <c r="B205" i="16"/>
  <c r="A205" i="16"/>
  <c r="Q204" i="16"/>
  <c r="N204" i="16"/>
  <c r="L204" i="16"/>
  <c r="K204" i="16"/>
  <c r="J204" i="16"/>
  <c r="I204" i="16"/>
  <c r="H204" i="16"/>
  <c r="F204" i="16"/>
  <c r="E204" i="16"/>
  <c r="D204" i="16"/>
  <c r="C204" i="16"/>
  <c r="B204" i="16"/>
  <c r="A204" i="16"/>
  <c r="O201" i="16"/>
  <c r="L201" i="16"/>
  <c r="O63" i="16"/>
  <c r="N63" i="16"/>
  <c r="K63" i="16"/>
  <c r="J63" i="16"/>
  <c r="I63" i="16"/>
  <c r="F63" i="16"/>
  <c r="D63" i="16"/>
  <c r="C63" i="16"/>
  <c r="B63" i="16"/>
  <c r="O62" i="16"/>
  <c r="N62" i="16"/>
  <c r="K62" i="16"/>
  <c r="J62" i="16"/>
  <c r="I62" i="16"/>
  <c r="F62" i="16"/>
  <c r="D62" i="16"/>
  <c r="C62" i="16"/>
  <c r="B62" i="16"/>
  <c r="O61" i="16"/>
  <c r="N61" i="16"/>
  <c r="K61" i="16"/>
  <c r="J61" i="16"/>
  <c r="I61" i="16"/>
  <c r="F61" i="16"/>
  <c r="D61" i="16"/>
  <c r="C61" i="16"/>
  <c r="B61" i="16"/>
  <c r="O60" i="16"/>
  <c r="N60" i="16"/>
  <c r="K60" i="16"/>
  <c r="J60" i="16"/>
  <c r="I60" i="16"/>
  <c r="F60" i="16"/>
  <c r="D60" i="16"/>
  <c r="C60" i="16"/>
  <c r="B60" i="16"/>
  <c r="O59" i="16"/>
  <c r="N59" i="16"/>
  <c r="K59" i="16"/>
  <c r="J59" i="16"/>
  <c r="I59" i="16"/>
  <c r="F59" i="16"/>
  <c r="D59" i="16"/>
  <c r="C59" i="16"/>
  <c r="B59" i="16"/>
  <c r="O58" i="16"/>
  <c r="N58" i="16"/>
  <c r="K58" i="16"/>
  <c r="J58" i="16"/>
  <c r="I58" i="16"/>
  <c r="F58" i="16"/>
  <c r="D58" i="16"/>
  <c r="C58" i="16"/>
  <c r="B58" i="16"/>
  <c r="O57" i="16"/>
  <c r="N57" i="16"/>
  <c r="K57" i="16"/>
  <c r="J57" i="16"/>
  <c r="I57" i="16"/>
  <c r="F57" i="16"/>
  <c r="D57" i="16"/>
  <c r="C57" i="16"/>
  <c r="B57" i="16"/>
  <c r="O56" i="16"/>
  <c r="N56" i="16"/>
  <c r="K56" i="16"/>
  <c r="J56" i="16"/>
  <c r="I56" i="16"/>
  <c r="F56" i="16"/>
  <c r="D56" i="16"/>
  <c r="C56" i="16"/>
  <c r="B56" i="16"/>
  <c r="O55" i="16"/>
  <c r="N55" i="16"/>
  <c r="K55" i="16"/>
  <c r="J55" i="16"/>
  <c r="I55" i="16"/>
  <c r="F55" i="16"/>
  <c r="D55" i="16"/>
  <c r="C55" i="16"/>
  <c r="B55" i="16"/>
  <c r="O54" i="16"/>
  <c r="N54" i="16"/>
  <c r="K54" i="16"/>
  <c r="J54" i="16"/>
  <c r="I54" i="16"/>
  <c r="F54" i="16"/>
  <c r="D54" i="16"/>
  <c r="C54" i="16"/>
  <c r="B54" i="16"/>
  <c r="O53" i="16"/>
  <c r="N53" i="16"/>
  <c r="K53" i="16"/>
  <c r="J53" i="16"/>
  <c r="I53" i="16"/>
  <c r="F53" i="16"/>
  <c r="D53" i="16"/>
  <c r="C53" i="16"/>
  <c r="B53" i="16"/>
  <c r="O52" i="16"/>
  <c r="N52" i="16"/>
  <c r="K52" i="16"/>
  <c r="J52" i="16"/>
  <c r="I52" i="16"/>
  <c r="F52" i="16"/>
  <c r="D52" i="16"/>
  <c r="C52" i="16"/>
  <c r="B52" i="16"/>
  <c r="O51" i="16"/>
  <c r="N51" i="16"/>
  <c r="K51" i="16"/>
  <c r="J51" i="16"/>
  <c r="I51" i="16"/>
  <c r="F51" i="16"/>
  <c r="D51" i="16"/>
  <c r="C51" i="16"/>
  <c r="B51" i="16"/>
  <c r="P50" i="16"/>
  <c r="N50" i="16"/>
  <c r="K50" i="16"/>
  <c r="J50" i="16"/>
  <c r="I50" i="16"/>
  <c r="F50" i="16"/>
  <c r="D50" i="16"/>
  <c r="C50" i="16"/>
  <c r="B50" i="16"/>
  <c r="P49" i="16"/>
  <c r="N49" i="16"/>
  <c r="K49" i="16"/>
  <c r="J49" i="16"/>
  <c r="I49" i="16"/>
  <c r="F49" i="16"/>
  <c r="D49" i="16"/>
  <c r="C49" i="16"/>
  <c r="B49" i="16"/>
  <c r="P48" i="16"/>
  <c r="N48" i="16"/>
  <c r="K48" i="16"/>
  <c r="J48" i="16"/>
  <c r="I48" i="16"/>
  <c r="F48" i="16"/>
  <c r="D48" i="16"/>
  <c r="C48" i="16"/>
  <c r="B48" i="16"/>
  <c r="P47" i="16"/>
  <c r="N47" i="16"/>
  <c r="K47" i="16"/>
  <c r="J47" i="16"/>
  <c r="I47" i="16"/>
  <c r="F47" i="16"/>
  <c r="D47" i="16"/>
  <c r="C47" i="16"/>
  <c r="B47" i="16"/>
  <c r="P46" i="16"/>
  <c r="N46" i="16"/>
  <c r="K46" i="16"/>
  <c r="J46" i="16"/>
  <c r="I46" i="16"/>
  <c r="F46" i="16"/>
  <c r="D46" i="16"/>
  <c r="C46" i="16"/>
  <c r="B46" i="16"/>
  <c r="P45" i="16"/>
  <c r="N45" i="16"/>
  <c r="K45" i="16"/>
  <c r="J45" i="16"/>
  <c r="I45" i="16"/>
  <c r="F45" i="16"/>
  <c r="D45" i="16"/>
  <c r="C45" i="16"/>
  <c r="B45" i="16"/>
  <c r="Q42" i="16"/>
  <c r="O42" i="16"/>
  <c r="O27" i="16"/>
  <c r="I27" i="16"/>
  <c r="O26" i="16"/>
  <c r="I26" i="16"/>
  <c r="O25" i="16"/>
  <c r="I25" i="16"/>
  <c r="R23" i="16"/>
  <c r="F23" i="16"/>
  <c r="F22" i="16"/>
  <c r="C22" i="16"/>
  <c r="R21" i="16"/>
  <c r="R20" i="16"/>
  <c r="F20" i="16"/>
  <c r="R19" i="16"/>
  <c r="F19" i="16"/>
  <c r="F18" i="16"/>
  <c r="R17" i="16"/>
  <c r="F17" i="16"/>
  <c r="R14" i="16"/>
  <c r="E12" i="16"/>
  <c r="AV10" i="16"/>
  <c r="AH10" i="16"/>
  <c r="R10" i="16"/>
  <c r="AX9" i="16"/>
  <c r="AV9" i="16"/>
  <c r="AH9" i="16"/>
  <c r="AX8" i="16"/>
  <c r="AV8" i="16"/>
  <c r="AH8" i="16"/>
  <c r="X8" i="16"/>
  <c r="AX7" i="16"/>
  <c r="AV7" i="16"/>
  <c r="AH7" i="16"/>
  <c r="X7" i="16"/>
  <c r="AX6" i="16"/>
  <c r="AV6" i="16"/>
  <c r="AH6" i="16"/>
  <c r="AX5" i="16"/>
  <c r="AV5" i="16"/>
  <c r="AH5" i="16"/>
  <c r="AX4" i="16"/>
  <c r="AV4" i="16"/>
  <c r="AH4" i="16"/>
  <c r="O3" i="16"/>
  <c r="T40" i="15"/>
  <c r="S40" i="15"/>
  <c r="R40" i="15"/>
  <c r="Q40" i="15"/>
  <c r="T39" i="15"/>
  <c r="S39" i="15"/>
  <c r="R39" i="15"/>
  <c r="Q39" i="15"/>
  <c r="T38" i="15"/>
  <c r="S38" i="15"/>
  <c r="R38" i="15"/>
  <c r="Q38" i="15"/>
  <c r="T37" i="15"/>
  <c r="S37" i="15"/>
  <c r="R37" i="15"/>
  <c r="Q37" i="15"/>
  <c r="T36" i="15"/>
  <c r="S36" i="15"/>
  <c r="R36" i="15"/>
  <c r="Q36" i="15"/>
  <c r="T35" i="15"/>
  <c r="S35" i="15"/>
  <c r="R35" i="15"/>
  <c r="Q35" i="15"/>
  <c r="T34" i="15"/>
  <c r="S34" i="15"/>
  <c r="R34" i="15"/>
  <c r="Q34" i="15"/>
  <c r="T33" i="15"/>
  <c r="S33" i="15"/>
  <c r="R33" i="15"/>
  <c r="Q33" i="15"/>
  <c r="T32" i="15"/>
  <c r="S32" i="15"/>
  <c r="R32" i="15"/>
  <c r="Q32" i="15"/>
  <c r="T31" i="15"/>
  <c r="S31" i="15"/>
  <c r="R31" i="15"/>
  <c r="Q31" i="15"/>
  <c r="T30" i="15"/>
  <c r="S30" i="15"/>
  <c r="R30" i="15"/>
  <c r="Q30" i="15"/>
  <c r="T29" i="15"/>
  <c r="S29" i="15"/>
  <c r="R29" i="15"/>
  <c r="Q29" i="15"/>
  <c r="T28" i="15"/>
  <c r="S28" i="15"/>
  <c r="R28" i="15"/>
  <c r="Q28" i="15"/>
  <c r="T27" i="15"/>
  <c r="S27" i="15"/>
  <c r="R27" i="15"/>
  <c r="Q27" i="15"/>
  <c r="T26" i="15"/>
  <c r="S26" i="15"/>
  <c r="R26" i="15"/>
  <c r="Q26" i="15"/>
  <c r="T25" i="15"/>
  <c r="S25" i="15"/>
  <c r="R25" i="15"/>
  <c r="Q25" i="15"/>
  <c r="T24" i="15"/>
  <c r="S24" i="15"/>
  <c r="R24" i="15"/>
  <c r="Q24" i="15"/>
  <c r="T23" i="15"/>
  <c r="S23" i="15"/>
  <c r="R23" i="15"/>
  <c r="Q23" i="15"/>
  <c r="T22" i="15"/>
  <c r="S22" i="15"/>
  <c r="R22" i="15"/>
  <c r="Q22" i="15"/>
  <c r="T21" i="15"/>
  <c r="S21" i="15"/>
  <c r="R21" i="15"/>
  <c r="Q21" i="15"/>
  <c r="T20" i="15"/>
  <c r="S20" i="15"/>
  <c r="R20" i="15"/>
  <c r="Q20" i="15"/>
  <c r="T19" i="15"/>
  <c r="S19" i="15"/>
  <c r="R19" i="15"/>
  <c r="Q19" i="15"/>
  <c r="T18" i="15"/>
  <c r="S18" i="15"/>
  <c r="R18" i="15"/>
  <c r="Q18" i="15"/>
  <c r="T17" i="15"/>
  <c r="S17" i="15"/>
  <c r="R17" i="15"/>
  <c r="Q17" i="15"/>
  <c r="T16" i="15"/>
  <c r="S16" i="15"/>
  <c r="R16" i="15"/>
  <c r="Q16" i="15"/>
  <c r="T15" i="15"/>
  <c r="S15" i="15"/>
  <c r="R15" i="15"/>
  <c r="Q15" i="15"/>
  <c r="T14" i="15"/>
  <c r="S14" i="15"/>
  <c r="R14" i="15"/>
  <c r="Q14" i="15"/>
  <c r="T13" i="15"/>
  <c r="S13" i="15"/>
  <c r="R13" i="15"/>
  <c r="Q13" i="15"/>
  <c r="T12" i="15"/>
  <c r="S12" i="15"/>
  <c r="R12" i="15"/>
  <c r="Q12" i="15"/>
  <c r="T11" i="15"/>
  <c r="S11" i="15"/>
  <c r="R11" i="15"/>
  <c r="Q11" i="15"/>
  <c r="T10" i="15"/>
  <c r="S10" i="15"/>
  <c r="R10" i="15"/>
  <c r="Q10" i="15"/>
  <c r="T9" i="15"/>
  <c r="S9" i="15"/>
  <c r="R9" i="15"/>
  <c r="Q9" i="15"/>
  <c r="T8" i="15"/>
  <c r="S8" i="15"/>
  <c r="R8" i="15"/>
  <c r="Q8" i="15"/>
  <c r="T7" i="15"/>
  <c r="S7" i="15"/>
  <c r="R7" i="15"/>
  <c r="Q7" i="15"/>
  <c r="T6" i="15"/>
  <c r="S6" i="15"/>
  <c r="R6" i="15"/>
  <c r="Q6" i="15"/>
  <c r="T5" i="15"/>
  <c r="S5" i="15"/>
  <c r="R5" i="15"/>
  <c r="Q5" i="15"/>
  <c r="T4" i="15"/>
  <c r="S4" i="15"/>
  <c r="R4" i="15"/>
  <c r="Q4" i="15"/>
  <c r="T3" i="15"/>
  <c r="S3" i="15"/>
  <c r="R3" i="15"/>
  <c r="Q3" i="15"/>
  <c r="T2" i="15"/>
  <c r="S2" i="15"/>
  <c r="R2" i="15"/>
  <c r="Q2" i="15"/>
  <c r="T15" i="24"/>
  <c r="T14" i="24"/>
  <c r="T13" i="24"/>
  <c r="T12" i="24"/>
  <c r="T11" i="24"/>
  <c r="T10" i="24"/>
  <c r="T9" i="24"/>
  <c r="T8" i="24"/>
  <c r="T7" i="24"/>
  <c r="T6" i="24"/>
  <c r="T5" i="24"/>
  <c r="T4" i="24"/>
  <c r="T3" i="24"/>
  <c r="T2" i="24"/>
  <c r="R15" i="24"/>
  <c r="R14" i="24"/>
  <c r="R13" i="24"/>
  <c r="R12" i="24"/>
  <c r="R11" i="24"/>
  <c r="R10" i="24"/>
  <c r="R9" i="24"/>
  <c r="R8" i="24"/>
  <c r="R7" i="24"/>
  <c r="R6" i="24"/>
  <c r="R5" i="24"/>
  <c r="R4" i="24"/>
  <c r="R3" i="24"/>
  <c r="R2" i="24"/>
  <c r="Q15" i="22"/>
  <c r="Q14" i="22"/>
  <c r="Q13" i="22"/>
  <c r="Q12" i="22"/>
  <c r="Q11" i="22"/>
  <c r="Q10" i="22"/>
  <c r="Q9" i="22"/>
  <c r="Q8" i="22"/>
  <c r="Q7" i="22"/>
  <c r="Q6" i="22"/>
  <c r="Q5" i="22"/>
  <c r="Q4" i="22"/>
  <c r="Q3" i="22"/>
  <c r="Q2" i="22"/>
  <c r="O15" i="22"/>
  <c r="O14" i="22"/>
  <c r="O13" i="22"/>
  <c r="O12" i="22"/>
  <c r="O11" i="22"/>
  <c r="O10" i="22"/>
  <c r="O9" i="22"/>
  <c r="O8" i="22"/>
  <c r="O7" i="22"/>
  <c r="O6" i="22"/>
  <c r="O5" i="22"/>
  <c r="O4" i="22"/>
  <c r="O3" i="22"/>
  <c r="O2" i="22"/>
  <c r="G413" i="16"/>
  <c r="G60" i="16"/>
  <c r="G47" i="16"/>
  <c r="G414" i="16"/>
  <c r="G54" i="16"/>
  <c r="G55" i="16"/>
  <c r="G412" i="16"/>
  <c r="G409" i="16"/>
  <c r="G56" i="16"/>
  <c r="G48" i="16"/>
  <c r="G415" i="16"/>
  <c r="G58" i="16"/>
  <c r="G57" i="16"/>
  <c r="G418" i="16"/>
  <c r="G406" i="16"/>
  <c r="G51" i="16"/>
  <c r="G420" i="16"/>
  <c r="G63" i="16"/>
  <c r="G407" i="16"/>
  <c r="G50" i="16"/>
  <c r="G408" i="16"/>
  <c r="G61" i="16"/>
  <c r="G411" i="16"/>
  <c r="G417" i="16"/>
  <c r="G404" i="16"/>
  <c r="G49" i="16"/>
  <c r="G416" i="16"/>
  <c r="G405" i="16"/>
  <c r="G52" i="16"/>
  <c r="G46" i="16"/>
  <c r="G59" i="16"/>
  <c r="G419" i="16"/>
  <c r="G53" i="16"/>
  <c r="G422" i="16"/>
  <c r="G62" i="16"/>
  <c r="G421" i="16"/>
  <c r="G410" i="16"/>
  <c r="G45" i="16"/>
  <c r="M220" i="16" l="1"/>
  <c r="H57" i="16"/>
  <c r="R416" i="16"/>
  <c r="G216" i="16"/>
  <c r="R57" i="16"/>
  <c r="P57" i="16"/>
  <c r="P416" i="16"/>
  <c r="G209" i="16"/>
  <c r="H50" i="16"/>
  <c r="P417" i="16"/>
  <c r="H58" i="16"/>
  <c r="R58" i="16"/>
  <c r="P58" i="16"/>
  <c r="R417" i="16"/>
  <c r="G217" i="16"/>
  <c r="R54" i="16"/>
  <c r="R413" i="16"/>
  <c r="G213" i="16"/>
  <c r="P54" i="16"/>
  <c r="P413" i="16"/>
  <c r="H54" i="16"/>
  <c r="H47" i="16"/>
  <c r="G206" i="16"/>
  <c r="G218" i="16"/>
  <c r="P59" i="16"/>
  <c r="R418" i="16"/>
  <c r="P418" i="16"/>
  <c r="H59" i="16"/>
  <c r="R59" i="16"/>
  <c r="P52" i="16"/>
  <c r="R411" i="16"/>
  <c r="G211" i="16"/>
  <c r="P411" i="16"/>
  <c r="H52" i="16"/>
  <c r="R52" i="16"/>
  <c r="R414" i="16"/>
  <c r="G214" i="16"/>
  <c r="H55" i="16"/>
  <c r="P414" i="16"/>
  <c r="P55" i="16"/>
  <c r="R55" i="16"/>
  <c r="H48" i="16"/>
  <c r="G207" i="16"/>
  <c r="P60" i="16"/>
  <c r="G219" i="16"/>
  <c r="H60" i="16"/>
  <c r="R60" i="16"/>
  <c r="P419" i="16"/>
  <c r="R419" i="16"/>
  <c r="P53" i="16"/>
  <c r="R53" i="16"/>
  <c r="R412" i="16"/>
  <c r="G212" i="16"/>
  <c r="P412" i="16"/>
  <c r="H53" i="16"/>
  <c r="R51" i="16"/>
  <c r="P410" i="16"/>
  <c r="H51" i="16"/>
  <c r="P51" i="16"/>
  <c r="R410" i="16"/>
  <c r="G210" i="16"/>
  <c r="R63" i="16"/>
  <c r="P422" i="16"/>
  <c r="H63" i="16"/>
  <c r="P63" i="16"/>
  <c r="R422" i="16"/>
  <c r="G222" i="16"/>
  <c r="R415" i="16"/>
  <c r="G215" i="16"/>
  <c r="H56" i="16"/>
  <c r="P415" i="16"/>
  <c r="R56" i="16"/>
  <c r="P56" i="16"/>
  <c r="G204" i="16"/>
  <c r="H45" i="16"/>
  <c r="P421" i="16"/>
  <c r="R62" i="16"/>
  <c r="R421" i="16"/>
  <c r="G221" i="16"/>
  <c r="H62" i="16"/>
  <c r="P62" i="16"/>
  <c r="H46" i="16"/>
  <c r="G205" i="16"/>
  <c r="G208" i="16"/>
  <c r="H49" i="16"/>
  <c r="R420" i="16"/>
  <c r="G220" i="16"/>
  <c r="R61" i="16"/>
  <c r="P61" i="16"/>
  <c r="P420" i="16"/>
  <c r="H61" i="16"/>
  <c r="H405" i="16" l="1"/>
  <c r="O205" i="16"/>
  <c r="P205" i="16" s="1"/>
  <c r="M205" i="16"/>
  <c r="R46" i="16"/>
  <c r="L46" i="16"/>
  <c r="L49" i="16"/>
  <c r="R49" i="16"/>
  <c r="O208" i="16"/>
  <c r="P208" i="16" s="1"/>
  <c r="M208" i="16"/>
  <c r="H408" i="16"/>
  <c r="O218" i="16"/>
  <c r="H418" i="16"/>
  <c r="L59" i="16"/>
  <c r="H417" i="16"/>
  <c r="O217" i="16"/>
  <c r="L58" i="16"/>
  <c r="O219" i="16"/>
  <c r="L60" i="16"/>
  <c r="H419" i="16"/>
  <c r="L62" i="16"/>
  <c r="H421" i="16"/>
  <c r="O221" i="16"/>
  <c r="O210" i="16"/>
  <c r="H410" i="16"/>
  <c r="L51" i="16"/>
  <c r="M209" i="16"/>
  <c r="L50" i="16"/>
  <c r="H409" i="16"/>
  <c r="O209" i="16"/>
  <c r="P209" i="16" s="1"/>
  <c r="R50" i="16"/>
  <c r="O212" i="16"/>
  <c r="H412" i="16"/>
  <c r="L53" i="16"/>
  <c r="L56" i="16"/>
  <c r="O215" i="16"/>
  <c r="H415" i="16"/>
  <c r="O206" i="16"/>
  <c r="P206" i="16" s="1"/>
  <c r="H406" i="16"/>
  <c r="L47" i="16"/>
  <c r="M206" i="16"/>
  <c r="R47" i="16"/>
  <c r="L61" i="16"/>
  <c r="O220" i="16"/>
  <c r="H420" i="16"/>
  <c r="O207" i="16"/>
  <c r="P207" i="16" s="1"/>
  <c r="L48" i="16"/>
  <c r="M207" i="16"/>
  <c r="H407" i="16"/>
  <c r="R48" i="16"/>
  <c r="O211" i="16"/>
  <c r="H411" i="16"/>
  <c r="L52" i="16"/>
  <c r="H413" i="16"/>
  <c r="O213" i="16"/>
  <c r="L54" i="16"/>
  <c r="H404" i="16"/>
  <c r="L45" i="16"/>
  <c r="O204" i="16"/>
  <c r="P204" i="16" s="1"/>
  <c r="R204" i="16" s="1"/>
  <c r="R205" i="16" s="1"/>
  <c r="R206" i="16" s="1"/>
  <c r="R207" i="16" s="1"/>
  <c r="R45" i="16"/>
  <c r="M204" i="16"/>
  <c r="O222" i="16"/>
  <c r="H422" i="16"/>
  <c r="L63" i="16"/>
  <c r="L55" i="16"/>
  <c r="H414" i="16"/>
  <c r="O214" i="16"/>
  <c r="L57" i="16"/>
  <c r="H416" i="16"/>
  <c r="O216" i="16"/>
  <c r="S204" i="16" l="1"/>
  <c r="S206" i="16"/>
  <c r="L422" i="16"/>
  <c r="M63" i="16"/>
  <c r="L409" i="16"/>
  <c r="M50" i="16"/>
  <c r="L417" i="16"/>
  <c r="M58" i="16"/>
  <c r="M52" i="16"/>
  <c r="L411" i="16"/>
  <c r="M56" i="16"/>
  <c r="L415" i="16"/>
  <c r="M51" i="16"/>
  <c r="L410" i="16"/>
  <c r="L420" i="16"/>
  <c r="M61" i="16"/>
  <c r="L408" i="16"/>
  <c r="M49" i="16"/>
  <c r="R208" i="16"/>
  <c r="R209" i="16" s="1"/>
  <c r="R210" i="16" s="1"/>
  <c r="L405" i="16"/>
  <c r="M46" i="16"/>
  <c r="M59" i="16"/>
  <c r="L418" i="16"/>
  <c r="M57" i="16"/>
  <c r="L416" i="16"/>
  <c r="S205" i="16"/>
  <c r="L412" i="16"/>
  <c r="M53" i="16"/>
  <c r="M47" i="16"/>
  <c r="L406" i="16"/>
  <c r="L421" i="16"/>
  <c r="M62" i="16"/>
  <c r="L407" i="16"/>
  <c r="M48" i="16"/>
  <c r="L419" i="16"/>
  <c r="M60" i="16"/>
  <c r="M45" i="16"/>
  <c r="L404" i="16"/>
  <c r="M55" i="16"/>
  <c r="L414" i="16"/>
  <c r="S207" i="16"/>
  <c r="M54" i="16"/>
  <c r="L413" i="16"/>
  <c r="S208" i="16" l="1"/>
  <c r="O45" i="16"/>
  <c r="Q45" i="16" s="1"/>
  <c r="O404" i="16"/>
  <c r="Q404" i="16" s="1"/>
  <c r="O48" i="16"/>
  <c r="O407" i="16"/>
  <c r="S209" i="16"/>
  <c r="R211" i="16"/>
  <c r="S210" i="16"/>
  <c r="O408" i="16"/>
  <c r="O49" i="16"/>
  <c r="O46" i="16"/>
  <c r="O405" i="16"/>
  <c r="O47" i="16"/>
  <c r="O406" i="16"/>
  <c r="O50" i="16"/>
  <c r="O409" i="16"/>
  <c r="S211" i="16" l="1"/>
  <c r="R212" i="16"/>
  <c r="P27" i="16"/>
  <c r="S404" i="16"/>
  <c r="Q405" i="16"/>
  <c r="S45" i="16"/>
  <c r="Q46" i="16"/>
  <c r="Q47" i="16" l="1"/>
  <c r="S46" i="16"/>
  <c r="Q406" i="16"/>
  <c r="S405" i="16"/>
  <c r="R213" i="16"/>
  <c r="S212" i="16"/>
  <c r="S406" i="16" l="1"/>
  <c r="Q407" i="16"/>
  <c r="R214" i="16"/>
  <c r="S213" i="16"/>
  <c r="Q48" i="16"/>
  <c r="S47" i="16"/>
  <c r="R215" i="16" l="1"/>
  <c r="S214" i="16"/>
  <c r="Q49" i="16"/>
  <c r="S48" i="16"/>
  <c r="S407" i="16"/>
  <c r="Q408" i="16"/>
  <c r="S215" i="16" l="1"/>
  <c r="R216" i="16"/>
  <c r="S408" i="16"/>
  <c r="Q409" i="16"/>
  <c r="S49" i="16"/>
  <c r="Q50" i="16"/>
  <c r="Q410" i="16" l="1"/>
  <c r="S409" i="16"/>
  <c r="Q51" i="16"/>
  <c r="S50" i="16"/>
  <c r="S216" i="16"/>
  <c r="R217" i="16"/>
  <c r="S51" i="16" l="1"/>
  <c r="Q52" i="16"/>
  <c r="R218" i="16"/>
  <c r="S217" i="16"/>
  <c r="Q411" i="16"/>
  <c r="S410" i="16"/>
  <c r="R219" i="16" l="1"/>
  <c r="S218" i="16"/>
  <c r="P26" i="16"/>
  <c r="Q412" i="16"/>
  <c r="S411" i="16"/>
  <c r="P25" i="16"/>
  <c r="Q53" i="16"/>
  <c r="S52" i="16"/>
  <c r="Q54" i="16" l="1"/>
  <c r="S53" i="16"/>
  <c r="Q413" i="16"/>
  <c r="S412" i="16"/>
  <c r="R220" i="16"/>
  <c r="S219" i="16"/>
  <c r="R221" i="16" l="1"/>
  <c r="S220" i="16"/>
  <c r="Q414" i="16"/>
  <c r="S413" i="16"/>
  <c r="Q55" i="16"/>
  <c r="S54" i="16"/>
  <c r="Q415" i="16" l="1"/>
  <c r="S414" i="16"/>
  <c r="Q56" i="16"/>
  <c r="S55" i="16"/>
  <c r="R222" i="16"/>
  <c r="S222" i="16" s="1"/>
  <c r="K27" i="16" s="1"/>
  <c r="R27" i="16" s="1"/>
  <c r="S221" i="16"/>
  <c r="S56" i="16" l="1"/>
  <c r="Q57" i="16"/>
  <c r="Q416" i="16"/>
  <c r="S415" i="16"/>
  <c r="Q417" i="16" l="1"/>
  <c r="S416" i="16"/>
  <c r="Q58" i="16"/>
  <c r="S57" i="16"/>
  <c r="Q59" i="16" l="1"/>
  <c r="S58" i="16"/>
  <c r="Q418" i="16"/>
  <c r="S417" i="16"/>
  <c r="Q419" i="16" l="1"/>
  <c r="S418" i="16"/>
  <c r="Q60" i="16"/>
  <c r="S59" i="16"/>
  <c r="Q61" i="16" l="1"/>
  <c r="S60" i="16"/>
  <c r="Q420" i="16"/>
  <c r="S419" i="16"/>
  <c r="Q421" i="16" l="1"/>
  <c r="S420" i="16"/>
  <c r="S61" i="16"/>
  <c r="Q62" i="16"/>
  <c r="S62" i="16" l="1"/>
  <c r="Q63" i="16"/>
  <c r="S63" i="16" s="1"/>
  <c r="K25" i="16" s="1"/>
  <c r="R25" i="16" s="1"/>
  <c r="R28" i="16" s="1"/>
  <c r="Q422" i="16"/>
  <c r="S422" i="16" s="1"/>
  <c r="K26" i="16" s="1"/>
  <c r="R26" i="16" s="1"/>
  <c r="S421" i="16"/>
  <c r="N34" i="16" l="1"/>
  <c r="N35" i="16" s="1"/>
  <c r="N36" i="16" s="1"/>
  <c r="R34" i="16"/>
  <c r="R35" i="16" s="1"/>
  <c r="R36" i="16" s="1"/>
  <c r="P34" i="16"/>
  <c r="P35" i="16" s="1"/>
  <c r="P36" i="16" s="1"/>
  <c r="L34" i="16"/>
  <c r="L35" i="16" s="1"/>
  <c r="L36" i="16" s="1"/>
  <c r="J34" i="16"/>
  <c r="J35" i="16" s="1"/>
  <c r="J36" i="16" s="1"/>
</calcChain>
</file>

<file path=xl/comments1.xml><?xml version="1.0" encoding="utf-8"?>
<comments xmlns="http://schemas.openxmlformats.org/spreadsheetml/2006/main">
  <authors>
    <author>Phat ,Pham Vinh</author>
  </authors>
  <commentList>
    <comment ref="B27" authorId="0" shapeId="0">
      <text>
        <r>
          <rPr>
            <b/>
            <sz val="9"/>
            <rFont val="Tahoma"/>
            <charset val="134"/>
          </rPr>
          <t>Phat ,Pham Vinh:</t>
        </r>
        <r>
          <rPr>
            <sz val="9"/>
            <rFont val="Tahoma"/>
            <charset val="134"/>
          </rPr>
          <t xml:space="preserve">
Hệ số: Biểu đồ G2a TCVN 10304:2014</t>
        </r>
      </text>
    </comment>
  </commentList>
</comments>
</file>

<file path=xl/comments2.xml><?xml version="1.0" encoding="utf-8"?>
<comments xmlns="http://schemas.openxmlformats.org/spreadsheetml/2006/main">
  <authors>
    <author>Phat ,Pham Vinh</author>
    <author>hoan.tran</author>
    <author>Duy Nguyễn</author>
    <author>phatpv</author>
    <author>dell</author>
  </authors>
  <commentList>
    <comment ref="X7" authorId="0" shapeId="0">
      <text>
        <r>
          <rPr>
            <sz val="9"/>
            <rFont val="Tahoma"/>
            <charset val="134"/>
          </rPr>
          <t xml:space="preserve">Đường kính ngoài </t>
        </r>
      </text>
    </comment>
    <comment ref="A11" authorId="0" shapeId="0">
      <text>
        <r>
          <rPr>
            <sz val="10"/>
            <rFont val="Tahoma"/>
            <charset val="134"/>
          </rPr>
          <t>Chiều sau mực nước ngầm</t>
        </r>
      </text>
    </comment>
    <comment ref="F12" authorId="0" shapeId="0">
      <text>
        <r>
          <rPr>
            <sz val="10"/>
            <rFont val="Tahoma"/>
            <charset val="134"/>
          </rPr>
          <t>Xem bảng tra B1: Phân loại cọ</t>
        </r>
        <r>
          <rPr>
            <sz val="9"/>
            <rFont val="Tahoma"/>
            <charset val="134"/>
          </rPr>
          <t>c</t>
        </r>
      </text>
    </comment>
    <comment ref="P12" authorId="0" shapeId="0">
      <text>
        <r>
          <rPr>
            <sz val="9"/>
            <rFont val="Tahoma"/>
            <charset val="134"/>
          </rPr>
          <t xml:space="preserve">Hệ số điều kiện làm việc Mục 7.1.9 TCVN 10304:2014 
</t>
        </r>
      </text>
    </comment>
    <comment ref="R12" authorId="1" shapeId="0">
      <text>
        <r>
          <rPr>
            <sz val="9"/>
            <rFont val="Tahoma"/>
            <charset val="134"/>
          </rPr>
          <t xml:space="preserve">
</t>
        </r>
      </text>
    </comment>
    <comment ref="F13" authorId="2" shapeId="0">
      <text>
        <r>
          <rPr>
            <b/>
            <sz val="9"/>
            <rFont val="Tahoma"/>
            <charset val="134"/>
          </rPr>
          <t>Duy Nguyễn:</t>
        </r>
        <r>
          <rPr>
            <sz val="9"/>
            <rFont val="Tahoma"/>
            <charset val="134"/>
          </rPr>
          <t xml:space="preserve">
NẾU LÀ CỌC VUÔNG THÌ NHẬP CHIỀU DÀI 1 CẠNH, NẾU LÀ CỌC TRÒN THÌ NHẬP ĐƯỜNG KÍNH
ĐƠN VỊ M</t>
        </r>
      </text>
    </comment>
    <comment ref="P13" authorId="0" shapeId="0">
      <text>
        <r>
          <rPr>
            <sz val="9"/>
            <rFont val="Tahoma"/>
            <charset val="134"/>
          </rPr>
          <t xml:space="preserve">Hệ số điều kiện làm việc Mục 7.1.9 TCVN 10304:2014 </t>
        </r>
      </text>
    </comment>
    <comment ref="R13" authorId="1" shapeId="0">
      <text>
        <r>
          <rPr>
            <sz val="9"/>
            <rFont val="Tahoma"/>
            <charset val="134"/>
          </rPr>
          <t xml:space="preserve">
</t>
        </r>
      </text>
    </comment>
    <comment ref="F14" authorId="0" shapeId="0">
      <text>
        <r>
          <rPr>
            <sz val="9"/>
            <rFont val="Tahoma"/>
            <charset val="134"/>
          </rPr>
          <t>Đường kính trong</t>
        </r>
      </text>
    </comment>
    <comment ref="P14" authorId="0" shapeId="0">
      <text>
        <r>
          <rPr>
            <sz val="9"/>
            <rFont val="Tahoma"/>
            <charset val="134"/>
          </rPr>
          <t>Phụ lục A.4 TCVN 10304:2014</t>
        </r>
      </text>
    </comment>
    <comment ref="R14" authorId="1" shapeId="0">
      <text>
        <r>
          <rPr>
            <sz val="9"/>
            <rFont val="Tahoma"/>
            <charset val="134"/>
          </rPr>
          <t xml:space="preserve">
</t>
        </r>
      </text>
    </comment>
    <comment ref="F15" authorId="0" shapeId="0">
      <text>
        <r>
          <rPr>
            <sz val="9"/>
            <rFont val="Tahoma"/>
            <charset val="134"/>
          </rPr>
          <t>Cao độ mũi cọc</t>
        </r>
      </text>
    </comment>
    <comment ref="P15" authorId="0" shapeId="0">
      <text>
        <r>
          <rPr>
            <sz val="9"/>
            <rFont val="Tahoma"/>
            <charset val="134"/>
          </rPr>
          <t>Bảng A1 TCVN 10304:2025</t>
        </r>
      </text>
    </comment>
    <comment ref="R15" authorId="1" shapeId="0">
      <text>
        <r>
          <rPr>
            <sz val="9"/>
            <rFont val="Tahoma"/>
            <charset val="134"/>
          </rPr>
          <t xml:space="preserve">
</t>
        </r>
      </text>
    </comment>
    <comment ref="F16" authorId="0" shapeId="0">
      <text>
        <r>
          <rPr>
            <sz val="9"/>
            <rFont val="Tahoma"/>
            <charset val="134"/>
          </rPr>
          <t>Cao độ đầu cọc</t>
        </r>
      </text>
    </comment>
    <comment ref="P16" authorId="0" shapeId="0">
      <text>
        <r>
          <rPr>
            <sz val="9"/>
            <rFont val="Tahoma"/>
            <charset val="134"/>
          </rPr>
          <t>Mục A2 TCVN 10304:2014</t>
        </r>
      </text>
    </comment>
    <comment ref="R16" authorId="1" shapeId="0">
      <text>
        <r>
          <rPr>
            <sz val="9"/>
            <rFont val="Tahoma"/>
            <charset val="134"/>
          </rPr>
          <t xml:space="preserve">
</t>
        </r>
      </text>
    </comment>
    <comment ref="P17" authorId="0" shapeId="0">
      <text>
        <r>
          <rPr>
            <sz val="9"/>
            <rFont val="Tahoma"/>
            <charset val="134"/>
          </rPr>
          <t>Mục A.5 TCVN 10304:2025</t>
        </r>
      </text>
    </comment>
    <comment ref="R17" authorId="1" shapeId="0">
      <text>
        <r>
          <rPr>
            <sz val="9"/>
            <rFont val="Tahoma"/>
            <charset val="134"/>
          </rPr>
          <t xml:space="preserve">
</t>
        </r>
      </text>
    </comment>
    <comment ref="P18" authorId="0" shapeId="0">
      <text>
        <r>
          <rPr>
            <sz val="9"/>
            <rFont val="Tahoma"/>
            <charset val="134"/>
          </rPr>
          <t>Mục 7.1.8 TCVN 10304:2014</t>
        </r>
      </text>
    </comment>
    <comment ref="P19" authorId="0" shapeId="0">
      <text>
        <r>
          <rPr>
            <sz val="9"/>
            <rFont val="Tahoma"/>
            <charset val="134"/>
          </rPr>
          <t>Mục 7.1.5.2 TCVN 10304:2025</t>
        </r>
      </text>
    </comment>
    <comment ref="R19" authorId="1" shapeId="0">
      <text/>
    </comment>
    <comment ref="P21" authorId="0" shapeId="0">
      <text>
        <r>
          <rPr>
            <b/>
            <sz val="9"/>
            <rFont val="Tahoma"/>
            <charset val="134"/>
          </rPr>
          <t>Xét đến uốn dọc khi phi &gt; 14 Xem mục 6.1.2.2. TCVN 5574:2012</t>
        </r>
      </text>
    </comment>
    <comment ref="C25" authorId="3" shapeId="0">
      <text>
        <r>
          <rPr>
            <sz val="9"/>
            <rFont val="Tahoma"/>
            <charset val="134"/>
          </rPr>
          <t>Công thức G.9 TCVN 10304:2014</t>
        </r>
      </text>
    </comment>
    <comment ref="C26" authorId="3" shapeId="0">
      <text>
        <r>
          <rPr>
            <sz val="9"/>
            <rFont val="Tahoma"/>
            <charset val="134"/>
          </rPr>
          <t>Mục G3 TCVN 10304:2014
Dùng trong trường hợp đất rời</t>
        </r>
      </text>
    </comment>
    <comment ref="C27" authorId="3" shapeId="0">
      <text>
        <r>
          <rPr>
            <sz val="9"/>
            <rFont val="Tahoma"/>
            <charset val="134"/>
          </rPr>
          <t>Mục G2 TCVN10304:2014</t>
        </r>
      </text>
    </comment>
    <comment ref="A31" authorId="1" shapeId="0">
      <text>
        <r>
          <rPr>
            <sz val="9"/>
            <rFont val="Tahoma"/>
            <charset val="134"/>
          </rPr>
          <t xml:space="preserve">
</t>
        </r>
      </text>
    </comment>
    <comment ref="H31" authorId="3" shapeId="0">
      <text>
        <r>
          <rPr>
            <sz val="9"/>
            <rFont val="Tahoma"/>
            <charset val="134"/>
          </rPr>
          <t>Mục 7.1.11 TCVN 10304:2014</t>
        </r>
      </text>
    </comment>
    <comment ref="A32" authorId="1" shapeId="0">
      <text>
        <r>
          <rPr>
            <sz val="9"/>
            <rFont val="Tahoma"/>
            <charset val="134"/>
          </rPr>
          <t xml:space="preserve">
</t>
        </r>
      </text>
    </comment>
    <comment ref="H32" authorId="3" shapeId="0">
      <text>
        <r>
          <rPr>
            <sz val="9"/>
            <rFont val="Tahoma"/>
            <charset val="134"/>
          </rPr>
          <t>Mục 7.1.11 TCVN 10304:2014</t>
        </r>
      </text>
    </comment>
    <comment ref="A33" authorId="1" shapeId="0">
      <text>
        <r>
          <rPr>
            <sz val="9"/>
            <rFont val="Tahoma"/>
            <charset val="134"/>
          </rPr>
          <t xml:space="preserve">
</t>
        </r>
      </text>
    </comment>
    <comment ref="H33" authorId="3" shapeId="0">
      <text>
        <r>
          <rPr>
            <sz val="9"/>
            <rFont val="Tahoma"/>
            <charset val="134"/>
          </rPr>
          <t>Mục 7.1.11 TCVN 10304:2014</t>
        </r>
      </text>
    </comment>
    <comment ref="M41" authorId="3" shapeId="0">
      <text>
        <r>
          <rPr>
            <sz val="9"/>
            <rFont val="Tahoma"/>
            <charset val="134"/>
          </rPr>
          <t>Công thức G.9 TCVN 10304:2014</t>
        </r>
      </text>
    </comment>
    <comment ref="N42" authorId="3" shapeId="0">
      <text>
        <r>
          <rPr>
            <sz val="9"/>
            <rFont val="Tahoma"/>
            <charset val="134"/>
          </rPr>
          <t>Khi mũi cọc nằm trong đất dính qb = 9 cu cho cọc đóng và qb = 6 cu cho cọc khoan nhồi.</t>
        </r>
      </text>
    </comment>
    <comment ref="P42" authorId="3" shapeId="0">
      <text>
        <r>
          <rPr>
            <sz val="9"/>
            <rFont val="Tahoma"/>
            <charset val="134"/>
          </rPr>
          <t>Khi mũi cọc nằm trong đất rời qb = 300 Np cho cọc đóng (ép) và qb = 150 Np cho cọc khoan nhồi</t>
        </r>
      </text>
    </comment>
    <comment ref="H43" authorId="0" shapeId="0">
      <text>
        <r>
          <rPr>
            <sz val="9"/>
            <rFont val="Tahoma"/>
            <charset val="134"/>
          </rPr>
          <t>Sức kháng cắt không thoát nước, khi không có thí nghiệm có thể dùng công thức gần đúng Cu = 6.25 NSPT, Mục G.3.2 TCVN 10304:2014</t>
        </r>
      </text>
    </comment>
    <comment ref="M43" authorId="0" shapeId="0">
      <text>
        <r>
          <rPr>
            <sz val="9"/>
            <rFont val="Tahoma"/>
            <charset val="134"/>
          </rPr>
          <t>Hệ số: Biểu đồ G2a TCVN 10304:2014</t>
        </r>
      </text>
    </comment>
    <comment ref="N43" authorId="0" shapeId="0">
      <text>
        <r>
          <rPr>
            <sz val="9"/>
            <rFont val="Tahoma"/>
            <charset val="134"/>
          </rPr>
          <t>Hệ số: Biểu đồ G2b
 TCVN 10304:2014</t>
        </r>
      </text>
    </comment>
    <comment ref="O43" authorId="0" shapeId="0">
      <text>
        <r>
          <rPr>
            <sz val="9"/>
            <rFont val="Tahoma"/>
            <charset val="134"/>
          </rPr>
          <t xml:space="preserve">Cường độ trong lớp đất dính công thức G11. TCVN 10304:2014
</t>
        </r>
      </text>
    </comment>
    <comment ref="P43" authorId="0" shapeId="0">
      <text>
        <r>
          <rPr>
            <sz val="9"/>
            <rFont val="Tahoma"/>
            <charset val="134"/>
          </rPr>
          <t xml:space="preserve">Cường độ trong lớp đất rời công thức G10. TCVN 10304:2014
</t>
        </r>
      </text>
    </comment>
    <comment ref="R43" authorId="0" shapeId="0">
      <text>
        <r>
          <rPr>
            <sz val="9"/>
            <rFont val="Tahoma"/>
            <charset val="134"/>
          </rPr>
          <t>Cường độ sức kháng của đất dưới mũi cọc G.3.2 TCVN 10304:2014</t>
        </r>
      </text>
    </comment>
    <comment ref="S43" authorId="0" shapeId="0">
      <text>
        <r>
          <rPr>
            <sz val="9"/>
            <rFont val="Tahoma"/>
            <charset val="134"/>
          </rPr>
          <t>Sức chịu tải cực hạnh của cọc theo công thức nhật bản công thức G9 TCVN 10304:2014</t>
        </r>
      </text>
    </comment>
    <comment ref="H44" authorId="4" shapeId="0">
      <text>
        <r>
          <rPr>
            <sz val="9"/>
            <rFont val="Tahoma"/>
            <charset val="134"/>
          </rPr>
          <t xml:space="preserve">
</t>
        </r>
      </text>
    </comment>
    <comment ref="K201" authorId="3" shapeId="0">
      <text>
        <r>
          <rPr>
            <sz val="9"/>
            <rFont val="Tahoma"/>
            <charset val="134"/>
          </rPr>
          <t>Thông thường lấy N’c= 9 cho cọc đóng, đối với cọc khoan nhồi đường kính lớn lấy N’c=6.</t>
        </r>
      </text>
    </comment>
    <comment ref="M201" authorId="0" shapeId="0">
      <text>
        <r>
          <rPr>
            <sz val="9"/>
            <rFont val="Tahoma"/>
            <charset val="134"/>
          </rPr>
          <t xml:space="preserve">Đường kính quy đổi, từ tiết diện chữ nhật sang tiết diện tròn có cùng diện tích. </t>
        </r>
      </text>
    </comment>
    <comment ref="H202" authorId="0" shapeId="0">
      <text>
        <r>
          <rPr>
            <sz val="9"/>
            <rFont val="Tahoma"/>
            <charset val="134"/>
          </rPr>
          <t>Độ chặt tương đối</t>
        </r>
      </text>
    </comment>
    <comment ref="I202" authorId="3" shapeId="0">
      <text>
        <r>
          <rPr>
            <sz val="9"/>
            <rFont val="Tahoma"/>
            <charset val="134"/>
          </rPr>
          <t>Bảng G1 TCVN 10304:2014</t>
        </r>
      </text>
    </comment>
    <comment ref="J202" authorId="3" shapeId="0">
      <text>
        <r>
          <rPr>
            <sz val="9"/>
            <rFont val="Tahoma"/>
            <charset val="134"/>
          </rPr>
          <t>Bảng G1 TCVN 10304:2014</t>
        </r>
      </text>
    </comment>
    <comment ref="K202" authorId="3" shapeId="0">
      <text>
        <r>
          <rPr>
            <sz val="9"/>
            <rFont val="Tahoma"/>
            <charset val="134"/>
          </rPr>
          <t>Bảng G1 TCVN 10304:2014</t>
        </r>
      </text>
    </comment>
    <comment ref="L202" authorId="3" shapeId="0">
      <text>
        <r>
          <rPr>
            <sz val="9"/>
            <rFont val="Tahoma"/>
            <charset val="134"/>
          </rPr>
          <t>Áp lực hiệu quá lớp phủ tại cao trình mũi cọc</t>
        </r>
      </text>
    </comment>
    <comment ref="M202" authorId="0" shapeId="0">
      <text>
        <r>
          <rPr>
            <sz val="9"/>
            <rFont val="Tahoma"/>
            <charset val="134"/>
          </rPr>
          <t>Cường độ sức kháng của đất dưới mũi cọc G.4.2 TCVN 10304:2014</t>
        </r>
      </text>
    </comment>
    <comment ref="N202" authorId="4" shapeId="0">
      <text>
        <r>
          <rPr>
            <sz val="9"/>
            <rFont val="Tahoma"/>
            <charset val="134"/>
          </rPr>
          <t xml:space="preserve">
</t>
        </r>
      </text>
    </comment>
    <comment ref="O202" authorId="3" shapeId="0">
      <text>
        <r>
          <rPr>
            <sz val="9"/>
            <rFont val="Tahoma"/>
            <charset val="134"/>
          </rPr>
          <t>Hệ số phụ thuộc đặc điểm của đất nền hình G1 TCVN 10304:2014</t>
        </r>
      </text>
    </comment>
    <comment ref="P202" authorId="0" shapeId="0">
      <text>
        <r>
          <rPr>
            <sz val="9"/>
            <rFont val="Tahoma"/>
            <charset val="134"/>
          </rPr>
          <t xml:space="preserve">Cường độ trong lớp đất dính công thức G15. TCVN 10304:2014
</t>
        </r>
      </text>
    </comment>
    <comment ref="Q202" authorId="0" shapeId="0">
      <text>
        <r>
          <rPr>
            <sz val="9"/>
            <rFont val="Tahoma"/>
            <charset val="134"/>
          </rPr>
          <t>Cường độ trong lớp đất rời công thức G6. TCVN 10304:2014</t>
        </r>
      </text>
    </comment>
    <comment ref="S202" authorId="0" shapeId="0">
      <text>
        <r>
          <rPr>
            <sz val="9"/>
            <rFont val="Tahoma"/>
            <charset val="134"/>
          </rPr>
          <t>Sức chịu tải cực hạnh của cọc theo chỉ tiêu đất nền công thức G2 TCVN 10304:2014</t>
        </r>
      </text>
    </comment>
    <comment ref="H402" authorId="0" shapeId="0">
      <text>
        <r>
          <rPr>
            <sz val="9"/>
            <rFont val="Tahoma"/>
            <charset val="134"/>
          </rPr>
          <t>Sức kháng cắt không thoát nước, khi không có thí nghiệm có thể dùng công thức gần đúng Cu = 6.25 NSPT, Mục G.3.2 TCVN 10304:2014</t>
        </r>
      </text>
    </comment>
    <comment ref="M402" authorId="3" shapeId="0">
      <text>
        <r>
          <rPr>
            <sz val="9"/>
            <rFont val="Tahoma"/>
            <charset val="134"/>
          </rPr>
          <t>k2 là hệ số lấy bằng 2,0 cho cọc đóng và 1,0 cho cọc khoan nhồi;</t>
        </r>
      </text>
    </comment>
    <comment ref="N402" authorId="3" shapeId="0">
      <text>
        <r>
          <rPr>
            <sz val="9"/>
            <rFont val="Tahoma"/>
            <charset val="134"/>
          </rPr>
          <t>k1 là hệ số, lấy k1 = 40 h/d ≤ 400 đối với cọc đóng và k1 = 120 đối với cọc khoan nhồi;</t>
        </r>
      </text>
    </comment>
    <comment ref="O402" authorId="0" shapeId="0">
      <text>
        <r>
          <rPr>
            <sz val="9"/>
            <rFont val="Tahoma"/>
            <charset val="134"/>
          </rPr>
          <t xml:space="preserve">Cường độ trong lớp đất dính công thức G11. TCVN 10304:2014
</t>
        </r>
      </text>
    </comment>
    <comment ref="P402" authorId="0" shapeId="0">
      <text>
        <r>
          <rPr>
            <sz val="9"/>
            <rFont val="Tahoma"/>
            <charset val="134"/>
          </rPr>
          <t xml:space="preserve">Cường độ trong lớp đất rời công thức G8. TCVN 10304:2014
</t>
        </r>
      </text>
    </comment>
    <comment ref="R402" authorId="0" shapeId="0">
      <text>
        <r>
          <rPr>
            <sz val="9"/>
            <rFont val="Tahoma"/>
            <charset val="134"/>
          </rPr>
          <t>Cường độ sức kháng của đất dưới mũi cọc G.3.2 TCVN 10304:2014</t>
        </r>
      </text>
    </comment>
    <comment ref="S402" authorId="0" shapeId="0">
      <text>
        <r>
          <rPr>
            <sz val="9"/>
            <rFont val="Tahoma"/>
            <charset val="134"/>
          </rPr>
          <t>Sức chịu tải cực hạnh của cọc theo công thức nhật bản công thức G7,G8 TCVN 10304:2014</t>
        </r>
      </text>
    </comment>
    <comment ref="H403" authorId="4" shapeId="0">
      <text>
        <r>
          <rPr>
            <sz val="9"/>
            <rFont val="Tahoma"/>
            <charset val="134"/>
          </rPr>
          <t xml:space="preserve">
</t>
        </r>
      </text>
    </comment>
  </commentList>
</comments>
</file>

<file path=xl/comments3.xml><?xml version="1.0" encoding="utf-8"?>
<comments xmlns="http://schemas.openxmlformats.org/spreadsheetml/2006/main">
  <authors>
    <author>Phat ,Pham Vinh</author>
    <author>Duy Nguyễn</author>
    <author>C P</author>
  </authors>
  <commentList>
    <comment ref="D10" authorId="0" shapeId="0">
      <text>
        <r>
          <rPr>
            <sz val="10"/>
            <rFont val="Tahoma"/>
            <family val="2"/>
          </rPr>
          <t>Xem bảng tra D1: Phân loại cọ</t>
        </r>
        <r>
          <rPr>
            <sz val="9"/>
            <rFont val="Tahoma"/>
            <family val="2"/>
          </rPr>
          <t>c
mục 6.1 6.2 6.3 trang 19-20 TCVN 10304 -2025</t>
        </r>
      </text>
    </comment>
    <comment ref="D12" authorId="1" shapeId="0">
      <text>
        <r>
          <rPr>
            <b/>
            <sz val="9"/>
            <rFont val="Tahoma"/>
            <family val="2"/>
          </rPr>
          <t>Duy Nguyễn:</t>
        </r>
        <r>
          <rPr>
            <sz val="9"/>
            <rFont val="Tahoma"/>
            <family val="2"/>
          </rPr>
          <t xml:space="preserve">
NẾU LÀ CỌC VUÔNG THÌ NHẬP CHIỀU DÀI 1 CẠNH, NẾU LÀ CỌC TRÒN THÌ NHẬP ĐƯỜNG KÍNH
ĐƠN VỊ M</t>
        </r>
      </text>
    </comment>
    <comment ref="D13" authorId="0" shapeId="0">
      <text>
        <r>
          <rPr>
            <sz val="9"/>
            <rFont val="Tahoma"/>
            <family val="2"/>
          </rPr>
          <t>Đường kính trong
Cọc nào hở mũi thì mới điền ô này
nếu mũi đặc đúng tiêu chuẩn thì điền =0</t>
        </r>
      </text>
    </comment>
    <comment ref="D14" authorId="0" shapeId="0">
      <text>
        <r>
          <rPr>
            <sz val="9"/>
            <rFont val="Tahoma"/>
            <family val="2"/>
          </rPr>
          <t>Đường kính trong</t>
        </r>
      </text>
    </comment>
    <comment ref="D15" authorId="0" shapeId="0">
      <text>
        <r>
          <rPr>
            <sz val="9"/>
            <rFont val="Tahoma"/>
            <family val="2"/>
          </rPr>
          <t>Cao độ đầu cọc</t>
        </r>
      </text>
    </comment>
    <comment ref="D16" authorId="0" shapeId="0">
      <text>
        <r>
          <rPr>
            <sz val="9"/>
            <rFont val="Tahoma"/>
            <family val="2"/>
          </rPr>
          <t>Cao độ mũi cọc</t>
        </r>
      </text>
    </comment>
    <comment ref="L30" authorId="2" shapeId="0">
      <text>
        <r>
          <rPr>
            <b/>
            <sz val="9"/>
            <rFont val="Tahoma"/>
            <family val="2"/>
          </rPr>
          <t xml:space="preserve">Lưu ý nếu sức chịu tải cọc này đã chia cho hệ số tầm quan trọng công trình thì
khi tính sức chịu tải theo vật liệu, con số này phải nhân ngược lại với hệ số tầm quan trọng của công trình (tức là cọc sẽ chịu tải lớn hơn)
</t>
        </r>
      </text>
    </comment>
    <comment ref="D31" authorId="2" shapeId="0">
      <text>
        <r>
          <rPr>
            <b/>
            <sz val="9"/>
            <rFont val="Tahoma"/>
            <family val="2"/>
          </rPr>
          <t xml:space="preserve">Lưu ý nếu sức chịu tải cọc này đã chia cho hệ số tầm quan trọng công trình thì
khi tính sức chịu tải theo vật liệu, con số này phải nhân ngược lại với hệ số tầm quan trọng của công trình (tức là cọc sẽ chịu tải lớn hơn)
</t>
        </r>
      </text>
    </comment>
    <comment ref="L31" authorId="2" shapeId="0">
      <text>
        <r>
          <rPr>
            <b/>
            <sz val="9"/>
            <rFont val="Tahoma"/>
            <family val="2"/>
          </rPr>
          <t xml:space="preserve">Lưu ý nếu sức chịu tải cọc này đã chia cho hệ số tầm quan trọng công trình thì
khi tính sức chịu tải theo vật liệu, con số này phải nhân ngược lại với hệ số tầm quan trọng của công trình (tức là cọc sẽ chịu tải lớn hơn)
</t>
        </r>
      </text>
    </comment>
  </commentList>
</comments>
</file>

<file path=xl/comments4.xml><?xml version="1.0" encoding="utf-8"?>
<comments xmlns="http://schemas.openxmlformats.org/spreadsheetml/2006/main">
  <authors>
    <author>Phat ,Pham Vinh</author>
    <author>Duy Nguyễn</author>
    <author>C P</author>
  </authors>
  <commentList>
    <comment ref="D10" authorId="0" shapeId="0">
      <text>
        <r>
          <rPr>
            <sz val="10"/>
            <rFont val="Tahoma"/>
            <family val="2"/>
          </rPr>
          <t>Xem bảng tra D1: Phân loại cọ</t>
        </r>
        <r>
          <rPr>
            <sz val="9"/>
            <rFont val="Tahoma"/>
            <family val="2"/>
          </rPr>
          <t>c
mục 6.1 6.2 6.3 trang 19-20 TCVN 10304 -2025</t>
        </r>
      </text>
    </comment>
    <comment ref="D13" authorId="1" shapeId="0">
      <text>
        <r>
          <rPr>
            <b/>
            <sz val="9"/>
            <rFont val="Tahoma"/>
            <family val="2"/>
          </rPr>
          <t>Duy Nguyễn:</t>
        </r>
        <r>
          <rPr>
            <sz val="9"/>
            <rFont val="Tahoma"/>
            <family val="2"/>
          </rPr>
          <t xml:space="preserve">
NẾU LÀ CỌC VUÔNG THÌ NHẬP CHIỀU DÀI 1 CẠNH, NẾU LÀ CỌC TRÒN THÌ NHẬP ĐƯỜNG KÍNH
ĐƠN VỊ M</t>
        </r>
      </text>
    </comment>
    <comment ref="D14" authorId="0" shapeId="0">
      <text>
        <r>
          <rPr>
            <sz val="9"/>
            <rFont val="Tahoma"/>
            <family val="2"/>
          </rPr>
          <t>Đường kính trong
Cọc nào hở mũi thì mới điền ô này
nếu mũi đặc đúng tiêu chuẩn thì điền =0</t>
        </r>
      </text>
    </comment>
    <comment ref="D15" authorId="0" shapeId="0">
      <text>
        <r>
          <rPr>
            <sz val="9"/>
            <rFont val="Tahoma"/>
            <family val="2"/>
          </rPr>
          <t>Đường kính trong</t>
        </r>
      </text>
    </comment>
    <comment ref="D16" authorId="0" shapeId="0">
      <text>
        <r>
          <rPr>
            <sz val="9"/>
            <rFont val="Tahoma"/>
            <family val="2"/>
          </rPr>
          <t>Cao độ đầu cọc</t>
        </r>
      </text>
    </comment>
    <comment ref="D17" authorId="0" shapeId="0">
      <text>
        <r>
          <rPr>
            <sz val="9"/>
            <rFont val="Tahoma"/>
            <family val="2"/>
          </rPr>
          <t>Cao độ mũi cọc</t>
        </r>
      </text>
    </comment>
    <comment ref="A20" authorId="2" shapeId="0">
      <text>
        <r>
          <rPr>
            <b/>
            <sz val="9"/>
            <rFont val="Tahoma"/>
            <family val="2"/>
          </rPr>
          <t>C P:</t>
        </r>
        <r>
          <rPr>
            <sz val="9"/>
            <rFont val="Tahoma"/>
            <family val="2"/>
          </rPr>
          <t xml:space="preserve">
</t>
        </r>
      </text>
    </comment>
    <comment ref="J27" authorId="2" shapeId="0">
      <text>
        <r>
          <rPr>
            <sz val="9"/>
            <rFont val="Tahoma"/>
            <family val="2"/>
          </rPr>
          <t xml:space="preserve">
</t>
        </r>
      </text>
    </comment>
    <comment ref="A28" authorId="2" shapeId="0">
      <text>
        <r>
          <rPr>
            <sz val="9"/>
            <rFont val="Tahoma"/>
            <family val="2"/>
          </rPr>
          <t xml:space="preserve">Phụ lục A, Quy chuẩn 03
</t>
        </r>
      </text>
    </comment>
    <comment ref="D28" authorId="2" shapeId="0">
      <text>
        <r>
          <rPr>
            <sz val="9"/>
            <rFont val="Tahoma"/>
            <family val="2"/>
          </rPr>
          <t xml:space="preserve">
</t>
        </r>
      </text>
    </comment>
    <comment ref="N33" authorId="2" shapeId="0">
      <text>
        <r>
          <rPr>
            <b/>
            <sz val="9"/>
            <rFont val="Tahoma"/>
            <family val="2"/>
          </rPr>
          <t>Lưu ý nếu sức chịu tải cọc này đã chia cho hệ số tầm quan trọng công trình thì
khi tính sức chịu tải theo vật liệu, con số này phải nhân ngược lại với hệ số tầm quan trọng của công trình (tức là cọc sẽ chịu tải lớn hơn)</t>
        </r>
        <r>
          <rPr>
            <sz val="9"/>
            <rFont val="Tahoma"/>
            <family val="2"/>
          </rPr>
          <t xml:space="preserve">
</t>
        </r>
      </text>
    </comment>
    <comment ref="D34" authorId="2" shapeId="0">
      <text>
        <r>
          <rPr>
            <b/>
            <sz val="9"/>
            <rFont val="Tahoma"/>
            <family val="2"/>
          </rPr>
          <t xml:space="preserve">Lưu ý nếu sức chịu tải cọc này đã chia cho hệ số tầm quan trọng công trình thì
khi tính sức chịu tải theo vật liệu, con số này phải nhân ngược lại với hệ số tầm quan trọng của công trình (tức là cọc sẽ chịu tải lớn hơn)
</t>
        </r>
      </text>
    </comment>
  </commentList>
</comments>
</file>

<file path=xl/comments5.xml><?xml version="1.0" encoding="utf-8"?>
<comments xmlns="http://schemas.openxmlformats.org/spreadsheetml/2006/main">
  <authors>
    <author>Phat ,Pham Vinh</author>
    <author>Duy Nguyễn</author>
    <author>C P</author>
  </authors>
  <commentList>
    <comment ref="D10" authorId="0" shapeId="0">
      <text>
        <r>
          <rPr>
            <sz val="10"/>
            <rFont val="Tahoma"/>
            <family val="2"/>
          </rPr>
          <t>Xem bảng tra D1: Phân loại cọ</t>
        </r>
        <r>
          <rPr>
            <sz val="9"/>
            <rFont val="Tahoma"/>
            <family val="2"/>
          </rPr>
          <t>c
mục 6.1 6.2 6.3 trang 19-20 TCVN 10304 -2025</t>
        </r>
      </text>
    </comment>
    <comment ref="D12" authorId="1" shapeId="0">
      <text>
        <r>
          <rPr>
            <b/>
            <sz val="9"/>
            <rFont val="Tahoma"/>
            <family val="2"/>
          </rPr>
          <t>Duy Nguyễn:</t>
        </r>
        <r>
          <rPr>
            <sz val="9"/>
            <rFont val="Tahoma"/>
            <family val="2"/>
          </rPr>
          <t xml:space="preserve">
NẾU LÀ CỌC VUÔNG THÌ NHẬP CHIỀU DÀI 1 CẠNH, NẾU LÀ CỌC TRÒN THÌ NHẬP ĐƯỜNG KÍNH
ĐƠN VỊ M</t>
        </r>
      </text>
    </comment>
    <comment ref="D13" authorId="0" shapeId="0">
      <text>
        <r>
          <rPr>
            <b/>
            <sz val="9"/>
            <rFont val="Tahoma"/>
            <family val="2"/>
          </rPr>
          <t>NẾU CỌC RỖNG VÀ CÓ MŨI CỌC đổ đầy lòng cọc bằng bê tông đến chiều cao ít nhất bằng 3 lần đường kính cọc THÌ THÔNG SỐ NÀY ĐỂ =0 (MỤC 7.2.1.1 - TCVN 10304)</t>
        </r>
      </text>
    </comment>
    <comment ref="D14" authorId="0" shapeId="0">
      <text>
        <r>
          <rPr>
            <sz val="9"/>
            <rFont val="Tahoma"/>
            <family val="2"/>
          </rPr>
          <t>Đường kính trong</t>
        </r>
      </text>
    </comment>
    <comment ref="D15" authorId="0" shapeId="0">
      <text>
        <r>
          <rPr>
            <sz val="9"/>
            <rFont val="Tahoma"/>
            <family val="2"/>
          </rPr>
          <t>Cao độ đầu cọc</t>
        </r>
      </text>
    </comment>
    <comment ref="D16" authorId="0" shapeId="0">
      <text>
        <r>
          <rPr>
            <sz val="9"/>
            <rFont val="Tahoma"/>
            <family val="2"/>
          </rPr>
          <t>Cao độ mũi cọc</t>
        </r>
      </text>
    </comment>
    <comment ref="D28" authorId="2" shapeId="0">
      <text>
        <r>
          <rPr>
            <b/>
            <sz val="9"/>
            <rFont val="Tahoma"/>
            <family val="2"/>
          </rPr>
          <t>Lưu ý nếu sức chịu tải cọc này đã chia cho hệ số tầm quan trọng công trình thì
khi tính sức chịu tải theo vật liệu, con số này phải nhân ngược lại với hệ số tầm quan trọng của công trình (tức là cọc sẽ chịu tải lớn hơn)</t>
        </r>
      </text>
    </comment>
    <comment ref="L28" authorId="2" shapeId="0">
      <text>
        <r>
          <rPr>
            <b/>
            <sz val="9"/>
            <rFont val="Tahoma"/>
            <family val="2"/>
          </rPr>
          <t>Lưu ý nếu sức chịu tải cọc này đã chia cho hệ số tầm quan trọng công trình thì
khi tính sức chịu tải theo vật liệu, con số này phải nhân ngược lại với hệ số tầm quan trọng của công trình (tức là cọc sẽ chịu tải lớn hơn)</t>
        </r>
      </text>
    </comment>
    <comment ref="F39" authorId="2" shapeId="0">
      <text>
        <r>
          <rPr>
            <b/>
            <sz val="9"/>
            <rFont val="Tahoma"/>
            <family val="2"/>
          </rPr>
          <t>7.2.1.1
Giá trị 1 + 0,4 * (Ld / df ) lấy không lớn hơn 3,0.</t>
        </r>
        <r>
          <rPr>
            <sz val="9"/>
            <rFont val="Tahoma"/>
            <family val="2"/>
          </rPr>
          <t xml:space="preserve">
</t>
        </r>
      </text>
    </comment>
    <comment ref="F41" authorId="2" shapeId="0">
      <text>
        <r>
          <rPr>
            <b/>
            <sz val="9"/>
            <rFont val="Tahoma"/>
            <family val="2"/>
          </rPr>
          <t>Trong mọi trường hợp, giá trị qb lấy không lớn hơn 20 000 kPa và không nhỏ hơn giá trị sức kháng
đơn vị dưới mũi cọc đối với đất hòn lớn lẫn cát có góc ma sát trong I = 32 theo 7.2.3.2.
CHÚ THÍCH: Khi cọc đóng tựa lên đất biến dạng nhỏ (E &gt; 50 MPa) mà chưa biết giá trị cường độ chịu nén một trục của đất thì cho phép lấy giá trị qb theo Bảng 2 như đối với đất cát lẫn sỏi sạn rồi nhân với hệ số tăng Eg / Ek0 , trong đó Eg là mô đun biến dạng của đất biến dạng nhỏ, còn Ek0 – lấy bằng 50 MPa.</t>
        </r>
        <r>
          <rPr>
            <sz val="9"/>
            <rFont val="Tahoma"/>
            <family val="2"/>
          </rPr>
          <t xml:space="preserve">
</t>
        </r>
      </text>
    </comment>
  </commentList>
</comments>
</file>

<file path=xl/comments6.xml><?xml version="1.0" encoding="utf-8"?>
<comments xmlns="http://schemas.openxmlformats.org/spreadsheetml/2006/main">
  <authors>
    <author>Phat ,Pham Vinh</author>
    <author>Duy Nguyễn</author>
    <author>C P</author>
  </authors>
  <commentList>
    <comment ref="D10" authorId="0" shapeId="0">
      <text>
        <r>
          <rPr>
            <sz val="10"/>
            <rFont val="Tahoma"/>
            <family val="2"/>
          </rPr>
          <t>Xem bảng tra D1: Phân loại cọ</t>
        </r>
        <r>
          <rPr>
            <sz val="9"/>
            <rFont val="Tahoma"/>
            <family val="2"/>
          </rPr>
          <t>c
mục 6.1 6.2 6.3 trang 19-20 TCVN 10304 -2025</t>
        </r>
      </text>
    </comment>
    <comment ref="D12" authorId="1" shapeId="0">
      <text>
        <r>
          <rPr>
            <b/>
            <sz val="9"/>
            <rFont val="Tahoma"/>
            <family val="2"/>
          </rPr>
          <t>Duy Nguyễn:</t>
        </r>
        <r>
          <rPr>
            <sz val="9"/>
            <rFont val="Tahoma"/>
            <family val="2"/>
          </rPr>
          <t xml:space="preserve">
NẾU LÀ CỌC VUÔNG THÌ NHẬP CHIỀU DÀI 1 CẠNH, NẾU LÀ CỌC TRÒN THÌ NHẬP ĐƯỜNG KÍNH
ĐƠN VỊ M</t>
        </r>
      </text>
    </comment>
    <comment ref="D13" authorId="0" shapeId="0">
      <text>
        <r>
          <rPr>
            <sz val="9"/>
            <rFont val="Tahoma"/>
            <family val="2"/>
          </rPr>
          <t>Đường kính trong
Cọc nào hở mũi thì mới điền ô này
nếu mũi đặc đúng tiêu chuẩn thì điền =0</t>
        </r>
      </text>
    </comment>
    <comment ref="D14" authorId="0" shapeId="0">
      <text>
        <r>
          <rPr>
            <sz val="9"/>
            <rFont val="Tahoma"/>
            <family val="2"/>
          </rPr>
          <t>Đường kính trong</t>
        </r>
      </text>
    </comment>
    <comment ref="D15" authorId="0" shapeId="0">
      <text>
        <r>
          <rPr>
            <sz val="9"/>
            <rFont val="Tahoma"/>
            <family val="2"/>
          </rPr>
          <t>Cao độ đầu cọc</t>
        </r>
      </text>
    </comment>
    <comment ref="D16" authorId="0" shapeId="0">
      <text>
        <r>
          <rPr>
            <sz val="9"/>
            <rFont val="Tahoma"/>
            <family val="2"/>
          </rPr>
          <t>Cao độ mũi cọc</t>
        </r>
      </text>
    </comment>
    <comment ref="D22" authorId="2" shapeId="0">
      <text>
        <r>
          <rPr>
            <b/>
            <sz val="9"/>
            <rFont val="Tahoma"/>
            <family val="2"/>
          </rPr>
          <t>Hệ số điều kiện làm việc c trong các công thức (9) và (12) lấy bằng 1,2 đối với cột trung gian đỡ đường dây
tải diện trên không và bằng 1,0 trong các trường hợp khác</t>
        </r>
        <r>
          <rPr>
            <sz val="9"/>
            <rFont val="Tahoma"/>
            <family val="2"/>
          </rPr>
          <t xml:space="preserve">
</t>
        </r>
      </text>
    </comment>
    <comment ref="A23" authorId="2" shapeId="0">
      <text>
        <r>
          <rPr>
            <b/>
            <sz val="9"/>
            <rFont val="Tahoma"/>
            <family val="2"/>
          </rPr>
          <t>Thí nghiệm CPT = Cone Penetration Test = Thí nghiệm xuyên côn tĩnh.
Dùng để xác định độ chặt của cát, nếu độ cặt của cát mà theo thí nghiệm này thì được phép tăng qb lên rất nhiều, nếu xác định độ chặt của cát theo phương pháp khác thì qb tăng lên ít hơn</t>
        </r>
        <r>
          <rPr>
            <sz val="9"/>
            <rFont val="Tahoma"/>
            <family val="2"/>
          </rPr>
          <t xml:space="preserve">
</t>
        </r>
      </text>
    </comment>
    <comment ref="D34" authorId="2" shapeId="0">
      <text>
        <r>
          <rPr>
            <b/>
            <sz val="9"/>
            <rFont val="Tahoma"/>
            <family val="2"/>
          </rPr>
          <t>Lưu ý nếu sức chịu tải cọc này đã chia cho hệ số tầm quan trọng công trình thì
khi tính sức chịu tải theo vật liệu, con số này phải nhân ngược lại với hệ số tầm quan trọng của công trình (tức là cọc sẽ chịu tải lớn hơn)</t>
        </r>
        <r>
          <rPr>
            <sz val="9"/>
            <rFont val="Tahoma"/>
            <family val="2"/>
          </rPr>
          <t xml:space="preserve">
</t>
        </r>
      </text>
    </comment>
    <comment ref="L34" authorId="2" shapeId="0">
      <text>
        <r>
          <rPr>
            <b/>
            <sz val="9"/>
            <rFont val="Tahoma"/>
            <family val="2"/>
          </rPr>
          <t>Lưu ý nếu sức chịu tải cọc này đã chia cho hệ số tầm quan trọng công trình thì
khi tính sức chịu tải theo vật liệu, con số này phải nhân ngược lại với hệ số tầm quan trọng của công trình (tức là cọc sẽ chịu tải lớn hơn)</t>
        </r>
        <r>
          <rPr>
            <sz val="9"/>
            <rFont val="Tahoma"/>
            <family val="2"/>
          </rPr>
          <t xml:space="preserve">
</t>
        </r>
      </text>
    </comment>
  </commentList>
</comments>
</file>

<file path=xl/comments7.xml><?xml version="1.0" encoding="utf-8"?>
<comments xmlns="http://schemas.openxmlformats.org/spreadsheetml/2006/main">
  <authors>
    <author>C P</author>
    <author>Phat ,Pham Vinh</author>
    <author>Duy Nguyễn</author>
  </authors>
  <commentList>
    <comment ref="N9" authorId="0" shapeId="0">
      <text>
        <r>
          <rPr>
            <b/>
            <sz val="9"/>
            <rFont val="Tahoma"/>
            <family val="2"/>
          </rPr>
          <t>C P:</t>
        </r>
        <r>
          <rPr>
            <sz val="9"/>
            <rFont val="Tahoma"/>
            <family val="2"/>
          </rPr>
          <t xml:space="preserve">
</t>
        </r>
      </text>
    </comment>
    <comment ref="D10" authorId="1" shapeId="0">
      <text>
        <r>
          <rPr>
            <sz val="10"/>
            <rFont val="Tahoma"/>
            <family val="2"/>
          </rPr>
          <t>Xem bảng tra D1: Phân loại cọ</t>
        </r>
        <r>
          <rPr>
            <sz val="9"/>
            <rFont val="Tahoma"/>
            <family val="2"/>
          </rPr>
          <t>c
mục 6.1 6.2 6.3 trang 19-20 TCVN 10304 -2025</t>
        </r>
      </text>
    </comment>
    <comment ref="N12" authorId="0" shapeId="0">
      <text>
        <r>
          <rPr>
            <b/>
            <sz val="9"/>
            <rFont val="Tahoma"/>
            <family val="2"/>
          </rPr>
          <t>C P:</t>
        </r>
        <r>
          <rPr>
            <sz val="9"/>
            <rFont val="Tahoma"/>
            <family val="2"/>
          </rPr>
          <t xml:space="preserve">
</t>
        </r>
      </text>
    </comment>
    <comment ref="D13" authorId="2" shapeId="0">
      <text>
        <r>
          <rPr>
            <b/>
            <sz val="9"/>
            <rFont val="Tahoma"/>
            <family val="2"/>
          </rPr>
          <t>Duy Nguyễn:</t>
        </r>
        <r>
          <rPr>
            <sz val="9"/>
            <rFont val="Tahoma"/>
            <family val="2"/>
          </rPr>
          <t xml:space="preserve">
NẾU LÀ CỌC VUÔNG THÌ NHẬP CHIỀU DÀI 1 CẠNH, NẾU LÀ CỌC TRÒN THÌ NHẬP ĐƯỜNG KÍNH
ĐƠN VỊ M</t>
        </r>
      </text>
    </comment>
    <comment ref="N13" authorId="0" shapeId="0">
      <text>
        <r>
          <rPr>
            <b/>
            <sz val="9"/>
            <rFont val="Tahoma"/>
            <family val="2"/>
          </rPr>
          <t>C P:</t>
        </r>
        <r>
          <rPr>
            <sz val="9"/>
            <rFont val="Tahoma"/>
            <family val="2"/>
          </rPr>
          <t xml:space="preserve">
</t>
        </r>
      </text>
    </comment>
    <comment ref="D14" authorId="1" shapeId="0">
      <text>
        <r>
          <rPr>
            <sz val="9"/>
            <rFont val="Tahoma"/>
            <family val="2"/>
          </rPr>
          <t>Đường kính trong
Cọc nào hở mũi thì mới điền ô này
nếu mũi đặc đúng tiêu chuẩn thì điền =0</t>
        </r>
      </text>
    </comment>
    <comment ref="N14" authorId="0" shapeId="0">
      <text>
        <r>
          <rPr>
            <b/>
            <sz val="9"/>
            <rFont val="Tahoma"/>
            <family val="2"/>
          </rPr>
          <t>C P:</t>
        </r>
        <r>
          <rPr>
            <sz val="9"/>
            <rFont val="Tahoma"/>
            <family val="2"/>
          </rPr>
          <t xml:space="preserve">
</t>
        </r>
      </text>
    </comment>
    <comment ref="D15" authorId="1" shapeId="0">
      <text>
        <r>
          <rPr>
            <sz val="9"/>
            <rFont val="Tahoma"/>
            <family val="2"/>
          </rPr>
          <t>Đường kính trong</t>
        </r>
      </text>
    </comment>
    <comment ref="N15" authorId="0" shapeId="0">
      <text>
        <r>
          <rPr>
            <b/>
            <sz val="9"/>
            <rFont val="Tahoma"/>
            <family val="2"/>
          </rPr>
          <t>C P:</t>
        </r>
        <r>
          <rPr>
            <sz val="9"/>
            <rFont val="Tahoma"/>
            <family val="2"/>
          </rPr>
          <t xml:space="preserve">
</t>
        </r>
      </text>
    </comment>
    <comment ref="D16" authorId="1" shapeId="0">
      <text>
        <r>
          <rPr>
            <sz val="9"/>
            <rFont val="Tahoma"/>
            <family val="2"/>
          </rPr>
          <t>Cao độ đầu cọc</t>
        </r>
      </text>
    </comment>
    <comment ref="N16" authorId="0" shapeId="0">
      <text>
        <r>
          <rPr>
            <b/>
            <sz val="9"/>
            <rFont val="Tahoma"/>
            <family val="2"/>
          </rPr>
          <t>C P:</t>
        </r>
        <r>
          <rPr>
            <sz val="9"/>
            <rFont val="Tahoma"/>
            <family val="2"/>
          </rPr>
          <t xml:space="preserve">
</t>
        </r>
      </text>
    </comment>
    <comment ref="D17" authorId="1" shapeId="0">
      <text>
        <r>
          <rPr>
            <sz val="9"/>
            <rFont val="Tahoma"/>
            <family val="2"/>
          </rPr>
          <t>Cao độ mũi cọc</t>
        </r>
      </text>
    </comment>
    <comment ref="N17" authorId="0" shapeId="0">
      <text>
        <r>
          <rPr>
            <b/>
            <sz val="9"/>
            <rFont val="Tahoma"/>
            <family val="2"/>
          </rPr>
          <t>C P:</t>
        </r>
        <r>
          <rPr>
            <sz val="9"/>
            <rFont val="Tahoma"/>
            <family val="2"/>
          </rPr>
          <t xml:space="preserve">
</t>
        </r>
      </text>
    </comment>
    <comment ref="N18" authorId="0" shapeId="0">
      <text>
        <r>
          <rPr>
            <b/>
            <sz val="9"/>
            <rFont val="Tahoma"/>
            <family val="2"/>
          </rPr>
          <t>C P:</t>
        </r>
        <r>
          <rPr>
            <sz val="9"/>
            <rFont val="Tahoma"/>
            <family val="2"/>
          </rPr>
          <t xml:space="preserve">
</t>
        </r>
      </text>
    </comment>
    <comment ref="N19" authorId="0" shapeId="0">
      <text>
        <r>
          <rPr>
            <b/>
            <sz val="9"/>
            <rFont val="Tahoma"/>
            <family val="2"/>
          </rPr>
          <t>C P:</t>
        </r>
        <r>
          <rPr>
            <sz val="9"/>
            <rFont val="Tahoma"/>
            <family val="2"/>
          </rPr>
          <t xml:space="preserve">
</t>
        </r>
      </text>
    </comment>
    <comment ref="A20" authorId="0" shapeId="0">
      <text>
        <r>
          <rPr>
            <b/>
            <sz val="9"/>
            <rFont val="Tahoma"/>
            <family val="2"/>
          </rPr>
          <t>C P:</t>
        </r>
        <r>
          <rPr>
            <sz val="9"/>
            <rFont val="Tahoma"/>
            <family val="2"/>
          </rPr>
          <t xml:space="preserve">
</t>
        </r>
      </text>
    </comment>
    <comment ref="N20" authorId="0" shapeId="0">
      <text>
        <r>
          <rPr>
            <b/>
            <sz val="9"/>
            <rFont val="Tahoma"/>
            <family val="2"/>
          </rPr>
          <t>C P:</t>
        </r>
        <r>
          <rPr>
            <sz val="9"/>
            <rFont val="Tahoma"/>
            <family val="2"/>
          </rPr>
          <t xml:space="preserve">
</t>
        </r>
      </text>
    </comment>
    <comment ref="N21" authorId="0" shapeId="0">
      <text>
        <r>
          <rPr>
            <b/>
            <sz val="9"/>
            <rFont val="Tahoma"/>
            <family val="2"/>
          </rPr>
          <t>C P:</t>
        </r>
        <r>
          <rPr>
            <sz val="9"/>
            <rFont val="Tahoma"/>
            <family val="2"/>
          </rPr>
          <t xml:space="preserve">
</t>
        </r>
      </text>
    </comment>
    <comment ref="N22" authorId="0" shapeId="0">
      <text>
        <r>
          <rPr>
            <b/>
            <sz val="9"/>
            <rFont val="Tahoma"/>
            <family val="2"/>
          </rPr>
          <t>C P:</t>
        </r>
        <r>
          <rPr>
            <sz val="9"/>
            <rFont val="Tahoma"/>
            <family val="2"/>
          </rPr>
          <t xml:space="preserve">
</t>
        </r>
      </text>
    </comment>
    <comment ref="N23" authorId="0" shapeId="0">
      <text>
        <r>
          <rPr>
            <b/>
            <sz val="9"/>
            <rFont val="Tahoma"/>
            <family val="2"/>
          </rPr>
          <t>C P:</t>
        </r>
        <r>
          <rPr>
            <sz val="9"/>
            <rFont val="Tahoma"/>
            <family val="2"/>
          </rPr>
          <t xml:space="preserve">
</t>
        </r>
      </text>
    </comment>
    <comment ref="D25" authorId="0" shapeId="0">
      <text>
        <r>
          <rPr>
            <b/>
            <sz val="9"/>
            <rFont val="Tahoma"/>
            <family val="2"/>
          </rPr>
          <t>Hệ số điều kiện làm việc c trong các công thức (9) và (12) lấy bằng 1,2 đối với cột trung gian đỡ đường dây
tải diện trên không và bằng 1,0 trong các trường hợp khác</t>
        </r>
        <r>
          <rPr>
            <sz val="9"/>
            <rFont val="Tahoma"/>
            <family val="2"/>
          </rPr>
          <t xml:space="preserve">
</t>
        </r>
      </text>
    </comment>
    <comment ref="A26" authorId="0" shapeId="0">
      <text>
        <r>
          <rPr>
            <b/>
            <sz val="9"/>
            <rFont val="Tahoma"/>
            <family val="2"/>
          </rPr>
          <t>Thí nghiệm CPT = Cone Penetration Test = Thí nghiệm xuyên côn tĩnh.
Dùng để xác định độ chặt của cát, nếu độ cặt của cát mà theo thí nghiệm này thì được phép tăng qb lên rất nhiều, nếu xác định độ chặt của cát theo phương pháp khác thì qb tăng lên ít hơn</t>
        </r>
        <r>
          <rPr>
            <sz val="9"/>
            <rFont val="Tahoma"/>
            <family val="2"/>
          </rPr>
          <t xml:space="preserve">
</t>
        </r>
      </text>
    </comment>
    <comment ref="I26" authorId="0" shapeId="0">
      <text>
        <r>
          <rPr>
            <sz val="9"/>
            <rFont val="Tahoma"/>
            <family val="2"/>
          </rPr>
          <t xml:space="preserve">
</t>
        </r>
      </text>
    </comment>
    <comment ref="D37" authorId="0" shapeId="0">
      <text>
        <r>
          <rPr>
            <b/>
            <sz val="9"/>
            <rFont val="Tahoma"/>
            <family val="2"/>
          </rPr>
          <t>Lưu ý nếu sức chịu tải cọc này đã chia cho hệ số tầm quan trọng công trình thì
khi tính sức chịu tải theo vật liệu, con số này phải nhân ngược lại với hệ số tầm quan trọng của công trình (tức là cọc sẽ chịu tải lớn hơn)</t>
        </r>
        <r>
          <rPr>
            <sz val="9"/>
            <rFont val="Tahoma"/>
            <family val="2"/>
          </rPr>
          <t xml:space="preserve">
</t>
        </r>
      </text>
    </comment>
    <comment ref="L37" authorId="0" shapeId="0">
      <text>
        <r>
          <rPr>
            <b/>
            <sz val="9"/>
            <rFont val="Tahoma"/>
            <family val="2"/>
          </rPr>
          <t>Lưu ý nếu sức chịu tải cọc này đã chia cho hệ số tầm quan trọng công trình thì
khi tính sức chịu tải theo vật liệu, con số này phải nhân ngược lại với hệ số tầm quan trọng của công trình (tức là cọc sẽ chịu tải lớn hơn)</t>
        </r>
        <r>
          <rPr>
            <sz val="9"/>
            <rFont val="Tahoma"/>
            <family val="2"/>
          </rPr>
          <t xml:space="preserve">
</t>
        </r>
      </text>
    </comment>
  </commentList>
</comments>
</file>

<file path=xl/comments8.xml><?xml version="1.0" encoding="utf-8"?>
<comments xmlns="http://schemas.openxmlformats.org/spreadsheetml/2006/main">
  <authors>
    <author>Phat ,Pham Vinh</author>
    <author>Duy Nguyễn</author>
    <author>C P</author>
  </authors>
  <commentList>
    <comment ref="D10" authorId="0" shapeId="0">
      <text>
        <r>
          <rPr>
            <sz val="10"/>
            <rFont val="Tahoma"/>
            <family val="2"/>
          </rPr>
          <t>Xem bảng tra D1: Phân loại cọ</t>
        </r>
        <r>
          <rPr>
            <sz val="9"/>
            <rFont val="Tahoma"/>
            <family val="2"/>
          </rPr>
          <t>c
mục 6.1 6.2 6.3 trang 19-20 TCVN 10304 -2025</t>
        </r>
      </text>
    </comment>
    <comment ref="D12" authorId="1" shapeId="0">
      <text>
        <r>
          <rPr>
            <b/>
            <sz val="9"/>
            <rFont val="Tahoma"/>
            <family val="2"/>
          </rPr>
          <t>Duy Nguyễn:</t>
        </r>
        <r>
          <rPr>
            <sz val="9"/>
            <rFont val="Tahoma"/>
            <family val="2"/>
          </rPr>
          <t xml:space="preserve">
NẾU LÀ CỌC VUÔNG THÌ NHẬP CHIỀU DÀI 1 CẠNH, NẾU LÀ CỌC TRÒN THÌ NHẬP ĐƯỜNG KÍNH
ĐƠN VỊ M</t>
        </r>
      </text>
    </comment>
    <comment ref="D13" authorId="0" shapeId="0">
      <text>
        <r>
          <rPr>
            <sz val="9"/>
            <rFont val="Tahoma"/>
            <family val="2"/>
          </rPr>
          <t>Đường kính trong
Cọc nào hở mũi thì mới điền ô này
nếu mũi đặc đúng tiêu chuẩn thì điền =0</t>
        </r>
      </text>
    </comment>
    <comment ref="D14" authorId="0" shapeId="0">
      <text>
        <r>
          <rPr>
            <sz val="9"/>
            <rFont val="Tahoma"/>
            <family val="2"/>
          </rPr>
          <t>Đường kính trong</t>
        </r>
      </text>
    </comment>
    <comment ref="D15" authorId="0" shapeId="0">
      <text>
        <r>
          <rPr>
            <sz val="9"/>
            <rFont val="Tahoma"/>
            <family val="2"/>
          </rPr>
          <t>Cao độ đầu cọc</t>
        </r>
      </text>
    </comment>
    <comment ref="D16" authorId="0" shapeId="0">
      <text>
        <r>
          <rPr>
            <sz val="9"/>
            <rFont val="Tahoma"/>
            <family val="2"/>
          </rPr>
          <t>Cao độ mũi cọc</t>
        </r>
      </text>
    </comment>
    <comment ref="D22" authorId="2" shapeId="0">
      <text>
        <r>
          <rPr>
            <sz val="9"/>
            <rFont val="Tahoma"/>
            <family val="2"/>
          </rPr>
          <t xml:space="preserve">
</t>
        </r>
      </text>
    </comment>
    <comment ref="D23" authorId="2" shapeId="0">
      <text>
        <r>
          <rPr>
            <sz val="9"/>
            <rFont val="Tahoma"/>
            <family val="2"/>
          </rPr>
          <t xml:space="preserve">
</t>
        </r>
      </text>
    </comment>
    <comment ref="A24" authorId="2" shapeId="0">
      <text>
        <r>
          <rPr>
            <b/>
            <sz val="9"/>
            <rFont val="Tahoma"/>
            <family val="2"/>
          </rPr>
          <t>Thí nghiệm CPT = Cone Penetration Test = Thí nghiệm xuyên côn tĩnh.
Dùng để xác định độ chặt của cát, nếu độ cặt của cát mà theo thí nghiệm này thì được phép tăng qb lên rất nhiều, nếu xác định độ chặt của cát theo phương pháp khác thì qb tăng lên ít hơn</t>
        </r>
        <r>
          <rPr>
            <sz val="9"/>
            <rFont val="Tahoma"/>
            <family val="2"/>
          </rPr>
          <t xml:space="preserve">
</t>
        </r>
      </text>
    </comment>
    <comment ref="D35" authorId="2" shapeId="0">
      <text>
        <r>
          <rPr>
            <b/>
            <sz val="9"/>
            <rFont val="Tahoma"/>
            <family val="2"/>
          </rPr>
          <t>Lưu ý nếu sức chịu tải cọc này đã chia cho hệ số tầm quan trọng công trình thì
khi tính sức chịu tải theo vật liệu, con số này phải nhân ngược lại với hệ số tầm quan trọng của công trình (tức là cọc sẽ chịu tải lớn hơn)</t>
        </r>
        <r>
          <rPr>
            <sz val="9"/>
            <rFont val="Tahoma"/>
            <family val="2"/>
          </rPr>
          <t xml:space="preserve">
</t>
        </r>
      </text>
    </comment>
    <comment ref="L35" authorId="2" shapeId="0">
      <text>
        <r>
          <rPr>
            <b/>
            <sz val="9"/>
            <rFont val="Tahoma"/>
            <family val="2"/>
          </rPr>
          <t>Lưu ý nếu sức chịu tải cọc này đã chia cho hệ số tầm quan trọng công trình thì
khi tính sức chịu tải theo vật liệu, con số này phải nhân ngược lại với hệ số tầm quan trọng của công trình (tức là cọc sẽ chịu tải lớn hơn)</t>
        </r>
        <r>
          <rPr>
            <sz val="9"/>
            <rFont val="Tahoma"/>
            <family val="2"/>
          </rPr>
          <t xml:space="preserve">
</t>
        </r>
      </text>
    </comment>
  </commentList>
</comments>
</file>

<file path=xl/comments9.xml><?xml version="1.0" encoding="utf-8"?>
<comments xmlns="http://schemas.openxmlformats.org/spreadsheetml/2006/main">
  <authors>
    <author>C P</author>
    <author>Phat ,Pham Vinh</author>
    <author>Duy Nguyễn</author>
  </authors>
  <commentList>
    <comment ref="P9" authorId="0" shapeId="0">
      <text>
        <r>
          <rPr>
            <b/>
            <sz val="9"/>
            <rFont val="Tahoma"/>
            <family val="2"/>
          </rPr>
          <t>C P:</t>
        </r>
        <r>
          <rPr>
            <sz val="9"/>
            <rFont val="Tahoma"/>
            <family val="2"/>
          </rPr>
          <t xml:space="preserve">
</t>
        </r>
      </text>
    </comment>
    <comment ref="Q9" authorId="0" shapeId="0">
      <text>
        <r>
          <rPr>
            <b/>
            <sz val="9"/>
            <rFont val="Tahoma"/>
            <family val="2"/>
          </rPr>
          <t>C P:</t>
        </r>
        <r>
          <rPr>
            <sz val="9"/>
            <rFont val="Tahoma"/>
            <family val="2"/>
          </rPr>
          <t xml:space="preserve">
</t>
        </r>
      </text>
    </comment>
    <comment ref="D10" authorId="1" shapeId="0">
      <text>
        <r>
          <rPr>
            <sz val="10"/>
            <rFont val="Tahoma"/>
            <family val="2"/>
          </rPr>
          <t>Xem bảng tra D1: Phân loại cọ</t>
        </r>
        <r>
          <rPr>
            <sz val="9"/>
            <rFont val="Tahoma"/>
            <family val="2"/>
          </rPr>
          <t>c
mục 6.1 6.2 6.3 trang 19-20 TCVN 10304 -2025</t>
        </r>
      </text>
    </comment>
    <comment ref="P12" authorId="0" shapeId="0">
      <text>
        <r>
          <rPr>
            <b/>
            <sz val="9"/>
            <rFont val="Tahoma"/>
            <family val="2"/>
          </rPr>
          <t>C P:</t>
        </r>
        <r>
          <rPr>
            <sz val="9"/>
            <rFont val="Tahoma"/>
            <family val="2"/>
          </rPr>
          <t xml:space="preserve">
</t>
        </r>
      </text>
    </comment>
    <comment ref="D13" authorId="2" shapeId="0">
      <text>
        <r>
          <rPr>
            <b/>
            <sz val="9"/>
            <rFont val="Tahoma"/>
            <family val="2"/>
          </rPr>
          <t>Duy Nguyễn:</t>
        </r>
        <r>
          <rPr>
            <sz val="9"/>
            <rFont val="Tahoma"/>
            <family val="2"/>
          </rPr>
          <t xml:space="preserve">
NẾU LÀ CỌC VUÔNG THÌ NHẬP CHIỀU DÀI 1 CẠNH, NẾU LÀ CỌC TRÒN THÌ NHẬP ĐƯỜNG KÍNH
ĐƠN VỊ M</t>
        </r>
      </text>
    </comment>
    <comment ref="P13" authorId="0" shapeId="0">
      <text>
        <r>
          <rPr>
            <b/>
            <sz val="9"/>
            <rFont val="Tahoma"/>
            <family val="2"/>
          </rPr>
          <t>C P:</t>
        </r>
        <r>
          <rPr>
            <sz val="9"/>
            <rFont val="Tahoma"/>
            <family val="2"/>
          </rPr>
          <t xml:space="preserve">
</t>
        </r>
      </text>
    </comment>
    <comment ref="D14" authorId="1" shapeId="0">
      <text>
        <r>
          <rPr>
            <sz val="9"/>
            <rFont val="Tahoma"/>
            <family val="2"/>
          </rPr>
          <t>Đường kính trong
Cọc nào hở mũi thì mới điền ô này
nếu mũi đặc đúng tiêu chuẩn thì điền =0</t>
        </r>
      </text>
    </comment>
    <comment ref="P14" authorId="0" shapeId="0">
      <text>
        <r>
          <rPr>
            <b/>
            <sz val="9"/>
            <rFont val="Tahoma"/>
            <family val="2"/>
          </rPr>
          <t>C P:</t>
        </r>
        <r>
          <rPr>
            <sz val="9"/>
            <rFont val="Tahoma"/>
            <family val="2"/>
          </rPr>
          <t xml:space="preserve">
</t>
        </r>
      </text>
    </comment>
    <comment ref="D15" authorId="1" shapeId="0">
      <text>
        <r>
          <rPr>
            <sz val="9"/>
            <rFont val="Tahoma"/>
            <family val="2"/>
          </rPr>
          <t>Đường kính trong</t>
        </r>
      </text>
    </comment>
    <comment ref="P15" authorId="0" shapeId="0">
      <text>
        <r>
          <rPr>
            <b/>
            <sz val="9"/>
            <rFont val="Tahoma"/>
            <family val="2"/>
          </rPr>
          <t>C P:</t>
        </r>
        <r>
          <rPr>
            <sz val="9"/>
            <rFont val="Tahoma"/>
            <family val="2"/>
          </rPr>
          <t xml:space="preserve">
</t>
        </r>
      </text>
    </comment>
    <comment ref="D16" authorId="1" shapeId="0">
      <text>
        <r>
          <rPr>
            <sz val="9"/>
            <rFont val="Tahoma"/>
            <family val="2"/>
          </rPr>
          <t>Cao độ đầu cọc</t>
        </r>
      </text>
    </comment>
    <comment ref="P16" authorId="0" shapeId="0">
      <text>
        <r>
          <rPr>
            <b/>
            <sz val="9"/>
            <rFont val="Tahoma"/>
            <family val="2"/>
          </rPr>
          <t>C P:</t>
        </r>
        <r>
          <rPr>
            <sz val="9"/>
            <rFont val="Tahoma"/>
            <family val="2"/>
          </rPr>
          <t xml:space="preserve">
</t>
        </r>
      </text>
    </comment>
    <comment ref="D17" authorId="1" shapeId="0">
      <text>
        <r>
          <rPr>
            <sz val="9"/>
            <rFont val="Tahoma"/>
            <family val="2"/>
          </rPr>
          <t>Cao độ mũi cọc</t>
        </r>
      </text>
    </comment>
    <comment ref="P17" authorId="0" shapeId="0">
      <text>
        <r>
          <rPr>
            <b/>
            <sz val="9"/>
            <rFont val="Tahoma"/>
            <family val="2"/>
          </rPr>
          <t>C P:</t>
        </r>
        <r>
          <rPr>
            <sz val="9"/>
            <rFont val="Tahoma"/>
            <family val="2"/>
          </rPr>
          <t xml:space="preserve">
</t>
        </r>
      </text>
    </comment>
    <comment ref="P18" authorId="0" shapeId="0">
      <text>
        <r>
          <rPr>
            <b/>
            <sz val="9"/>
            <rFont val="Tahoma"/>
            <family val="2"/>
          </rPr>
          <t>C P:</t>
        </r>
        <r>
          <rPr>
            <sz val="9"/>
            <rFont val="Tahoma"/>
            <family val="2"/>
          </rPr>
          <t xml:space="preserve">
</t>
        </r>
      </text>
    </comment>
    <comment ref="P19" authorId="0" shapeId="0">
      <text>
        <r>
          <rPr>
            <b/>
            <sz val="9"/>
            <rFont val="Tahoma"/>
            <family val="2"/>
          </rPr>
          <t>C P:</t>
        </r>
        <r>
          <rPr>
            <sz val="9"/>
            <rFont val="Tahoma"/>
            <family val="2"/>
          </rPr>
          <t xml:space="preserve">
</t>
        </r>
      </text>
    </comment>
    <comment ref="A20" authorId="0" shapeId="0">
      <text>
        <r>
          <rPr>
            <b/>
            <sz val="9"/>
            <rFont val="Tahoma"/>
            <family val="2"/>
          </rPr>
          <t>C P:</t>
        </r>
        <r>
          <rPr>
            <sz val="9"/>
            <rFont val="Tahoma"/>
            <family val="2"/>
          </rPr>
          <t xml:space="preserve">
</t>
        </r>
      </text>
    </comment>
    <comment ref="P20" authorId="0" shapeId="0">
      <text>
        <r>
          <rPr>
            <b/>
            <sz val="9"/>
            <rFont val="Tahoma"/>
            <family val="2"/>
          </rPr>
          <t>C P:</t>
        </r>
        <r>
          <rPr>
            <sz val="9"/>
            <rFont val="Tahoma"/>
            <family val="2"/>
          </rPr>
          <t xml:space="preserve">
</t>
        </r>
      </text>
    </comment>
    <comment ref="P21" authorId="0" shapeId="0">
      <text>
        <r>
          <rPr>
            <b/>
            <sz val="9"/>
            <rFont val="Tahoma"/>
            <family val="2"/>
          </rPr>
          <t>C P:</t>
        </r>
        <r>
          <rPr>
            <sz val="9"/>
            <rFont val="Tahoma"/>
            <family val="2"/>
          </rPr>
          <t xml:space="preserve">
</t>
        </r>
      </text>
    </comment>
    <comment ref="P22" authorId="0" shapeId="0">
      <text>
        <r>
          <rPr>
            <b/>
            <sz val="9"/>
            <rFont val="Tahoma"/>
            <family val="2"/>
          </rPr>
          <t>C P:</t>
        </r>
        <r>
          <rPr>
            <sz val="9"/>
            <rFont val="Tahoma"/>
            <family val="2"/>
          </rPr>
          <t xml:space="preserve">
</t>
        </r>
      </text>
    </comment>
    <comment ref="P23" authorId="0" shapeId="0">
      <text>
        <r>
          <rPr>
            <b/>
            <sz val="9"/>
            <rFont val="Tahoma"/>
            <family val="2"/>
          </rPr>
          <t>C P:</t>
        </r>
        <r>
          <rPr>
            <sz val="9"/>
            <rFont val="Tahoma"/>
            <family val="2"/>
          </rPr>
          <t xml:space="preserve">
</t>
        </r>
      </text>
    </comment>
    <comment ref="P24" authorId="0" shapeId="0">
      <text>
        <r>
          <rPr>
            <b/>
            <sz val="9"/>
            <rFont val="Tahoma"/>
            <family val="2"/>
          </rPr>
          <t>C P:</t>
        </r>
        <r>
          <rPr>
            <sz val="9"/>
            <rFont val="Tahoma"/>
            <family val="2"/>
          </rPr>
          <t xml:space="preserve">
</t>
        </r>
      </text>
    </comment>
    <comment ref="D25" authorId="0" shapeId="0">
      <text>
        <r>
          <rPr>
            <sz val="9"/>
            <rFont val="Tahoma"/>
            <family val="2"/>
          </rPr>
          <t xml:space="preserve">
</t>
        </r>
      </text>
    </comment>
    <comment ref="P25" authorId="0" shapeId="0">
      <text>
        <r>
          <rPr>
            <b/>
            <sz val="9"/>
            <rFont val="Tahoma"/>
            <family val="2"/>
          </rPr>
          <t>C P:</t>
        </r>
        <r>
          <rPr>
            <sz val="9"/>
            <rFont val="Tahoma"/>
            <family val="2"/>
          </rPr>
          <t xml:space="preserve">
</t>
        </r>
      </text>
    </comment>
    <comment ref="D26" authorId="0" shapeId="0">
      <text>
        <r>
          <rPr>
            <sz val="9"/>
            <rFont val="Tahoma"/>
            <family val="2"/>
          </rPr>
          <t xml:space="preserve">
</t>
        </r>
      </text>
    </comment>
    <comment ref="A27" authorId="0" shapeId="0">
      <text>
        <r>
          <rPr>
            <b/>
            <sz val="9"/>
            <rFont val="Tahoma"/>
            <family val="2"/>
          </rPr>
          <t>Thí nghiệm CPT = Cone Penetration Test = Thí nghiệm xuyên côn tĩnh.
Dùng để xác định độ chặt của cát, nếu độ cặt của cát mà theo thí nghiệm này thì được phép tăng qb lên rất nhiều, nếu xác định độ chặt của cát theo phương pháp khác thì qb tăng lên ít hơn</t>
        </r>
        <r>
          <rPr>
            <sz val="9"/>
            <rFont val="Tahoma"/>
            <family val="2"/>
          </rPr>
          <t xml:space="preserve">
</t>
        </r>
      </text>
    </comment>
    <comment ref="I28" authorId="0" shapeId="0">
      <text>
        <r>
          <rPr>
            <sz val="9"/>
            <rFont val="Tahoma"/>
            <family val="2"/>
          </rPr>
          <t xml:space="preserve">
</t>
        </r>
      </text>
    </comment>
    <comment ref="D38" authorId="0" shapeId="0">
      <text>
        <r>
          <rPr>
            <b/>
            <sz val="9"/>
            <rFont val="Tahoma"/>
            <family val="2"/>
          </rPr>
          <t>Lưu ý nếu sức chịu tải cọc này đã chia cho hệ số tầm quan trọng công trình thì
khi tính sức chịu tải theo vật liệu, con số này phải nhân ngược lại với hệ số tầm quan trọng của công trình (tức là cọc sẽ chịu tải lớn hơn)</t>
        </r>
        <r>
          <rPr>
            <sz val="9"/>
            <rFont val="Tahoma"/>
            <family val="2"/>
          </rPr>
          <t xml:space="preserve">
</t>
        </r>
      </text>
    </comment>
    <comment ref="L39" authorId="0" shapeId="0">
      <text>
        <r>
          <rPr>
            <b/>
            <sz val="9"/>
            <rFont val="Tahoma"/>
            <family val="2"/>
          </rPr>
          <t>Lưu ý nếu sức chịu tải cọc này đã chia cho hệ số tầm quan trọng công trình thì
khi tính sức chịu tải theo vật liệu, con số này phải nhân ngược lại với hệ số tầm quan trọng của công trình (tức là cọc sẽ chịu tải lớn hơn)</t>
        </r>
        <r>
          <rPr>
            <sz val="9"/>
            <rFont val="Tahoma"/>
            <family val="2"/>
          </rPr>
          <t xml:space="preserve">
</t>
        </r>
      </text>
    </comment>
  </commentList>
</comments>
</file>

<file path=xl/comments10.xml><?xml version="1.0" encoding="utf-8"?>
<comments xmlns="http://schemas.openxmlformats.org/spreadsheetml/2006/main">
  <authors>
    <author>Phat ,Pham Vinh</author>
    <author>hoan.tran</author>
    <author>Duy Nguyễn</author>
    <author>C P</author>
  </authors>
  <commentList>
    <comment ref="W7" authorId="0" shapeId="0">
      <text>
        <r>
          <rPr>
            <sz val="9"/>
            <rFont val="Tahoma"/>
            <family val="2"/>
          </rPr>
          <t xml:space="preserve">Đường kính ngoài </t>
        </r>
      </text>
    </comment>
    <comment ref="A11" authorId="0" shapeId="0">
      <text>
        <r>
          <rPr>
            <sz val="10"/>
            <rFont val="Tahoma"/>
            <family val="2"/>
          </rPr>
          <t>Chiều sau mực nước ngầm</t>
        </r>
      </text>
    </comment>
    <comment ref="F12" authorId="0" shapeId="0">
      <text>
        <r>
          <rPr>
            <sz val="10"/>
            <rFont val="Tahoma"/>
            <family val="2"/>
          </rPr>
          <t>Xem bảng tra B1: Phân loại cọ</t>
        </r>
        <r>
          <rPr>
            <sz val="9"/>
            <rFont val="Tahoma"/>
            <family val="2"/>
          </rPr>
          <t>c</t>
        </r>
      </text>
    </comment>
    <comment ref="P12" authorId="0" shapeId="0">
      <text>
        <r>
          <rPr>
            <sz val="9"/>
            <rFont val="Tahoma"/>
            <family val="2"/>
          </rPr>
          <t xml:space="preserve">Hệ số điều kiện làm việc Mục 7.1.9 TCVN 10304:2014 
</t>
        </r>
      </text>
    </comment>
    <comment ref="R12" authorId="1" shapeId="0">
      <text>
        <r>
          <rPr>
            <sz val="9"/>
            <rFont val="Tahoma"/>
            <family val="2"/>
          </rPr>
          <t xml:space="preserve">
</t>
        </r>
      </text>
    </comment>
    <comment ref="F13" authorId="2" shapeId="0">
      <text>
        <r>
          <rPr>
            <b/>
            <sz val="9"/>
            <rFont val="Tahoma"/>
            <family val="2"/>
          </rPr>
          <t>Duy Nguyễn:</t>
        </r>
        <r>
          <rPr>
            <sz val="9"/>
            <rFont val="Tahoma"/>
            <family val="2"/>
          </rPr>
          <t xml:space="preserve">
NẾU LÀ CỌC VUÔNG THÌ NHẬP CHIỀU DÀI 1 CẠNH, NẾU LÀ CỌC TRÒN THÌ NHẬP ĐƯỜNG KÍNH
ĐƠN VỊ M</t>
        </r>
      </text>
    </comment>
    <comment ref="P13" authorId="0" shapeId="0">
      <text>
        <r>
          <rPr>
            <sz val="9"/>
            <rFont val="Tahoma"/>
            <family val="2"/>
          </rPr>
          <t xml:space="preserve">Hệ số điều kiện làm việc Mục 7.1.9 TCVN 10304:2014 </t>
        </r>
      </text>
    </comment>
    <comment ref="R13" authorId="1" shapeId="0">
      <text>
        <r>
          <rPr>
            <sz val="9"/>
            <rFont val="Tahoma"/>
            <family val="2"/>
          </rPr>
          <t xml:space="preserve">
</t>
        </r>
      </text>
    </comment>
    <comment ref="F14" authorId="0" shapeId="0">
      <text>
        <r>
          <rPr>
            <sz val="9"/>
            <rFont val="Tahoma"/>
            <family val="2"/>
          </rPr>
          <t>Đường kính trong</t>
        </r>
      </text>
    </comment>
    <comment ref="P14" authorId="0" shapeId="0">
      <text>
        <r>
          <rPr>
            <sz val="9"/>
            <rFont val="Tahoma"/>
            <family val="2"/>
          </rPr>
          <t>Phụ lục A.4 TCVN 10304:2014</t>
        </r>
      </text>
    </comment>
    <comment ref="R14" authorId="1" shapeId="0">
      <text>
        <r>
          <rPr>
            <sz val="9"/>
            <rFont val="Tahoma"/>
            <family val="2"/>
          </rPr>
          <t xml:space="preserve">
</t>
        </r>
      </text>
    </comment>
    <comment ref="F15" authorId="0" shapeId="0">
      <text>
        <r>
          <rPr>
            <sz val="9"/>
            <rFont val="Tahoma"/>
            <family val="2"/>
          </rPr>
          <t>Cao độ mũi cọc</t>
        </r>
      </text>
    </comment>
    <comment ref="P15" authorId="0" shapeId="0">
      <text>
        <r>
          <rPr>
            <sz val="9"/>
            <rFont val="Tahoma"/>
            <family val="2"/>
          </rPr>
          <t>Bảng A1 TCVN 10304:2025</t>
        </r>
      </text>
    </comment>
    <comment ref="R15" authorId="1" shapeId="0">
      <text>
        <r>
          <rPr>
            <sz val="9"/>
            <rFont val="Tahoma"/>
            <family val="2"/>
          </rPr>
          <t xml:space="preserve">
</t>
        </r>
      </text>
    </comment>
    <comment ref="F16" authorId="0" shapeId="0">
      <text>
        <r>
          <rPr>
            <sz val="9"/>
            <rFont val="Tahoma"/>
            <family val="2"/>
          </rPr>
          <t>Cao độ đầu cọc</t>
        </r>
      </text>
    </comment>
    <comment ref="P16" authorId="0" shapeId="0">
      <text>
        <r>
          <rPr>
            <sz val="9"/>
            <rFont val="Tahoma"/>
            <family val="2"/>
          </rPr>
          <t>Mục A2 TCVN 10304:2014</t>
        </r>
      </text>
    </comment>
    <comment ref="R16" authorId="1" shapeId="0">
      <text>
        <r>
          <rPr>
            <sz val="9"/>
            <rFont val="Tahoma"/>
            <family val="2"/>
          </rPr>
          <t xml:space="preserve">
</t>
        </r>
      </text>
    </comment>
    <comment ref="P17" authorId="0" shapeId="0">
      <text>
        <r>
          <rPr>
            <sz val="9"/>
            <rFont val="Tahoma"/>
            <family val="2"/>
          </rPr>
          <t>Mục A.5 TCVN 10304:2025</t>
        </r>
      </text>
    </comment>
    <comment ref="R17" authorId="1" shapeId="0">
      <text>
        <r>
          <rPr>
            <sz val="9"/>
            <rFont val="Tahoma"/>
            <family val="2"/>
          </rPr>
          <t xml:space="preserve">
</t>
        </r>
      </text>
    </comment>
    <comment ref="P18" authorId="0" shapeId="0">
      <text>
        <r>
          <rPr>
            <sz val="9"/>
            <rFont val="Tahoma"/>
            <family val="2"/>
          </rPr>
          <t>Mục 7.1.8 TCVN 10304:2014</t>
        </r>
      </text>
    </comment>
    <comment ref="P19" authorId="0" shapeId="0">
      <text>
        <r>
          <rPr>
            <sz val="9"/>
            <rFont val="Tahoma"/>
            <family val="2"/>
          </rPr>
          <t>Mục 7.1.5.2 TCVN 10304:2025</t>
        </r>
      </text>
    </comment>
    <comment ref="R19" authorId="1" shapeId="0">
      <text/>
    </comment>
    <comment ref="I21" authorId="3" shapeId="0">
      <text>
        <r>
          <rPr>
            <b/>
            <sz val="9"/>
            <rFont val="Tahoma"/>
            <family val="2"/>
          </rPr>
          <t>C P:</t>
        </r>
        <r>
          <rPr>
            <sz val="9"/>
            <rFont val="Tahoma"/>
            <family val="2"/>
          </rPr>
          <t xml:space="preserve">
8.1.2.1 TCVN 5574-2018</t>
        </r>
      </text>
    </comment>
    <comment ref="P21" authorId="0" shapeId="0">
      <text>
        <r>
          <rPr>
            <b/>
            <sz val="9"/>
            <rFont val="Tahoma"/>
            <family val="2"/>
          </rPr>
          <t>Xét đến uốn dọc khi phi &gt; 14 Xem mục 6.1.2.2. TCVN 5574:2012</t>
        </r>
      </text>
    </comment>
  </commentList>
</comments>
</file>

<file path=xl/sharedStrings.xml><?xml version="1.0" encoding="utf-8"?>
<sst xmlns="http://schemas.openxmlformats.org/spreadsheetml/2006/main" count="6310" uniqueCount="1089">
  <si>
    <t>TÍNH TOÁN SỨC CHỊU TẢI CỌC THEO TCVN 10304 - 2014</t>
  </si>
  <si>
    <t>Project:</t>
  </si>
  <si>
    <t>RIVIERA POINT PH1B</t>
  </si>
  <si>
    <t>Vị trí</t>
  </si>
  <si>
    <t>Quận 7, Thành Phố Hồ Chí Minh</t>
  </si>
  <si>
    <t>A. Sức chịu tải của cọc theo vật liệu làm cọc ( TCVN 10304:2014 ):</t>
  </si>
  <si>
    <r>
      <rPr>
        <b/>
        <sz val="11"/>
        <rFont val="Arial"/>
        <charset val="134"/>
      </rPr>
      <t xml:space="preserve"> R</t>
    </r>
    <r>
      <rPr>
        <b/>
        <vertAlign val="subscript"/>
        <sz val="11"/>
        <rFont val="Arial"/>
        <charset val="134"/>
      </rPr>
      <t>vl</t>
    </r>
    <r>
      <rPr>
        <b/>
        <sz val="11"/>
        <rFont val="Arial"/>
        <charset val="134"/>
      </rPr>
      <t xml:space="preserve"> = </t>
    </r>
    <r>
      <rPr>
        <b/>
        <sz val="11"/>
        <rFont val="Symbol"/>
        <charset val="2"/>
      </rPr>
      <t>j(g</t>
    </r>
    <r>
      <rPr>
        <b/>
        <vertAlign val="subscript"/>
        <sz val="11"/>
        <rFont val="Times New Roman"/>
        <charset val="134"/>
      </rPr>
      <t>cb</t>
    </r>
    <r>
      <rPr>
        <b/>
        <sz val="11"/>
        <rFont val="Symbol"/>
        <charset val="2"/>
      </rPr>
      <t>g</t>
    </r>
    <r>
      <rPr>
        <b/>
        <sz val="11"/>
        <rFont val="Times New Roman"/>
        <charset val="134"/>
      </rPr>
      <t>'</t>
    </r>
    <r>
      <rPr>
        <b/>
        <vertAlign val="subscript"/>
        <sz val="11"/>
        <rFont val="Times New Roman"/>
        <charset val="134"/>
      </rPr>
      <t>cb</t>
    </r>
    <r>
      <rPr>
        <b/>
        <sz val="11"/>
        <rFont val="Arial"/>
        <charset val="134"/>
      </rPr>
      <t>R</t>
    </r>
    <r>
      <rPr>
        <b/>
        <vertAlign val="subscript"/>
        <sz val="11"/>
        <rFont val="Arial"/>
        <charset val="134"/>
      </rPr>
      <t>b</t>
    </r>
    <r>
      <rPr>
        <b/>
        <sz val="11"/>
        <rFont val="Arial"/>
        <charset val="134"/>
      </rPr>
      <t>.A</t>
    </r>
    <r>
      <rPr>
        <b/>
        <vertAlign val="subscript"/>
        <sz val="11"/>
        <rFont val="Arial"/>
        <charset val="134"/>
      </rPr>
      <t>b</t>
    </r>
    <r>
      <rPr>
        <b/>
        <sz val="11"/>
        <rFont val="Arial"/>
        <charset val="134"/>
      </rPr>
      <t xml:space="preserve"> + R</t>
    </r>
    <r>
      <rPr>
        <b/>
        <vertAlign val="subscript"/>
        <sz val="11"/>
        <rFont val="Arial"/>
        <charset val="134"/>
      </rPr>
      <t>sc</t>
    </r>
    <r>
      <rPr>
        <b/>
        <sz val="11"/>
        <rFont val="Arial"/>
        <charset val="134"/>
      </rPr>
      <t>.A</t>
    </r>
    <r>
      <rPr>
        <b/>
        <vertAlign val="subscript"/>
        <sz val="11"/>
        <rFont val="Arial"/>
        <charset val="134"/>
      </rPr>
      <t>s</t>
    </r>
    <r>
      <rPr>
        <b/>
        <sz val="11"/>
        <rFont val="Arial"/>
        <charset val="134"/>
      </rPr>
      <t>)</t>
    </r>
  </si>
  <si>
    <t>Trong đó:</t>
  </si>
  <si>
    <r>
      <rPr>
        <sz val="11"/>
        <rFont val="Arial"/>
        <charset val="134"/>
      </rPr>
      <t>-</t>
    </r>
    <r>
      <rPr>
        <sz val="11"/>
        <rFont val="Symbol"/>
        <charset val="2"/>
      </rPr>
      <t xml:space="preserve"> g</t>
    </r>
    <r>
      <rPr>
        <vertAlign val="subscript"/>
        <sz val="11"/>
        <rFont val="Arial"/>
        <charset val="134"/>
      </rPr>
      <t>cb</t>
    </r>
    <r>
      <rPr>
        <sz val="11"/>
        <rFont val="Arial"/>
        <charset val="134"/>
      </rPr>
      <t xml:space="preserve"> : H</t>
    </r>
    <r>
      <rPr>
        <sz val="11"/>
        <color indexed="8"/>
        <rFont val="Arial"/>
        <charset val="134"/>
      </rPr>
      <t>ệ số điều kiện làm việc</t>
    </r>
  </si>
  <si>
    <r>
      <rPr>
        <sz val="11"/>
        <rFont val="Arial"/>
        <charset val="134"/>
      </rPr>
      <t>-</t>
    </r>
    <r>
      <rPr>
        <sz val="11"/>
        <rFont val="Symbol"/>
        <charset val="2"/>
      </rPr>
      <t xml:space="preserve"> g</t>
    </r>
    <r>
      <rPr>
        <sz val="11"/>
        <rFont val="Arial"/>
        <charset val="134"/>
      </rPr>
      <t>’</t>
    </r>
    <r>
      <rPr>
        <vertAlign val="subscript"/>
        <sz val="11"/>
        <rFont val="Arial"/>
        <charset val="134"/>
      </rPr>
      <t xml:space="preserve">cb </t>
    </r>
    <r>
      <rPr>
        <sz val="11"/>
        <rFont val="Arial"/>
        <charset val="134"/>
      </rPr>
      <t xml:space="preserve">: </t>
    </r>
    <r>
      <rPr>
        <sz val="11"/>
        <color indexed="8"/>
        <rFont val="Arial"/>
        <charset val="134"/>
      </rPr>
      <t>Hệ số kể đến phương pháp thi công cọc</t>
    </r>
  </si>
  <si>
    <r>
      <rPr>
        <sz val="11"/>
        <rFont val="Arial"/>
        <charset val="134"/>
      </rPr>
      <t>- R</t>
    </r>
    <r>
      <rPr>
        <vertAlign val="subscript"/>
        <sz val="11"/>
        <rFont val="Arial"/>
        <charset val="134"/>
      </rPr>
      <t xml:space="preserve">b </t>
    </r>
    <r>
      <rPr>
        <sz val="11"/>
        <rFont val="Arial"/>
        <charset val="134"/>
      </rPr>
      <t>: Cường độ bê tông cọc</t>
    </r>
  </si>
  <si>
    <r>
      <rPr>
        <sz val="11"/>
        <rFont val="Arial"/>
        <charset val="134"/>
      </rPr>
      <t>- R</t>
    </r>
    <r>
      <rPr>
        <vertAlign val="subscript"/>
        <sz val="11"/>
        <rFont val="Arial"/>
        <charset val="134"/>
      </rPr>
      <t>sc</t>
    </r>
    <r>
      <rPr>
        <sz val="11"/>
        <rFont val="Arial"/>
        <charset val="134"/>
      </rPr>
      <t xml:space="preserve"> : Cường độ cốt thép trong cọc </t>
    </r>
  </si>
  <si>
    <r>
      <rPr>
        <sz val="11"/>
        <color rgb="FF000000"/>
        <rFont val="Arial"/>
        <charset val="134"/>
      </rPr>
      <t>- A</t>
    </r>
    <r>
      <rPr>
        <vertAlign val="subscript"/>
        <sz val="11"/>
        <color indexed="8"/>
        <rFont val="Arial"/>
        <charset val="134"/>
      </rPr>
      <t>b</t>
    </r>
    <r>
      <rPr>
        <sz val="11"/>
        <color indexed="8"/>
        <rFont val="Arial"/>
        <charset val="134"/>
      </rPr>
      <t xml:space="preserve"> : Diện tích tiết diện cọc</t>
    </r>
  </si>
  <si>
    <r>
      <rPr>
        <sz val="11"/>
        <color rgb="FF000000"/>
        <rFont val="Arial"/>
        <charset val="134"/>
      </rPr>
      <t>- A</t>
    </r>
    <r>
      <rPr>
        <vertAlign val="subscript"/>
        <sz val="11"/>
        <color indexed="8"/>
        <rFont val="Arial"/>
        <charset val="134"/>
      </rPr>
      <t>s</t>
    </r>
    <r>
      <rPr>
        <sz val="11"/>
        <color indexed="8"/>
        <rFont val="Arial"/>
        <charset val="134"/>
      </rPr>
      <t xml:space="preserve"> : Diện tích cốt thép trong cọc</t>
    </r>
  </si>
  <si>
    <r>
      <rPr>
        <sz val="11"/>
        <color rgb="FF000000"/>
        <rFont val="Arial"/>
        <charset val="134"/>
      </rPr>
      <t xml:space="preserve">- </t>
    </r>
    <r>
      <rPr>
        <sz val="11"/>
        <color indexed="8"/>
        <rFont val="Symbol"/>
        <charset val="2"/>
      </rPr>
      <t>j</t>
    </r>
    <r>
      <rPr>
        <sz val="11"/>
        <color indexed="8"/>
        <rFont val="Arial"/>
        <charset val="134"/>
      </rPr>
      <t xml:space="preserve">: Hệ số giảm khả năng chịu lực do ảnh hưởng của uốn dọc, phụ thuộc vào độ mảnh của cọc </t>
    </r>
    <r>
      <rPr>
        <sz val="11"/>
        <color indexed="8"/>
        <rFont val="Symbol"/>
        <charset val="2"/>
      </rPr>
      <t>l</t>
    </r>
  </si>
  <si>
    <r>
      <rPr>
        <sz val="11"/>
        <color rgb="FF000000"/>
        <rFont val="Symbol"/>
        <charset val="2"/>
      </rPr>
      <t>·</t>
    </r>
    <r>
      <rPr>
        <sz val="7"/>
        <color indexed="8"/>
        <rFont val="Times New Roman"/>
        <charset val="134"/>
      </rPr>
      <t xml:space="preserve">  </t>
    </r>
    <r>
      <rPr>
        <sz val="11"/>
        <color indexed="8"/>
        <rFont val="Arial"/>
        <charset val="134"/>
      </rPr>
      <t xml:space="preserve">Nếu </t>
    </r>
    <r>
      <rPr>
        <sz val="12"/>
        <rFont val="Symbol"/>
        <charset val="2"/>
      </rPr>
      <t>l</t>
    </r>
    <r>
      <rPr>
        <sz val="11"/>
        <color indexed="8"/>
        <rFont val="Arial"/>
        <charset val="134"/>
      </rPr>
      <t xml:space="preserve"> </t>
    </r>
    <r>
      <rPr>
        <sz val="12"/>
        <rFont val="Symbol"/>
        <charset val="2"/>
      </rPr>
      <t>£</t>
    </r>
    <r>
      <rPr>
        <sz val="11"/>
        <color indexed="8"/>
        <rFont val="Arial"/>
        <charset val="134"/>
      </rPr>
      <t xml:space="preserve"> 28, </t>
    </r>
    <r>
      <rPr>
        <sz val="12"/>
        <rFont val="Symbol"/>
        <charset val="2"/>
      </rPr>
      <t>j</t>
    </r>
    <r>
      <rPr>
        <sz val="11"/>
        <color indexed="8"/>
        <rFont val="Arial"/>
        <charset val="134"/>
      </rPr>
      <t xml:space="preserve"> = 1</t>
    </r>
  </si>
  <si>
    <r>
      <rPr>
        <sz val="11"/>
        <color rgb="FF000000"/>
        <rFont val="Symbol"/>
        <charset val="2"/>
      </rPr>
      <t>·</t>
    </r>
    <r>
      <rPr>
        <sz val="7"/>
        <color indexed="8"/>
        <rFont val="Times New Roman"/>
        <charset val="134"/>
      </rPr>
      <t xml:space="preserve">  </t>
    </r>
    <r>
      <rPr>
        <sz val="11"/>
        <color indexed="8"/>
        <rFont val="Arial"/>
        <charset val="134"/>
      </rPr>
      <t xml:space="preserve">Nếu 28 </t>
    </r>
    <r>
      <rPr>
        <sz val="12"/>
        <rFont val="Symbol"/>
        <charset val="2"/>
      </rPr>
      <t>&lt;</t>
    </r>
    <r>
      <rPr>
        <sz val="11"/>
        <color indexed="8"/>
        <rFont val="Arial"/>
        <charset val="134"/>
      </rPr>
      <t xml:space="preserve"> </t>
    </r>
    <r>
      <rPr>
        <sz val="12"/>
        <rFont val="Symbol"/>
        <charset val="2"/>
      </rPr>
      <t>l</t>
    </r>
    <r>
      <rPr>
        <sz val="11"/>
        <color indexed="8"/>
        <rFont val="Arial"/>
        <charset val="134"/>
      </rPr>
      <t xml:space="preserve"> </t>
    </r>
    <r>
      <rPr>
        <sz val="12"/>
        <rFont val="Symbol"/>
        <charset val="2"/>
      </rPr>
      <t>£</t>
    </r>
    <r>
      <rPr>
        <sz val="11"/>
        <color indexed="8"/>
        <rFont val="Arial"/>
        <charset val="134"/>
      </rPr>
      <t xml:space="preserve"> 120, </t>
    </r>
    <r>
      <rPr>
        <sz val="12"/>
        <rFont val="Symbol"/>
        <charset val="2"/>
      </rPr>
      <t>j</t>
    </r>
    <r>
      <rPr>
        <sz val="11"/>
        <color indexed="8"/>
        <rFont val="Arial"/>
        <charset val="134"/>
      </rPr>
      <t xml:space="preserve"> = 1,028 – 0,0000288</t>
    </r>
    <r>
      <rPr>
        <sz val="12"/>
        <rFont val="Symbol"/>
        <charset val="2"/>
      </rPr>
      <t>l</t>
    </r>
    <r>
      <rPr>
        <vertAlign val="superscript"/>
        <sz val="11"/>
        <color indexed="8"/>
        <rFont val="Arial"/>
        <charset val="134"/>
      </rPr>
      <t>2</t>
    </r>
    <r>
      <rPr>
        <sz val="11"/>
        <color indexed="8"/>
        <rFont val="Arial"/>
        <charset val="134"/>
      </rPr>
      <t xml:space="preserve"> – 0,0016</t>
    </r>
    <r>
      <rPr>
        <sz val="12"/>
        <rFont val="Symbol"/>
        <charset val="2"/>
      </rPr>
      <t>l</t>
    </r>
  </si>
  <si>
    <r>
      <rPr>
        <i/>
        <sz val="12"/>
        <rFont val="Symbol"/>
        <charset val="2"/>
      </rPr>
      <t>l</t>
    </r>
    <r>
      <rPr>
        <i/>
        <sz val="12"/>
        <rFont val="Arial"/>
        <charset val="134"/>
      </rPr>
      <t xml:space="preserve"> = </t>
    </r>
    <r>
      <rPr>
        <i/>
        <sz val="12"/>
        <rFont val="Times New Roman"/>
        <charset val="134"/>
      </rPr>
      <t>l</t>
    </r>
    <r>
      <rPr>
        <i/>
        <vertAlign val="subscript"/>
        <sz val="12"/>
        <rFont val="Arial"/>
        <charset val="134"/>
      </rPr>
      <t>1</t>
    </r>
    <r>
      <rPr>
        <i/>
        <sz val="12"/>
        <rFont val="Arial"/>
        <charset val="134"/>
      </rPr>
      <t xml:space="preserve">/r = </t>
    </r>
    <r>
      <rPr>
        <i/>
        <sz val="12"/>
        <rFont val="Times New Roman"/>
        <charset val="134"/>
      </rPr>
      <t>l</t>
    </r>
    <r>
      <rPr>
        <i/>
        <vertAlign val="subscript"/>
        <sz val="12"/>
        <rFont val="Arial"/>
        <charset val="134"/>
      </rPr>
      <t>1</t>
    </r>
    <r>
      <rPr>
        <i/>
        <sz val="12"/>
        <rFont val="Arial"/>
        <charset val="134"/>
      </rPr>
      <t>/</t>
    </r>
    <r>
      <rPr>
        <i/>
        <sz val="12"/>
        <rFont val="Symbol"/>
        <charset val="2"/>
      </rPr>
      <t>Ö</t>
    </r>
    <r>
      <rPr>
        <i/>
        <sz val="12"/>
        <rFont val="Arial"/>
        <charset val="134"/>
      </rPr>
      <t>(I/A</t>
    </r>
    <r>
      <rPr>
        <i/>
        <vertAlign val="subscript"/>
        <sz val="12"/>
        <rFont val="Arial"/>
        <charset val="134"/>
      </rPr>
      <t>b</t>
    </r>
    <r>
      <rPr>
        <i/>
        <sz val="12"/>
        <rFont val="Arial"/>
        <charset val="134"/>
      </rPr>
      <t>)</t>
    </r>
  </si>
  <si>
    <t>- r: Bán kính quán tính tiết diện cọc</t>
  </si>
  <si>
    <t>- I: Moment quán tính tiết diện cọc</t>
  </si>
  <si>
    <r>
      <rPr>
        <sz val="11"/>
        <rFont val="Arial"/>
        <charset val="134"/>
      </rPr>
      <t xml:space="preserve">- </t>
    </r>
    <r>
      <rPr>
        <i/>
        <sz val="11"/>
        <rFont val="Times New Roman"/>
        <charset val="134"/>
      </rPr>
      <t>l</t>
    </r>
    <r>
      <rPr>
        <i/>
        <vertAlign val="subscript"/>
        <sz val="11"/>
        <rFont val="Arial"/>
        <charset val="134"/>
      </rPr>
      <t>1</t>
    </r>
    <r>
      <rPr>
        <sz val="11"/>
        <rFont val="Arial"/>
        <charset val="134"/>
      </rPr>
      <t xml:space="preserve">: Chiều dài tính toán của cọc tính từ đáy đài đến tiết diện có thể coi cọc ngàm cứng vào đất </t>
    </r>
  </si>
  <si>
    <r>
      <rPr>
        <i/>
        <sz val="11"/>
        <rFont val="Times New Roman"/>
        <charset val="134"/>
      </rPr>
      <t>l</t>
    </r>
    <r>
      <rPr>
        <i/>
        <vertAlign val="subscript"/>
        <sz val="11"/>
        <rFont val="Times New Roman"/>
        <charset val="134"/>
      </rPr>
      <t>1</t>
    </r>
    <r>
      <rPr>
        <i/>
        <sz val="11"/>
        <rFont val="Times New Roman"/>
        <charset val="134"/>
      </rPr>
      <t xml:space="preserve"> = l</t>
    </r>
    <r>
      <rPr>
        <i/>
        <vertAlign val="subscript"/>
        <sz val="11"/>
        <rFont val="Times New Roman"/>
        <charset val="134"/>
      </rPr>
      <t>0</t>
    </r>
    <r>
      <rPr>
        <i/>
        <sz val="11"/>
        <rFont val="Arial"/>
        <charset val="134"/>
      </rPr>
      <t xml:space="preserve"> + 2/</t>
    </r>
    <r>
      <rPr>
        <i/>
        <sz val="11"/>
        <rFont val="Symbol"/>
        <charset val="2"/>
      </rPr>
      <t>a</t>
    </r>
    <r>
      <rPr>
        <i/>
        <vertAlign val="subscript"/>
        <sz val="11"/>
        <rFont val="Symbol"/>
        <charset val="2"/>
      </rPr>
      <t>e</t>
    </r>
  </si>
  <si>
    <r>
      <rPr>
        <sz val="11"/>
        <rFont val="Arial"/>
        <charset val="134"/>
      </rPr>
      <t xml:space="preserve">- </t>
    </r>
    <r>
      <rPr>
        <i/>
        <sz val="11"/>
        <rFont val="Times New Roman"/>
        <charset val="134"/>
      </rPr>
      <t>l</t>
    </r>
    <r>
      <rPr>
        <i/>
        <vertAlign val="subscript"/>
        <sz val="11"/>
        <rFont val="Times New Roman"/>
        <charset val="134"/>
      </rPr>
      <t>0</t>
    </r>
    <r>
      <rPr>
        <sz val="11"/>
        <rFont val="Arial"/>
        <charset val="134"/>
      </rPr>
      <t xml:space="preserve">: Chiều dài đoạn cọc kể từ đáy đài đến cao độ san nền ( với loại đài thấp </t>
    </r>
    <r>
      <rPr>
        <vertAlign val="subscript"/>
        <sz val="11"/>
        <rFont val="Times New Roman"/>
        <charset val="134"/>
      </rPr>
      <t>l0</t>
    </r>
    <r>
      <rPr>
        <sz val="11"/>
        <rFont val="Arial"/>
        <charset val="134"/>
      </rPr>
      <t xml:space="preserve"> = 0 )</t>
    </r>
  </si>
  <si>
    <r>
      <rPr>
        <sz val="11"/>
        <rFont val="Symbol"/>
        <charset val="2"/>
      </rPr>
      <t>a</t>
    </r>
    <r>
      <rPr>
        <vertAlign val="subscript"/>
        <sz val="11"/>
        <rFont val="Symbol"/>
        <charset val="2"/>
      </rPr>
      <t>e</t>
    </r>
    <r>
      <rPr>
        <sz val="11"/>
        <rFont val="Arial"/>
        <charset val="134"/>
      </rPr>
      <t xml:space="preserve"> = </t>
    </r>
    <r>
      <rPr>
        <vertAlign val="superscript"/>
        <sz val="11"/>
        <rFont val="Arial"/>
        <charset val="134"/>
      </rPr>
      <t>5</t>
    </r>
    <r>
      <rPr>
        <sz val="11"/>
        <rFont val="Symbol"/>
        <charset val="2"/>
      </rPr>
      <t>Ö</t>
    </r>
    <r>
      <rPr>
        <sz val="11"/>
        <rFont val="Arial"/>
        <charset val="134"/>
      </rPr>
      <t>(k.b</t>
    </r>
    <r>
      <rPr>
        <vertAlign val="subscript"/>
        <sz val="11"/>
        <rFont val="Arial"/>
        <charset val="134"/>
      </rPr>
      <t>p</t>
    </r>
    <r>
      <rPr>
        <sz val="11"/>
        <rFont val="Arial"/>
        <charset val="134"/>
      </rPr>
      <t>/(</t>
    </r>
    <r>
      <rPr>
        <sz val="11"/>
        <rFont val="Symbol"/>
        <charset val="2"/>
      </rPr>
      <t>g</t>
    </r>
    <r>
      <rPr>
        <vertAlign val="subscript"/>
        <sz val="11"/>
        <rFont val="Arial"/>
        <charset val="134"/>
      </rPr>
      <t>c</t>
    </r>
    <r>
      <rPr>
        <sz val="11"/>
        <rFont val="Arial"/>
        <charset val="134"/>
      </rPr>
      <t>.E.I))</t>
    </r>
  </si>
  <si>
    <r>
      <rPr>
        <sz val="11"/>
        <rFont val="Arial"/>
        <charset val="134"/>
      </rPr>
      <t>- b</t>
    </r>
    <r>
      <rPr>
        <vertAlign val="subscript"/>
        <sz val="11"/>
        <rFont val="Arial"/>
        <charset val="134"/>
      </rPr>
      <t>p</t>
    </r>
    <r>
      <rPr>
        <sz val="11"/>
        <rFont val="Arial"/>
        <charset val="134"/>
      </rPr>
      <t>: Chiêu rộng quy ước của cọc:</t>
    </r>
  </si>
  <si>
    <r>
      <rPr>
        <sz val="11"/>
        <rFont val="Arial"/>
        <charset val="134"/>
      </rPr>
      <t>Với cọc có đường kính &gt; 800, b</t>
    </r>
    <r>
      <rPr>
        <vertAlign val="subscript"/>
        <sz val="11"/>
        <rFont val="Arial"/>
        <charset val="134"/>
      </rPr>
      <t>p</t>
    </r>
    <r>
      <rPr>
        <sz val="11"/>
        <rFont val="Arial"/>
        <charset val="134"/>
      </rPr>
      <t xml:space="preserve"> = d+1</t>
    </r>
  </si>
  <si>
    <r>
      <rPr>
        <sz val="11"/>
        <rFont val="Arial"/>
        <charset val="134"/>
      </rPr>
      <t>Với cọc có đường kính &lt;=800, b</t>
    </r>
    <r>
      <rPr>
        <vertAlign val="subscript"/>
        <sz val="11"/>
        <rFont val="Arial"/>
        <charset val="134"/>
      </rPr>
      <t>p</t>
    </r>
    <r>
      <rPr>
        <sz val="11"/>
        <rFont val="Arial"/>
        <charset val="134"/>
      </rPr>
      <t xml:space="preserve"> = 1.5d+0.5</t>
    </r>
  </si>
  <si>
    <t>d: Đường kính cọc</t>
  </si>
  <si>
    <t>- k: Hệ số tỷ lệ phụ thuộc vào loại đất bao quanh cọc, xác đinh theo bảng A.1 TCVN 10304</t>
  </si>
  <si>
    <r>
      <rPr>
        <sz val="11"/>
        <rFont val="Arial"/>
        <charset val="134"/>
      </rPr>
      <t xml:space="preserve">- </t>
    </r>
    <r>
      <rPr>
        <sz val="11"/>
        <rFont val="Symbol"/>
        <charset val="2"/>
      </rPr>
      <t>g</t>
    </r>
    <r>
      <rPr>
        <vertAlign val="subscript"/>
        <sz val="11"/>
        <rFont val="Arial"/>
        <charset val="134"/>
      </rPr>
      <t>c</t>
    </r>
    <r>
      <rPr>
        <sz val="11"/>
        <rFont val="Arial"/>
        <charset val="134"/>
      </rPr>
      <t xml:space="preserve"> = 3: Hệ số điều kiện làm việc đối với cọc độc lập</t>
    </r>
  </si>
  <si>
    <t>- E: Module đàn hồi của vật liệu cọc</t>
  </si>
  <si>
    <t>B. Sức chịu tải tính toán của cọc theo đất nền</t>
  </si>
  <si>
    <t>B.1. Sức chịu tải của cọc tính theo công thức của Viện kiến trúc Nhật Bản:</t>
  </si>
  <si>
    <r>
      <rPr>
        <b/>
        <i/>
        <sz val="11"/>
        <rFont val="Arial"/>
        <charset val="134"/>
      </rPr>
      <t>R</t>
    </r>
    <r>
      <rPr>
        <b/>
        <i/>
        <vertAlign val="subscript"/>
        <sz val="11"/>
        <rFont val="Arial"/>
        <charset val="134"/>
      </rPr>
      <t xml:space="preserve">c,u1 </t>
    </r>
    <r>
      <rPr>
        <b/>
        <i/>
        <sz val="11"/>
        <rFont val="Arial"/>
        <charset val="134"/>
      </rPr>
      <t>= q</t>
    </r>
    <r>
      <rPr>
        <b/>
        <i/>
        <vertAlign val="subscript"/>
        <sz val="11"/>
        <rFont val="Arial"/>
        <charset val="134"/>
      </rPr>
      <t>b</t>
    </r>
    <r>
      <rPr>
        <b/>
        <i/>
        <sz val="11"/>
        <rFont val="Arial"/>
        <charset val="134"/>
      </rPr>
      <t>.A</t>
    </r>
    <r>
      <rPr>
        <b/>
        <i/>
        <vertAlign val="subscript"/>
        <sz val="11"/>
        <rFont val="Arial"/>
        <charset val="134"/>
      </rPr>
      <t>b</t>
    </r>
    <r>
      <rPr>
        <b/>
        <i/>
        <sz val="11"/>
        <rFont val="Arial"/>
        <charset val="134"/>
      </rPr>
      <t>+u.</t>
    </r>
    <r>
      <rPr>
        <b/>
        <i/>
        <sz val="11"/>
        <rFont val="Symbol"/>
        <charset val="2"/>
      </rPr>
      <t>S</t>
    </r>
    <r>
      <rPr>
        <b/>
        <i/>
        <sz val="11"/>
        <rFont val="Arial"/>
        <charset val="134"/>
      </rPr>
      <t>(f</t>
    </r>
    <r>
      <rPr>
        <b/>
        <i/>
        <vertAlign val="subscript"/>
        <sz val="11"/>
        <rFont val="Arial"/>
        <charset val="134"/>
      </rPr>
      <t>c,i</t>
    </r>
    <r>
      <rPr>
        <b/>
        <i/>
        <sz val="11"/>
        <rFont val="Arial"/>
        <charset val="134"/>
      </rPr>
      <t>.l</t>
    </r>
    <r>
      <rPr>
        <b/>
        <i/>
        <vertAlign val="subscript"/>
        <sz val="11"/>
        <rFont val="Arial"/>
        <charset val="134"/>
      </rPr>
      <t xml:space="preserve">c,i </t>
    </r>
    <r>
      <rPr>
        <b/>
        <i/>
        <sz val="11"/>
        <rFont val="Arial"/>
        <charset val="134"/>
      </rPr>
      <t>+ f</t>
    </r>
    <r>
      <rPr>
        <b/>
        <i/>
        <vertAlign val="subscript"/>
        <sz val="11"/>
        <rFont val="Arial"/>
        <charset val="134"/>
      </rPr>
      <t>s,i</t>
    </r>
    <r>
      <rPr>
        <b/>
        <i/>
        <sz val="11"/>
        <rFont val="Arial"/>
        <charset val="134"/>
      </rPr>
      <t>.l</t>
    </r>
    <r>
      <rPr>
        <b/>
        <i/>
        <vertAlign val="subscript"/>
        <sz val="11"/>
        <rFont val="Arial"/>
        <charset val="134"/>
      </rPr>
      <t>s,i</t>
    </r>
    <r>
      <rPr>
        <b/>
        <i/>
        <sz val="11"/>
        <rFont val="Arial"/>
        <charset val="134"/>
      </rPr>
      <t>)</t>
    </r>
  </si>
  <si>
    <r>
      <rPr>
        <sz val="11"/>
        <rFont val="Arial"/>
        <charset val="134"/>
      </rPr>
      <t>- q</t>
    </r>
    <r>
      <rPr>
        <vertAlign val="subscript"/>
        <sz val="11"/>
        <rFont val="Arial"/>
        <charset val="134"/>
      </rPr>
      <t>b</t>
    </r>
    <r>
      <rPr>
        <sz val="11"/>
        <rFont val="Arial"/>
        <charset val="134"/>
      </rPr>
      <t>: Cường độ sức kháng của đất dưới mũi cọc, phụ thuộc vào loại đất dưới mũi cọc</t>
    </r>
  </si>
  <si>
    <r>
      <rPr>
        <sz val="11"/>
        <rFont val="Arial"/>
        <charset val="134"/>
      </rPr>
      <t xml:space="preserve">     q</t>
    </r>
    <r>
      <rPr>
        <vertAlign val="subscript"/>
        <sz val="11"/>
        <rFont val="Arial"/>
        <charset val="134"/>
      </rPr>
      <t>b</t>
    </r>
    <r>
      <rPr>
        <sz val="11"/>
        <rFont val="Arial"/>
        <charset val="134"/>
      </rPr>
      <t xml:space="preserve"> = 150.N</t>
    </r>
    <r>
      <rPr>
        <vertAlign val="subscript"/>
        <sz val="11"/>
        <rFont val="Arial"/>
        <charset val="134"/>
      </rPr>
      <t>p</t>
    </r>
    <r>
      <rPr>
        <sz val="11"/>
        <rFont val="Arial"/>
        <charset val="134"/>
      </rPr>
      <t>, khi mũi cọc nằm trong lớp đất rời</t>
    </r>
  </si>
  <si>
    <r>
      <rPr>
        <sz val="11"/>
        <rFont val="Arial"/>
        <charset val="134"/>
      </rPr>
      <t xml:space="preserve">     q</t>
    </r>
    <r>
      <rPr>
        <vertAlign val="subscript"/>
        <sz val="11"/>
        <rFont val="Arial"/>
        <charset val="134"/>
      </rPr>
      <t>b</t>
    </r>
    <r>
      <rPr>
        <sz val="11"/>
        <rFont val="Arial"/>
        <charset val="134"/>
      </rPr>
      <t xml:space="preserve"> = 6.c</t>
    </r>
    <r>
      <rPr>
        <vertAlign val="subscript"/>
        <sz val="11"/>
        <rFont val="Arial"/>
        <charset val="134"/>
      </rPr>
      <t>u</t>
    </r>
    <r>
      <rPr>
        <sz val="11"/>
        <rFont val="Arial"/>
        <charset val="134"/>
      </rPr>
      <t>, khi mũi cọc nằm trong lớp đất dính</t>
    </r>
  </si>
  <si>
    <r>
      <rPr>
        <sz val="11"/>
        <rFont val="Arial"/>
        <charset val="134"/>
      </rPr>
      <t>- N</t>
    </r>
    <r>
      <rPr>
        <vertAlign val="subscript"/>
        <sz val="11"/>
        <rFont val="Arial"/>
        <charset val="134"/>
      </rPr>
      <t>p</t>
    </r>
    <r>
      <rPr>
        <sz val="11"/>
        <rFont val="Arial"/>
        <charset val="134"/>
      </rPr>
      <t>: Chỉ số SPT trung bình trong khoảng 1D dưới mũi cọc và 4D trên mũi cọc</t>
    </r>
  </si>
  <si>
    <r>
      <rPr>
        <sz val="11"/>
        <rFont val="Arial"/>
        <charset val="134"/>
      </rPr>
      <t>- f</t>
    </r>
    <r>
      <rPr>
        <vertAlign val="subscript"/>
        <sz val="11"/>
        <rFont val="Arial"/>
        <charset val="134"/>
      </rPr>
      <t>s,i</t>
    </r>
    <r>
      <rPr>
        <sz val="11"/>
        <rFont val="Arial"/>
        <charset val="134"/>
      </rPr>
      <t xml:space="preserve">: Cường độ sức kháng trung bình trên đoạn cọc nằm trong lớp đất rời thứ “i”  </t>
    </r>
  </si>
  <si>
    <r>
      <rPr>
        <sz val="11"/>
        <rFont val="Arial"/>
        <charset val="134"/>
      </rPr>
      <t>f</t>
    </r>
    <r>
      <rPr>
        <vertAlign val="subscript"/>
        <sz val="11"/>
        <rFont val="Arial"/>
        <charset val="134"/>
      </rPr>
      <t>s,i</t>
    </r>
    <r>
      <rPr>
        <sz val="11"/>
        <rFont val="Arial"/>
        <charset val="134"/>
      </rPr>
      <t xml:space="preserve">  = 10.N</t>
    </r>
    <r>
      <rPr>
        <vertAlign val="subscript"/>
        <sz val="11"/>
        <rFont val="Arial"/>
        <charset val="134"/>
      </rPr>
      <t xml:space="preserve">s,i </t>
    </r>
    <r>
      <rPr>
        <sz val="11"/>
        <rFont val="Arial"/>
        <charset val="134"/>
      </rPr>
      <t xml:space="preserve">/3   </t>
    </r>
  </si>
  <si>
    <r>
      <rPr>
        <sz val="11"/>
        <rFont val="Arial"/>
        <charset val="134"/>
      </rPr>
      <t>- f</t>
    </r>
    <r>
      <rPr>
        <vertAlign val="subscript"/>
        <sz val="11"/>
        <rFont val="Arial"/>
        <charset val="134"/>
      </rPr>
      <t>c,i</t>
    </r>
    <r>
      <rPr>
        <sz val="11"/>
        <rFont val="Arial"/>
        <charset val="134"/>
      </rPr>
      <t>: Cường độ sức kháng trên đoạn cọc nằm trong lớp đất dính thứ ‘i”</t>
    </r>
  </si>
  <si>
    <r>
      <rPr>
        <sz val="11"/>
        <rFont val="Arial"/>
        <charset val="134"/>
      </rPr>
      <t>f</t>
    </r>
    <r>
      <rPr>
        <vertAlign val="subscript"/>
        <sz val="11"/>
        <rFont val="Arial"/>
        <charset val="134"/>
      </rPr>
      <t>c,i</t>
    </r>
    <r>
      <rPr>
        <sz val="11"/>
        <rFont val="Arial"/>
        <charset val="134"/>
      </rPr>
      <t xml:space="preserve">  = </t>
    </r>
    <r>
      <rPr>
        <sz val="11"/>
        <rFont val="Symbol"/>
        <charset val="2"/>
      </rPr>
      <t>a</t>
    </r>
    <r>
      <rPr>
        <vertAlign val="subscript"/>
        <sz val="11"/>
        <rFont val="Arial"/>
        <charset val="134"/>
      </rPr>
      <t>p</t>
    </r>
    <r>
      <rPr>
        <sz val="11"/>
        <rFont val="Arial"/>
        <charset val="134"/>
      </rPr>
      <t>.f</t>
    </r>
    <r>
      <rPr>
        <vertAlign val="subscript"/>
        <sz val="11"/>
        <rFont val="Arial"/>
        <charset val="134"/>
      </rPr>
      <t>L</t>
    </r>
    <r>
      <rPr>
        <sz val="11"/>
        <rFont val="Arial"/>
        <charset val="134"/>
      </rPr>
      <t>.c</t>
    </r>
    <r>
      <rPr>
        <vertAlign val="subscript"/>
        <sz val="11"/>
        <rFont val="Arial"/>
        <charset val="134"/>
      </rPr>
      <t>u,i</t>
    </r>
  </si>
  <si>
    <r>
      <rPr>
        <sz val="11"/>
        <rFont val="Arial"/>
        <charset val="134"/>
      </rPr>
      <t xml:space="preserve">- </t>
    </r>
    <r>
      <rPr>
        <sz val="11"/>
        <rFont val="Symbol"/>
        <charset val="2"/>
      </rPr>
      <t>a</t>
    </r>
    <r>
      <rPr>
        <vertAlign val="subscript"/>
        <sz val="11"/>
        <rFont val="Arial"/>
        <charset val="134"/>
      </rPr>
      <t>p</t>
    </r>
    <r>
      <rPr>
        <sz val="11"/>
        <rFont val="Arial"/>
        <charset val="134"/>
      </rPr>
      <t>: Hệ số xác định theo hình biểu đồ G.2a TCVN 10304:2014</t>
    </r>
  </si>
  <si>
    <r>
      <rPr>
        <sz val="11"/>
        <rFont val="Arial"/>
        <charset val="134"/>
      </rPr>
      <t>- c</t>
    </r>
    <r>
      <rPr>
        <vertAlign val="subscript"/>
        <sz val="11"/>
        <rFont val="Arial"/>
        <charset val="134"/>
      </rPr>
      <t>u,i</t>
    </r>
    <r>
      <rPr>
        <sz val="11"/>
        <rFont val="Arial"/>
        <charset val="134"/>
      </rPr>
      <t>: Cường độ sức kháng cắt không thoát nước của lớp đất dính thứ “i” (c</t>
    </r>
    <r>
      <rPr>
        <vertAlign val="subscript"/>
        <sz val="11"/>
        <rFont val="Arial"/>
        <charset val="134"/>
      </rPr>
      <t>u,i</t>
    </r>
    <r>
      <rPr>
        <sz val="11"/>
        <rFont val="Arial"/>
        <charset val="134"/>
      </rPr>
      <t xml:space="preserve"> =6,25.N</t>
    </r>
    <r>
      <rPr>
        <vertAlign val="subscript"/>
        <sz val="11"/>
        <rFont val="Arial"/>
        <charset val="134"/>
      </rPr>
      <t>c,i</t>
    </r>
    <r>
      <rPr>
        <sz val="11"/>
        <rFont val="Arial"/>
        <charset val="134"/>
      </rPr>
      <t xml:space="preserve">, tính bằng kPa) </t>
    </r>
  </si>
  <si>
    <r>
      <rPr>
        <sz val="11"/>
        <rFont val="Arial"/>
        <charset val="134"/>
      </rPr>
      <t>- N</t>
    </r>
    <r>
      <rPr>
        <vertAlign val="subscript"/>
        <sz val="11"/>
        <rFont val="Arial"/>
        <charset val="134"/>
      </rPr>
      <t>s,i</t>
    </r>
    <r>
      <rPr>
        <sz val="11"/>
        <rFont val="Arial"/>
        <charset val="134"/>
      </rPr>
      <t>: Chỉ số SPT trung bình trong lớp đất rời thứ “i”</t>
    </r>
  </si>
  <si>
    <r>
      <rPr>
        <sz val="11"/>
        <rFont val="Arial"/>
        <charset val="134"/>
      </rPr>
      <t>- l</t>
    </r>
    <r>
      <rPr>
        <vertAlign val="subscript"/>
        <sz val="11"/>
        <rFont val="Arial"/>
        <charset val="134"/>
      </rPr>
      <t>s,i</t>
    </r>
    <r>
      <rPr>
        <sz val="11"/>
        <rFont val="Arial"/>
        <charset val="134"/>
      </rPr>
      <t>: Chiều dài đoạn cọc nằm trong lớp đất rời thứ “i”</t>
    </r>
  </si>
  <si>
    <r>
      <rPr>
        <sz val="11"/>
        <rFont val="Arial"/>
        <charset val="134"/>
      </rPr>
      <t>- l</t>
    </r>
    <r>
      <rPr>
        <vertAlign val="subscript"/>
        <sz val="11"/>
        <rFont val="Arial"/>
        <charset val="134"/>
      </rPr>
      <t>c,i</t>
    </r>
    <r>
      <rPr>
        <sz val="11"/>
        <rFont val="Arial"/>
        <charset val="134"/>
      </rPr>
      <t>: Chiều dài đoạn cọc nằm trong lớp đất dính thứ “i”</t>
    </r>
  </si>
  <si>
    <r>
      <rPr>
        <sz val="11"/>
        <rFont val="Arial"/>
        <charset val="134"/>
      </rPr>
      <t>- A</t>
    </r>
    <r>
      <rPr>
        <vertAlign val="subscript"/>
        <sz val="11"/>
        <rFont val="Arial"/>
        <charset val="134"/>
      </rPr>
      <t>b</t>
    </r>
    <r>
      <rPr>
        <sz val="11"/>
        <rFont val="Arial"/>
        <charset val="134"/>
      </rPr>
      <t>: Diện tích tiết diện cọc</t>
    </r>
  </si>
  <si>
    <t>- u: Chu vi tiết diện ngang cọc</t>
  </si>
  <si>
    <t>B.2. Sức chịu tải của cọc tính theo công thức của Meyerhof:</t>
  </si>
  <si>
    <r>
      <rPr>
        <b/>
        <i/>
        <sz val="11"/>
        <rFont val="Arial"/>
        <charset val="134"/>
      </rPr>
      <t>R</t>
    </r>
    <r>
      <rPr>
        <b/>
        <i/>
        <vertAlign val="subscript"/>
        <sz val="11"/>
        <rFont val="Arial"/>
        <charset val="134"/>
      </rPr>
      <t xml:space="preserve">c,u2 </t>
    </r>
    <r>
      <rPr>
        <b/>
        <i/>
        <sz val="11"/>
        <rFont val="Arial"/>
        <charset val="134"/>
      </rPr>
      <t>= q</t>
    </r>
    <r>
      <rPr>
        <b/>
        <i/>
        <vertAlign val="subscript"/>
        <sz val="11"/>
        <rFont val="Arial"/>
        <charset val="134"/>
      </rPr>
      <t>b</t>
    </r>
    <r>
      <rPr>
        <b/>
        <i/>
        <sz val="11"/>
        <rFont val="Arial"/>
        <charset val="134"/>
      </rPr>
      <t>.A</t>
    </r>
    <r>
      <rPr>
        <b/>
        <i/>
        <vertAlign val="subscript"/>
        <sz val="11"/>
        <rFont val="Arial"/>
        <charset val="134"/>
      </rPr>
      <t>b</t>
    </r>
    <r>
      <rPr>
        <b/>
        <i/>
        <sz val="11"/>
        <rFont val="Arial"/>
        <charset val="134"/>
      </rPr>
      <t>+u.</t>
    </r>
    <r>
      <rPr>
        <b/>
        <i/>
        <sz val="11"/>
        <rFont val="Symbol"/>
        <charset val="2"/>
      </rPr>
      <t>S</t>
    </r>
    <r>
      <rPr>
        <b/>
        <i/>
        <sz val="11"/>
        <rFont val="Arial"/>
        <charset val="134"/>
      </rPr>
      <t>(f</t>
    </r>
    <r>
      <rPr>
        <b/>
        <i/>
        <vertAlign val="subscript"/>
        <sz val="11"/>
        <rFont val="Arial"/>
        <charset val="134"/>
      </rPr>
      <t>c,i</t>
    </r>
    <r>
      <rPr>
        <b/>
        <i/>
        <sz val="11"/>
        <rFont val="Arial"/>
        <charset val="134"/>
      </rPr>
      <t>.l</t>
    </r>
    <r>
      <rPr>
        <b/>
        <i/>
        <vertAlign val="subscript"/>
        <sz val="11"/>
        <rFont val="Arial"/>
        <charset val="134"/>
      </rPr>
      <t xml:space="preserve">c,i </t>
    </r>
    <r>
      <rPr>
        <b/>
        <i/>
        <sz val="11"/>
        <rFont val="Arial"/>
        <charset val="134"/>
      </rPr>
      <t>+ f</t>
    </r>
    <r>
      <rPr>
        <b/>
        <i/>
        <vertAlign val="subscript"/>
        <sz val="11"/>
        <rFont val="Arial"/>
        <charset val="134"/>
      </rPr>
      <t>s,i</t>
    </r>
    <r>
      <rPr>
        <b/>
        <i/>
        <sz val="11"/>
        <rFont val="Arial"/>
        <charset val="134"/>
      </rPr>
      <t>.l</t>
    </r>
    <r>
      <rPr>
        <b/>
        <i/>
        <vertAlign val="subscript"/>
        <sz val="11"/>
        <rFont val="Arial"/>
        <charset val="134"/>
      </rPr>
      <t>s,i</t>
    </r>
    <r>
      <rPr>
        <b/>
        <i/>
        <sz val="11"/>
        <rFont val="Arial"/>
        <charset val="134"/>
      </rPr>
      <t>)</t>
    </r>
  </si>
  <si>
    <t>Trong đó :</t>
  </si>
  <si>
    <r>
      <rPr>
        <sz val="11"/>
        <rFont val="Arial"/>
        <charset val="134"/>
      </rPr>
      <t>- q</t>
    </r>
    <r>
      <rPr>
        <vertAlign val="subscript"/>
        <sz val="11"/>
        <rFont val="Arial"/>
        <charset val="134"/>
      </rPr>
      <t>b</t>
    </r>
    <r>
      <rPr>
        <sz val="11"/>
        <rFont val="Arial"/>
        <charset val="134"/>
      </rPr>
      <t>: Cường độ sức kháng của đất dưới mũi cọc</t>
    </r>
  </si>
  <si>
    <r>
      <rPr>
        <sz val="11"/>
        <rFont val="Arial"/>
        <charset val="134"/>
      </rPr>
      <t>q</t>
    </r>
    <r>
      <rPr>
        <vertAlign val="subscript"/>
        <sz val="11"/>
        <rFont val="Arial"/>
        <charset val="134"/>
      </rPr>
      <t>b</t>
    </r>
    <r>
      <rPr>
        <sz val="11"/>
        <rFont val="Arial"/>
        <charset val="134"/>
      </rPr>
      <t xml:space="preserve"> = k</t>
    </r>
    <r>
      <rPr>
        <vertAlign val="subscript"/>
        <sz val="11"/>
        <rFont val="Arial"/>
        <charset val="134"/>
      </rPr>
      <t>1</t>
    </r>
    <r>
      <rPr>
        <sz val="11"/>
        <rFont val="Arial"/>
        <charset val="134"/>
      </rPr>
      <t>.N</t>
    </r>
    <r>
      <rPr>
        <vertAlign val="subscript"/>
        <sz val="11"/>
        <rFont val="Arial"/>
        <charset val="134"/>
      </rPr>
      <t>p</t>
    </r>
  </si>
  <si>
    <r>
      <rPr>
        <sz val="11"/>
        <rFont val="Arial"/>
        <charset val="134"/>
      </rPr>
      <t>- k</t>
    </r>
    <r>
      <rPr>
        <vertAlign val="subscript"/>
        <sz val="11"/>
        <rFont val="Arial"/>
        <charset val="134"/>
      </rPr>
      <t>1</t>
    </r>
    <r>
      <rPr>
        <sz val="11"/>
        <rFont val="Arial"/>
        <charset val="134"/>
      </rPr>
      <t>: Hệ số lấy bằng 120 cho cọc khoan nhồi</t>
    </r>
  </si>
  <si>
    <r>
      <rPr>
        <sz val="11"/>
        <rFont val="Arial"/>
        <charset val="134"/>
      </rPr>
      <t>f</t>
    </r>
    <r>
      <rPr>
        <vertAlign val="subscript"/>
        <sz val="11"/>
        <rFont val="Arial"/>
        <charset val="134"/>
      </rPr>
      <t>s,i</t>
    </r>
    <r>
      <rPr>
        <sz val="11"/>
        <rFont val="Arial"/>
        <charset val="134"/>
      </rPr>
      <t xml:space="preserve">  = k</t>
    </r>
    <r>
      <rPr>
        <vertAlign val="subscript"/>
        <sz val="11"/>
        <rFont val="Arial"/>
        <charset val="134"/>
      </rPr>
      <t>2</t>
    </r>
    <r>
      <rPr>
        <sz val="11"/>
        <rFont val="Arial"/>
        <charset val="134"/>
      </rPr>
      <t>.N</t>
    </r>
    <r>
      <rPr>
        <vertAlign val="subscript"/>
        <sz val="11"/>
        <rFont val="Arial"/>
        <charset val="134"/>
      </rPr>
      <t xml:space="preserve">s,i </t>
    </r>
  </si>
  <si>
    <r>
      <rPr>
        <sz val="11"/>
        <rFont val="Arial"/>
        <charset val="134"/>
      </rPr>
      <t>- k</t>
    </r>
    <r>
      <rPr>
        <vertAlign val="subscript"/>
        <sz val="11"/>
        <rFont val="Arial"/>
        <charset val="134"/>
      </rPr>
      <t>2</t>
    </r>
    <r>
      <rPr>
        <sz val="11"/>
        <rFont val="Arial"/>
        <charset val="134"/>
      </rPr>
      <t>: Hệ số lấy bằng 1 cho cọc khoan nhồi</t>
    </r>
  </si>
  <si>
    <r>
      <rPr>
        <sz val="11"/>
        <rFont val="Arial"/>
        <charset val="134"/>
      </rPr>
      <t>f</t>
    </r>
    <r>
      <rPr>
        <vertAlign val="subscript"/>
        <sz val="11"/>
        <rFont val="Arial"/>
        <charset val="134"/>
      </rPr>
      <t>c,i</t>
    </r>
    <r>
      <rPr>
        <sz val="11"/>
        <rFont val="Arial"/>
        <charset val="134"/>
      </rPr>
      <t xml:space="preserve">  = </t>
    </r>
    <r>
      <rPr>
        <sz val="11"/>
        <rFont val="Symbol"/>
        <charset val="2"/>
      </rPr>
      <t>a</t>
    </r>
    <r>
      <rPr>
        <vertAlign val="subscript"/>
        <sz val="11"/>
        <rFont val="Arial"/>
        <charset val="134"/>
      </rPr>
      <t>p</t>
    </r>
    <r>
      <rPr>
        <sz val="11"/>
        <rFont val="Arial"/>
        <charset val="134"/>
      </rPr>
      <t>.c</t>
    </r>
    <r>
      <rPr>
        <vertAlign val="subscript"/>
        <sz val="11"/>
        <rFont val="Arial"/>
        <charset val="134"/>
      </rPr>
      <t>u,i</t>
    </r>
  </si>
  <si>
    <t>B.3. Sức chịu tải của cọc theo các chỉ tiêu cường độ của đất nền:</t>
  </si>
  <si>
    <r>
      <rPr>
        <b/>
        <i/>
        <sz val="11"/>
        <rFont val="Arial"/>
        <charset val="134"/>
      </rPr>
      <t>R</t>
    </r>
    <r>
      <rPr>
        <b/>
        <i/>
        <vertAlign val="subscript"/>
        <sz val="11"/>
        <rFont val="Arial"/>
        <charset val="134"/>
      </rPr>
      <t xml:space="preserve">c,u3 </t>
    </r>
    <r>
      <rPr>
        <b/>
        <i/>
        <sz val="11"/>
        <rFont val="Arial"/>
        <charset val="134"/>
      </rPr>
      <t>= q</t>
    </r>
    <r>
      <rPr>
        <b/>
        <i/>
        <vertAlign val="subscript"/>
        <sz val="11"/>
        <rFont val="Arial"/>
        <charset val="134"/>
      </rPr>
      <t>b</t>
    </r>
    <r>
      <rPr>
        <b/>
        <i/>
        <sz val="11"/>
        <rFont val="Arial"/>
        <charset val="134"/>
      </rPr>
      <t>.A</t>
    </r>
    <r>
      <rPr>
        <b/>
        <i/>
        <vertAlign val="subscript"/>
        <sz val="11"/>
        <rFont val="Arial"/>
        <charset val="134"/>
      </rPr>
      <t>b</t>
    </r>
    <r>
      <rPr>
        <b/>
        <i/>
        <sz val="11"/>
        <rFont val="Arial"/>
        <charset val="134"/>
      </rPr>
      <t>+u.</t>
    </r>
    <r>
      <rPr>
        <b/>
        <i/>
        <sz val="11"/>
        <rFont val="Symbol"/>
        <charset val="2"/>
      </rPr>
      <t>S</t>
    </r>
    <r>
      <rPr>
        <b/>
        <i/>
        <sz val="11"/>
        <rFont val="Arial"/>
        <charset val="134"/>
      </rPr>
      <t xml:space="preserve"> f</t>
    </r>
    <r>
      <rPr>
        <b/>
        <i/>
        <vertAlign val="subscript"/>
        <sz val="11"/>
        <rFont val="Arial"/>
        <charset val="134"/>
      </rPr>
      <t>i</t>
    </r>
    <r>
      <rPr>
        <b/>
        <i/>
        <sz val="11"/>
        <rFont val="Arial"/>
        <charset val="134"/>
      </rPr>
      <t>.l</t>
    </r>
    <r>
      <rPr>
        <b/>
        <i/>
        <vertAlign val="subscript"/>
        <sz val="11"/>
        <rFont val="Arial"/>
        <charset val="134"/>
      </rPr>
      <t xml:space="preserve">i </t>
    </r>
  </si>
  <si>
    <t xml:space="preserve">Trong đó: </t>
  </si>
  <si>
    <r>
      <rPr>
        <sz val="11"/>
        <rFont val="Arial"/>
        <charset val="134"/>
      </rPr>
      <t>- f</t>
    </r>
    <r>
      <rPr>
        <vertAlign val="subscript"/>
        <sz val="11"/>
        <rFont val="Arial"/>
        <charset val="134"/>
      </rPr>
      <t>i</t>
    </r>
    <r>
      <rPr>
        <sz val="11"/>
        <rFont val="Arial"/>
        <charset val="134"/>
      </rPr>
      <t xml:space="preserve">: Cường độ sức kháng trung bình trên đoạn cọc nằm trong lớp đất thứ “i”  </t>
    </r>
  </si>
  <si>
    <r>
      <rPr>
        <sz val="11"/>
        <rFont val="Arial"/>
        <charset val="134"/>
      </rPr>
      <t>- l</t>
    </r>
    <r>
      <rPr>
        <vertAlign val="subscript"/>
        <sz val="11"/>
        <rFont val="Arial"/>
        <charset val="134"/>
      </rPr>
      <t>i</t>
    </r>
    <r>
      <rPr>
        <sz val="11"/>
        <rFont val="Arial"/>
        <charset val="134"/>
      </rPr>
      <t>: Chiều dài đoạn cọc nằm trong lớp đất thứ “i”</t>
    </r>
  </si>
  <si>
    <t>B.3.1. Cường độ sức kháng của đất dưới mũi cọc.</t>
  </si>
  <si>
    <t>B.3.1.1. Khi mũi cọc nằm trong lớp đất dính:</t>
  </si>
  <si>
    <r>
      <rPr>
        <sz val="11"/>
        <rFont val="Arial"/>
        <charset val="134"/>
      </rPr>
      <t>q</t>
    </r>
    <r>
      <rPr>
        <vertAlign val="subscript"/>
        <sz val="11"/>
        <rFont val="Arial"/>
        <charset val="134"/>
      </rPr>
      <t>b</t>
    </r>
    <r>
      <rPr>
        <sz val="11"/>
        <rFont val="Arial"/>
        <charset val="134"/>
      </rPr>
      <t xml:space="preserve"> = c</t>
    </r>
    <r>
      <rPr>
        <vertAlign val="subscript"/>
        <sz val="11"/>
        <rFont val="Arial"/>
        <charset val="134"/>
      </rPr>
      <t>u</t>
    </r>
    <r>
      <rPr>
        <sz val="11"/>
        <rFont val="Arial"/>
        <charset val="134"/>
      </rPr>
      <t>.N’</t>
    </r>
    <r>
      <rPr>
        <vertAlign val="subscript"/>
        <sz val="11"/>
        <rFont val="Arial"/>
        <charset val="134"/>
      </rPr>
      <t>c</t>
    </r>
  </si>
  <si>
    <r>
      <rPr>
        <sz val="11"/>
        <rFont val="Arial"/>
        <charset val="134"/>
      </rPr>
      <t>- c</t>
    </r>
    <r>
      <rPr>
        <vertAlign val="subscript"/>
        <sz val="11"/>
        <rFont val="Arial"/>
        <charset val="134"/>
      </rPr>
      <t>u</t>
    </r>
    <r>
      <rPr>
        <sz val="11"/>
        <rFont val="Arial"/>
        <charset val="134"/>
      </rPr>
      <t>: Cường độ sức kháng cắt không thoát nước của lớp đất dưới mũi cọc (c</t>
    </r>
    <r>
      <rPr>
        <vertAlign val="subscript"/>
        <sz val="11"/>
        <rFont val="Arial"/>
        <charset val="134"/>
      </rPr>
      <t>u</t>
    </r>
    <r>
      <rPr>
        <sz val="11"/>
        <rFont val="Arial"/>
        <charset val="134"/>
      </rPr>
      <t xml:space="preserve"> =6,25.N</t>
    </r>
    <r>
      <rPr>
        <vertAlign val="subscript"/>
        <sz val="11"/>
        <rFont val="Arial"/>
        <charset val="134"/>
      </rPr>
      <t>p</t>
    </r>
    <r>
      <rPr>
        <sz val="11"/>
        <rFont val="Arial"/>
        <charset val="134"/>
      </rPr>
      <t xml:space="preserve">, tính bằng kPa) </t>
    </r>
  </si>
  <si>
    <r>
      <rPr>
        <sz val="11"/>
        <rFont val="Arial"/>
        <charset val="134"/>
      </rPr>
      <t>- N’</t>
    </r>
    <r>
      <rPr>
        <vertAlign val="subscript"/>
        <sz val="11"/>
        <rFont val="Arial"/>
        <charset val="134"/>
      </rPr>
      <t>c</t>
    </r>
    <r>
      <rPr>
        <sz val="11"/>
        <rFont val="Arial"/>
        <charset val="134"/>
      </rPr>
      <t>: Hế số lấy bằng 6 đối với cọc khoan nhồi đường kính lớn</t>
    </r>
  </si>
  <si>
    <t>B.3.1.2. Khi mũi cọc nằm trong lớp đất rời:</t>
  </si>
  <si>
    <r>
      <rPr>
        <sz val="11"/>
        <rFont val="Arial"/>
        <charset val="134"/>
      </rPr>
      <t>q</t>
    </r>
    <r>
      <rPr>
        <vertAlign val="subscript"/>
        <sz val="11"/>
        <rFont val="Arial"/>
        <charset val="134"/>
      </rPr>
      <t>b</t>
    </r>
    <r>
      <rPr>
        <sz val="11"/>
        <rFont val="Arial"/>
        <charset val="134"/>
      </rPr>
      <t xml:space="preserve"> = q’</t>
    </r>
    <r>
      <rPr>
        <vertAlign val="subscript"/>
        <sz val="11"/>
        <rFont val="Symbol"/>
        <charset val="2"/>
      </rPr>
      <t>g</t>
    </r>
    <r>
      <rPr>
        <vertAlign val="subscript"/>
        <sz val="11"/>
        <rFont val="Arial"/>
        <charset val="134"/>
      </rPr>
      <t>,p</t>
    </r>
    <r>
      <rPr>
        <sz val="11"/>
        <rFont val="Arial"/>
        <charset val="134"/>
      </rPr>
      <t>.N’</t>
    </r>
    <r>
      <rPr>
        <vertAlign val="subscript"/>
        <sz val="11"/>
        <rFont val="Arial"/>
        <charset val="134"/>
      </rPr>
      <t>q</t>
    </r>
  </si>
  <si>
    <r>
      <rPr>
        <sz val="11"/>
        <rFont val="Arial"/>
        <charset val="134"/>
      </rPr>
      <t>- q’</t>
    </r>
    <r>
      <rPr>
        <vertAlign val="subscript"/>
        <sz val="11"/>
        <rFont val="Symbol"/>
        <charset val="2"/>
      </rPr>
      <t>g</t>
    </r>
    <r>
      <rPr>
        <vertAlign val="subscript"/>
        <sz val="11"/>
        <rFont val="Arial"/>
        <charset val="134"/>
      </rPr>
      <t>,p</t>
    </r>
    <r>
      <rPr>
        <sz val="11"/>
        <rFont val="Arial"/>
        <charset val="134"/>
      </rPr>
      <t xml:space="preserve"> : Là áp lực hiệu quả lớp phủ tại cao trình mũi cọc</t>
    </r>
  </si>
  <si>
    <r>
      <rPr>
        <sz val="11"/>
        <rFont val="Arial"/>
        <charset val="134"/>
      </rPr>
      <t>- N’</t>
    </r>
    <r>
      <rPr>
        <vertAlign val="subscript"/>
        <sz val="11"/>
        <rFont val="Arial"/>
        <charset val="134"/>
      </rPr>
      <t>q</t>
    </r>
    <r>
      <rPr>
        <sz val="11"/>
        <rFont val="Arial"/>
        <charset val="134"/>
      </rPr>
      <t xml:space="preserve"> : Hệ số lấy theo bảng G.1 TCVN 10304:2014</t>
    </r>
  </si>
  <si>
    <t>B.3.2. Cường độ sức kháng trung bình của đất trên thân cọc.</t>
  </si>
  <si>
    <t>B.3.2.1. Cường độ sức kháng trung bình trên thân cọc trong lớp đất dính thứ "i"</t>
  </si>
  <si>
    <r>
      <rPr>
        <sz val="11"/>
        <rFont val="Arial"/>
        <charset val="134"/>
      </rPr>
      <t>f</t>
    </r>
    <r>
      <rPr>
        <vertAlign val="subscript"/>
        <sz val="11"/>
        <rFont val="Arial"/>
        <charset val="134"/>
      </rPr>
      <t>c,i</t>
    </r>
    <r>
      <rPr>
        <sz val="11"/>
        <rFont val="Arial"/>
        <charset val="134"/>
      </rPr>
      <t xml:space="preserve"> = </t>
    </r>
    <r>
      <rPr>
        <sz val="11"/>
        <rFont val="Symbol"/>
        <charset val="2"/>
      </rPr>
      <t>a</t>
    </r>
    <r>
      <rPr>
        <sz val="11"/>
        <rFont val="Arial"/>
        <charset val="134"/>
      </rPr>
      <t>.c</t>
    </r>
    <r>
      <rPr>
        <vertAlign val="subscript"/>
        <sz val="11"/>
        <rFont val="Arial"/>
        <charset val="134"/>
      </rPr>
      <t>u,i</t>
    </r>
  </si>
  <si>
    <r>
      <rPr>
        <sz val="11"/>
        <rFont val="Arial"/>
        <charset val="134"/>
      </rPr>
      <t xml:space="preserve">- </t>
    </r>
    <r>
      <rPr>
        <sz val="11"/>
        <rFont val="Symbol"/>
        <charset val="2"/>
      </rPr>
      <t>a</t>
    </r>
    <r>
      <rPr>
        <sz val="11"/>
        <rFont val="Arial"/>
        <charset val="134"/>
      </rPr>
      <t>: Hệ số xác định theo hình biểu đồ G.1 TCVN 10304:2014</t>
    </r>
  </si>
  <si>
    <t>B.3.2.2. Cường độ sức kháng trung bình trên thân cọc trong lớp đất rời thứ "i"</t>
  </si>
  <si>
    <r>
      <rPr>
        <sz val="11"/>
        <rFont val="Arial"/>
        <charset val="134"/>
      </rPr>
      <t>- Trên doạn cọc có độ sâu Z &lt; Z</t>
    </r>
    <r>
      <rPr>
        <vertAlign val="subscript"/>
        <sz val="11"/>
        <rFont val="Arial"/>
        <charset val="134"/>
      </rPr>
      <t>L</t>
    </r>
    <r>
      <rPr>
        <sz val="11"/>
        <rFont val="Arial"/>
        <charset val="134"/>
      </rPr>
      <t xml:space="preserve"> :  </t>
    </r>
  </si>
  <si>
    <r>
      <rPr>
        <sz val="11"/>
        <rFont val="Arial"/>
        <charset val="134"/>
      </rPr>
      <t>f</t>
    </r>
    <r>
      <rPr>
        <vertAlign val="subscript"/>
        <sz val="11"/>
        <rFont val="Arial"/>
        <charset val="134"/>
      </rPr>
      <t>s,i</t>
    </r>
    <r>
      <rPr>
        <sz val="11"/>
        <rFont val="Arial"/>
        <charset val="134"/>
      </rPr>
      <t xml:space="preserve"> = k.</t>
    </r>
    <r>
      <rPr>
        <sz val="11"/>
        <rFont val="Symbol"/>
        <charset val="2"/>
      </rPr>
      <t>s</t>
    </r>
    <r>
      <rPr>
        <sz val="11"/>
        <rFont val="Arial"/>
        <charset val="134"/>
      </rPr>
      <t>’</t>
    </r>
    <r>
      <rPr>
        <vertAlign val="subscript"/>
        <sz val="11"/>
        <rFont val="Arial"/>
        <charset val="134"/>
      </rPr>
      <t>v,z</t>
    </r>
  </si>
  <si>
    <r>
      <rPr>
        <sz val="11"/>
        <rFont val="Arial"/>
        <charset val="134"/>
      </rPr>
      <t>- Trên doạn cọc có độ sâu Z ≥ Z</t>
    </r>
    <r>
      <rPr>
        <vertAlign val="subscript"/>
        <sz val="11"/>
        <rFont val="Arial"/>
        <charset val="134"/>
      </rPr>
      <t>L</t>
    </r>
    <r>
      <rPr>
        <sz val="11"/>
        <rFont val="Arial"/>
        <charset val="134"/>
      </rPr>
      <t xml:space="preserve"> :  </t>
    </r>
  </si>
  <si>
    <r>
      <rPr>
        <sz val="11"/>
        <rFont val="Arial"/>
        <charset val="134"/>
      </rPr>
      <t>f</t>
    </r>
    <r>
      <rPr>
        <vertAlign val="subscript"/>
        <sz val="11"/>
        <rFont val="Arial"/>
        <charset val="134"/>
      </rPr>
      <t>s,i</t>
    </r>
    <r>
      <rPr>
        <sz val="11"/>
        <rFont val="Arial"/>
        <charset val="134"/>
      </rPr>
      <t xml:space="preserve"> = k.</t>
    </r>
    <r>
      <rPr>
        <sz val="11"/>
        <rFont val="Symbol"/>
        <charset val="2"/>
      </rPr>
      <t>s</t>
    </r>
    <r>
      <rPr>
        <sz val="11"/>
        <rFont val="Arial"/>
        <charset val="134"/>
      </rPr>
      <t>’</t>
    </r>
    <r>
      <rPr>
        <vertAlign val="subscript"/>
        <sz val="11"/>
        <rFont val="Arial"/>
        <charset val="134"/>
      </rPr>
      <t>v,ZL</t>
    </r>
  </si>
  <si>
    <t>- k : Hệ số lấy theo bảng G.1 TCVN 10304:2014</t>
  </si>
  <si>
    <r>
      <rPr>
        <sz val="11"/>
        <rFont val="Arial"/>
        <charset val="134"/>
      </rPr>
      <t>- Z</t>
    </r>
    <r>
      <rPr>
        <vertAlign val="subscript"/>
        <sz val="11"/>
        <rFont val="Arial"/>
        <charset val="134"/>
      </rPr>
      <t>L</t>
    </r>
    <r>
      <rPr>
        <sz val="11"/>
        <rFont val="Arial"/>
        <charset val="134"/>
      </rPr>
      <t>: Độ sâu giới hạn (xác định theo bảng G.1 TCVN 10304:2014)</t>
    </r>
  </si>
  <si>
    <t>Tổng hợp sức chịu tải của cọc theo đất nền:</t>
  </si>
  <si>
    <r>
      <rPr>
        <sz val="11"/>
        <rFont val="Arial"/>
        <charset val="134"/>
      </rPr>
      <t>- Sức chịu tải tiêu chuẩn của cọc R</t>
    </r>
    <r>
      <rPr>
        <vertAlign val="subscript"/>
        <sz val="11"/>
        <rFont val="Arial"/>
        <charset val="134"/>
      </rPr>
      <t xml:space="preserve">c,k </t>
    </r>
    <r>
      <rPr>
        <sz val="11"/>
        <rFont val="Arial"/>
        <charset val="134"/>
      </rPr>
      <t>= min( R</t>
    </r>
    <r>
      <rPr>
        <vertAlign val="subscript"/>
        <sz val="11"/>
        <rFont val="Arial"/>
        <charset val="134"/>
      </rPr>
      <t>c,u1</t>
    </r>
    <r>
      <rPr>
        <sz val="11"/>
        <rFont val="Arial"/>
        <charset val="134"/>
      </rPr>
      <t>, R</t>
    </r>
    <r>
      <rPr>
        <vertAlign val="subscript"/>
        <sz val="11"/>
        <rFont val="Arial"/>
        <charset val="134"/>
      </rPr>
      <t>c,u2</t>
    </r>
    <r>
      <rPr>
        <sz val="11"/>
        <rFont val="Arial"/>
        <charset val="134"/>
      </rPr>
      <t>, R</t>
    </r>
    <r>
      <rPr>
        <vertAlign val="subscript"/>
        <sz val="11"/>
        <rFont val="Arial"/>
        <charset val="134"/>
      </rPr>
      <t>c,u3</t>
    </r>
    <r>
      <rPr>
        <sz val="11"/>
        <rFont val="Arial"/>
        <charset val="134"/>
      </rPr>
      <t xml:space="preserve"> )</t>
    </r>
  </si>
  <si>
    <t>- Sức chịu tải tính toán của cọc:</t>
  </si>
  <si>
    <r>
      <rPr>
        <sz val="11"/>
        <rFont val="Arial"/>
        <charset val="134"/>
      </rPr>
      <t>R</t>
    </r>
    <r>
      <rPr>
        <vertAlign val="subscript"/>
        <sz val="11"/>
        <rFont val="Arial"/>
        <charset val="134"/>
      </rPr>
      <t xml:space="preserve">c,d </t>
    </r>
    <r>
      <rPr>
        <sz val="11"/>
        <rFont val="Arial"/>
        <charset val="134"/>
      </rPr>
      <t>= R</t>
    </r>
    <r>
      <rPr>
        <vertAlign val="subscript"/>
        <sz val="11"/>
        <rFont val="Arial"/>
        <charset val="134"/>
      </rPr>
      <t xml:space="preserve">c,k </t>
    </r>
    <r>
      <rPr>
        <sz val="11"/>
        <rFont val="Arial"/>
        <charset val="134"/>
      </rPr>
      <t xml:space="preserve">/ </t>
    </r>
    <r>
      <rPr>
        <sz val="11"/>
        <rFont val="Symbol"/>
        <charset val="2"/>
      </rPr>
      <t>g</t>
    </r>
    <r>
      <rPr>
        <vertAlign val="subscript"/>
        <sz val="11"/>
        <rFont val="Arial"/>
        <charset val="134"/>
      </rPr>
      <t>k</t>
    </r>
  </si>
  <si>
    <r>
      <rPr>
        <sz val="11"/>
        <rFont val="Arial"/>
        <charset val="134"/>
      </rPr>
      <t>R</t>
    </r>
    <r>
      <rPr>
        <vertAlign val="subscript"/>
        <sz val="11"/>
        <rFont val="Arial"/>
        <charset val="134"/>
      </rPr>
      <t>dn</t>
    </r>
    <r>
      <rPr>
        <sz val="11"/>
        <rFont val="Arial"/>
        <charset val="134"/>
      </rPr>
      <t xml:space="preserve"> = </t>
    </r>
    <r>
      <rPr>
        <sz val="11"/>
        <rFont val="Symbol"/>
        <charset val="2"/>
      </rPr>
      <t>g</t>
    </r>
    <r>
      <rPr>
        <vertAlign val="subscript"/>
        <sz val="11"/>
        <rFont val="Arial"/>
        <charset val="134"/>
      </rPr>
      <t>0</t>
    </r>
    <r>
      <rPr>
        <sz val="11"/>
        <rFont val="Arial"/>
        <charset val="134"/>
      </rPr>
      <t>.R</t>
    </r>
    <r>
      <rPr>
        <vertAlign val="subscript"/>
        <sz val="11"/>
        <rFont val="Arial"/>
        <charset val="134"/>
      </rPr>
      <t xml:space="preserve">c,d </t>
    </r>
    <r>
      <rPr>
        <sz val="11"/>
        <rFont val="Arial"/>
        <charset val="134"/>
      </rPr>
      <t>/</t>
    </r>
    <r>
      <rPr>
        <sz val="11"/>
        <rFont val="Symbol"/>
        <charset val="2"/>
      </rPr>
      <t>g</t>
    </r>
    <r>
      <rPr>
        <vertAlign val="subscript"/>
        <sz val="11"/>
        <rFont val="Arial"/>
        <charset val="134"/>
      </rPr>
      <t>n</t>
    </r>
  </si>
  <si>
    <r>
      <rPr>
        <sz val="11"/>
        <rFont val="Arial"/>
        <charset val="134"/>
      </rPr>
      <t xml:space="preserve">- </t>
    </r>
    <r>
      <rPr>
        <sz val="11"/>
        <rFont val="Symbol"/>
        <charset val="2"/>
      </rPr>
      <t>g</t>
    </r>
    <r>
      <rPr>
        <vertAlign val="subscript"/>
        <sz val="11"/>
        <rFont val="Arial"/>
        <charset val="134"/>
      </rPr>
      <t>k</t>
    </r>
    <r>
      <rPr>
        <sz val="11"/>
        <rFont val="Arial"/>
        <charset val="134"/>
      </rPr>
      <t>: Hệ số độ tin cậy theo đất (xác định theo điều 7.1.11 TCVN 10304:2014)</t>
    </r>
  </si>
  <si>
    <r>
      <rPr>
        <sz val="11"/>
        <rFont val="Arial"/>
        <charset val="134"/>
      </rPr>
      <t xml:space="preserve">- </t>
    </r>
    <r>
      <rPr>
        <sz val="11"/>
        <rFont val="Symbol"/>
        <charset val="2"/>
      </rPr>
      <t>g</t>
    </r>
    <r>
      <rPr>
        <vertAlign val="subscript"/>
        <sz val="11"/>
        <rFont val="Arial"/>
        <charset val="134"/>
      </rPr>
      <t>0</t>
    </r>
    <r>
      <rPr>
        <sz val="11"/>
        <rFont val="Arial"/>
        <charset val="134"/>
      </rPr>
      <t>: Hệ số điều kiện làm việc, kể đến yếu tố tăng mức độ đồng nhất của nền đất khi sử dụng móng cọc, lấy bằng 1 với</t>
    </r>
  </si>
  <si>
    <t xml:space="preserve">       đài 1 cọc và bằng 1,15 với đài nhiều cọc.</t>
  </si>
  <si>
    <r>
      <rPr>
        <sz val="11"/>
        <rFont val="Arial"/>
        <charset val="134"/>
      </rPr>
      <t xml:space="preserve">- </t>
    </r>
    <r>
      <rPr>
        <sz val="11"/>
        <rFont val="Symbol"/>
        <charset val="2"/>
      </rPr>
      <t>g</t>
    </r>
    <r>
      <rPr>
        <vertAlign val="subscript"/>
        <sz val="11"/>
        <rFont val="Arial"/>
        <charset val="134"/>
      </rPr>
      <t>n</t>
    </r>
    <r>
      <rPr>
        <sz val="11"/>
        <rFont val="Arial"/>
        <charset val="134"/>
      </rPr>
      <t>: Hệ số tin cậy về tầm quan trọng của công trình</t>
    </r>
  </si>
  <si>
    <t>KẾT LUẬN:</t>
  </si>
  <si>
    <t xml:space="preserve"> Sức chịu tải tính toán của cọc sử dụng trong thiết kế là:</t>
  </si>
  <si>
    <r>
      <rPr>
        <b/>
        <sz val="11"/>
        <rFont val="Arial"/>
        <charset val="134"/>
      </rPr>
      <t xml:space="preserve">                   R</t>
    </r>
    <r>
      <rPr>
        <b/>
        <vertAlign val="subscript"/>
        <sz val="11"/>
        <rFont val="Arial"/>
        <charset val="134"/>
      </rPr>
      <t>tk</t>
    </r>
    <r>
      <rPr>
        <b/>
        <sz val="11"/>
        <rFont val="Arial"/>
        <charset val="134"/>
      </rPr>
      <t xml:space="preserve"> = Min (R</t>
    </r>
    <r>
      <rPr>
        <b/>
        <vertAlign val="subscript"/>
        <sz val="11"/>
        <rFont val="Arial"/>
        <charset val="134"/>
      </rPr>
      <t>vl</t>
    </r>
    <r>
      <rPr>
        <b/>
        <sz val="11"/>
        <rFont val="Arial"/>
        <charset val="134"/>
      </rPr>
      <t>, R</t>
    </r>
    <r>
      <rPr>
        <b/>
        <vertAlign val="subscript"/>
        <sz val="11"/>
        <rFont val="Arial"/>
        <charset val="134"/>
      </rPr>
      <t>dn</t>
    </r>
    <r>
      <rPr>
        <b/>
        <sz val="11"/>
        <rFont val="Arial"/>
        <charset val="134"/>
      </rPr>
      <t>)</t>
    </r>
  </si>
  <si>
    <t>B1: Phân loại cọc</t>
  </si>
  <si>
    <t>Loại cọc</t>
  </si>
  <si>
    <t>Ký hiệu</t>
  </si>
  <si>
    <t>Ghi chú</t>
  </si>
  <si>
    <t>RC pile</t>
  </si>
  <si>
    <t>Cọc đóng ép</t>
  </si>
  <si>
    <t>Spun pile</t>
  </si>
  <si>
    <t>Cọc ly tấm UST</t>
  </si>
  <si>
    <t>Bored pile</t>
  </si>
  <si>
    <t>Cọc khoan nhồi</t>
  </si>
  <si>
    <t>Tham khảo TCVN 5574 : 2018</t>
  </si>
  <si>
    <t>B2:Cường độ tính toán và mô đun đàn hồi của bê tông (N/mm2)</t>
  </si>
  <si>
    <t>B3: Cường độ tính toán cốt thép</t>
  </si>
  <si>
    <t>Cấp BT</t>
  </si>
  <si>
    <t>Mác BT</t>
  </si>
  <si>
    <t>Rb</t>
  </si>
  <si>
    <t>Rbt</t>
  </si>
  <si>
    <t>Eb</t>
  </si>
  <si>
    <t>Nhóm thép</t>
  </si>
  <si>
    <t>Rs</t>
  </si>
  <si>
    <t>Rsc</t>
  </si>
  <si>
    <t>fy</t>
  </si>
  <si>
    <t>CI</t>
  </si>
  <si>
    <t>CII</t>
  </si>
  <si>
    <t>CIII</t>
  </si>
  <si>
    <t>AI</t>
  </si>
  <si>
    <t>AII</t>
  </si>
  <si>
    <t>AIII</t>
  </si>
  <si>
    <t>CB240 -T</t>
  </si>
  <si>
    <t>CB300 - T</t>
  </si>
  <si>
    <t>CB300 - V</t>
  </si>
  <si>
    <t>CB400 - V</t>
  </si>
  <si>
    <t>CB500</t>
  </si>
  <si>
    <t>SD295</t>
  </si>
  <si>
    <t>SD390</t>
  </si>
  <si>
    <t>SD490</t>
  </si>
  <si>
    <t>Hệ số G2a 10304:2014</t>
  </si>
  <si>
    <r>
      <rPr>
        <b/>
        <sz val="11"/>
        <color rgb="FF0000CC"/>
        <rFont val="Arial"/>
        <charset val="134"/>
      </rPr>
      <t>C</t>
    </r>
    <r>
      <rPr>
        <b/>
        <vertAlign val="subscript"/>
        <sz val="11"/>
        <color rgb="FF0000CC"/>
        <rFont val="Arial"/>
        <charset val="134"/>
      </rPr>
      <t xml:space="preserve">u,i  </t>
    </r>
    <r>
      <rPr>
        <b/>
        <sz val="11"/>
        <color rgb="FF0000CC"/>
        <rFont val="Arial"/>
        <charset val="134"/>
      </rPr>
      <t xml:space="preserve">/ </t>
    </r>
    <r>
      <rPr>
        <b/>
        <sz val="11"/>
        <color rgb="FF0000CC"/>
        <rFont val="Symbol"/>
        <charset val="2"/>
      </rPr>
      <t>s</t>
    </r>
    <r>
      <rPr>
        <b/>
        <sz val="11"/>
        <color rgb="FF0000CC"/>
        <rFont val="Arial"/>
        <charset val="134"/>
      </rPr>
      <t>'</t>
    </r>
    <r>
      <rPr>
        <b/>
        <vertAlign val="subscript"/>
        <sz val="11"/>
        <color rgb="FF0000CC"/>
        <rFont val="Arial"/>
        <charset val="134"/>
      </rPr>
      <t>v</t>
    </r>
  </si>
  <si>
    <r>
      <rPr>
        <b/>
        <sz val="11"/>
        <color rgb="FF0000CC"/>
        <rFont val="Symbol"/>
        <charset val="2"/>
      </rPr>
      <t>a</t>
    </r>
    <r>
      <rPr>
        <b/>
        <vertAlign val="subscript"/>
        <sz val="11"/>
        <color rgb="FF0000CC"/>
        <rFont val="Arial"/>
        <charset val="134"/>
      </rPr>
      <t>p</t>
    </r>
  </si>
  <si>
    <t>L/d</t>
  </si>
  <si>
    <t>fL</t>
  </si>
  <si>
    <t>Bảng G.1 - Giá trị  các hệ số  k, Zl và N'q cho cọc trong đất cát (TCVN 10304:2014)</t>
  </si>
  <si>
    <t>Trạng thái đất</t>
  </si>
  <si>
    <t>Độ chặt 
tương đối D</t>
  </si>
  <si>
    <t>Zl/d</t>
  </si>
  <si>
    <t>k</t>
  </si>
  <si>
    <t>N'q</t>
  </si>
  <si>
    <t>Cọc đóng</t>
  </si>
  <si>
    <t>Cọc khoan nhồi 
và Barrette</t>
  </si>
  <si>
    <t>Rời</t>
  </si>
  <si>
    <t>Từ 0.2 đến 0.4</t>
  </si>
  <si>
    <t>Chặt vừa</t>
  </si>
  <si>
    <t>Từ 0.4 đến 0.75</t>
  </si>
  <si>
    <t>Chặt</t>
  </si>
  <si>
    <t>Từ 0.75 đến 0.9</t>
  </si>
  <si>
    <t>Biểu đồ hình G.1 TCVN 10304:2014</t>
  </si>
  <si>
    <t>Cu (kPa)</t>
  </si>
  <si>
    <t>α</t>
  </si>
  <si>
    <t>Story</t>
  </si>
  <si>
    <t>Pier</t>
  </si>
  <si>
    <t>CaseCombo</t>
  </si>
  <si>
    <t>Location</t>
  </si>
  <si>
    <t>P</t>
  </si>
  <si>
    <t>V2</t>
  </si>
  <si>
    <t>V3</t>
  </si>
  <si>
    <t>T</t>
  </si>
  <si>
    <t>M2</t>
  </si>
  <si>
    <t>M3</t>
  </si>
  <si>
    <t>T2</t>
  </si>
  <si>
    <t>C1</t>
  </si>
  <si>
    <t>EULS Max</t>
  </si>
  <si>
    <t>EULS Min</t>
  </si>
  <si>
    <t>C10</t>
  </si>
  <si>
    <t>C11</t>
  </si>
  <si>
    <t>C12</t>
  </si>
  <si>
    <t>C13</t>
  </si>
  <si>
    <t>C14</t>
  </si>
  <si>
    <t>C15</t>
  </si>
  <si>
    <t>C16</t>
  </si>
  <si>
    <t>C2</t>
  </si>
  <si>
    <t>C23</t>
  </si>
  <si>
    <t>C24</t>
  </si>
  <si>
    <t>C25</t>
  </si>
  <si>
    <t>C26</t>
  </si>
  <si>
    <t>C27</t>
  </si>
  <si>
    <t>C28</t>
  </si>
  <si>
    <t>C29</t>
  </si>
  <si>
    <t>C3</t>
  </si>
  <si>
    <t>C30</t>
  </si>
  <si>
    <t>C31</t>
  </si>
  <si>
    <t>C32</t>
  </si>
  <si>
    <t>C33</t>
  </si>
  <si>
    <t>C34</t>
  </si>
  <si>
    <t>C35</t>
  </si>
  <si>
    <t>C36</t>
  </si>
  <si>
    <t>C37</t>
  </si>
  <si>
    <t>C38</t>
  </si>
  <si>
    <t>C39</t>
  </si>
  <si>
    <t>C4</t>
  </si>
  <si>
    <t>C40</t>
  </si>
  <si>
    <t>C41</t>
  </si>
  <si>
    <t>C42</t>
  </si>
  <si>
    <t>C43</t>
  </si>
  <si>
    <t>C44</t>
  </si>
  <si>
    <t>C45</t>
  </si>
  <si>
    <t>C5</t>
  </si>
  <si>
    <t>C6</t>
  </si>
  <si>
    <t>C7</t>
  </si>
  <si>
    <t>C8</t>
  </si>
  <si>
    <t>C9</t>
  </si>
  <si>
    <t>AxisAngle</t>
  </si>
  <si>
    <t>NumAreaObj</t>
  </si>
  <si>
    <t>NumLineObj</t>
  </si>
  <si>
    <t>WidthBot</t>
  </si>
  <si>
    <t>ThickBot</t>
  </si>
  <si>
    <t>WidthTop</t>
  </si>
  <si>
    <t>ThickTop</t>
  </si>
  <si>
    <t>Material</t>
  </si>
  <si>
    <t>CGBotX</t>
  </si>
  <si>
    <t>CGBotY</t>
  </si>
  <si>
    <t>CGBotZ</t>
  </si>
  <si>
    <t>CGTopX</t>
  </si>
  <si>
    <t>CGTopY</t>
  </si>
  <si>
    <t>CGTopZ</t>
  </si>
  <si>
    <t>C22X22</t>
  </si>
  <si>
    <t>B25</t>
  </si>
  <si>
    <t>C22X60</t>
  </si>
  <si>
    <t>C30X60</t>
  </si>
  <si>
    <t>C40X50</t>
  </si>
  <si>
    <t>C40X70</t>
  </si>
  <si>
    <t>C50X40</t>
  </si>
  <si>
    <t>C50X50</t>
  </si>
  <si>
    <t>C30X22</t>
  </si>
  <si>
    <t>DBIM</t>
  </si>
  <si>
    <t>Loại đất</t>
  </si>
  <si>
    <t>Tên lớp</t>
  </si>
  <si>
    <t>Trạng thái
R: rời
D: Dính</t>
  </si>
  <si>
    <r>
      <rPr>
        <sz val="10"/>
        <color theme="1"/>
        <rFont val="Arial"/>
        <charset val="134"/>
      </rPr>
      <t xml:space="preserve">KL
thể tích
 tự nhiên
</t>
    </r>
    <r>
      <rPr>
        <sz val="10"/>
        <color theme="1"/>
        <rFont val="Symbol"/>
        <charset val="2"/>
      </rPr>
      <t>g</t>
    </r>
    <r>
      <rPr>
        <vertAlign val="subscript"/>
        <sz val="10"/>
        <color theme="1"/>
        <rFont val="Arial"/>
        <charset val="134"/>
      </rPr>
      <t xml:space="preserve">w </t>
    </r>
    <r>
      <rPr>
        <sz val="10"/>
        <color theme="1"/>
        <rFont val="Arial"/>
        <charset val="134"/>
      </rPr>
      <t>g/cm</t>
    </r>
    <r>
      <rPr>
        <vertAlign val="superscript"/>
        <sz val="10"/>
        <color theme="1"/>
        <rFont val="Arial"/>
        <charset val="134"/>
      </rPr>
      <t>3</t>
    </r>
  </si>
  <si>
    <r>
      <rPr>
        <sz val="10"/>
        <color theme="1"/>
        <rFont val="Arial"/>
        <charset val="134"/>
      </rPr>
      <t xml:space="preserve">KL
thể tích
khô
</t>
    </r>
    <r>
      <rPr>
        <sz val="10"/>
        <color theme="1"/>
        <rFont val="Symbol"/>
        <charset val="2"/>
      </rPr>
      <t>g</t>
    </r>
    <r>
      <rPr>
        <vertAlign val="subscript"/>
        <sz val="10"/>
        <color theme="1"/>
        <rFont val="Arial"/>
        <charset val="134"/>
      </rPr>
      <t xml:space="preserve">k </t>
    </r>
    <r>
      <rPr>
        <sz val="10"/>
        <color theme="1"/>
        <rFont val="Arial"/>
        <charset val="134"/>
      </rPr>
      <t>g/cm</t>
    </r>
    <r>
      <rPr>
        <vertAlign val="superscript"/>
        <sz val="10"/>
        <color theme="1"/>
        <rFont val="Arial"/>
        <charset val="134"/>
      </rPr>
      <t>3</t>
    </r>
  </si>
  <si>
    <r>
      <rPr>
        <sz val="10"/>
        <color theme="1"/>
        <rFont val="Arial"/>
        <charset val="134"/>
      </rPr>
      <t xml:space="preserve">KL
riêng
</t>
    </r>
    <r>
      <rPr>
        <sz val="10"/>
        <color theme="1"/>
        <rFont val="Symbol"/>
        <charset val="2"/>
      </rPr>
      <t>g</t>
    </r>
    <r>
      <rPr>
        <vertAlign val="subscript"/>
        <sz val="10"/>
        <color theme="1"/>
        <rFont val="Arial"/>
        <charset val="134"/>
      </rPr>
      <t xml:space="preserve">s
</t>
    </r>
    <r>
      <rPr>
        <sz val="10"/>
        <color theme="1"/>
        <rFont val="Arial"/>
        <charset val="134"/>
      </rPr>
      <t>(g/cm</t>
    </r>
    <r>
      <rPr>
        <vertAlign val="superscript"/>
        <sz val="10"/>
        <color theme="1"/>
        <rFont val="Arial"/>
        <charset val="134"/>
      </rPr>
      <t>3</t>
    </r>
    <r>
      <rPr>
        <sz val="10"/>
        <color theme="1"/>
        <rFont val="Arial"/>
        <charset val="134"/>
      </rPr>
      <t>)</t>
    </r>
  </si>
  <si>
    <t>Hệ
số
rỗng
e</t>
  </si>
  <si>
    <r>
      <rPr>
        <sz val="10"/>
        <color theme="1"/>
        <rFont val="Arial"/>
        <charset val="134"/>
      </rPr>
      <t xml:space="preserve">KLR
đẩy nổi
</t>
    </r>
    <r>
      <rPr>
        <sz val="10"/>
        <color theme="1"/>
        <rFont val="Symbol"/>
        <charset val="2"/>
      </rPr>
      <t>g</t>
    </r>
    <r>
      <rPr>
        <vertAlign val="subscript"/>
        <sz val="10"/>
        <color theme="1"/>
        <rFont val="Arial"/>
        <charset val="134"/>
      </rPr>
      <t xml:space="preserve">dn
</t>
    </r>
    <r>
      <rPr>
        <sz val="10"/>
        <color theme="1"/>
        <rFont val="Arial"/>
        <charset val="134"/>
      </rPr>
      <t>(g/cm</t>
    </r>
    <r>
      <rPr>
        <vertAlign val="superscript"/>
        <sz val="10"/>
        <color theme="1"/>
        <rFont val="Arial"/>
        <charset val="134"/>
      </rPr>
      <t>3</t>
    </r>
    <r>
      <rPr>
        <sz val="10"/>
        <color theme="1"/>
        <rFont val="Arial"/>
        <charset val="134"/>
      </rPr>
      <t>)</t>
    </r>
  </si>
  <si>
    <t>Tỷ
số
rỗng
n %</t>
  </si>
  <si>
    <t>Tỷ
trọng
hạt
G %</t>
  </si>
  <si>
    <r>
      <rPr>
        <sz val="10"/>
        <color theme="1"/>
        <rFont val="Arial"/>
        <charset val="134"/>
      </rPr>
      <t>Giới
hạn
chảy
W</t>
    </r>
    <r>
      <rPr>
        <vertAlign val="subscript"/>
        <sz val="10"/>
        <color theme="1"/>
        <rFont val="Arial"/>
        <charset val="134"/>
      </rPr>
      <t>ch</t>
    </r>
    <r>
      <rPr>
        <sz val="10"/>
        <color theme="1"/>
        <rFont val="Arial"/>
        <charset val="134"/>
      </rPr>
      <t>%</t>
    </r>
  </si>
  <si>
    <t>Giới
hạn
dẻo
Wd %</t>
  </si>
  <si>
    <r>
      <rPr>
        <sz val="10"/>
        <color theme="1"/>
        <rFont val="Arial"/>
        <charset val="134"/>
      </rPr>
      <t>Chỉ
số
dẻo
I</t>
    </r>
    <r>
      <rPr>
        <vertAlign val="subscript"/>
        <sz val="10"/>
        <color theme="1"/>
        <rFont val="Arial"/>
        <charset val="134"/>
      </rPr>
      <t>d</t>
    </r>
    <r>
      <rPr>
        <sz val="10"/>
        <color theme="1"/>
        <rFont val="Arial"/>
        <charset val="134"/>
      </rPr>
      <t xml:space="preserve"> %</t>
    </r>
  </si>
  <si>
    <t>Độ
sệt
B</t>
  </si>
  <si>
    <r>
      <rPr>
        <sz val="10"/>
        <color theme="1"/>
        <rFont val="Arial"/>
        <charset val="134"/>
      </rPr>
      <t xml:space="preserve">Góc
ma
sát
</t>
    </r>
    <r>
      <rPr>
        <sz val="10"/>
        <color theme="1"/>
        <rFont val="Symbol"/>
        <charset val="2"/>
      </rPr>
      <t xml:space="preserve">j </t>
    </r>
    <r>
      <rPr>
        <sz val="10"/>
        <color theme="1"/>
        <rFont val="Arial"/>
        <charset val="134"/>
      </rPr>
      <t>(độ)</t>
    </r>
  </si>
  <si>
    <r>
      <rPr>
        <sz val="10"/>
        <color theme="1"/>
        <rFont val="Arial"/>
        <charset val="134"/>
      </rPr>
      <t>Lực
dính
c 
kg/cm</t>
    </r>
    <r>
      <rPr>
        <vertAlign val="superscript"/>
        <sz val="10"/>
        <color theme="1"/>
        <rFont val="Arial"/>
        <charset val="134"/>
      </rPr>
      <t>2</t>
    </r>
  </si>
  <si>
    <r>
      <rPr>
        <sz val="10"/>
        <color theme="1"/>
        <rFont val="Arial"/>
        <charset val="134"/>
      </rPr>
      <t xml:space="preserve">Góc
ma
sát
</t>
    </r>
    <r>
      <rPr>
        <sz val="10"/>
        <color theme="1"/>
        <rFont val="Symbol"/>
        <charset val="2"/>
      </rPr>
      <t>j</t>
    </r>
    <r>
      <rPr>
        <vertAlign val="subscript"/>
        <sz val="10"/>
        <color theme="1"/>
        <rFont val="Arial"/>
        <charset val="134"/>
      </rPr>
      <t xml:space="preserve">u </t>
    </r>
    <r>
      <rPr>
        <sz val="10"/>
        <color theme="1"/>
        <rFont val="Arial"/>
        <charset val="134"/>
      </rPr>
      <t>(độ)</t>
    </r>
  </si>
  <si>
    <r>
      <rPr>
        <sz val="10"/>
        <color theme="1"/>
        <rFont val="Arial"/>
        <charset val="134"/>
      </rPr>
      <t>Sức kháng
cắt C</t>
    </r>
    <r>
      <rPr>
        <vertAlign val="subscript"/>
        <sz val="10"/>
        <color theme="1"/>
        <rFont val="Arial"/>
        <charset val="134"/>
      </rPr>
      <t xml:space="preserve">u
</t>
    </r>
    <r>
      <rPr>
        <sz val="10"/>
        <color theme="1"/>
        <rFont val="Arial"/>
        <charset val="134"/>
      </rPr>
      <t>(kg/cm2)</t>
    </r>
  </si>
  <si>
    <r>
      <rPr>
        <sz val="10"/>
        <color theme="1"/>
        <rFont val="Arial"/>
        <charset val="134"/>
      </rPr>
      <t>Modun
biến dạng
E</t>
    </r>
    <r>
      <rPr>
        <vertAlign val="subscript"/>
        <sz val="10"/>
        <color theme="1"/>
        <rFont val="Arial"/>
        <charset val="134"/>
      </rPr>
      <t xml:space="preserve">0 </t>
    </r>
    <r>
      <rPr>
        <sz val="10"/>
        <color theme="1"/>
        <rFont val="Arial"/>
        <charset val="134"/>
      </rPr>
      <t>(kg/cm2)</t>
    </r>
  </si>
  <si>
    <t>Nén 1 trục không
hạn chế nở hông
qu (kg/cm2)</t>
  </si>
  <si>
    <t>Trạng 
thái
đất</t>
  </si>
  <si>
    <t>Độ
chặt 
tương
đối D</t>
  </si>
  <si>
    <t>Chiều sâu
bắt đầu
lớp đất
(m)</t>
  </si>
  <si>
    <t>Chiều sâu
kết thúc
lớp đất
(m)</t>
  </si>
  <si>
    <t>Project Code / Mã dự án</t>
  </si>
  <si>
    <t>-</t>
  </si>
  <si>
    <t>Rev.No.</t>
  </si>
  <si>
    <t>00</t>
  </si>
  <si>
    <t>Project / Dự án</t>
  </si>
  <si>
    <t>Date / Ngày</t>
  </si>
  <si>
    <t>Nén 3 trục UU</t>
  </si>
  <si>
    <t>The Client / Chủ đầu tư</t>
  </si>
  <si>
    <t>Designer / Thiết kế</t>
  </si>
  <si>
    <t>Lớp 1</t>
  </si>
  <si>
    <t>San lấp</t>
  </si>
  <si>
    <t>D</t>
  </si>
  <si>
    <t>Item / Hạng mục</t>
  </si>
  <si>
    <t>SCT CỌC THEO TCVN 10304 - 2014</t>
  </si>
  <si>
    <t>Checker / Kiểm tra</t>
  </si>
  <si>
    <t>Lớp 2</t>
  </si>
  <si>
    <t>Sét</t>
  </si>
  <si>
    <t>Lớp 3</t>
  </si>
  <si>
    <t>XÁC ĐỊNH SỨC CHỊU TẢI CỌC THEO TCVN 10304 - 2014</t>
  </si>
  <si>
    <t>Chia lớp phân tố</t>
  </si>
  <si>
    <t>ĐK ngoài</t>
  </si>
  <si>
    <t>Lớp 4</t>
  </si>
  <si>
    <t>m</t>
  </si>
  <si>
    <t>Diện tích</t>
  </si>
  <si>
    <t>Lớp 5</t>
  </si>
  <si>
    <t>Cát</t>
  </si>
  <si>
    <t>R</t>
  </si>
  <si>
    <t>Thông số đầu vào</t>
  </si>
  <si>
    <t>A. Sức chịu tải của cọc theo vật liệu (TCVN 10304:2014)</t>
  </si>
  <si>
    <t>Lớp 6</t>
  </si>
  <si>
    <t>Hố khoan</t>
  </si>
  <si>
    <t>HK19</t>
  </si>
  <si>
    <t>Đường kính cốt thép (mm)</t>
  </si>
  <si>
    <r>
      <rPr>
        <sz val="10"/>
        <color theme="1"/>
        <rFont val="Arial"/>
        <charset val="134"/>
      </rPr>
      <t>A</t>
    </r>
    <r>
      <rPr>
        <vertAlign val="subscript"/>
        <sz val="10"/>
        <color theme="1"/>
        <rFont val="Arial"/>
        <charset val="134"/>
      </rPr>
      <t>s</t>
    </r>
    <r>
      <rPr>
        <sz val="10"/>
        <color theme="1"/>
        <rFont val="Arial"/>
        <charset val="134"/>
      </rPr>
      <t xml:space="preserve"> (mm</t>
    </r>
    <r>
      <rPr>
        <vertAlign val="superscript"/>
        <sz val="10"/>
        <color theme="1"/>
        <rFont val="Arial"/>
        <charset val="134"/>
      </rPr>
      <t>2</t>
    </r>
    <r>
      <rPr>
        <sz val="10"/>
        <color theme="1"/>
        <rFont val="Arial"/>
        <charset val="134"/>
      </rPr>
      <t>)</t>
    </r>
  </si>
  <si>
    <t>Cao độ</t>
  </si>
  <si>
    <t>SPT</t>
  </si>
  <si>
    <t>Lớp 7</t>
  </si>
  <si>
    <t>Cuội Sỏi</t>
  </si>
  <si>
    <t>Chiều sâu mực nước ngầm (m)</t>
  </si>
  <si>
    <t>Số cây thép</t>
  </si>
  <si>
    <t>(m)</t>
  </si>
  <si>
    <t/>
  </si>
  <si>
    <t>Phân loại cọc</t>
  </si>
  <si>
    <t>Hệ số điều kiện làm việc</t>
  </si>
  <si>
    <r>
      <rPr>
        <sz val="10"/>
        <color theme="1"/>
        <rFont val="Symbol"/>
        <charset val="2"/>
      </rPr>
      <t>g</t>
    </r>
    <r>
      <rPr>
        <vertAlign val="subscript"/>
        <sz val="10"/>
        <color theme="1"/>
        <rFont val="Arial"/>
        <charset val="134"/>
      </rPr>
      <t>cb</t>
    </r>
  </si>
  <si>
    <t>Đường kính ngoài (m)</t>
  </si>
  <si>
    <t>Cọc Tròn</t>
  </si>
  <si>
    <t>Hệ số kể đến phương pháp thi công cọc</t>
  </si>
  <si>
    <r>
      <rPr>
        <sz val="10"/>
        <color theme="1"/>
        <rFont val="Symbol"/>
        <charset val="2"/>
      </rPr>
      <t>g</t>
    </r>
    <r>
      <rPr>
        <sz val="10"/>
        <color theme="1"/>
        <rFont val="Arial"/>
        <charset val="134"/>
      </rPr>
      <t>'</t>
    </r>
    <r>
      <rPr>
        <vertAlign val="subscript"/>
        <sz val="10"/>
        <color theme="1"/>
        <rFont val="Arial"/>
        <charset val="134"/>
      </rPr>
      <t>cb</t>
    </r>
  </si>
  <si>
    <t>Đường kính trong (m)</t>
  </si>
  <si>
    <t>Chiều rộng quy ước của cọc</t>
  </si>
  <si>
    <r>
      <rPr>
        <sz val="10"/>
        <color theme="1"/>
        <rFont val="Arial"/>
        <charset val="134"/>
      </rPr>
      <t>b</t>
    </r>
    <r>
      <rPr>
        <vertAlign val="subscript"/>
        <sz val="10"/>
        <color theme="1"/>
        <rFont val="Arial"/>
        <charset val="134"/>
      </rPr>
      <t>p</t>
    </r>
    <r>
      <rPr>
        <sz val="10"/>
        <color theme="1"/>
        <rFont val="Arial"/>
        <charset val="134"/>
      </rPr>
      <t xml:space="preserve"> (m)</t>
    </r>
  </si>
  <si>
    <t>Cao độ mũi cọc (m)</t>
  </si>
  <si>
    <t>Hệ số tỷ lệ đất bao quanh cọc</t>
  </si>
  <si>
    <t>Cao độ đầu cọc (m)</t>
  </si>
  <si>
    <t>Hệ số điều kiện làm việc của cọc</t>
  </si>
  <si>
    <r>
      <rPr>
        <sz val="10"/>
        <color theme="1"/>
        <rFont val="Symbol"/>
        <charset val="2"/>
      </rPr>
      <t>g</t>
    </r>
    <r>
      <rPr>
        <vertAlign val="subscript"/>
        <sz val="10"/>
        <color theme="1"/>
        <rFont val="Arial"/>
        <charset val="134"/>
      </rPr>
      <t>c</t>
    </r>
  </si>
  <si>
    <r>
      <rPr>
        <sz val="10"/>
        <color theme="1"/>
        <rFont val="Arial"/>
        <charset val="134"/>
      </rPr>
      <t>Diệt tích cọc A</t>
    </r>
    <r>
      <rPr>
        <vertAlign val="subscript"/>
        <sz val="10"/>
        <color theme="1"/>
        <rFont val="Arial"/>
        <charset val="134"/>
      </rPr>
      <t>b</t>
    </r>
    <r>
      <rPr>
        <sz val="10"/>
        <color theme="1"/>
        <rFont val="Arial"/>
        <charset val="134"/>
      </rPr>
      <t xml:space="preserve"> (m</t>
    </r>
    <r>
      <rPr>
        <vertAlign val="superscript"/>
        <sz val="10"/>
        <color theme="1"/>
        <rFont val="Arial"/>
        <charset val="134"/>
      </rPr>
      <t>2</t>
    </r>
    <r>
      <rPr>
        <sz val="10"/>
        <color theme="1"/>
        <rFont val="Arial"/>
        <charset val="134"/>
      </rPr>
      <t>)</t>
    </r>
  </si>
  <si>
    <t>Hệ số biến dạng</t>
  </si>
  <si>
    <r>
      <rPr>
        <sz val="10"/>
        <color theme="1"/>
        <rFont val="Symbol"/>
        <charset val="2"/>
      </rPr>
      <t>a</t>
    </r>
    <r>
      <rPr>
        <vertAlign val="subscript"/>
        <sz val="10"/>
        <color theme="1"/>
        <rFont val="Symbol"/>
        <charset val="2"/>
      </rPr>
      <t>e</t>
    </r>
    <r>
      <rPr>
        <sz val="10"/>
        <color theme="1"/>
        <rFont val="Symbol"/>
        <charset val="2"/>
      </rPr>
      <t xml:space="preserve"> </t>
    </r>
    <r>
      <rPr>
        <sz val="10"/>
        <color theme="1"/>
        <rFont val="Arial"/>
        <charset val="134"/>
      </rPr>
      <t>(1/m)</t>
    </r>
  </si>
  <si>
    <t>Chu vi cọc u (m)</t>
  </si>
  <si>
    <t>Chiều dài cọc tính từ đáy đài đến nền san lấp</t>
  </si>
  <si>
    <r>
      <rPr>
        <sz val="10"/>
        <color theme="1"/>
        <rFont val="Arial"/>
        <charset val="134"/>
      </rPr>
      <t>L</t>
    </r>
    <r>
      <rPr>
        <vertAlign val="subscript"/>
        <sz val="10"/>
        <color theme="1"/>
        <rFont val="Arial"/>
        <charset val="134"/>
      </rPr>
      <t>0</t>
    </r>
    <r>
      <rPr>
        <sz val="10"/>
        <color theme="1"/>
        <rFont val="Arial"/>
        <charset val="134"/>
      </rPr>
      <t xml:space="preserve"> (m)</t>
    </r>
  </si>
  <si>
    <t>Chiều dài cọc L (m)</t>
  </si>
  <si>
    <t>Chiều dài tính toán của cọc</t>
  </si>
  <si>
    <r>
      <rPr>
        <sz val="10"/>
        <color theme="1"/>
        <rFont val="Arial"/>
        <charset val="134"/>
      </rPr>
      <t>L</t>
    </r>
    <r>
      <rPr>
        <vertAlign val="subscript"/>
        <sz val="10"/>
        <color theme="1"/>
        <rFont val="Arial"/>
        <charset val="134"/>
      </rPr>
      <t>1</t>
    </r>
    <r>
      <rPr>
        <sz val="10"/>
        <color theme="1"/>
        <rFont val="Arial"/>
        <charset val="134"/>
      </rPr>
      <t xml:space="preserve"> (m)</t>
    </r>
  </si>
  <si>
    <r>
      <rPr>
        <sz val="10"/>
        <color theme="1"/>
        <rFont val="Arial"/>
        <charset val="134"/>
      </rPr>
      <t>Moment quán tính I (m</t>
    </r>
    <r>
      <rPr>
        <vertAlign val="superscript"/>
        <sz val="10"/>
        <color theme="1"/>
        <rFont val="Arial"/>
        <charset val="134"/>
      </rPr>
      <t>4</t>
    </r>
    <r>
      <rPr>
        <sz val="10"/>
        <color theme="1"/>
        <rFont val="Arial"/>
        <charset val="134"/>
      </rPr>
      <t>)</t>
    </r>
  </si>
  <si>
    <t>Độ mảnh của cọc</t>
  </si>
  <si>
    <t>l</t>
  </si>
  <si>
    <t>Cấp độ bền bê tông (B)</t>
  </si>
  <si>
    <t>Hệ số uốn dọc</t>
  </si>
  <si>
    <t>j</t>
  </si>
  <si>
    <r>
      <rPr>
        <sz val="10"/>
        <color theme="1"/>
        <rFont val="Arial"/>
        <charset val="134"/>
      </rPr>
      <t>R</t>
    </r>
    <r>
      <rPr>
        <vertAlign val="subscript"/>
        <sz val="10"/>
        <color theme="1"/>
        <rFont val="Arial"/>
        <charset val="134"/>
      </rPr>
      <t>b</t>
    </r>
    <r>
      <rPr>
        <sz val="10"/>
        <color theme="1"/>
        <rFont val="Arial"/>
        <charset val="134"/>
      </rPr>
      <t xml:space="preserve"> (N/mm</t>
    </r>
    <r>
      <rPr>
        <vertAlign val="superscript"/>
        <sz val="10"/>
        <color theme="1"/>
        <rFont val="Arial"/>
        <charset val="134"/>
      </rPr>
      <t>2</t>
    </r>
    <r>
      <rPr>
        <sz val="10"/>
        <color theme="1"/>
        <rFont val="Arial"/>
        <charset val="134"/>
      </rPr>
      <t>)</t>
    </r>
  </si>
  <si>
    <r>
      <rPr>
        <sz val="10"/>
        <color theme="1"/>
        <rFont val="Arial"/>
        <charset val="134"/>
      </rPr>
      <t>E</t>
    </r>
    <r>
      <rPr>
        <vertAlign val="subscript"/>
        <sz val="10"/>
        <color theme="1"/>
        <rFont val="Arial"/>
        <charset val="134"/>
      </rPr>
      <t>b</t>
    </r>
    <r>
      <rPr>
        <sz val="10"/>
        <color theme="1"/>
        <rFont val="Arial"/>
        <charset val="134"/>
      </rPr>
      <t xml:space="preserve"> (N/mm</t>
    </r>
    <r>
      <rPr>
        <vertAlign val="superscript"/>
        <sz val="10"/>
        <color theme="1"/>
        <rFont val="Arial"/>
        <charset val="134"/>
      </rPr>
      <t>2</t>
    </r>
    <r>
      <rPr>
        <sz val="10"/>
        <color theme="1"/>
        <rFont val="Arial"/>
        <charset val="134"/>
      </rPr>
      <t>)</t>
    </r>
  </si>
  <si>
    <t>Sức chịu tải của cọc theo vật liệu</t>
  </si>
  <si>
    <t>Cường độ thép</t>
  </si>
  <si>
    <r>
      <rPr>
        <sz val="10"/>
        <color theme="1"/>
        <rFont val="Arial"/>
        <charset val="134"/>
      </rPr>
      <t>R</t>
    </r>
    <r>
      <rPr>
        <vertAlign val="subscript"/>
        <sz val="10"/>
        <color theme="1"/>
        <rFont val="Arial"/>
        <charset val="134"/>
      </rPr>
      <t xml:space="preserve">sc  </t>
    </r>
    <r>
      <rPr>
        <sz val="10"/>
        <color theme="1"/>
        <rFont val="Arial"/>
        <charset val="134"/>
      </rPr>
      <t>(N/mm</t>
    </r>
    <r>
      <rPr>
        <vertAlign val="superscript"/>
        <sz val="10"/>
        <color theme="1"/>
        <rFont val="Arial"/>
        <charset val="134"/>
      </rPr>
      <t>2</t>
    </r>
    <r>
      <rPr>
        <sz val="10"/>
        <color theme="1"/>
        <rFont val="Arial"/>
        <charset val="134"/>
      </rPr>
      <t>)</t>
    </r>
  </si>
  <si>
    <r>
      <rPr>
        <b/>
        <sz val="10"/>
        <rFont val="Arial"/>
        <charset val="134"/>
      </rPr>
      <t xml:space="preserve"> R</t>
    </r>
    <r>
      <rPr>
        <b/>
        <vertAlign val="subscript"/>
        <sz val="10"/>
        <rFont val="Arial"/>
        <charset val="134"/>
      </rPr>
      <t>m</t>
    </r>
    <r>
      <rPr>
        <b/>
        <sz val="10"/>
        <rFont val="Arial"/>
        <charset val="134"/>
      </rPr>
      <t xml:space="preserve"> = </t>
    </r>
    <r>
      <rPr>
        <b/>
        <sz val="10"/>
        <rFont val="Symbol"/>
        <charset val="2"/>
      </rPr>
      <t>j(g</t>
    </r>
    <r>
      <rPr>
        <b/>
        <vertAlign val="subscript"/>
        <sz val="10"/>
        <rFont val="Times New Roman"/>
        <charset val="134"/>
      </rPr>
      <t>cb</t>
    </r>
    <r>
      <rPr>
        <b/>
        <sz val="10"/>
        <rFont val="Symbol"/>
        <charset val="2"/>
      </rPr>
      <t>g</t>
    </r>
    <r>
      <rPr>
        <b/>
        <sz val="10"/>
        <rFont val="Times New Roman"/>
        <charset val="134"/>
      </rPr>
      <t>'</t>
    </r>
    <r>
      <rPr>
        <b/>
        <vertAlign val="subscript"/>
        <sz val="10"/>
        <rFont val="Times New Roman"/>
        <charset val="134"/>
      </rPr>
      <t>cb</t>
    </r>
    <r>
      <rPr>
        <b/>
        <sz val="10"/>
        <rFont val="Arial"/>
        <charset val="134"/>
      </rPr>
      <t>R</t>
    </r>
    <r>
      <rPr>
        <b/>
        <vertAlign val="subscript"/>
        <sz val="10"/>
        <rFont val="Arial"/>
        <charset val="134"/>
      </rPr>
      <t>b</t>
    </r>
    <r>
      <rPr>
        <b/>
        <sz val="10"/>
        <rFont val="Arial"/>
        <charset val="134"/>
      </rPr>
      <t>.A</t>
    </r>
    <r>
      <rPr>
        <b/>
        <vertAlign val="subscript"/>
        <sz val="10"/>
        <rFont val="Arial"/>
        <charset val="134"/>
      </rPr>
      <t>b</t>
    </r>
    <r>
      <rPr>
        <b/>
        <sz val="10"/>
        <rFont val="Arial"/>
        <charset val="134"/>
      </rPr>
      <t xml:space="preserve"> + R</t>
    </r>
    <r>
      <rPr>
        <b/>
        <vertAlign val="subscript"/>
        <sz val="10"/>
        <rFont val="Arial"/>
        <charset val="134"/>
      </rPr>
      <t>sc</t>
    </r>
    <r>
      <rPr>
        <b/>
        <sz val="10"/>
        <rFont val="Arial"/>
        <charset val="134"/>
      </rPr>
      <t>.A</t>
    </r>
    <r>
      <rPr>
        <b/>
        <vertAlign val="subscript"/>
        <sz val="10"/>
        <rFont val="Arial"/>
        <charset val="134"/>
      </rPr>
      <t>s</t>
    </r>
    <r>
      <rPr>
        <b/>
        <sz val="10"/>
        <rFont val="Arial"/>
        <charset val="134"/>
      </rPr>
      <t>)</t>
    </r>
  </si>
  <si>
    <r>
      <rPr>
        <b/>
        <sz val="10"/>
        <color theme="1"/>
        <rFont val="Arial"/>
        <charset val="134"/>
      </rPr>
      <t>R</t>
    </r>
    <r>
      <rPr>
        <b/>
        <vertAlign val="subscript"/>
        <sz val="10"/>
        <color theme="1"/>
        <rFont val="Arial"/>
        <charset val="134"/>
      </rPr>
      <t xml:space="preserve">m </t>
    </r>
    <r>
      <rPr>
        <b/>
        <sz val="10"/>
        <color theme="1"/>
        <rFont val="Arial"/>
        <charset val="134"/>
      </rPr>
      <t>(kN)</t>
    </r>
  </si>
  <si>
    <t>Tổng hợp sức chịu tải của cọc theo đất nền</t>
  </si>
  <si>
    <t>Tính theo công thức Nhật Bản</t>
  </si>
  <si>
    <r>
      <rPr>
        <sz val="10"/>
        <rFont val="Arial"/>
        <charset val="134"/>
      </rPr>
      <t>R</t>
    </r>
    <r>
      <rPr>
        <vertAlign val="subscript"/>
        <sz val="10"/>
        <rFont val="Arial"/>
        <charset val="134"/>
      </rPr>
      <t>c,u</t>
    </r>
  </si>
  <si>
    <r>
      <rPr>
        <b/>
        <sz val="10"/>
        <color theme="1"/>
        <rFont val="Symbol"/>
        <charset val="2"/>
      </rPr>
      <t>S</t>
    </r>
    <r>
      <rPr>
        <b/>
        <sz val="10"/>
        <color theme="1"/>
        <rFont val="Arial"/>
        <charset val="134"/>
      </rPr>
      <t>uf</t>
    </r>
    <r>
      <rPr>
        <b/>
        <vertAlign val="subscript"/>
        <sz val="10"/>
        <color theme="1"/>
        <rFont val="Arial"/>
        <charset val="134"/>
      </rPr>
      <t>c,s,I</t>
    </r>
    <r>
      <rPr>
        <b/>
        <sz val="10"/>
        <color theme="1"/>
        <rFont val="Arial"/>
        <charset val="134"/>
      </rPr>
      <t>L</t>
    </r>
    <r>
      <rPr>
        <b/>
        <vertAlign val="subscript"/>
        <sz val="10"/>
        <color theme="1"/>
        <rFont val="Arial"/>
        <charset val="134"/>
      </rPr>
      <t>c,s,1</t>
    </r>
  </si>
  <si>
    <t>=</t>
  </si>
  <si>
    <t>kN</t>
  </si>
  <si>
    <t>Tính theo CT Meyerhof (Chỉ dùng cho đất rời)</t>
  </si>
  <si>
    <t>Tính theo chỉ tiêu cường độ đất nền</t>
  </si>
  <si>
    <t>Sức chịu tải tiêu chuẩn của cọc</t>
  </si>
  <si>
    <r>
      <rPr>
        <sz val="10"/>
        <rFont val="Arial"/>
        <charset val="134"/>
      </rPr>
      <t>R</t>
    </r>
    <r>
      <rPr>
        <vertAlign val="subscript"/>
        <sz val="10"/>
        <rFont val="Arial"/>
        <charset val="134"/>
      </rPr>
      <t>c,k</t>
    </r>
    <r>
      <rPr>
        <sz val="10"/>
        <rFont val="Arial"/>
        <charset val="134"/>
      </rPr>
      <t xml:space="preserve"> = min( R</t>
    </r>
    <r>
      <rPr>
        <vertAlign val="subscript"/>
        <sz val="10"/>
        <rFont val="Arial"/>
        <charset val="134"/>
      </rPr>
      <t>c,u1</t>
    </r>
    <r>
      <rPr>
        <sz val="10"/>
        <rFont val="Arial"/>
        <charset val="134"/>
      </rPr>
      <t>, R</t>
    </r>
    <r>
      <rPr>
        <vertAlign val="subscript"/>
        <sz val="10"/>
        <rFont val="Arial"/>
        <charset val="134"/>
      </rPr>
      <t>c,u2</t>
    </r>
    <r>
      <rPr>
        <sz val="10"/>
        <rFont val="Arial"/>
        <charset val="134"/>
      </rPr>
      <t xml:space="preserve"> )</t>
    </r>
  </si>
  <si>
    <t>Thông số</t>
  </si>
  <si>
    <t>Kí hiệu</t>
  </si>
  <si>
    <t>1 cọc</t>
  </si>
  <si>
    <t>2-5 cọc</t>
  </si>
  <si>
    <t>6-10 cọc</t>
  </si>
  <si>
    <t>11 - 20 cọc</t>
  </si>
  <si>
    <t>&gt;20 cọc</t>
  </si>
  <si>
    <t>Hệ số độ tin cậy theo đất</t>
  </si>
  <si>
    <r>
      <rPr>
        <sz val="10"/>
        <rFont val="Symbol"/>
        <charset val="2"/>
      </rPr>
      <t>g</t>
    </r>
    <r>
      <rPr>
        <vertAlign val="subscript"/>
        <sz val="10"/>
        <rFont val="Arial"/>
        <charset val="134"/>
      </rPr>
      <t>k</t>
    </r>
  </si>
  <si>
    <r>
      <rPr>
        <sz val="10"/>
        <rFont val="Symbol"/>
        <charset val="2"/>
      </rPr>
      <t>g</t>
    </r>
    <r>
      <rPr>
        <vertAlign val="subscript"/>
        <sz val="10"/>
        <rFont val="Arial"/>
        <charset val="134"/>
      </rPr>
      <t>0</t>
    </r>
  </si>
  <si>
    <t>Hệ số tin cậy về tầm quan trọng của công trình</t>
  </si>
  <si>
    <r>
      <rPr>
        <sz val="10"/>
        <rFont val="Symbol"/>
        <charset val="2"/>
      </rPr>
      <t>g</t>
    </r>
    <r>
      <rPr>
        <vertAlign val="subscript"/>
        <sz val="10"/>
        <rFont val="Arial"/>
        <charset val="134"/>
      </rPr>
      <t>n</t>
    </r>
  </si>
  <si>
    <t>Sức chịu tải thiết kế của cọc</t>
  </si>
  <si>
    <r>
      <rPr>
        <sz val="10"/>
        <rFont val="Arial"/>
        <charset val="134"/>
      </rPr>
      <t>R</t>
    </r>
    <r>
      <rPr>
        <vertAlign val="subscript"/>
        <sz val="10"/>
        <rFont val="Arial"/>
        <charset val="134"/>
      </rPr>
      <t xml:space="preserve">c,d </t>
    </r>
    <r>
      <rPr>
        <sz val="10"/>
        <rFont val="Arial"/>
        <charset val="134"/>
      </rPr>
      <t>= R</t>
    </r>
    <r>
      <rPr>
        <vertAlign val="subscript"/>
        <sz val="10"/>
        <rFont val="Arial"/>
        <charset val="134"/>
      </rPr>
      <t xml:space="preserve">c,k </t>
    </r>
    <r>
      <rPr>
        <sz val="10"/>
        <rFont val="Arial"/>
        <charset val="134"/>
      </rPr>
      <t xml:space="preserve">/ </t>
    </r>
    <r>
      <rPr>
        <sz val="10"/>
        <rFont val="Symbol"/>
        <charset val="2"/>
      </rPr>
      <t>g</t>
    </r>
    <r>
      <rPr>
        <vertAlign val="subscript"/>
        <sz val="10"/>
        <rFont val="Arial"/>
        <charset val="134"/>
      </rPr>
      <t>k</t>
    </r>
  </si>
  <si>
    <r>
      <rPr>
        <sz val="10"/>
        <rFont val="Arial"/>
        <charset val="134"/>
      </rPr>
      <t>R</t>
    </r>
    <r>
      <rPr>
        <vertAlign val="subscript"/>
        <sz val="10"/>
        <rFont val="Arial"/>
        <charset val="134"/>
      </rPr>
      <t>s</t>
    </r>
    <r>
      <rPr>
        <sz val="10"/>
        <rFont val="Arial"/>
        <charset val="134"/>
      </rPr>
      <t xml:space="preserve"> =</t>
    </r>
    <r>
      <rPr>
        <sz val="10"/>
        <rFont val="Symbol"/>
        <charset val="2"/>
      </rPr>
      <t xml:space="preserve"> g</t>
    </r>
    <r>
      <rPr>
        <vertAlign val="subscript"/>
        <sz val="10"/>
        <rFont val="Arial"/>
        <charset val="134"/>
      </rPr>
      <t>0</t>
    </r>
    <r>
      <rPr>
        <sz val="10"/>
        <rFont val="Arial"/>
        <charset val="134"/>
      </rPr>
      <t>.R</t>
    </r>
    <r>
      <rPr>
        <vertAlign val="subscript"/>
        <sz val="10"/>
        <rFont val="Arial"/>
        <charset val="134"/>
      </rPr>
      <t xml:space="preserve">c,d </t>
    </r>
    <r>
      <rPr>
        <sz val="10"/>
        <rFont val="Arial"/>
        <charset val="134"/>
      </rPr>
      <t>/</t>
    </r>
    <r>
      <rPr>
        <sz val="10"/>
        <rFont val="Symbol"/>
        <charset val="2"/>
      </rPr>
      <t>g</t>
    </r>
    <r>
      <rPr>
        <vertAlign val="subscript"/>
        <sz val="10"/>
        <rFont val="Arial"/>
        <charset val="134"/>
      </rPr>
      <t>n</t>
    </r>
  </si>
  <si>
    <r>
      <rPr>
        <sz val="10"/>
        <rFont val="Arial"/>
        <charset val="134"/>
      </rPr>
      <t>R</t>
    </r>
    <r>
      <rPr>
        <vertAlign val="subscript"/>
        <sz val="10"/>
        <rFont val="Arial"/>
        <charset val="134"/>
      </rPr>
      <t>ds</t>
    </r>
    <r>
      <rPr>
        <sz val="10"/>
        <rFont val="Arial"/>
        <charset val="134"/>
      </rPr>
      <t xml:space="preserve"> = Min(R</t>
    </r>
    <r>
      <rPr>
        <vertAlign val="subscript"/>
        <sz val="10"/>
        <rFont val="Arial"/>
        <charset val="134"/>
      </rPr>
      <t>m</t>
    </r>
    <r>
      <rPr>
        <sz val="10"/>
        <rFont val="Arial"/>
        <charset val="134"/>
      </rPr>
      <t>,R</t>
    </r>
    <r>
      <rPr>
        <vertAlign val="subscript"/>
        <sz val="10"/>
        <rFont val="Arial"/>
        <charset val="134"/>
      </rPr>
      <t>s</t>
    </r>
    <r>
      <rPr>
        <sz val="10"/>
        <rFont val="Arial"/>
        <charset val="134"/>
      </rPr>
      <t>)</t>
    </r>
  </si>
  <si>
    <t>B. Sức chịu tải của cọc theo đất nền (TCVN 10304:2014)</t>
  </si>
  <si>
    <t>Thông số đất</t>
  </si>
  <si>
    <t>SCT của cọc tính theo công thức Nhật Bản</t>
  </si>
  <si>
    <r>
      <rPr>
        <b/>
        <sz val="10"/>
        <rFont val="Arial"/>
        <charset val="134"/>
      </rPr>
      <t>k</t>
    </r>
    <r>
      <rPr>
        <b/>
        <vertAlign val="subscript"/>
        <sz val="10"/>
        <rFont val="Arial"/>
        <charset val="134"/>
      </rPr>
      <t>b,c</t>
    </r>
  </si>
  <si>
    <r>
      <rPr>
        <b/>
        <sz val="10"/>
        <rFont val="Arial"/>
        <charset val="134"/>
      </rPr>
      <t>k</t>
    </r>
    <r>
      <rPr>
        <b/>
        <vertAlign val="subscript"/>
        <sz val="10"/>
        <rFont val="Arial"/>
        <charset val="134"/>
      </rPr>
      <t>b,s</t>
    </r>
  </si>
  <si>
    <t>Lớp đất</t>
  </si>
  <si>
    <t>Trạng
thái</t>
  </si>
  <si>
    <t>Độ
sâu</t>
  </si>
  <si>
    <t>Chiều
dày</t>
  </si>
  <si>
    <r>
      <rPr>
        <b/>
        <sz val="10"/>
        <color theme="1"/>
        <rFont val="Arial"/>
        <charset val="134"/>
      </rPr>
      <t>N</t>
    </r>
    <r>
      <rPr>
        <b/>
        <vertAlign val="subscript"/>
        <sz val="10"/>
        <color theme="1"/>
        <rFont val="Arial"/>
        <charset val="134"/>
      </rPr>
      <t>spt</t>
    </r>
  </si>
  <si>
    <r>
      <rPr>
        <b/>
        <sz val="10"/>
        <color theme="1"/>
        <rFont val="Arial"/>
        <charset val="134"/>
      </rPr>
      <t>C</t>
    </r>
    <r>
      <rPr>
        <b/>
        <vertAlign val="subscript"/>
        <sz val="10"/>
        <color theme="1"/>
        <rFont val="Arial"/>
        <charset val="134"/>
      </rPr>
      <t>u,i</t>
    </r>
  </si>
  <si>
    <r>
      <rPr>
        <b/>
        <sz val="10"/>
        <color theme="1"/>
        <rFont val="Symbol"/>
        <charset val="2"/>
      </rPr>
      <t>g</t>
    </r>
    <r>
      <rPr>
        <b/>
        <vertAlign val="subscript"/>
        <sz val="10"/>
        <color theme="1"/>
        <rFont val="Arial"/>
        <charset val="134"/>
      </rPr>
      <t>w</t>
    </r>
  </si>
  <si>
    <r>
      <rPr>
        <b/>
        <sz val="10"/>
        <color theme="1"/>
        <rFont val="Symbol"/>
        <charset val="2"/>
      </rPr>
      <t>g</t>
    </r>
    <r>
      <rPr>
        <b/>
        <vertAlign val="subscript"/>
        <sz val="10"/>
        <color theme="1"/>
        <rFont val="Arial"/>
        <charset val="134"/>
      </rPr>
      <t>dn</t>
    </r>
  </si>
  <si>
    <r>
      <rPr>
        <b/>
        <sz val="10"/>
        <color theme="1"/>
        <rFont val="Symbol"/>
        <charset val="2"/>
      </rPr>
      <t>s</t>
    </r>
    <r>
      <rPr>
        <b/>
        <sz val="10"/>
        <color theme="1"/>
        <rFont val="Arial"/>
        <charset val="134"/>
      </rPr>
      <t>'</t>
    </r>
    <r>
      <rPr>
        <b/>
        <vertAlign val="subscript"/>
        <sz val="10"/>
        <color theme="1"/>
        <rFont val="Arial"/>
        <charset val="134"/>
      </rPr>
      <t>v</t>
    </r>
  </si>
  <si>
    <r>
      <rPr>
        <b/>
        <sz val="10"/>
        <color theme="1"/>
        <rFont val="Arial"/>
        <charset val="134"/>
      </rPr>
      <t>C</t>
    </r>
    <r>
      <rPr>
        <b/>
        <vertAlign val="subscript"/>
        <sz val="10"/>
        <color theme="1"/>
        <rFont val="Arial"/>
        <charset val="134"/>
      </rPr>
      <t xml:space="preserve">u,i </t>
    </r>
    <r>
      <rPr>
        <b/>
        <sz val="10"/>
        <color theme="1"/>
        <rFont val="Arial"/>
        <charset val="134"/>
      </rPr>
      <t>/</t>
    </r>
    <r>
      <rPr>
        <b/>
        <sz val="10"/>
        <color theme="1"/>
        <rFont val="Symbol"/>
        <charset val="2"/>
      </rPr>
      <t>s</t>
    </r>
    <r>
      <rPr>
        <b/>
        <sz val="10"/>
        <color theme="1"/>
        <rFont val="Arial"/>
        <charset val="134"/>
      </rPr>
      <t>'</t>
    </r>
    <r>
      <rPr>
        <b/>
        <vertAlign val="subscript"/>
        <sz val="10"/>
        <color theme="1"/>
        <rFont val="Arial"/>
        <charset val="134"/>
      </rPr>
      <t>v</t>
    </r>
  </si>
  <si>
    <r>
      <rPr>
        <b/>
        <sz val="10"/>
        <color theme="1"/>
        <rFont val="Symbol"/>
        <charset val="2"/>
      </rPr>
      <t>a</t>
    </r>
    <r>
      <rPr>
        <b/>
        <vertAlign val="subscript"/>
        <sz val="10"/>
        <color theme="1"/>
        <rFont val="Arial"/>
        <charset val="134"/>
      </rPr>
      <t>p</t>
    </r>
  </si>
  <si>
    <r>
      <rPr>
        <b/>
        <sz val="10"/>
        <color theme="1"/>
        <rFont val="Arial"/>
        <charset val="134"/>
      </rPr>
      <t>f</t>
    </r>
    <r>
      <rPr>
        <b/>
        <vertAlign val="subscript"/>
        <sz val="10"/>
        <color theme="1"/>
        <rFont val="Arial"/>
        <charset val="134"/>
      </rPr>
      <t>L</t>
    </r>
  </si>
  <si>
    <r>
      <rPr>
        <b/>
        <sz val="10"/>
        <color theme="1"/>
        <rFont val="Arial"/>
        <charset val="134"/>
      </rPr>
      <t>uf</t>
    </r>
    <r>
      <rPr>
        <b/>
        <vertAlign val="subscript"/>
        <sz val="10"/>
        <color theme="1"/>
        <rFont val="Arial"/>
        <charset val="134"/>
      </rPr>
      <t>c,i</t>
    </r>
    <r>
      <rPr>
        <b/>
        <sz val="10"/>
        <color theme="1"/>
        <rFont val="Arial"/>
        <charset val="134"/>
      </rPr>
      <t>L</t>
    </r>
    <r>
      <rPr>
        <b/>
        <vertAlign val="subscript"/>
        <sz val="10"/>
        <color theme="1"/>
        <rFont val="Arial"/>
        <charset val="134"/>
      </rPr>
      <t>c,1</t>
    </r>
  </si>
  <si>
    <r>
      <rPr>
        <b/>
        <sz val="10"/>
        <color theme="1"/>
        <rFont val="Arial"/>
        <charset val="134"/>
      </rPr>
      <t>uf</t>
    </r>
    <r>
      <rPr>
        <b/>
        <vertAlign val="subscript"/>
        <sz val="10"/>
        <color theme="1"/>
        <rFont val="Arial"/>
        <charset val="134"/>
      </rPr>
      <t>s,i</t>
    </r>
    <r>
      <rPr>
        <b/>
        <sz val="10"/>
        <color theme="1"/>
        <rFont val="Arial"/>
        <charset val="134"/>
      </rPr>
      <t>L</t>
    </r>
    <r>
      <rPr>
        <b/>
        <vertAlign val="subscript"/>
        <sz val="10"/>
        <color theme="1"/>
        <rFont val="Arial"/>
        <charset val="134"/>
      </rPr>
      <t>s,1</t>
    </r>
  </si>
  <si>
    <r>
      <rPr>
        <b/>
        <sz val="10"/>
        <color theme="1"/>
        <rFont val="Symbol"/>
        <charset val="2"/>
      </rPr>
      <t>S</t>
    </r>
    <r>
      <rPr>
        <b/>
        <sz val="10"/>
        <color theme="1"/>
        <rFont val="Arial"/>
        <charset val="134"/>
      </rPr>
      <t>uf</t>
    </r>
    <r>
      <rPr>
        <b/>
        <vertAlign val="subscript"/>
        <sz val="10"/>
        <color theme="1"/>
        <rFont val="Arial"/>
        <charset val="134"/>
      </rPr>
      <t xml:space="preserve">c,s,I
</t>
    </r>
    <r>
      <rPr>
        <b/>
        <sz val="10"/>
        <color theme="1"/>
        <rFont val="Arial"/>
        <charset val="134"/>
      </rPr>
      <t>L</t>
    </r>
    <r>
      <rPr>
        <b/>
        <vertAlign val="subscript"/>
        <sz val="10"/>
        <color theme="1"/>
        <rFont val="Arial"/>
        <charset val="134"/>
      </rPr>
      <t>c,s,1</t>
    </r>
  </si>
  <si>
    <r>
      <rPr>
        <b/>
        <sz val="10"/>
        <color theme="1"/>
        <rFont val="Arial"/>
        <charset val="134"/>
      </rPr>
      <t>A</t>
    </r>
    <r>
      <rPr>
        <b/>
        <vertAlign val="subscript"/>
        <sz val="10"/>
        <color theme="1"/>
        <rFont val="Arial"/>
        <charset val="134"/>
      </rPr>
      <t>b</t>
    </r>
    <r>
      <rPr>
        <b/>
        <sz val="10"/>
        <color theme="1"/>
        <rFont val="Arial"/>
        <charset val="134"/>
      </rPr>
      <t>q</t>
    </r>
    <r>
      <rPr>
        <b/>
        <vertAlign val="subscript"/>
        <sz val="10"/>
        <color theme="1"/>
        <rFont val="Arial"/>
        <charset val="134"/>
      </rPr>
      <t>b</t>
    </r>
  </si>
  <si>
    <r>
      <rPr>
        <b/>
        <sz val="10"/>
        <color theme="1"/>
        <rFont val="Arial"/>
        <charset val="134"/>
      </rPr>
      <t>R</t>
    </r>
    <r>
      <rPr>
        <b/>
        <vertAlign val="subscript"/>
        <sz val="10"/>
        <color theme="1"/>
        <rFont val="Arial"/>
        <charset val="134"/>
      </rPr>
      <t>c,u</t>
    </r>
  </si>
  <si>
    <r>
      <rPr>
        <b/>
        <sz val="10"/>
        <color theme="1"/>
        <rFont val="Arial"/>
        <charset val="134"/>
      </rPr>
      <t>(kN/m</t>
    </r>
    <r>
      <rPr>
        <b/>
        <vertAlign val="superscript"/>
        <sz val="10"/>
        <color theme="1"/>
        <rFont val="Arial"/>
        <charset val="134"/>
      </rPr>
      <t>2</t>
    </r>
    <r>
      <rPr>
        <b/>
        <sz val="10"/>
        <color theme="1"/>
        <rFont val="Arial"/>
        <charset val="134"/>
      </rPr>
      <t>)</t>
    </r>
  </si>
  <si>
    <r>
      <rPr>
        <b/>
        <sz val="10"/>
        <color theme="1"/>
        <rFont val="Arial"/>
        <charset val="134"/>
      </rPr>
      <t>(kN/m</t>
    </r>
    <r>
      <rPr>
        <b/>
        <vertAlign val="superscript"/>
        <sz val="10"/>
        <color theme="1"/>
        <rFont val="Arial"/>
        <charset val="134"/>
      </rPr>
      <t>3</t>
    </r>
    <r>
      <rPr>
        <b/>
        <sz val="10"/>
        <color theme="1"/>
        <rFont val="Arial"/>
        <charset val="134"/>
      </rPr>
      <t>)</t>
    </r>
  </si>
  <si>
    <t>(kN)</t>
  </si>
  <si>
    <t>SCT của cọc theo chỉ tiêu cường độ đất nền</t>
  </si>
  <si>
    <r>
      <rPr>
        <b/>
        <sz val="10"/>
        <rFont val="Arial"/>
        <charset val="134"/>
      </rPr>
      <t>N'</t>
    </r>
    <r>
      <rPr>
        <b/>
        <vertAlign val="subscript"/>
        <sz val="10"/>
        <rFont val="Arial"/>
        <charset val="134"/>
      </rPr>
      <t>c</t>
    </r>
  </si>
  <si>
    <t>d (m)</t>
  </si>
  <si>
    <r>
      <rPr>
        <b/>
        <sz val="10"/>
        <rFont val="Arial"/>
        <charset val="134"/>
      </rPr>
      <t>N'</t>
    </r>
    <r>
      <rPr>
        <b/>
        <vertAlign val="subscript"/>
        <sz val="10"/>
        <rFont val="Arial"/>
        <charset val="134"/>
      </rPr>
      <t>q</t>
    </r>
  </si>
  <si>
    <r>
      <rPr>
        <b/>
        <sz val="10"/>
        <color theme="1"/>
        <rFont val="Arial"/>
        <charset val="134"/>
      </rPr>
      <t>Z</t>
    </r>
    <r>
      <rPr>
        <b/>
        <vertAlign val="subscript"/>
        <sz val="10"/>
        <color theme="1"/>
        <rFont val="Arial"/>
        <charset val="134"/>
      </rPr>
      <t>L</t>
    </r>
  </si>
  <si>
    <r>
      <rPr>
        <b/>
        <sz val="10"/>
        <color theme="1"/>
        <rFont val="Arial"/>
        <charset val="134"/>
      </rPr>
      <t>q'</t>
    </r>
    <r>
      <rPr>
        <b/>
        <vertAlign val="subscript"/>
        <sz val="10"/>
        <color theme="1"/>
        <rFont val="Symbol"/>
        <charset val="2"/>
      </rPr>
      <t>g</t>
    </r>
    <r>
      <rPr>
        <b/>
        <vertAlign val="subscript"/>
        <sz val="10"/>
        <color theme="1"/>
        <rFont val="Arial"/>
        <charset val="134"/>
      </rPr>
      <t>,p</t>
    </r>
  </si>
  <si>
    <t>d</t>
  </si>
  <si>
    <t>a</t>
  </si>
  <si>
    <t>SCT Cọc tính theo công thức Meyerhof</t>
  </si>
  <si>
    <r>
      <rPr>
        <b/>
        <sz val="10"/>
        <rFont val="Arial"/>
        <charset val="134"/>
      </rPr>
      <t>k</t>
    </r>
    <r>
      <rPr>
        <b/>
        <vertAlign val="subscript"/>
        <sz val="10"/>
        <rFont val="Arial"/>
        <charset val="134"/>
      </rPr>
      <t>2</t>
    </r>
    <r>
      <rPr>
        <b/>
        <sz val="10"/>
        <rFont val="Arial"/>
        <charset val="134"/>
      </rPr>
      <t xml:space="preserve"> </t>
    </r>
  </si>
  <si>
    <r>
      <rPr>
        <b/>
        <sz val="10"/>
        <rFont val="Arial"/>
        <charset val="134"/>
      </rPr>
      <t>k</t>
    </r>
    <r>
      <rPr>
        <b/>
        <vertAlign val="subscript"/>
        <sz val="10"/>
        <rFont val="Arial"/>
        <charset val="134"/>
      </rPr>
      <t>1</t>
    </r>
    <r>
      <rPr>
        <b/>
        <sz val="10"/>
        <rFont val="Arial"/>
        <charset val="134"/>
      </rPr>
      <t xml:space="preserve"> </t>
    </r>
  </si>
  <si>
    <t>STT</t>
  </si>
  <si>
    <t>Tầng</t>
  </si>
  <si>
    <t>Case
Combo</t>
  </si>
  <si>
    <t>ĐK cọc</t>
  </si>
  <si>
    <t>Type</t>
  </si>
  <si>
    <t>SCT</t>
  </si>
  <si>
    <t>FS</t>
  </si>
  <si>
    <t>Mép cọc-
Mép đài</t>
  </si>
  <si>
    <t>Kc
Cọc</t>
  </si>
  <si>
    <t>CGX</t>
  </si>
  <si>
    <t>CGY</t>
  </si>
  <si>
    <t>Góc
Quay</t>
  </si>
  <si>
    <t>Góc cộng thêm</t>
  </si>
  <si>
    <t>Kí
hiệu</t>
  </si>
  <si>
    <t>1
cọc</t>
  </si>
  <si>
    <t>2-5
cọc</t>
  </si>
  <si>
    <t>6-10
cọc</t>
  </si>
  <si>
    <t>11-20
cọc</t>
  </si>
  <si>
    <t>&gt;20
cọc</t>
  </si>
  <si>
    <t>KN1</t>
  </si>
  <si>
    <t>3D</t>
  </si>
  <si>
    <t>Độ</t>
  </si>
  <si>
    <t>Point</t>
  </si>
  <si>
    <t>GlobalX</t>
  </si>
  <si>
    <t>GlobalY</t>
  </si>
  <si>
    <t>GlobalZ</t>
  </si>
  <si>
    <t>SpecialPt</t>
  </si>
  <si>
    <t>34</t>
  </si>
  <si>
    <t>35</t>
  </si>
  <si>
    <t>36</t>
  </si>
  <si>
    <t>38</t>
  </si>
  <si>
    <t>39</t>
  </si>
  <si>
    <t>40</t>
  </si>
  <si>
    <t>41</t>
  </si>
  <si>
    <t>42</t>
  </si>
  <si>
    <t>43</t>
  </si>
  <si>
    <t>45</t>
  </si>
  <si>
    <t>46</t>
  </si>
  <si>
    <t>47</t>
  </si>
  <si>
    <t>48</t>
  </si>
  <si>
    <t>49</t>
  </si>
  <si>
    <t>50</t>
  </si>
  <si>
    <t>52</t>
  </si>
  <si>
    <t>53</t>
  </si>
  <si>
    <t>54</t>
  </si>
  <si>
    <t>55</t>
  </si>
  <si>
    <t>56</t>
  </si>
  <si>
    <t>57</t>
  </si>
  <si>
    <t>59</t>
  </si>
  <si>
    <t>60</t>
  </si>
  <si>
    <t>61</t>
  </si>
  <si>
    <t>62</t>
  </si>
  <si>
    <t>63</t>
  </si>
  <si>
    <t>64</t>
  </si>
  <si>
    <t>66</t>
  </si>
  <si>
    <t>67</t>
  </si>
  <si>
    <t>68</t>
  </si>
  <si>
    <t>83</t>
  </si>
  <si>
    <t>84</t>
  </si>
  <si>
    <t>85</t>
  </si>
  <si>
    <t>87</t>
  </si>
  <si>
    <t>88</t>
  </si>
  <si>
    <t>89</t>
  </si>
  <si>
    <t>90</t>
  </si>
  <si>
    <t>91</t>
  </si>
  <si>
    <t>92</t>
  </si>
  <si>
    <t>93</t>
  </si>
  <si>
    <t>94</t>
  </si>
  <si>
    <t>95</t>
  </si>
  <si>
    <t>96</t>
  </si>
  <si>
    <t>98</t>
  </si>
  <si>
    <t>99</t>
  </si>
  <si>
    <t>100</t>
  </si>
  <si>
    <t>136</t>
  </si>
  <si>
    <t>137</t>
  </si>
  <si>
    <t>138</t>
  </si>
  <si>
    <t>140</t>
  </si>
  <si>
    <t>141</t>
  </si>
  <si>
    <t>142</t>
  </si>
  <si>
    <t>143</t>
  </si>
  <si>
    <t>144</t>
  </si>
  <si>
    <t>145</t>
  </si>
  <si>
    <t>147</t>
  </si>
  <si>
    <t>148</t>
  </si>
  <si>
    <t>149</t>
  </si>
  <si>
    <t>157</t>
  </si>
  <si>
    <t>159</t>
  </si>
  <si>
    <t>160</t>
  </si>
  <si>
    <t>161</t>
  </si>
  <si>
    <t>162</t>
  </si>
  <si>
    <t>185</t>
  </si>
  <si>
    <t>186</t>
  </si>
  <si>
    <t>187</t>
  </si>
  <si>
    <t>188</t>
  </si>
  <si>
    <t>189</t>
  </si>
  <si>
    <t>190</t>
  </si>
  <si>
    <t>191</t>
  </si>
  <si>
    <t>192</t>
  </si>
  <si>
    <t>193</t>
  </si>
  <si>
    <t>194</t>
  </si>
  <si>
    <t>196</t>
  </si>
  <si>
    <t>197</t>
  </si>
  <si>
    <t>198</t>
  </si>
  <si>
    <t>206</t>
  </si>
  <si>
    <t>207</t>
  </si>
  <si>
    <t>208</t>
  </si>
  <si>
    <t>209</t>
  </si>
  <si>
    <t>210</t>
  </si>
  <si>
    <t>211</t>
  </si>
  <si>
    <t>212</t>
  </si>
  <si>
    <t>213</t>
  </si>
  <si>
    <t>214</t>
  </si>
  <si>
    <t>215</t>
  </si>
  <si>
    <t>216</t>
  </si>
  <si>
    <t>217</t>
  </si>
  <si>
    <t>218</t>
  </si>
  <si>
    <t>219</t>
  </si>
  <si>
    <t>347</t>
  </si>
  <si>
    <t>221</t>
  </si>
  <si>
    <t>222</t>
  </si>
  <si>
    <t>223</t>
  </si>
  <si>
    <t>224</t>
  </si>
  <si>
    <t>225</t>
  </si>
  <si>
    <t>226</t>
  </si>
  <si>
    <t>239</t>
  </si>
  <si>
    <t>241</t>
  </si>
  <si>
    <t>242</t>
  </si>
  <si>
    <t>243</t>
  </si>
  <si>
    <t>244</t>
  </si>
  <si>
    <t>259</t>
  </si>
  <si>
    <t>260</t>
  </si>
  <si>
    <t>262</t>
  </si>
  <si>
    <t>263</t>
  </si>
  <si>
    <t>264</t>
  </si>
  <si>
    <t>277</t>
  </si>
  <si>
    <t>279</t>
  </si>
  <si>
    <t>280</t>
  </si>
  <si>
    <t>281</t>
  </si>
  <si>
    <t>282</t>
  </si>
  <si>
    <t>286</t>
  </si>
  <si>
    <t>294</t>
  </si>
  <si>
    <t>295</t>
  </si>
  <si>
    <t>298</t>
  </si>
  <si>
    <t>302</t>
  </si>
  <si>
    <t>306</t>
  </si>
  <si>
    <t>33</t>
  </si>
  <si>
    <t>69</t>
  </si>
  <si>
    <t>81</t>
  </si>
  <si>
    <t>82</t>
  </si>
  <si>
    <t>101</t>
  </si>
  <si>
    <t>102</t>
  </si>
  <si>
    <t>103</t>
  </si>
  <si>
    <t>104</t>
  </si>
  <si>
    <t>105</t>
  </si>
  <si>
    <t>2</t>
  </si>
  <si>
    <t>4</t>
  </si>
  <si>
    <t>6</t>
  </si>
  <si>
    <t>1</t>
  </si>
  <si>
    <t>5</t>
  </si>
  <si>
    <t>7</t>
  </si>
  <si>
    <t>8</t>
  </si>
  <si>
    <t>11</t>
  </si>
  <si>
    <t>13</t>
  </si>
  <si>
    <t>14</t>
  </si>
  <si>
    <t>15</t>
  </si>
  <si>
    <t>20</t>
  </si>
  <si>
    <t>21</t>
  </si>
  <si>
    <t>22</t>
  </si>
  <si>
    <t>23</t>
  </si>
  <si>
    <t>25</t>
  </si>
  <si>
    <t>44</t>
  </si>
  <si>
    <t>51</t>
  </si>
  <si>
    <t>65</t>
  </si>
  <si>
    <t>70</t>
  </si>
  <si>
    <t>71</t>
  </si>
  <si>
    <t>72</t>
  </si>
  <si>
    <t>73</t>
  </si>
  <si>
    <t>74</t>
  </si>
  <si>
    <t>75</t>
  </si>
  <si>
    <t>76</t>
  </si>
  <si>
    <t>78</t>
  </si>
  <si>
    <t>79</t>
  </si>
  <si>
    <t>80</t>
  </si>
  <si>
    <t>86</t>
  </si>
  <si>
    <t>97</t>
  </si>
  <si>
    <t>106</t>
  </si>
  <si>
    <t>3</t>
  </si>
  <si>
    <t>9</t>
  </si>
  <si>
    <t>10</t>
  </si>
  <si>
    <t>12</t>
  </si>
  <si>
    <t>16</t>
  </si>
  <si>
    <t>26</t>
  </si>
  <si>
    <t>32</t>
  </si>
  <si>
    <t>58</t>
  </si>
  <si>
    <t>77</t>
  </si>
  <si>
    <t>107</t>
  </si>
  <si>
    <t>108</t>
  </si>
  <si>
    <t>117</t>
  </si>
  <si>
    <t>119</t>
  </si>
  <si>
    <t>120</t>
  </si>
  <si>
    <t>121</t>
  </si>
  <si>
    <t>122</t>
  </si>
  <si>
    <t>126</t>
  </si>
  <si>
    <t>133</t>
  </si>
  <si>
    <t>150</t>
  </si>
  <si>
    <t>152</t>
  </si>
  <si>
    <t>153</t>
  </si>
  <si>
    <t>154</t>
  </si>
  <si>
    <t>155</t>
  </si>
  <si>
    <t>232</t>
  </si>
  <si>
    <t>234</t>
  </si>
  <si>
    <t>235</t>
  </si>
  <si>
    <t>236</t>
  </si>
  <si>
    <t>237</t>
  </si>
  <si>
    <t>240</t>
  </si>
  <si>
    <t>246</t>
  </si>
  <si>
    <t>247</t>
  </si>
  <si>
    <t>248</t>
  </si>
  <si>
    <t>249</t>
  </si>
  <si>
    <t>251</t>
  </si>
  <si>
    <t>253</t>
  </si>
  <si>
    <t>254</t>
  </si>
  <si>
    <t>255</t>
  </si>
  <si>
    <t>256</t>
  </si>
  <si>
    <t>265</t>
  </si>
  <si>
    <t>266</t>
  </si>
  <si>
    <t>269</t>
  </si>
  <si>
    <t>270</t>
  </si>
  <si>
    <t>271</t>
  </si>
  <si>
    <t>272</t>
  </si>
  <si>
    <t>273</t>
  </si>
  <si>
    <t>274</t>
  </si>
  <si>
    <t>275</t>
  </si>
  <si>
    <t>276</t>
  </si>
  <si>
    <t>284</t>
  </si>
  <si>
    <t>287</t>
  </si>
  <si>
    <t>288</t>
  </si>
  <si>
    <t>289</t>
  </si>
  <si>
    <t>290</t>
  </si>
  <si>
    <t>292</t>
  </si>
  <si>
    <t>296</t>
  </si>
  <si>
    <t>297</t>
  </si>
  <si>
    <t>299</t>
  </si>
  <si>
    <t>300</t>
  </si>
  <si>
    <t>303</t>
  </si>
  <si>
    <t>305</t>
  </si>
  <si>
    <t>307</t>
  </si>
  <si>
    <t>308</t>
  </si>
  <si>
    <t>309</t>
  </si>
  <si>
    <t>311</t>
  </si>
  <si>
    <t>313</t>
  </si>
  <si>
    <t>314</t>
  </si>
  <si>
    <t>315</t>
  </si>
  <si>
    <t>316</t>
  </si>
  <si>
    <t>318</t>
  </si>
  <si>
    <t>320</t>
  </si>
  <si>
    <t>321</t>
  </si>
  <si>
    <t>322</t>
  </si>
  <si>
    <t>323</t>
  </si>
  <si>
    <t>325</t>
  </si>
  <si>
    <t>327</t>
  </si>
  <si>
    <t>328</t>
  </si>
  <si>
    <t>329</t>
  </si>
  <si>
    <t>330</t>
  </si>
  <si>
    <t>332</t>
  </si>
  <si>
    <t>334</t>
  </si>
  <si>
    <t>335</t>
  </si>
  <si>
    <t>336</t>
  </si>
  <si>
    <t>337</t>
  </si>
  <si>
    <t>339</t>
  </si>
  <si>
    <t>341</t>
  </si>
  <si>
    <t>342</t>
  </si>
  <si>
    <t>343</t>
  </si>
  <si>
    <t>344</t>
  </si>
  <si>
    <t>346</t>
  </si>
  <si>
    <t>348</t>
  </si>
  <si>
    <t>349</t>
  </si>
  <si>
    <t>350</t>
  </si>
  <si>
    <t>351</t>
  </si>
  <si>
    <t>353</t>
  </si>
  <si>
    <t>355</t>
  </si>
  <si>
    <t>356</t>
  </si>
  <si>
    <t>357</t>
  </si>
  <si>
    <t>360</t>
  </si>
  <si>
    <t>362</t>
  </si>
  <si>
    <t>363</t>
  </si>
  <si>
    <t>364</t>
  </si>
  <si>
    <t>365</t>
  </si>
  <si>
    <t>367</t>
  </si>
  <si>
    <t>369</t>
  </si>
  <si>
    <t>370</t>
  </si>
  <si>
    <t>371</t>
  </si>
  <si>
    <t>372</t>
  </si>
  <si>
    <t>374</t>
  </si>
  <si>
    <t>376</t>
  </si>
  <si>
    <t>377</t>
  </si>
  <si>
    <t>378</t>
  </si>
  <si>
    <t>379</t>
  </si>
  <si>
    <t>381</t>
  </si>
  <si>
    <t>383</t>
  </si>
  <si>
    <t>384</t>
  </si>
  <si>
    <t>385</t>
  </si>
  <si>
    <t>386</t>
  </si>
  <si>
    <t>388</t>
  </si>
  <si>
    <t>390</t>
  </si>
  <si>
    <t>391</t>
  </si>
  <si>
    <t>392</t>
  </si>
  <si>
    <t>393</t>
  </si>
  <si>
    <t>395</t>
  </si>
  <si>
    <t>397</t>
  </si>
  <si>
    <t>398</t>
  </si>
  <si>
    <t>399</t>
  </si>
  <si>
    <t>400</t>
  </si>
  <si>
    <t>402</t>
  </si>
  <si>
    <t>403</t>
  </si>
  <si>
    <t>406</t>
  </si>
  <si>
    <t>407</t>
  </si>
  <si>
    <t>408</t>
  </si>
  <si>
    <t>409</t>
  </si>
  <si>
    <t>410</t>
  </si>
  <si>
    <t>411</t>
  </si>
  <si>
    <t>412</t>
  </si>
  <si>
    <t>413</t>
  </si>
  <si>
    <t>416</t>
  </si>
  <si>
    <t>417</t>
  </si>
  <si>
    <t>420</t>
  </si>
  <si>
    <t>421</t>
  </si>
  <si>
    <t>422</t>
  </si>
  <si>
    <t>423</t>
  </si>
  <si>
    <t>424</t>
  </si>
  <si>
    <t>425</t>
  </si>
  <si>
    <t>426</t>
  </si>
  <si>
    <t>427</t>
  </si>
  <si>
    <t>430</t>
  </si>
  <si>
    <t>432</t>
  </si>
  <si>
    <t>433</t>
  </si>
  <si>
    <t>434</t>
  </si>
  <si>
    <t>435</t>
  </si>
  <si>
    <t>437</t>
  </si>
  <si>
    <t>438</t>
  </si>
  <si>
    <t>441</t>
  </si>
  <si>
    <t>442</t>
  </si>
  <si>
    <t>443</t>
  </si>
  <si>
    <t>444</t>
  </si>
  <si>
    <t>445</t>
  </si>
  <si>
    <t>446</t>
  </si>
  <si>
    <t>447</t>
  </si>
  <si>
    <t>448</t>
  </si>
  <si>
    <t>451</t>
  </si>
  <si>
    <t>453</t>
  </si>
  <si>
    <t>454</t>
  </si>
  <si>
    <t>455</t>
  </si>
  <si>
    <t>456</t>
  </si>
  <si>
    <t>17</t>
  </si>
  <si>
    <t>18</t>
  </si>
  <si>
    <t>112</t>
  </si>
  <si>
    <t>113</t>
  </si>
  <si>
    <t>114</t>
  </si>
  <si>
    <t>115</t>
  </si>
  <si>
    <t>116</t>
  </si>
  <si>
    <t>158</t>
  </si>
  <si>
    <t>164</t>
  </si>
  <si>
    <t>165</t>
  </si>
  <si>
    <t>168</t>
  </si>
  <si>
    <t>169</t>
  </si>
  <si>
    <t>170</t>
  </si>
  <si>
    <t>171</t>
  </si>
  <si>
    <t>486</t>
  </si>
  <si>
    <t>487</t>
  </si>
  <si>
    <t>488</t>
  </si>
  <si>
    <t>489</t>
  </si>
  <si>
    <t>490</t>
  </si>
  <si>
    <t>491</t>
  </si>
  <si>
    <t>492</t>
  </si>
  <si>
    <t>493</t>
  </si>
  <si>
    <t>494</t>
  </si>
  <si>
    <t>495</t>
  </si>
  <si>
    <t>496</t>
  </si>
  <si>
    <t>497</t>
  </si>
  <si>
    <t>498</t>
  </si>
  <si>
    <t>499</t>
  </si>
  <si>
    <t>500</t>
  </si>
  <si>
    <t>501</t>
  </si>
  <si>
    <t>508</t>
  </si>
  <si>
    <t>509</t>
  </si>
  <si>
    <t>511</t>
  </si>
  <si>
    <t>512</t>
  </si>
  <si>
    <t>513</t>
  </si>
  <si>
    <t>514</t>
  </si>
  <si>
    <t>525</t>
  </si>
  <si>
    <t>526</t>
  </si>
  <si>
    <t>527</t>
  </si>
  <si>
    <t>528</t>
  </si>
  <si>
    <t>529</t>
  </si>
  <si>
    <t>535</t>
  </si>
  <si>
    <t>536</t>
  </si>
  <si>
    <t>537</t>
  </si>
  <si>
    <t>538</t>
  </si>
  <si>
    <t>539</t>
  </si>
  <si>
    <t>606</t>
  </si>
  <si>
    <t>607</t>
  </si>
  <si>
    <t>608</t>
  </si>
  <si>
    <t>609</t>
  </si>
  <si>
    <t>610</t>
  </si>
  <si>
    <t>611</t>
  </si>
  <si>
    <t>613</t>
  </si>
  <si>
    <t>614</t>
  </si>
  <si>
    <t>616</t>
  </si>
  <si>
    <t>617</t>
  </si>
  <si>
    <t>619</t>
  </si>
  <si>
    <t>620</t>
  </si>
  <si>
    <t>621</t>
  </si>
  <si>
    <t>622</t>
  </si>
  <si>
    <t>625</t>
  </si>
  <si>
    <t>626</t>
  </si>
  <si>
    <t>627</t>
  </si>
  <si>
    <t>628</t>
  </si>
  <si>
    <t>630</t>
  </si>
  <si>
    <t>631</t>
  </si>
  <si>
    <t>633</t>
  </si>
  <si>
    <t>634</t>
  </si>
  <si>
    <t>111</t>
  </si>
  <si>
    <t>124</t>
  </si>
  <si>
    <t>125</t>
  </si>
  <si>
    <t>128</t>
  </si>
  <si>
    <t>220</t>
  </si>
  <si>
    <t>228</t>
  </si>
  <si>
    <t>229</t>
  </si>
  <si>
    <t>231</t>
  </si>
  <si>
    <t>233</t>
  </si>
  <si>
    <t>250</t>
  </si>
  <si>
    <t>252</t>
  </si>
  <si>
    <t>283</t>
  </si>
  <si>
    <t>31</t>
  </si>
  <si>
    <t>37</t>
  </si>
  <si>
    <t>109</t>
  </si>
  <si>
    <t>123</t>
  </si>
  <si>
    <t>127</t>
  </si>
  <si>
    <t>130</t>
  </si>
  <si>
    <t>131</t>
  </si>
  <si>
    <t>132</t>
  </si>
  <si>
    <t>134</t>
  </si>
  <si>
    <t>135</t>
  </si>
  <si>
    <t>139</t>
  </si>
  <si>
    <t>146</t>
  </si>
  <si>
    <t>151</t>
  </si>
  <si>
    <t>156</t>
  </si>
  <si>
    <t>163</t>
  </si>
  <si>
    <t>166</t>
  </si>
  <si>
    <t>167</t>
  </si>
  <si>
    <t>110</t>
  </si>
  <si>
    <t>118</t>
  </si>
  <si>
    <t>129</t>
  </si>
  <si>
    <t>172</t>
  </si>
  <si>
    <t>175</t>
  </si>
  <si>
    <t>178</t>
  </si>
  <si>
    <t>179</t>
  </si>
  <si>
    <t>180</t>
  </si>
  <si>
    <t>176</t>
  </si>
  <si>
    <t>173</t>
  </si>
  <si>
    <t>181</t>
  </si>
  <si>
    <t>199</t>
  </si>
  <si>
    <t>200</t>
  </si>
  <si>
    <t>19</t>
  </si>
  <si>
    <t>24</t>
  </si>
  <si>
    <t>27</t>
  </si>
  <si>
    <t>28</t>
  </si>
  <si>
    <t>29</t>
  </si>
  <si>
    <t>30</t>
  </si>
  <si>
    <t>Node</t>
  </si>
  <si>
    <t>OutputCase</t>
  </si>
  <si>
    <t>CaseType</t>
  </si>
  <si>
    <t>Fx</t>
  </si>
  <si>
    <t>Fy</t>
  </si>
  <si>
    <t>Fz</t>
  </si>
  <si>
    <t>Mx</t>
  </si>
  <si>
    <t>My</t>
  </si>
  <si>
    <t>Mz</t>
  </si>
  <si>
    <t>ESLS</t>
  </si>
  <si>
    <t>EULS</t>
  </si>
  <si>
    <t>ULS1</t>
  </si>
  <si>
    <t>Spring</t>
  </si>
  <si>
    <t>P30T</t>
  </si>
  <si>
    <t>18_5T</t>
  </si>
  <si>
    <t xml:space="preserve">Đài </t>
  </si>
  <si>
    <t>KC tối đa giữa các cọc trong 1 đài</t>
  </si>
  <si>
    <t>Tên cọc</t>
  </si>
  <si>
    <t>Đường
kính cọc</t>
  </si>
  <si>
    <t>Sct cọc
Rd (kN)</t>
  </si>
  <si>
    <t>Nhóm cọc</t>
  </si>
  <si>
    <t xml:space="preserve"> cọc</t>
  </si>
  <si>
    <t>The ownwner / Chủ đầu tư</t>
  </si>
  <si>
    <t>Design / Thiết kế</t>
  </si>
  <si>
    <t>Iterm / Hạng mục</t>
  </si>
  <si>
    <t>Kiểm tra SCT Cọc</t>
  </si>
  <si>
    <t>Check / Kiểm tra</t>
  </si>
  <si>
    <t>Giá trị tính toán của sức chịu tải của một cọc trong móng: (7.1.6.1 - TCVN 10304-2025)</t>
  </si>
  <si>
    <t>Combo tải đứng:</t>
  </si>
  <si>
    <t>Combo tải gió:</t>
  </si>
  <si>
    <t>Combo động đất:</t>
  </si>
  <si>
    <t>Hệ số tầm quan trọng:</t>
  </si>
  <si>
    <t>Point name</t>
  </si>
  <si>
    <t>Loại Cọc</t>
  </si>
  <si>
    <t>Output Case</t>
  </si>
  <si>
    <r>
      <rPr>
        <sz val="10"/>
        <color theme="1"/>
        <rFont val="Arial"/>
        <charset val="134"/>
      </rPr>
      <t>N</t>
    </r>
    <r>
      <rPr>
        <vertAlign val="subscript"/>
        <sz val="10"/>
        <color theme="1"/>
        <rFont val="Arial"/>
        <charset val="134"/>
      </rPr>
      <t>d</t>
    </r>
    <r>
      <rPr>
        <sz val="10"/>
        <color theme="1"/>
        <rFont val="Arial"/>
        <charset val="134"/>
      </rPr>
      <t xml:space="preserve"> (kN)</t>
    </r>
  </si>
  <si>
    <t>Pile (D)</t>
  </si>
  <si>
    <r>
      <rPr>
        <sz val="10"/>
        <color theme="1"/>
        <rFont val="Arial"/>
        <charset val="134"/>
      </rPr>
      <t>SCT
Cọc R</t>
    </r>
    <r>
      <rPr>
        <vertAlign val="subscript"/>
        <sz val="10"/>
        <color theme="1"/>
        <rFont val="Arial"/>
        <charset val="134"/>
      </rPr>
      <t>d</t>
    </r>
  </si>
  <si>
    <t>Hệ số
Tăng sct
cọc</t>
  </si>
  <si>
    <r>
      <rPr>
        <sz val="10"/>
        <color theme="1"/>
        <rFont val="Arial"/>
        <charset val="134"/>
      </rPr>
      <t>R</t>
    </r>
    <r>
      <rPr>
        <vertAlign val="subscript"/>
        <sz val="10"/>
        <color theme="1"/>
        <rFont val="Arial"/>
        <charset val="134"/>
      </rPr>
      <t>d</t>
    </r>
    <r>
      <rPr>
        <sz val="10"/>
        <color theme="1"/>
        <rFont val="Arial"/>
        <charset val="134"/>
      </rPr>
      <t>/</t>
    </r>
    <r>
      <rPr>
        <sz val="10"/>
        <color theme="1"/>
        <rFont val="Symbol"/>
        <charset val="2"/>
      </rPr>
      <t>g</t>
    </r>
    <r>
      <rPr>
        <vertAlign val="subscript"/>
        <sz val="10"/>
        <color theme="1"/>
        <rFont val="Arial"/>
        <charset val="134"/>
      </rPr>
      <t>n</t>
    </r>
  </si>
  <si>
    <t>[P]/Fz</t>
  </si>
  <si>
    <t>Check FS</t>
  </si>
  <si>
    <t>Tọa độ</t>
  </si>
  <si>
    <t>Text</t>
  </si>
  <si>
    <t>Max</t>
  </si>
  <si>
    <t>Min</t>
  </si>
  <si>
    <t>mm</t>
  </si>
  <si>
    <t>X</t>
  </si>
  <si>
    <t>Y</t>
  </si>
  <si>
    <t>Cát chặt - lẫn sỏi sạn</t>
  </si>
  <si>
    <t>Hạ cọc đặc và cọc rỗng mũi cọc hở bằng búa cơ khí (dạng treo), búa hơi và búa diesel</t>
  </si>
  <si>
    <t>Cọc nhồi (trừ cọc nhồi ép rung nêu tại điểm 2 bảng 6 - TCVN 10304), cũng như cọc mà được thi công bằng ép đất theo 6.4 a - TCVN 10304) khi hạ ống vách bịt mũi bằng tấm đế để lại hoặc nút bê tông</t>
  </si>
  <si>
    <t>Cát chặt - thô</t>
  </si>
  <si>
    <t>Hạ cọc đóng và cọc ép vào hố khoan dẫn có sẵn với mũi cọc sâu hơn 1 m so với đáy hố</t>
  </si>
  <si>
    <t>Cọc nhồi ép rung</t>
  </si>
  <si>
    <t>Cát chặt - thô vừa</t>
  </si>
  <si>
    <t>Hạ cọc vào nền cát kết hợp xói nước với điều kiện ở giai đoạn cuối không xói nước, đóng vỗ để hạ cọc đạt chiều sâu từ 1 m trở lên.</t>
  </si>
  <si>
    <t>Cọc khoan, bao gồm cả cọc khoan có mở rộng, được đổ bê tông khi không có nước trong hố khoan (điều kiện khô) và khi sử dụng ống vách, cũng như khi thi công bằng phương pháp CFA</t>
  </si>
  <si>
    <t>3a</t>
  </si>
  <si>
    <t>Cát chặt - mịn</t>
  </si>
  <si>
    <t>Hạ cọc-ống bằng phương pháp rung, hạ cọc bằng phương pháp rung và ép rung trong đất:</t>
  </si>
  <si>
    <t>Cọc khoan, bao gồm cả cọc khoan có mở rộng, được đổ bê tông dưới nước hoặc trong dung dịch sét (bentonite)</t>
  </si>
  <si>
    <t>3b</t>
  </si>
  <si>
    <t>Cát chặt - bụi</t>
  </si>
  <si>
    <t>Hạ cọc bê tông cốt thép rỗng mũi hở bằng búa</t>
  </si>
  <si>
    <t>Cọc khoan, bao gồm cả cọc khoan có mở rộng, được đổ bê tông bằng hỗn hợp bê tông cứng kết hợp với đầm sâu (điều kiện khô)</t>
  </si>
  <si>
    <t>3c</t>
  </si>
  <si>
    <t>Cát chặt vừa - lẫn sỏi sạn</t>
  </si>
  <si>
    <t>Hạ cọc tròn rỗng mũi kín bằng bất kỳ phương pháp nào đến độ sâu từ 10 m trở lên và sau đó thi công mũi cọc nổ mở rộng trong đất cát chặt vừa và trong đất loại sét có chỉ số chảy IL &lt;= 0,5</t>
  </si>
  <si>
    <t>Cọc barrette theo 6.5 c) - TCVN 10304</t>
  </si>
  <si>
    <t>Cát chặt vừa - thô</t>
  </si>
  <si>
    <t>Hạ cọc bằng phương pháp ép</t>
  </si>
  <si>
    <t>Cọc-ống được hạ bằng rung có moi đất</t>
  </si>
  <si>
    <t>Cát chặt vừa - thô vừa</t>
  </si>
  <si>
    <t>Cọc-trụ</t>
  </si>
  <si>
    <t>Cát chặt vừa - mịn</t>
  </si>
  <si>
    <t>Cọc khoan phun được thi công có dùng ống vách hoặc dung dịch sét (bentonite) dưới áp lực từ 200 kPa đến 400 kPa (2 atm đến 4 atm), cũng như phun hỗn hợp bê tông qua cần khoan guồng xoắn rỗng lòng</t>
  </si>
  <si>
    <t>Cát chặt vừa - bụi</t>
  </si>
  <si>
    <t>Cọc khoan phun được thi công bằng phương pháp xung điện PDT theo 6.5 f) - TCVN 10304</t>
  </si>
  <si>
    <t>Cát pha</t>
  </si>
  <si>
    <t>Sét pha</t>
  </si>
  <si>
    <t>Đất sét</t>
  </si>
  <si>
    <t>Tổng hợp SCT cọc các hố khoan (kN)</t>
  </si>
  <si>
    <t>HK1</t>
  </si>
  <si>
    <t>HK2</t>
  </si>
  <si>
    <t>HK3</t>
  </si>
  <si>
    <t>HK4</t>
  </si>
  <si>
    <t>HK5</t>
  </si>
  <si>
    <t>HK6</t>
  </si>
  <si>
    <t>HK7</t>
  </si>
  <si>
    <t>HK8</t>
  </si>
  <si>
    <t>HK9</t>
  </si>
  <si>
    <t>HK10</t>
  </si>
  <si>
    <t>HK11</t>
  </si>
  <si>
    <t>HK12</t>
  </si>
  <si>
    <t>HK13</t>
  </si>
  <si>
    <t>HK14</t>
  </si>
  <si>
    <t>HK15</t>
  </si>
  <si>
    <t>HK16</t>
  </si>
  <si>
    <t>HK17</t>
  </si>
  <si>
    <t>HK18</t>
  </si>
  <si>
    <t>HK20</t>
  </si>
  <si>
    <t>HK21</t>
  </si>
  <si>
    <t>HK22</t>
  </si>
  <si>
    <t>HK23</t>
  </si>
  <si>
    <t>HK24</t>
  </si>
  <si>
    <t>HK25</t>
  </si>
  <si>
    <t>HK26</t>
  </si>
  <si>
    <t>HK27</t>
  </si>
  <si>
    <t>HK28</t>
  </si>
  <si>
    <t>Tên lớp đất</t>
  </si>
  <si>
    <t>Tính chất</t>
  </si>
  <si>
    <t>Đất dính</t>
  </si>
  <si>
    <t>SCT CỌC THEO TCVN 10304 - 2025</t>
  </si>
  <si>
    <t>TÍNH TOÁN SỨC CHỊU TẢI CỦA CỌC THEO CHỈ TIÊU SPT (TCVN 10304:2025 - PHỤ LỤC D)</t>
  </si>
  <si>
    <t>Đất rời</t>
  </si>
  <si>
    <t>Cao độ
đỉnh (m)</t>
  </si>
  <si>
    <t>Phân loại (PL D 10304-2025)</t>
  </si>
  <si>
    <t>Phân loại (hình dạng)</t>
  </si>
  <si>
    <t>Đk trong (hiệu quả cản mũi cọc)</t>
  </si>
  <si>
    <t>Đk trong (Tính khối lượng cọc)</t>
  </si>
  <si>
    <t>Tách lớp phân tố khi tính (m):</t>
  </si>
  <si>
    <t>Chỉ số SPT</t>
  </si>
  <si>
    <r>
      <rPr>
        <sz val="10"/>
        <color theme="1"/>
        <rFont val="Arial"/>
        <charset val="134"/>
      </rPr>
      <t>Diện tích cọc A</t>
    </r>
    <r>
      <rPr>
        <vertAlign val="subscript"/>
        <sz val="10"/>
        <color theme="1"/>
        <rFont val="Arial"/>
        <charset val="134"/>
      </rPr>
      <t>b</t>
    </r>
    <r>
      <rPr>
        <sz val="10"/>
        <color theme="1"/>
        <rFont val="Arial"/>
        <charset val="134"/>
      </rPr>
      <t xml:space="preserve"> (m</t>
    </r>
    <r>
      <rPr>
        <vertAlign val="superscript"/>
        <sz val="10"/>
        <color theme="1"/>
        <rFont val="Arial"/>
        <charset val="134"/>
      </rPr>
      <t>2</t>
    </r>
    <r>
      <rPr>
        <sz val="10"/>
        <color theme="1"/>
        <rFont val="Arial"/>
        <charset val="134"/>
      </rPr>
      <t>)</t>
    </r>
  </si>
  <si>
    <t>Ru,b = qbA (kN)</t>
  </si>
  <si>
    <t>Ru,f = f L u (kN) đầu cọc</t>
  </si>
  <si>
    <t>Ru,f = f L u (kN) mũi cọc</t>
  </si>
  <si>
    <r>
      <rPr>
        <sz val="10"/>
        <color theme="1"/>
        <rFont val="Arial"/>
        <charset val="134"/>
      </rPr>
      <t>R</t>
    </r>
    <r>
      <rPr>
        <vertAlign val="subscript"/>
        <sz val="10"/>
        <color theme="1"/>
        <rFont val="Arial"/>
        <charset val="134"/>
      </rPr>
      <t>k</t>
    </r>
    <r>
      <rPr>
        <sz val="10"/>
        <color theme="1"/>
        <rFont val="Arial"/>
        <charset val="134"/>
      </rPr>
      <t xml:space="preserve"> (kN)= </t>
    </r>
  </si>
  <si>
    <t>Hệ số tin cậy về đất:</t>
  </si>
  <si>
    <t>Trừ tải trọng bản thân cọc</t>
  </si>
  <si>
    <t>Yes</t>
  </si>
  <si>
    <t>Với móng một cọc dưới cột: (Cọc đóng tiết diện vuông, tải &gt; 600 kN hoặc (Cọc nhồi hoặc khoan, tải &gt; 2 500 kN))</t>
  </si>
  <si>
    <t>Tải trọng bản thân cọc(kN)</t>
  </si>
  <si>
    <r>
      <rPr>
        <sz val="10"/>
        <rFont val="Arial"/>
        <charset val="134"/>
      </rPr>
      <t>Giá trị tính toán R</t>
    </r>
    <r>
      <rPr>
        <vertAlign val="subscript"/>
        <sz val="10"/>
        <rFont val="Arial"/>
        <charset val="134"/>
      </rPr>
      <t>d</t>
    </r>
    <r>
      <rPr>
        <sz val="10"/>
        <rFont val="Arial"/>
        <charset val="134"/>
      </rPr>
      <t xml:space="preserve"> = R</t>
    </r>
    <r>
      <rPr>
        <vertAlign val="subscript"/>
        <sz val="10"/>
        <rFont val="Arial"/>
        <charset val="134"/>
      </rPr>
      <t>k</t>
    </r>
    <r>
      <rPr>
        <sz val="10"/>
        <rFont val="Arial"/>
        <charset val="134"/>
      </rPr>
      <t>/</t>
    </r>
    <r>
      <rPr>
        <sz val="10"/>
        <rFont val="Symbol"/>
        <charset val="2"/>
      </rPr>
      <t>g</t>
    </r>
    <r>
      <rPr>
        <vertAlign val="subscript"/>
        <sz val="10"/>
        <rFont val="Arial"/>
        <charset val="134"/>
      </rPr>
      <t>k</t>
    </r>
  </si>
  <si>
    <r>
      <rPr>
        <sz val="10"/>
        <rFont val="Arial"/>
        <charset val="134"/>
      </rPr>
      <t>Giá trị tính toán R</t>
    </r>
    <r>
      <rPr>
        <vertAlign val="subscript"/>
        <sz val="10"/>
        <rFont val="Arial"/>
        <charset val="134"/>
      </rPr>
      <t>d</t>
    </r>
    <r>
      <rPr>
        <sz val="10"/>
        <rFont val="Arial"/>
        <charset val="134"/>
      </rPr>
      <t>/</t>
    </r>
    <r>
      <rPr>
        <sz val="10"/>
        <rFont val="Symbol"/>
        <charset val="2"/>
      </rPr>
      <t>g</t>
    </r>
    <r>
      <rPr>
        <vertAlign val="subscript"/>
        <sz val="10"/>
        <rFont val="Arial"/>
        <charset val="134"/>
      </rPr>
      <t>n</t>
    </r>
  </si>
  <si>
    <t>Cao độ
m</t>
  </si>
  <si>
    <t>Loại
đất</t>
  </si>
  <si>
    <r>
      <rPr>
        <b/>
        <sz val="10"/>
        <color theme="1"/>
        <rFont val="Arial"/>
        <charset val="134"/>
      </rPr>
      <t>q</t>
    </r>
    <r>
      <rPr>
        <b/>
        <vertAlign val="subscript"/>
        <sz val="10"/>
        <color theme="1"/>
        <rFont val="Arial"/>
        <charset val="134"/>
      </rPr>
      <t>b</t>
    </r>
    <r>
      <rPr>
        <b/>
        <sz val="10"/>
        <color theme="1"/>
        <rFont val="Arial"/>
        <charset val="134"/>
      </rPr>
      <t xml:space="preserve"> (kN/m</t>
    </r>
    <r>
      <rPr>
        <b/>
        <vertAlign val="superscript"/>
        <sz val="10"/>
        <color theme="1"/>
        <rFont val="Arial"/>
        <charset val="134"/>
      </rPr>
      <t>2</t>
    </r>
    <r>
      <rPr>
        <b/>
        <sz val="10"/>
        <color theme="1"/>
        <rFont val="Arial"/>
        <charset val="134"/>
      </rPr>
      <t>)</t>
    </r>
  </si>
  <si>
    <r>
      <rPr>
        <b/>
        <sz val="10"/>
        <color theme="1"/>
        <rFont val="Arial"/>
        <charset val="134"/>
      </rPr>
      <t>q</t>
    </r>
    <r>
      <rPr>
        <b/>
        <vertAlign val="subscript"/>
        <sz val="10"/>
        <color theme="1"/>
        <rFont val="Arial"/>
        <charset val="134"/>
      </rPr>
      <t>b</t>
    </r>
    <r>
      <rPr>
        <b/>
        <sz val="10"/>
        <color theme="1"/>
        <rFont val="Arial"/>
        <charset val="134"/>
      </rPr>
      <t>A
kN</t>
    </r>
  </si>
  <si>
    <r>
      <rPr>
        <b/>
        <sz val="10"/>
        <color theme="1"/>
        <rFont val="Arial"/>
        <charset val="134"/>
      </rPr>
      <t>L</t>
    </r>
    <r>
      <rPr>
        <b/>
        <vertAlign val="subscript"/>
        <sz val="10"/>
        <color theme="1"/>
        <rFont val="Arial"/>
        <charset val="134"/>
      </rPr>
      <t>i</t>
    </r>
    <r>
      <rPr>
        <b/>
        <sz val="10"/>
        <color theme="1"/>
        <rFont val="Arial"/>
        <charset val="134"/>
      </rPr>
      <t xml:space="preserve">
(m)</t>
    </r>
  </si>
  <si>
    <r>
      <rPr>
        <b/>
        <sz val="10"/>
        <color theme="1"/>
        <rFont val="Arial"/>
        <charset val="134"/>
      </rPr>
      <t>f (kN/m</t>
    </r>
    <r>
      <rPr>
        <b/>
        <vertAlign val="superscript"/>
        <sz val="10"/>
        <color theme="1"/>
        <rFont val="Arial"/>
        <charset val="134"/>
      </rPr>
      <t>2</t>
    </r>
    <r>
      <rPr>
        <b/>
        <sz val="10"/>
        <color theme="1"/>
        <rFont val="Arial"/>
        <charset val="134"/>
      </rPr>
      <t>)</t>
    </r>
  </si>
  <si>
    <r>
      <rPr>
        <b/>
        <sz val="10"/>
        <color theme="1"/>
        <rFont val="Symbol"/>
        <charset val="2"/>
      </rPr>
      <t>S</t>
    </r>
    <r>
      <rPr>
        <b/>
        <sz val="10"/>
        <color theme="1"/>
        <rFont val="Arial"/>
        <charset val="134"/>
      </rPr>
      <t>f.Li.u
kN</t>
    </r>
  </si>
  <si>
    <r>
      <rPr>
        <b/>
        <sz val="10"/>
        <color theme="1"/>
        <rFont val="Arial"/>
        <charset val="134"/>
      </rPr>
      <t>R</t>
    </r>
    <r>
      <rPr>
        <b/>
        <vertAlign val="subscript"/>
        <sz val="10"/>
        <color theme="1"/>
        <rFont val="Arial"/>
        <charset val="134"/>
      </rPr>
      <t>u</t>
    </r>
    <r>
      <rPr>
        <b/>
        <sz val="10"/>
        <color theme="1"/>
        <rFont val="Arial"/>
        <charset val="134"/>
      </rPr>
      <t xml:space="preserve">
kN</t>
    </r>
  </si>
  <si>
    <r>
      <rPr>
        <sz val="10"/>
        <color theme="1"/>
        <rFont val="Arial"/>
        <charset val="134"/>
      </rPr>
      <t>Độ chặt (Đất cát) hoặc
Chỉ Số chảy I</t>
    </r>
    <r>
      <rPr>
        <vertAlign val="subscript"/>
        <sz val="10"/>
        <color theme="1"/>
        <rFont val="Arial"/>
        <charset val="134"/>
      </rPr>
      <t xml:space="preserve">L </t>
    </r>
    <r>
      <rPr>
        <sz val="10"/>
        <color theme="1"/>
        <rFont val="Arial"/>
        <charset val="134"/>
      </rPr>
      <t>(Đất sét)</t>
    </r>
  </si>
  <si>
    <r>
      <rPr>
        <sz val="10"/>
        <color theme="1"/>
        <rFont val="Arial"/>
        <charset val="134"/>
      </rPr>
      <t>I</t>
    </r>
    <r>
      <rPr>
        <vertAlign val="subscript"/>
        <sz val="10"/>
        <color theme="1"/>
        <rFont val="Arial"/>
        <charset val="134"/>
      </rPr>
      <t>L</t>
    </r>
  </si>
  <si>
    <t>Loại Đất nền</t>
  </si>
  <si>
    <t>Đất sét có chỉ số chảy =</t>
  </si>
  <si>
    <t>Cát Chặt vừa bão hòa nước</t>
  </si>
  <si>
    <t>Phân loại bảng 24 - 10304-2025</t>
  </si>
  <si>
    <t>Cọc khoan</t>
  </si>
  <si>
    <r>
      <rPr>
        <sz val="10"/>
        <rFont val="Arial"/>
        <charset val="134"/>
      </rPr>
      <t>Gia tốc nền a</t>
    </r>
    <r>
      <rPr>
        <vertAlign val="subscript"/>
        <sz val="10"/>
        <rFont val="Arial"/>
        <charset val="134"/>
      </rPr>
      <t>g</t>
    </r>
    <r>
      <rPr>
        <sz val="10"/>
        <rFont val="Arial"/>
        <charset val="134"/>
      </rPr>
      <t>R/g</t>
    </r>
  </si>
  <si>
    <t>Tham số mô tả phổ phản ứng:</t>
  </si>
  <si>
    <t>Loại 1</t>
  </si>
  <si>
    <r>
      <rPr>
        <sz val="10"/>
        <rFont val="Arial"/>
        <charset val="134"/>
      </rPr>
      <t>Chiều rộng quy ước cọc b</t>
    </r>
    <r>
      <rPr>
        <vertAlign val="subscript"/>
        <sz val="10"/>
        <rFont val="Arial"/>
        <charset val="134"/>
      </rPr>
      <t xml:space="preserve">p </t>
    </r>
    <r>
      <rPr>
        <sz val="10"/>
        <rFont val="Arial"/>
        <charset val="134"/>
      </rPr>
      <t>(m)</t>
    </r>
  </si>
  <si>
    <t>Mác bê tông cọc</t>
  </si>
  <si>
    <r>
      <rPr>
        <sz val="10"/>
        <rFont val="Arial"/>
        <charset val="134"/>
      </rPr>
      <t>Hệ số tỷ lệ K (kN/m</t>
    </r>
    <r>
      <rPr>
        <vertAlign val="superscript"/>
        <sz val="10"/>
        <rFont val="Arial"/>
        <charset val="134"/>
      </rPr>
      <t>4</t>
    </r>
    <r>
      <rPr>
        <sz val="10"/>
        <rFont val="Arial"/>
        <charset val="134"/>
      </rPr>
      <t>)</t>
    </r>
  </si>
  <si>
    <t>Mô đun đàn hồi E (kPa)</t>
  </si>
  <si>
    <t>Hệ số biến dạng (1/m)</t>
  </si>
  <si>
    <r>
      <rPr>
        <sz val="10"/>
        <rFont val="Arial"/>
        <charset val="134"/>
      </rPr>
      <t>Mô men quán tính (m</t>
    </r>
    <r>
      <rPr>
        <vertAlign val="subscript"/>
        <sz val="10"/>
        <rFont val="Arial"/>
        <charset val="134"/>
      </rPr>
      <t>4</t>
    </r>
    <r>
      <rPr>
        <sz val="10"/>
        <rFont val="Arial"/>
        <charset val="134"/>
      </rPr>
      <t>)</t>
    </r>
  </si>
  <si>
    <r>
      <rPr>
        <sz val="10"/>
        <rFont val="Arial"/>
        <charset val="134"/>
      </rPr>
      <t>H</t>
    </r>
    <r>
      <rPr>
        <vertAlign val="subscript"/>
        <sz val="10"/>
        <rFont val="Arial"/>
        <charset val="134"/>
      </rPr>
      <t xml:space="preserve">d </t>
    </r>
    <r>
      <rPr>
        <sz val="10"/>
        <rFont val="Arial"/>
        <charset val="134"/>
      </rPr>
      <t>(mét)</t>
    </r>
  </si>
  <si>
    <t>Với móng một cọc dưới cột: (Cọc đóng tiết diện vuông, tải &gt; 600 kN hoặc 
(Cọc nhồi hoặc khoan, tải &gt; 2 500 kN)</t>
  </si>
  <si>
    <r>
      <rPr>
        <b/>
        <sz val="10"/>
        <color theme="1"/>
        <rFont val="Symbol"/>
        <charset val="2"/>
      </rPr>
      <t>g</t>
    </r>
    <r>
      <rPr>
        <b/>
        <vertAlign val="subscript"/>
        <sz val="10"/>
        <color theme="1"/>
        <rFont val="Arial"/>
        <charset val="134"/>
      </rPr>
      <t>eq1</t>
    </r>
  </si>
  <si>
    <r>
      <rPr>
        <b/>
        <sz val="10"/>
        <color theme="1"/>
        <rFont val="Symbol"/>
        <charset val="2"/>
      </rPr>
      <t>g</t>
    </r>
    <r>
      <rPr>
        <b/>
        <vertAlign val="subscript"/>
        <sz val="10"/>
        <color theme="1"/>
        <rFont val="Arial"/>
        <charset val="134"/>
      </rPr>
      <t>eq2</t>
    </r>
  </si>
  <si>
    <t>TÍNH TOÁN SỨC CHỊU TẢI CỦA CỌC (CỌC CHỐNG) (TCVN 10304:2025 - 7.2.1)</t>
  </si>
  <si>
    <t>Chiều sâu chôn cọc (Ld) (m)</t>
  </si>
  <si>
    <t>Cuội sỏi</t>
  </si>
  <si>
    <r>
      <rPr>
        <sz val="10"/>
        <rFont val="Arial"/>
        <charset val="134"/>
      </rPr>
      <t xml:space="preserve">Hệ số điều kiện làm việc của cọc trong đất </t>
    </r>
    <r>
      <rPr>
        <b/>
        <sz val="10"/>
        <rFont val="Symbol"/>
        <charset val="2"/>
      </rPr>
      <t>g</t>
    </r>
    <r>
      <rPr>
        <vertAlign val="subscript"/>
        <sz val="10"/>
        <rFont val="Arial"/>
        <charset val="134"/>
      </rPr>
      <t>c</t>
    </r>
  </si>
  <si>
    <t>Thiết kế móng cọc trong vùng động đất</t>
  </si>
  <si>
    <r>
      <rPr>
        <sz val="10"/>
        <color theme="1"/>
        <rFont val="Arial"/>
        <charset val="134"/>
      </rPr>
      <t>Diệt tích cọc (mũi đặc, kín) A</t>
    </r>
    <r>
      <rPr>
        <vertAlign val="subscript"/>
        <sz val="10"/>
        <color theme="1"/>
        <rFont val="Arial"/>
        <charset val="134"/>
      </rPr>
      <t>b</t>
    </r>
    <r>
      <rPr>
        <sz val="10"/>
        <color theme="1"/>
        <rFont val="Arial"/>
        <charset val="134"/>
      </rPr>
      <t xml:space="preserve"> (m</t>
    </r>
    <r>
      <rPr>
        <vertAlign val="superscript"/>
        <sz val="10"/>
        <color theme="1"/>
        <rFont val="Arial"/>
        <charset val="134"/>
      </rPr>
      <t>2</t>
    </r>
    <r>
      <rPr>
        <sz val="10"/>
        <color theme="1"/>
        <rFont val="Arial"/>
        <charset val="134"/>
      </rPr>
      <t>)</t>
    </r>
  </si>
  <si>
    <r>
      <rPr>
        <sz val="10"/>
        <rFont val="Arial"/>
        <charset val="134"/>
      </rPr>
      <t>Chiều sâu chôn trong đá (L</t>
    </r>
    <r>
      <rPr>
        <vertAlign val="subscript"/>
        <sz val="10"/>
        <rFont val="Arial"/>
        <charset val="134"/>
      </rPr>
      <t>d</t>
    </r>
    <r>
      <rPr>
        <sz val="10"/>
        <rFont val="Arial"/>
        <charset val="134"/>
      </rPr>
      <t>) (m)</t>
    </r>
  </si>
  <si>
    <r>
      <rPr>
        <sz val="10"/>
        <rFont val="Arial"/>
        <charset val="134"/>
      </rPr>
      <t xml:space="preserve">Hệ số độ tin cậy về đất </t>
    </r>
    <r>
      <rPr>
        <b/>
        <sz val="10"/>
        <rFont val="Symbol"/>
        <charset val="2"/>
      </rPr>
      <t>g</t>
    </r>
    <r>
      <rPr>
        <vertAlign val="subscript"/>
        <sz val="10"/>
        <rFont val="Arial"/>
        <charset val="134"/>
      </rPr>
      <t>g</t>
    </r>
  </si>
  <si>
    <r>
      <rPr>
        <sz val="10"/>
        <rFont val="Arial"/>
        <charset val="134"/>
      </rPr>
      <t xml:space="preserve">Hệ số đk làm việc </t>
    </r>
    <r>
      <rPr>
        <sz val="10"/>
        <rFont val="Symbol"/>
        <charset val="2"/>
      </rPr>
      <t>g</t>
    </r>
    <r>
      <rPr>
        <vertAlign val="subscript"/>
        <sz val="10"/>
        <rFont val="Arial"/>
        <charset val="134"/>
      </rPr>
      <t>eq1</t>
    </r>
  </si>
  <si>
    <r>
      <rPr>
        <sz val="10"/>
        <rFont val="Arial"/>
        <charset val="134"/>
      </rPr>
      <t>cường độ chịu nén tiêu chuẩn một trục của đá ở trạng thái bão hòa nước R</t>
    </r>
    <r>
      <rPr>
        <vertAlign val="subscript"/>
        <sz val="10"/>
        <rFont val="Arial"/>
        <charset val="134"/>
      </rPr>
      <t>c,n</t>
    </r>
    <r>
      <rPr>
        <sz val="10"/>
        <rFont val="Arial"/>
        <charset val="134"/>
      </rPr>
      <t xml:space="preserve"> (kPa)</t>
    </r>
  </si>
  <si>
    <t>Chỉ số chất lượng đá RQD, %</t>
  </si>
  <si>
    <r>
      <rPr>
        <sz val="10"/>
        <rFont val="Arial"/>
        <charset val="134"/>
      </rPr>
      <t>Hệ số sự suy giảm cường độ của đá do nứt nẻ K</t>
    </r>
    <r>
      <rPr>
        <vertAlign val="subscript"/>
        <sz val="10"/>
        <rFont val="Arial"/>
        <charset val="134"/>
      </rPr>
      <t>s</t>
    </r>
  </si>
  <si>
    <t>CHÚ THÍCH: Khi cọc đóng tựa lên đất biến dạng nhỏ (E &gt; 50 MPa) mà chưa biết giá trị cường độ chịu nén một trục của đất thì cho phép lấy giá trị qb theo Bảng 2 như đối với đất cát lẫn sỏi sạn rồi nhân với hệ số tăng Eg / Ek0 , trong đó Eg là mô đun biến dạng của đất biến dạng nhỏ, còn Ek0 – lấy bằng 50 MPa.</t>
  </si>
  <si>
    <r>
      <rPr>
        <sz val="10"/>
        <rFont val="Arial"/>
        <charset val="134"/>
      </rPr>
      <t>Đường kính ngoài của phần chôn trong đá d</t>
    </r>
    <r>
      <rPr>
        <vertAlign val="subscript"/>
        <sz val="10"/>
        <rFont val="Arial"/>
        <charset val="134"/>
      </rPr>
      <t>f</t>
    </r>
    <r>
      <rPr>
        <sz val="10"/>
        <rFont val="Arial"/>
        <charset val="134"/>
      </rPr>
      <t>:</t>
    </r>
  </si>
  <si>
    <r>
      <rPr>
        <sz val="10"/>
        <rFont val="Arial"/>
        <charset val="134"/>
      </rPr>
      <t>Cường độ tính toán của khối đá R</t>
    </r>
    <r>
      <rPr>
        <vertAlign val="subscript"/>
        <sz val="10"/>
        <rFont val="Arial"/>
        <charset val="134"/>
      </rPr>
      <t xml:space="preserve">m </t>
    </r>
    <r>
      <rPr>
        <sz val="10"/>
        <rFont val="Arial"/>
        <charset val="134"/>
      </rPr>
      <t>(kPa)</t>
    </r>
  </si>
  <si>
    <r>
      <rPr>
        <sz val="10"/>
        <rFont val="Arial"/>
        <charset val="134"/>
      </rPr>
      <t>Sức kháng đơn vị của đất q</t>
    </r>
    <r>
      <rPr>
        <vertAlign val="subscript"/>
        <sz val="10"/>
        <rFont val="Arial"/>
        <charset val="134"/>
      </rPr>
      <t>b</t>
    </r>
    <r>
      <rPr>
        <sz val="10"/>
        <rFont val="Arial"/>
        <charset val="134"/>
      </rPr>
      <t xml:space="preserve"> (kPa)</t>
    </r>
  </si>
  <si>
    <t>SCT CỌC ĐÓNG, CỌC ÉP VÀ CỌC - ỐNG BÊ TÔNG CỐT THÉP HẠ KHÔNG MOI ĐẤT (CỌC MA SÁT)</t>
  </si>
  <si>
    <t>Tên đất</t>
  </si>
  <si>
    <t>Độ chặt, Thành phần hạt</t>
  </si>
  <si>
    <t>CS chảy (Đất sét, cát pha)</t>
  </si>
  <si>
    <t>Hệ số rỗng (Sét, Cát pha)</t>
  </si>
  <si>
    <t>Chỉ số dẻo (Cát pha)</t>
  </si>
  <si>
    <r>
      <rPr>
        <sz val="10"/>
        <color theme="1"/>
        <rFont val="Arial"/>
        <charset val="134"/>
      </rPr>
      <t>Diện tích MCN cọc A</t>
    </r>
    <r>
      <rPr>
        <vertAlign val="subscript"/>
        <sz val="10"/>
        <color theme="1"/>
        <rFont val="Arial"/>
        <charset val="134"/>
      </rPr>
      <t>b</t>
    </r>
    <r>
      <rPr>
        <sz val="10"/>
        <color theme="1"/>
        <rFont val="Arial"/>
        <charset val="134"/>
      </rPr>
      <t xml:space="preserve"> (m</t>
    </r>
    <r>
      <rPr>
        <vertAlign val="superscript"/>
        <sz val="10"/>
        <color theme="1"/>
        <rFont val="Arial"/>
        <charset val="134"/>
      </rPr>
      <t>2</t>
    </r>
    <r>
      <rPr>
        <sz val="10"/>
        <color theme="1"/>
        <rFont val="Arial"/>
        <charset val="134"/>
      </rPr>
      <t>)</t>
    </r>
  </si>
  <si>
    <r>
      <rPr>
        <sz val="10"/>
        <color theme="1"/>
        <rFont val="Arial"/>
        <charset val="134"/>
      </rPr>
      <t>Diện tích mũi cọc A</t>
    </r>
    <r>
      <rPr>
        <vertAlign val="subscript"/>
        <sz val="10"/>
        <color theme="1"/>
        <rFont val="Arial"/>
        <charset val="134"/>
      </rPr>
      <t>b</t>
    </r>
    <r>
      <rPr>
        <sz val="10"/>
        <color theme="1"/>
        <rFont val="Arial"/>
        <charset val="134"/>
      </rPr>
      <t xml:space="preserve"> (m</t>
    </r>
    <r>
      <rPr>
        <vertAlign val="superscript"/>
        <sz val="10"/>
        <color theme="1"/>
        <rFont val="Arial"/>
        <charset val="134"/>
      </rPr>
      <t>2</t>
    </r>
    <r>
      <rPr>
        <sz val="10"/>
        <color theme="1"/>
        <rFont val="Arial"/>
        <charset val="134"/>
      </rPr>
      <t>)</t>
    </r>
  </si>
  <si>
    <r>
      <rPr>
        <sz val="10"/>
        <color theme="1"/>
        <rFont val="Arial"/>
        <charset val="134"/>
      </rPr>
      <t xml:space="preserve">Hệ số ĐK làm việc </t>
    </r>
    <r>
      <rPr>
        <sz val="10"/>
        <color theme="1"/>
        <rFont val="Symbol"/>
        <charset val="2"/>
      </rPr>
      <t>g</t>
    </r>
    <r>
      <rPr>
        <vertAlign val="subscript"/>
        <sz val="10"/>
        <color theme="1"/>
        <rFont val="Arial"/>
        <charset val="134"/>
      </rPr>
      <t>c</t>
    </r>
  </si>
  <si>
    <t>Thí nghiệm CPT</t>
  </si>
  <si>
    <r>
      <rPr>
        <sz val="10"/>
        <color theme="1"/>
        <rFont val="Symbol"/>
        <charset val="2"/>
      </rPr>
      <t>g</t>
    </r>
    <r>
      <rPr>
        <vertAlign val="subscript"/>
        <sz val="10"/>
        <color theme="1"/>
        <rFont val="Arial"/>
        <charset val="134"/>
      </rPr>
      <t>c</t>
    </r>
    <r>
      <rPr>
        <sz val="10"/>
        <color theme="1"/>
        <rFont val="Symbol"/>
        <charset val="2"/>
      </rPr>
      <t>g</t>
    </r>
    <r>
      <rPr>
        <vertAlign val="subscript"/>
        <sz val="10"/>
        <color theme="1"/>
        <rFont val="Arial"/>
        <charset val="134"/>
      </rPr>
      <t>R,R</t>
    </r>
    <r>
      <rPr>
        <sz val="10"/>
        <color theme="1"/>
        <rFont val="Arial"/>
        <charset val="134"/>
      </rPr>
      <t>q</t>
    </r>
    <r>
      <rPr>
        <vertAlign val="subscript"/>
        <sz val="10"/>
        <color theme="1"/>
        <rFont val="Arial"/>
        <charset val="134"/>
      </rPr>
      <t>b</t>
    </r>
    <r>
      <rPr>
        <sz val="10"/>
        <color theme="1"/>
        <rFont val="Arial"/>
        <charset val="134"/>
      </rPr>
      <t>A (kN)</t>
    </r>
  </si>
  <si>
    <r>
      <rPr>
        <sz val="10"/>
        <color theme="1"/>
        <rFont val="Symbol"/>
        <charset val="2"/>
      </rPr>
      <t>S g</t>
    </r>
    <r>
      <rPr>
        <vertAlign val="subscript"/>
        <sz val="10"/>
        <color theme="1"/>
        <rFont val="Arial"/>
        <charset val="134"/>
      </rPr>
      <t>c</t>
    </r>
    <r>
      <rPr>
        <sz val="10"/>
        <color theme="1"/>
        <rFont val="Symbol"/>
        <charset val="2"/>
      </rPr>
      <t>g</t>
    </r>
    <r>
      <rPr>
        <vertAlign val="subscript"/>
        <sz val="10"/>
        <color theme="1"/>
        <rFont val="Arial"/>
        <charset val="134"/>
      </rPr>
      <t>R,f</t>
    </r>
    <r>
      <rPr>
        <sz val="10"/>
        <color theme="1"/>
        <rFont val="Arial"/>
        <charset val="134"/>
      </rPr>
      <t>f.H</t>
    </r>
    <r>
      <rPr>
        <vertAlign val="subscript"/>
        <sz val="10"/>
        <color theme="1"/>
        <rFont val="Arial"/>
        <charset val="134"/>
      </rPr>
      <t>i</t>
    </r>
    <r>
      <rPr>
        <sz val="10"/>
        <color theme="1"/>
        <rFont val="Arial"/>
        <charset val="134"/>
      </rPr>
      <t>.u (kN) đầu cọc</t>
    </r>
  </si>
  <si>
    <r>
      <rPr>
        <sz val="10"/>
        <color theme="1"/>
        <rFont val="Symbol"/>
        <charset val="2"/>
      </rPr>
      <t>S g</t>
    </r>
    <r>
      <rPr>
        <vertAlign val="subscript"/>
        <sz val="10"/>
        <color theme="1"/>
        <rFont val="Arial"/>
        <charset val="134"/>
      </rPr>
      <t>c</t>
    </r>
    <r>
      <rPr>
        <sz val="10"/>
        <color theme="1"/>
        <rFont val="Symbol"/>
        <charset val="2"/>
      </rPr>
      <t>g</t>
    </r>
    <r>
      <rPr>
        <vertAlign val="subscript"/>
        <sz val="10"/>
        <color theme="1"/>
        <rFont val="Arial"/>
        <charset val="134"/>
      </rPr>
      <t>R,f</t>
    </r>
    <r>
      <rPr>
        <sz val="10"/>
        <color theme="1"/>
        <rFont val="Arial"/>
        <charset val="134"/>
      </rPr>
      <t>f.H</t>
    </r>
    <r>
      <rPr>
        <vertAlign val="subscript"/>
        <sz val="10"/>
        <color theme="1"/>
        <rFont val="Arial"/>
        <charset val="134"/>
      </rPr>
      <t>i</t>
    </r>
    <r>
      <rPr>
        <sz val="10"/>
        <color theme="1"/>
        <rFont val="Arial"/>
        <charset val="134"/>
      </rPr>
      <t>.u (kN) Mũi cọc</t>
    </r>
  </si>
  <si>
    <t>Phương pháp hạ cọc:</t>
  </si>
  <si>
    <t>Đk hố khoan dẫn (nếu có)</t>
  </si>
  <si>
    <r>
      <rPr>
        <b/>
        <sz val="10"/>
        <color theme="1"/>
        <rFont val="Symbol"/>
        <charset val="2"/>
      </rPr>
      <t xml:space="preserve"> g</t>
    </r>
    <r>
      <rPr>
        <b/>
        <vertAlign val="subscript"/>
        <sz val="10"/>
        <color theme="1"/>
        <rFont val="Arial"/>
        <charset val="134"/>
      </rPr>
      <t>R,R</t>
    </r>
  </si>
  <si>
    <r>
      <rPr>
        <b/>
        <sz val="10"/>
        <color theme="1"/>
        <rFont val="Arial"/>
        <charset val="134"/>
      </rPr>
      <t>q</t>
    </r>
    <r>
      <rPr>
        <b/>
        <vertAlign val="subscript"/>
        <sz val="10"/>
        <color theme="1"/>
        <rFont val="Arial"/>
        <charset val="134"/>
      </rPr>
      <t>b</t>
    </r>
  </si>
  <si>
    <r>
      <rPr>
        <b/>
        <sz val="10"/>
        <color theme="1"/>
        <rFont val="Symbol"/>
        <charset val="2"/>
      </rPr>
      <t>g</t>
    </r>
    <r>
      <rPr>
        <b/>
        <vertAlign val="subscript"/>
        <sz val="10"/>
        <color theme="1"/>
        <rFont val="Arial"/>
        <charset val="134"/>
      </rPr>
      <t>c</t>
    </r>
    <r>
      <rPr>
        <b/>
        <sz val="10"/>
        <color theme="1"/>
        <rFont val="Symbol"/>
        <charset val="2"/>
      </rPr>
      <t>g</t>
    </r>
    <r>
      <rPr>
        <b/>
        <vertAlign val="subscript"/>
        <sz val="10"/>
        <color theme="1"/>
        <rFont val="Arial"/>
        <charset val="134"/>
      </rPr>
      <t>R,R</t>
    </r>
    <r>
      <rPr>
        <b/>
        <sz val="10"/>
        <color theme="1"/>
        <rFont val="Arial"/>
        <charset val="134"/>
      </rPr>
      <t>q</t>
    </r>
    <r>
      <rPr>
        <b/>
        <vertAlign val="subscript"/>
        <sz val="10"/>
        <color theme="1"/>
        <rFont val="Arial"/>
        <charset val="134"/>
      </rPr>
      <t>b</t>
    </r>
    <r>
      <rPr>
        <b/>
        <sz val="10"/>
        <color theme="1"/>
        <rFont val="Arial"/>
        <charset val="134"/>
      </rPr>
      <t>A
kN</t>
    </r>
  </si>
  <si>
    <r>
      <rPr>
        <b/>
        <sz val="10"/>
        <color theme="1"/>
        <rFont val="Symbol"/>
        <charset val="2"/>
      </rPr>
      <t xml:space="preserve"> g</t>
    </r>
    <r>
      <rPr>
        <b/>
        <vertAlign val="subscript"/>
        <sz val="10"/>
        <color theme="1"/>
        <rFont val="Arial"/>
        <charset val="134"/>
      </rPr>
      <t>R,f</t>
    </r>
  </si>
  <si>
    <r>
      <rPr>
        <b/>
        <sz val="10"/>
        <color theme="1"/>
        <rFont val="Arial"/>
        <charset val="134"/>
      </rPr>
      <t>H</t>
    </r>
    <r>
      <rPr>
        <b/>
        <vertAlign val="subscript"/>
        <sz val="10"/>
        <color theme="1"/>
        <rFont val="Arial"/>
        <charset val="134"/>
      </rPr>
      <t>i</t>
    </r>
    <r>
      <rPr>
        <b/>
        <sz val="10"/>
        <color theme="1"/>
        <rFont val="Arial"/>
        <charset val="134"/>
      </rPr>
      <t xml:space="preserve">
(m)</t>
    </r>
  </si>
  <si>
    <r>
      <rPr>
        <b/>
        <sz val="10"/>
        <color theme="1"/>
        <rFont val="Arial"/>
        <charset val="134"/>
      </rPr>
      <t xml:space="preserve"> </t>
    </r>
    <r>
      <rPr>
        <b/>
        <sz val="10"/>
        <color theme="1"/>
        <rFont val="Symbol"/>
        <charset val="2"/>
      </rPr>
      <t>g</t>
    </r>
    <r>
      <rPr>
        <b/>
        <vertAlign val="subscript"/>
        <sz val="10"/>
        <color theme="1"/>
        <rFont val="Arial"/>
        <charset val="134"/>
      </rPr>
      <t>c</t>
    </r>
    <r>
      <rPr>
        <b/>
        <sz val="10"/>
        <color theme="1"/>
        <rFont val="Symbol"/>
        <charset val="2"/>
      </rPr>
      <t>g</t>
    </r>
    <r>
      <rPr>
        <b/>
        <vertAlign val="subscript"/>
        <sz val="10"/>
        <color theme="1"/>
        <rFont val="Arial"/>
        <charset val="134"/>
      </rPr>
      <t>R,f</t>
    </r>
    <r>
      <rPr>
        <b/>
        <sz val="10"/>
        <color theme="1"/>
        <rFont val="Arial"/>
        <charset val="134"/>
      </rPr>
      <t>fH</t>
    </r>
    <r>
      <rPr>
        <b/>
        <vertAlign val="subscript"/>
        <sz val="10"/>
        <color theme="1"/>
        <rFont val="Arial"/>
        <charset val="134"/>
      </rPr>
      <t>i</t>
    </r>
    <r>
      <rPr>
        <b/>
        <sz val="10"/>
        <color theme="1"/>
        <rFont val="Arial"/>
        <charset val="134"/>
      </rPr>
      <t>u
kN</t>
    </r>
  </si>
  <si>
    <r>
      <rPr>
        <b/>
        <sz val="10"/>
        <color theme="1"/>
        <rFont val="Symbol"/>
        <charset val="2"/>
      </rPr>
      <t>S</t>
    </r>
    <r>
      <rPr>
        <b/>
        <sz val="10"/>
        <color theme="1"/>
        <rFont val="Arial"/>
        <charset val="134"/>
      </rPr>
      <t xml:space="preserve"> </t>
    </r>
    <r>
      <rPr>
        <b/>
        <sz val="10"/>
        <color theme="1"/>
        <rFont val="Symbol"/>
        <charset val="2"/>
      </rPr>
      <t>g</t>
    </r>
    <r>
      <rPr>
        <b/>
        <vertAlign val="subscript"/>
        <sz val="10"/>
        <color theme="1"/>
        <rFont val="Arial"/>
        <charset val="134"/>
      </rPr>
      <t>c</t>
    </r>
    <r>
      <rPr>
        <b/>
        <sz val="10"/>
        <color theme="1"/>
        <rFont val="Symbol"/>
        <charset val="2"/>
      </rPr>
      <t>g</t>
    </r>
    <r>
      <rPr>
        <b/>
        <vertAlign val="subscript"/>
        <sz val="10"/>
        <color theme="1"/>
        <rFont val="Arial"/>
        <charset val="134"/>
      </rPr>
      <t>R,f</t>
    </r>
    <r>
      <rPr>
        <b/>
        <sz val="10"/>
        <color theme="1"/>
        <rFont val="Arial"/>
        <charset val="134"/>
      </rPr>
      <t>fHiu
kN</t>
    </r>
  </si>
  <si>
    <r>
      <rPr>
        <b/>
        <sz val="10"/>
        <color theme="1"/>
        <rFont val="Arial"/>
        <charset val="134"/>
      </rPr>
      <t>R</t>
    </r>
    <r>
      <rPr>
        <b/>
        <vertAlign val="subscript"/>
        <sz val="10"/>
        <color theme="1"/>
        <rFont val="Arial"/>
        <charset val="134"/>
      </rPr>
      <t>k</t>
    </r>
    <r>
      <rPr>
        <b/>
        <sz val="10"/>
        <color theme="1"/>
        <rFont val="Arial"/>
        <charset val="134"/>
      </rPr>
      <t xml:space="preserve">
kN</t>
    </r>
  </si>
  <si>
    <r>
      <rPr>
        <b/>
        <sz val="10"/>
        <color theme="1"/>
        <rFont val="Arial"/>
        <charset val="134"/>
      </rPr>
      <t>kN/m</t>
    </r>
    <r>
      <rPr>
        <b/>
        <vertAlign val="superscript"/>
        <sz val="10"/>
        <color theme="1"/>
        <rFont val="Arial"/>
        <charset val="134"/>
      </rPr>
      <t>2</t>
    </r>
  </si>
  <si>
    <t>Loại đất nền</t>
  </si>
  <si>
    <t>Loại Cát, Đất sét</t>
  </si>
  <si>
    <t>Cọc nhồi chiếm chỗ</t>
  </si>
  <si>
    <t>Cát Chặt ít ẩm và ẩm</t>
  </si>
  <si>
    <t>Cát Chặt vừa ít ẩm và ẩm</t>
  </si>
  <si>
    <r>
      <rPr>
        <b/>
        <sz val="10"/>
        <color theme="1"/>
        <rFont val="Symbol"/>
        <charset val="2"/>
      </rPr>
      <t>g</t>
    </r>
    <r>
      <rPr>
        <b/>
        <vertAlign val="subscript"/>
        <sz val="10"/>
        <color theme="1"/>
        <rFont val="Arial"/>
        <charset val="134"/>
      </rPr>
      <t>eq1</t>
    </r>
    <r>
      <rPr>
        <b/>
        <sz val="10"/>
        <color theme="1"/>
        <rFont val="Symbol"/>
        <charset val="2"/>
      </rPr>
      <t>g</t>
    </r>
    <r>
      <rPr>
        <b/>
        <vertAlign val="subscript"/>
        <sz val="10"/>
        <color theme="1"/>
        <rFont val="Arial"/>
        <charset val="134"/>
      </rPr>
      <t>c</t>
    </r>
    <r>
      <rPr>
        <b/>
        <sz val="10"/>
        <color theme="1"/>
        <rFont val="Symbol"/>
        <charset val="2"/>
      </rPr>
      <t>g</t>
    </r>
    <r>
      <rPr>
        <b/>
        <vertAlign val="subscript"/>
        <sz val="10"/>
        <color theme="1"/>
        <rFont val="Arial"/>
        <charset val="134"/>
      </rPr>
      <t>R,R</t>
    </r>
    <r>
      <rPr>
        <b/>
        <sz val="10"/>
        <color theme="1"/>
        <rFont val="Arial"/>
        <charset val="134"/>
      </rPr>
      <t>q</t>
    </r>
    <r>
      <rPr>
        <b/>
        <vertAlign val="subscript"/>
        <sz val="10"/>
        <color theme="1"/>
        <rFont val="Arial"/>
        <charset val="134"/>
      </rPr>
      <t>b</t>
    </r>
    <r>
      <rPr>
        <b/>
        <sz val="10"/>
        <color theme="1"/>
        <rFont val="Arial"/>
        <charset val="134"/>
      </rPr>
      <t>A
kN</t>
    </r>
  </si>
  <si>
    <r>
      <rPr>
        <b/>
        <sz val="10"/>
        <color theme="1"/>
        <rFont val="Arial"/>
        <charset val="134"/>
      </rPr>
      <t xml:space="preserve"> </t>
    </r>
    <r>
      <rPr>
        <b/>
        <sz val="10"/>
        <color theme="1"/>
        <rFont val="Symbol"/>
        <charset val="2"/>
      </rPr>
      <t>g</t>
    </r>
    <r>
      <rPr>
        <b/>
        <vertAlign val="subscript"/>
        <sz val="10"/>
        <color theme="1"/>
        <rFont val="Arial"/>
        <charset val="134"/>
      </rPr>
      <t>eq1</t>
    </r>
    <r>
      <rPr>
        <b/>
        <sz val="10"/>
        <color theme="1"/>
        <rFont val="Symbol"/>
        <charset val="2"/>
      </rPr>
      <t>g</t>
    </r>
    <r>
      <rPr>
        <b/>
        <vertAlign val="subscript"/>
        <sz val="10"/>
        <color theme="1"/>
        <rFont val="Arial"/>
        <charset val="134"/>
      </rPr>
      <t>c</t>
    </r>
    <r>
      <rPr>
        <b/>
        <sz val="10"/>
        <color theme="1"/>
        <rFont val="Symbol"/>
        <charset val="2"/>
      </rPr>
      <t>g</t>
    </r>
    <r>
      <rPr>
        <b/>
        <vertAlign val="subscript"/>
        <sz val="10"/>
        <color theme="1"/>
        <rFont val="Arial"/>
        <charset val="134"/>
      </rPr>
      <t>R,f</t>
    </r>
    <r>
      <rPr>
        <b/>
        <sz val="10"/>
        <color theme="1"/>
        <rFont val="Arial"/>
        <charset val="134"/>
      </rPr>
      <t>fH</t>
    </r>
    <r>
      <rPr>
        <b/>
        <vertAlign val="subscript"/>
        <sz val="10"/>
        <color theme="1"/>
        <rFont val="Arial"/>
        <charset val="134"/>
      </rPr>
      <t>i</t>
    </r>
    <r>
      <rPr>
        <b/>
        <sz val="10"/>
        <color theme="1"/>
        <rFont val="Arial"/>
        <charset val="134"/>
      </rPr>
      <t>u
kN</t>
    </r>
  </si>
  <si>
    <t>SCT Cọc nhồi, cọc khoan và cọc-ống hạ có moi đất và nhồi bê tông (cọc ma sát) (không áp dụng cọc đóng)</t>
  </si>
  <si>
    <t>góc ma sát (độ)</t>
  </si>
  <si>
    <r>
      <rPr>
        <sz val="10"/>
        <rFont val="Arial"/>
        <charset val="134"/>
      </rPr>
      <t xml:space="preserve">Trọng lượng ĐN </t>
    </r>
    <r>
      <rPr>
        <sz val="10"/>
        <rFont val="Symbol"/>
        <charset val="2"/>
      </rPr>
      <t>g</t>
    </r>
    <r>
      <rPr>
        <vertAlign val="subscript"/>
        <sz val="10"/>
        <rFont val="Arial"/>
        <charset val="134"/>
      </rPr>
      <t>dn</t>
    </r>
    <r>
      <rPr>
        <sz val="10"/>
        <rFont val="Arial"/>
        <charset val="134"/>
      </rPr>
      <t>(kN/m³)</t>
    </r>
  </si>
  <si>
    <t>nếu góc ma sát trong &lt;23 độ thì cần chỉ số chảy IL để tính qb</t>
  </si>
  <si>
    <r>
      <rPr>
        <sz val="10"/>
        <color theme="1"/>
        <rFont val="Arial"/>
        <charset val="134"/>
      </rPr>
      <t xml:space="preserve">Hệ số ĐK làm việc </t>
    </r>
    <r>
      <rPr>
        <sz val="10"/>
        <color theme="1"/>
        <rFont val="Symbol"/>
        <charset val="2"/>
      </rPr>
      <t>g</t>
    </r>
    <r>
      <rPr>
        <vertAlign val="subscript"/>
        <sz val="10"/>
        <color theme="1"/>
        <rFont val="Arial"/>
        <charset val="134"/>
      </rPr>
      <t>R,R</t>
    </r>
  </si>
  <si>
    <r>
      <rPr>
        <b/>
        <sz val="10"/>
        <color theme="1"/>
        <rFont val="Symbol"/>
        <charset val="2"/>
      </rPr>
      <t>g</t>
    </r>
    <r>
      <rPr>
        <b/>
        <vertAlign val="subscript"/>
        <sz val="10"/>
        <color theme="1"/>
        <rFont val="Arial"/>
        <charset val="134"/>
      </rPr>
      <t>c</t>
    </r>
    <r>
      <rPr>
        <b/>
        <sz val="10"/>
        <color theme="1"/>
        <rFont val="Symbol"/>
        <charset val="2"/>
      </rPr>
      <t>g</t>
    </r>
    <r>
      <rPr>
        <b/>
        <vertAlign val="subscript"/>
        <sz val="10"/>
        <color theme="1"/>
        <rFont val="Arial"/>
        <charset val="134"/>
      </rPr>
      <t>R,f</t>
    </r>
    <r>
      <rPr>
        <b/>
        <sz val="10"/>
        <color theme="1"/>
        <rFont val="Arial"/>
        <charset val="134"/>
      </rPr>
      <t>f.H</t>
    </r>
    <r>
      <rPr>
        <b/>
        <vertAlign val="subscript"/>
        <sz val="10"/>
        <color theme="1"/>
        <rFont val="Arial"/>
        <charset val="134"/>
      </rPr>
      <t>i</t>
    </r>
    <r>
      <rPr>
        <b/>
        <sz val="10"/>
        <color theme="1"/>
        <rFont val="Arial"/>
        <charset val="134"/>
      </rPr>
      <t>.u
kN</t>
    </r>
  </si>
  <si>
    <r>
      <rPr>
        <b/>
        <sz val="10"/>
        <color theme="1"/>
        <rFont val="Symbol"/>
        <charset val="2"/>
      </rPr>
      <t>S</t>
    </r>
    <r>
      <rPr>
        <b/>
        <sz val="10"/>
        <color theme="1"/>
        <rFont val="Arial"/>
        <charset val="134"/>
      </rPr>
      <t xml:space="preserve"> </t>
    </r>
    <r>
      <rPr>
        <b/>
        <sz val="10"/>
        <color theme="1"/>
        <rFont val="Symbol"/>
        <charset val="2"/>
      </rPr>
      <t>g</t>
    </r>
    <r>
      <rPr>
        <b/>
        <vertAlign val="subscript"/>
        <sz val="10"/>
        <color theme="1"/>
        <rFont val="Arial"/>
        <charset val="134"/>
      </rPr>
      <t>c</t>
    </r>
    <r>
      <rPr>
        <b/>
        <sz val="10"/>
        <color theme="1"/>
        <rFont val="Symbol"/>
        <charset val="2"/>
      </rPr>
      <t>g</t>
    </r>
    <r>
      <rPr>
        <b/>
        <vertAlign val="subscript"/>
        <sz val="10"/>
        <color theme="1"/>
        <rFont val="Arial"/>
        <charset val="134"/>
      </rPr>
      <t>R,f</t>
    </r>
    <r>
      <rPr>
        <b/>
        <sz val="10"/>
        <color theme="1"/>
        <rFont val="Arial"/>
        <charset val="134"/>
      </rPr>
      <t>f.Hi.u
kN</t>
    </r>
  </si>
  <si>
    <t>XÁC ĐỊNH SỨC CHỊU TẢI CỌC THEO TCVN 10304 - 2025</t>
  </si>
  <si>
    <t>A. Sức chịu tải của cọc theo vật liệu (TCVN 10304:2025)</t>
  </si>
  <si>
    <r>
      <t>F</t>
    </r>
    <r>
      <rPr>
        <vertAlign val="subscript"/>
        <sz val="11"/>
        <color theme="1"/>
        <rFont val="Arial"/>
        <family val="2"/>
      </rPr>
      <t>z Max</t>
    </r>
  </si>
  <si>
    <r>
      <t>M</t>
    </r>
    <r>
      <rPr>
        <vertAlign val="subscript"/>
        <sz val="11"/>
        <color theme="1"/>
        <rFont val="Arial"/>
        <family val="2"/>
      </rPr>
      <t>xtu</t>
    </r>
  </si>
  <si>
    <r>
      <t>M</t>
    </r>
    <r>
      <rPr>
        <vertAlign val="subscript"/>
        <sz val="11"/>
        <color theme="1"/>
        <rFont val="Arial"/>
        <family val="2"/>
      </rPr>
      <t>ytu</t>
    </r>
  </si>
  <si>
    <r>
      <t>P</t>
    </r>
    <r>
      <rPr>
        <vertAlign val="subscript"/>
        <sz val="11"/>
        <color theme="1"/>
        <rFont val="Arial"/>
        <family val="2"/>
      </rPr>
      <t xml:space="preserve">cọc </t>
    </r>
    <r>
      <rPr>
        <sz val="11"/>
        <color theme="1"/>
        <rFont val="Arial"/>
        <family val="2"/>
      </rPr>
      <t>(kN)</t>
    </r>
  </si>
  <si>
    <r>
      <t>HS</t>
    </r>
    <r>
      <rPr>
        <vertAlign val="subscript"/>
        <sz val="11"/>
        <rFont val="Arial"/>
        <family val="2"/>
      </rPr>
      <t>momen</t>
    </r>
  </si>
  <si>
    <r>
      <t>Chọn
n</t>
    </r>
    <r>
      <rPr>
        <vertAlign val="subscript"/>
        <sz val="11"/>
        <color theme="1"/>
        <rFont val="Arial"/>
        <family val="2"/>
      </rPr>
      <t>cọc</t>
    </r>
    <r>
      <rPr>
        <sz val="11"/>
        <color theme="1"/>
        <rFont val="Arial"/>
        <family val="2"/>
      </rPr>
      <t>tk</t>
    </r>
  </si>
  <si>
    <r>
      <t>g</t>
    </r>
    <r>
      <rPr>
        <vertAlign val="subscript"/>
        <sz val="10"/>
        <rFont val="Arial"/>
        <family val="2"/>
      </rPr>
      <t>k</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</si>
</sst>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5">
    <numFmt numFmtId="164" formatCode="0.000"/>
    <numFmt numFmtId="165" formatCode="[$-1010000]d/m/yyyy;@"/>
    <numFmt numFmtId="166" formatCode="0.0"/>
    <numFmt numFmtId="167" formatCode="&quot;B&quot;0"/>
    <numFmt numFmtId="168" formatCode="#,##0.000"/>
    <numFmt numFmtId="169" formatCode="#,##0.0000"/>
    <numFmt numFmtId="170" formatCode="0.000\ &quot;mét&quot;"/>
    <numFmt numFmtId="171" formatCode="0.0000"/>
    <numFmt numFmtId="172" formatCode="0.0&quot;d&quot;"/>
    <numFmt numFmtId="173" formatCode="&quot;&quot;0.0&quot; (m)&quot;"/>
    <numFmt numFmtId="174" formatCode="0.00\ &quot;m&quot;"/>
    <numFmt numFmtId="175" formatCode="&quot;M&quot;0"/>
    <numFmt numFmtId="176" formatCode="0.00\ &quot;T/m&quot;"/>
    <numFmt numFmtId="177" formatCode="0.0&quot;m&quot;"/>
    <numFmt numFmtId="178" formatCode="0\ &quot;KN&quot;"/>
  </numFmts>
  <fonts count="123">
    <font>
      <sz val="11"/>
      <color theme="1"/>
      <name val="Calibri"/>
      <charset val="134"/>
      <scheme val="minor"/>
    </font>
    <font>
      <sz val="10"/>
      <color theme="1"/>
      <name val="Arial"/>
      <charset val="134"/>
    </font>
    <font>
      <sz val="10"/>
      <color rgb="FF0000FF"/>
      <name val="Arial"/>
      <charset val="134"/>
    </font>
    <font>
      <b/>
      <sz val="14"/>
      <name val="Arial"/>
      <charset val="134"/>
    </font>
    <font>
      <sz val="11"/>
      <color theme="1"/>
      <name val="Arial"/>
      <charset val="134"/>
    </font>
    <font>
      <i/>
      <sz val="9"/>
      <name val="Arial"/>
      <charset val="134"/>
    </font>
    <font>
      <sz val="11"/>
      <name val="Arial"/>
      <charset val="134"/>
    </font>
    <font>
      <b/>
      <i/>
      <sz val="9"/>
      <name val="Arial"/>
      <charset val="134"/>
    </font>
    <font>
      <b/>
      <sz val="10"/>
      <color theme="1"/>
      <name val="Arial"/>
      <charset val="134"/>
    </font>
    <font>
      <b/>
      <sz val="10"/>
      <color rgb="FF0000FF"/>
      <name val="Arial"/>
      <charset val="134"/>
    </font>
    <font>
      <sz val="10"/>
      <color rgb="FF0000CC"/>
      <name val="Arial"/>
      <charset val="134"/>
    </font>
    <font>
      <sz val="10"/>
      <name val="Arial"/>
      <charset val="134"/>
    </font>
    <font>
      <sz val="10"/>
      <color theme="1"/>
      <name val="Symbol"/>
      <charset val="2"/>
    </font>
    <font>
      <sz val="8"/>
      <color rgb="FF0000FF"/>
      <name val="Arial"/>
      <charset val="134"/>
    </font>
    <font>
      <b/>
      <sz val="10"/>
      <name val="Arial"/>
      <charset val="134"/>
    </font>
    <font>
      <b/>
      <sz val="10"/>
      <color rgb="FFFF0000"/>
      <name val="Arial"/>
      <charset val="134"/>
    </font>
    <font>
      <b/>
      <i/>
      <sz val="9"/>
      <color rgb="FFFF0000"/>
      <name val="Arial"/>
      <charset val="134"/>
    </font>
    <font>
      <sz val="9"/>
      <name val="Arial"/>
      <charset val="134"/>
    </font>
    <font>
      <sz val="9"/>
      <color theme="1"/>
      <name val="Arial"/>
      <charset val="134"/>
    </font>
    <font>
      <sz val="11"/>
      <color rgb="FF0000FF"/>
      <name val="Calibri"/>
      <charset val="134"/>
      <scheme val="minor"/>
    </font>
    <font>
      <sz val="10"/>
      <color theme="0"/>
      <name val="Arial"/>
      <charset val="134"/>
    </font>
    <font>
      <b/>
      <sz val="10"/>
      <color rgb="FFC00000"/>
      <name val="Arial"/>
      <charset val="134"/>
    </font>
    <font>
      <i/>
      <sz val="9"/>
      <color rgb="FFFF0000"/>
      <name val="Arial"/>
      <charset val="134"/>
    </font>
    <font>
      <sz val="10"/>
      <color theme="1"/>
      <name val="Calibri"/>
      <charset val="134"/>
      <scheme val="minor"/>
    </font>
    <font>
      <sz val="10"/>
      <color rgb="FF0000FF"/>
      <name val="Calibri"/>
      <charset val="134"/>
      <scheme val="minor"/>
    </font>
    <font>
      <b/>
      <i/>
      <sz val="15"/>
      <name val="Arial"/>
      <charset val="134"/>
    </font>
    <font>
      <i/>
      <sz val="10"/>
      <name val="Arial"/>
      <charset val="134"/>
    </font>
    <font>
      <b/>
      <i/>
      <sz val="10"/>
      <color rgb="FF0000FF"/>
      <name val="Arial"/>
      <charset val="134"/>
    </font>
    <font>
      <sz val="10"/>
      <color indexed="8"/>
      <name val="Arial"/>
      <charset val="2"/>
    </font>
    <font>
      <b/>
      <i/>
      <sz val="10"/>
      <name val="Arial"/>
      <charset val="134"/>
    </font>
    <font>
      <i/>
      <sz val="10"/>
      <color rgb="FF0000FF"/>
      <name val="Arial"/>
      <charset val="134"/>
    </font>
    <font>
      <sz val="10"/>
      <color theme="1"/>
      <name val="Times New Roman"/>
      <charset val="134"/>
    </font>
    <font>
      <sz val="11"/>
      <color rgb="FFFF0000"/>
      <name val="Calibri"/>
      <charset val="134"/>
      <scheme val="minor"/>
    </font>
    <font>
      <sz val="11"/>
      <name val="Times New Roman"/>
      <charset val="134"/>
    </font>
    <font>
      <sz val="11"/>
      <color theme="1"/>
      <name val="Times New Roman"/>
      <charset val="134"/>
    </font>
    <font>
      <b/>
      <sz val="11"/>
      <color theme="1"/>
      <name val="Times New Roman"/>
      <charset val="134"/>
    </font>
    <font>
      <b/>
      <i/>
      <sz val="10"/>
      <color theme="1"/>
      <name val="Arial"/>
      <charset val="134"/>
    </font>
    <font>
      <i/>
      <sz val="10"/>
      <color theme="1"/>
      <name val="Arial"/>
      <charset val="134"/>
    </font>
    <font>
      <sz val="10"/>
      <color theme="1"/>
      <name val="Symbol"/>
      <charset val="2"/>
    </font>
    <font>
      <b/>
      <sz val="10"/>
      <color theme="1"/>
      <name val="Arial"/>
      <charset val="2"/>
    </font>
    <font>
      <b/>
      <sz val="10"/>
      <color theme="1"/>
      <name val="Symbol"/>
      <charset val="2"/>
    </font>
    <font>
      <sz val="10"/>
      <color rgb="FFFF0000"/>
      <name val="Arial"/>
      <charset val="134"/>
    </font>
    <font>
      <sz val="11"/>
      <color rgb="FF0000CC"/>
      <name val="Arial"/>
      <charset val="134"/>
    </font>
    <font>
      <b/>
      <sz val="11"/>
      <color theme="1"/>
      <name val="Arial"/>
      <charset val="134"/>
    </font>
    <font>
      <b/>
      <sz val="11"/>
      <color rgb="FF0000CC"/>
      <name val="Arial"/>
      <charset val="134"/>
    </font>
    <font>
      <b/>
      <sz val="11"/>
      <color theme="1"/>
      <name val="Calibri"/>
      <charset val="134"/>
      <scheme val="minor"/>
    </font>
    <font>
      <sz val="11"/>
      <color theme="1"/>
      <name val="Calibri"/>
      <charset val="134"/>
    </font>
    <font>
      <i/>
      <sz val="11"/>
      <color theme="1"/>
      <name val="Arial"/>
      <charset val="134"/>
    </font>
    <font>
      <b/>
      <i/>
      <sz val="11"/>
      <color rgb="FF0000CC"/>
      <name val="Arial"/>
      <charset val="134"/>
    </font>
    <font>
      <b/>
      <sz val="11"/>
      <color indexed="8"/>
      <name val="Arial"/>
      <charset val="134"/>
    </font>
    <font>
      <sz val="11"/>
      <color indexed="10"/>
      <name val="Arial"/>
      <charset val="134"/>
    </font>
    <font>
      <b/>
      <sz val="11"/>
      <name val="Arial"/>
      <charset val="134"/>
    </font>
    <font>
      <u/>
      <sz val="11"/>
      <color indexed="8"/>
      <name val="Arial"/>
      <charset val="134"/>
    </font>
    <font>
      <sz val="11"/>
      <color indexed="8"/>
      <name val="Arial"/>
      <charset val="134"/>
    </font>
    <font>
      <sz val="11"/>
      <color rgb="FF0000FF"/>
      <name val="Arial"/>
      <charset val="134"/>
    </font>
    <font>
      <sz val="11"/>
      <color rgb="FF000000"/>
      <name val="Arial"/>
      <charset val="134"/>
    </font>
    <font>
      <sz val="11"/>
      <color rgb="FF000000"/>
      <name val="Symbol"/>
      <charset val="2"/>
    </font>
    <font>
      <i/>
      <sz val="12"/>
      <name val="Symbol"/>
      <charset val="2"/>
    </font>
    <font>
      <i/>
      <sz val="11"/>
      <name val="Times New Roman"/>
      <charset val="134"/>
    </font>
    <font>
      <sz val="11"/>
      <name val="Symbol"/>
      <charset val="2"/>
    </font>
    <font>
      <b/>
      <i/>
      <sz val="11"/>
      <name val="Arial"/>
      <charset val="134"/>
    </font>
    <font>
      <u/>
      <sz val="11"/>
      <name val="Arial"/>
      <charset val="134"/>
    </font>
    <font>
      <sz val="12"/>
      <name val="Arial"/>
      <charset val="134"/>
    </font>
    <font>
      <b/>
      <u/>
      <sz val="11"/>
      <name val="Arial"/>
      <charset val="134"/>
    </font>
    <font>
      <sz val="11"/>
      <color theme="1"/>
      <name val="Calibri"/>
      <charset val="134"/>
      <scheme val="minor"/>
    </font>
    <font>
      <vertAlign val="subscript"/>
      <sz val="11"/>
      <name val="Arial"/>
      <charset val="134"/>
    </font>
    <font>
      <b/>
      <vertAlign val="subscript"/>
      <sz val="10"/>
      <color theme="1"/>
      <name val="Arial"/>
      <charset val="134"/>
    </font>
    <font>
      <b/>
      <vertAlign val="subscript"/>
      <sz val="10"/>
      <name val="Arial"/>
      <charset val="134"/>
    </font>
    <font>
      <vertAlign val="superscript"/>
      <sz val="10"/>
      <color theme="1"/>
      <name val="Arial"/>
      <charset val="134"/>
    </font>
    <font>
      <vertAlign val="subscript"/>
      <sz val="10"/>
      <color theme="1"/>
      <name val="Arial"/>
      <charset val="134"/>
    </font>
    <font>
      <b/>
      <vertAlign val="superscript"/>
      <sz val="10"/>
      <color theme="1"/>
      <name val="Arial"/>
      <charset val="134"/>
    </font>
    <font>
      <vertAlign val="subscript"/>
      <sz val="10"/>
      <name val="Arial"/>
      <charset val="134"/>
    </font>
    <font>
      <b/>
      <vertAlign val="subscript"/>
      <sz val="11"/>
      <color rgb="FF0000CC"/>
      <name val="Arial"/>
      <charset val="134"/>
    </font>
    <font>
      <b/>
      <sz val="11"/>
      <color rgb="FF0000CC"/>
      <name val="Symbol"/>
      <charset val="2"/>
    </font>
    <font>
      <i/>
      <vertAlign val="subscript"/>
      <sz val="11"/>
      <name val="Arial"/>
      <charset val="134"/>
    </font>
    <font>
      <b/>
      <sz val="10"/>
      <name val="Symbol"/>
      <charset val="2"/>
    </font>
    <font>
      <b/>
      <vertAlign val="subscript"/>
      <sz val="11"/>
      <name val="Arial"/>
      <charset val="134"/>
    </font>
    <font>
      <b/>
      <sz val="11"/>
      <name val="Symbol"/>
      <charset val="2"/>
    </font>
    <font>
      <b/>
      <vertAlign val="subscript"/>
      <sz val="11"/>
      <name val="Times New Roman"/>
      <charset val="134"/>
    </font>
    <font>
      <b/>
      <sz val="11"/>
      <name val="Times New Roman"/>
      <charset val="134"/>
    </font>
    <font>
      <sz val="7"/>
      <color indexed="8"/>
      <name val="Times New Roman"/>
      <charset val="134"/>
    </font>
    <font>
      <sz val="12"/>
      <name val="Symbol"/>
      <charset val="2"/>
    </font>
    <font>
      <vertAlign val="superscript"/>
      <sz val="11"/>
      <color indexed="8"/>
      <name val="Arial"/>
      <charset val="134"/>
    </font>
    <font>
      <vertAlign val="subscript"/>
      <sz val="11"/>
      <color indexed="8"/>
      <name val="Arial"/>
      <charset val="134"/>
    </font>
    <font>
      <sz val="10"/>
      <name val="Symbol"/>
      <charset val="2"/>
    </font>
    <font>
      <vertAlign val="subscript"/>
      <sz val="11"/>
      <name val="Symbol"/>
      <charset val="2"/>
    </font>
    <font>
      <b/>
      <i/>
      <vertAlign val="subscript"/>
      <sz val="11"/>
      <name val="Arial"/>
      <charset val="134"/>
    </font>
    <font>
      <b/>
      <i/>
      <sz val="11"/>
      <name val="Symbol"/>
      <charset val="2"/>
    </font>
    <font>
      <b/>
      <vertAlign val="subscript"/>
      <sz val="10"/>
      <color theme="1"/>
      <name val="Symbol"/>
      <charset val="2"/>
    </font>
    <font>
      <i/>
      <sz val="12"/>
      <name val="Arial"/>
      <charset val="134"/>
    </font>
    <font>
      <i/>
      <sz val="12"/>
      <name val="Times New Roman"/>
      <charset val="134"/>
    </font>
    <font>
      <i/>
      <vertAlign val="subscript"/>
      <sz val="12"/>
      <name val="Arial"/>
      <charset val="134"/>
    </font>
    <font>
      <i/>
      <vertAlign val="subscript"/>
      <sz val="11"/>
      <name val="Times New Roman"/>
      <charset val="134"/>
    </font>
    <font>
      <vertAlign val="subscript"/>
      <sz val="11"/>
      <name val="Times New Roman"/>
      <charset val="134"/>
    </font>
    <font>
      <b/>
      <vertAlign val="subscript"/>
      <sz val="10"/>
      <name val="Times New Roman"/>
      <charset val="134"/>
    </font>
    <font>
      <b/>
      <sz val="10"/>
      <name val="Times New Roman"/>
      <charset val="134"/>
    </font>
    <font>
      <vertAlign val="superscript"/>
      <sz val="11"/>
      <name val="Arial"/>
      <charset val="134"/>
    </font>
    <font>
      <sz val="11"/>
      <color indexed="8"/>
      <name val="Symbol"/>
      <charset val="2"/>
    </font>
    <font>
      <vertAlign val="subscript"/>
      <sz val="10"/>
      <color theme="1"/>
      <name val="Symbol"/>
      <charset val="2"/>
    </font>
    <font>
      <vertAlign val="superscript"/>
      <sz val="10"/>
      <name val="Arial"/>
      <charset val="134"/>
    </font>
    <font>
      <i/>
      <sz val="11"/>
      <name val="Arial"/>
      <charset val="134"/>
    </font>
    <font>
      <i/>
      <sz val="11"/>
      <name val="Symbol"/>
      <charset val="2"/>
    </font>
    <font>
      <i/>
      <vertAlign val="subscript"/>
      <sz val="11"/>
      <name val="Symbol"/>
      <charset val="2"/>
    </font>
    <font>
      <b/>
      <sz val="9"/>
      <name val="Tahoma"/>
      <charset val="134"/>
    </font>
    <font>
      <sz val="9"/>
      <name val="Tahoma"/>
      <charset val="134"/>
    </font>
    <font>
      <sz val="10"/>
      <name val="Tahoma"/>
      <charset val="134"/>
    </font>
    <font>
      <sz val="11"/>
      <color rgb="FF000000"/>
      <name val="Calibri"/>
      <family val="2"/>
    </font>
    <font>
      <sz val="10"/>
      <color rgb="FF000000"/>
      <name val="Arial"/>
      <family val="2"/>
    </font>
    <font>
      <sz val="10"/>
      <name val="Tahoma"/>
      <family val="2"/>
    </font>
    <font>
      <sz val="9"/>
      <name val="Tahoma"/>
      <family val="2"/>
    </font>
    <font>
      <b/>
      <sz val="9"/>
      <name val="Tahoma"/>
      <family val="2"/>
    </font>
    <font>
      <sz val="11"/>
      <color theme="1"/>
      <name val="Arial"/>
      <family val="2"/>
    </font>
    <font>
      <vertAlign val="subscript"/>
      <sz val="11"/>
      <color theme="1"/>
      <name val="Arial"/>
      <family val="2"/>
    </font>
    <font>
      <sz val="11"/>
      <name val="Arial"/>
      <family val="2"/>
    </font>
    <font>
      <vertAlign val="subscript"/>
      <sz val="11"/>
      <name val="Arial"/>
      <family val="2"/>
    </font>
    <font>
      <b/>
      <i/>
      <sz val="10"/>
      <color theme="1"/>
      <name val="Arial"/>
      <family val="2"/>
    </font>
    <font>
      <i/>
      <sz val="10"/>
      <color theme="1"/>
      <name val="Arial"/>
      <family val="2"/>
    </font>
    <font>
      <b/>
      <sz val="11"/>
      <color rgb="FF0000FF"/>
      <name val="Arial"/>
      <family val="2"/>
    </font>
    <font>
      <sz val="10"/>
      <name val="Arial"/>
      <family val="2"/>
    </font>
    <font>
      <vertAlign val="subscript"/>
      <sz val="10"/>
      <name val="Arial"/>
      <family val="2"/>
    </font>
    <font>
      <sz val="10"/>
      <color rgb="FF0000FF"/>
      <name val="Arial"/>
      <family val="2"/>
    </font>
    <font>
      <sz val="11"/>
      <color rgb="FF0000FF"/>
      <name val="Arial"/>
      <family val="2"/>
    </font>
    <font>
      <b/>
      <sz val="11"/>
      <color rgb="FFC00000"/>
      <name val="Arial"/>
      <family val="2"/>
    </font>
  </fonts>
  <fills count="14">
    <fill>
      <patternFill patternType="none"/>
    </fill>
    <fill>
      <patternFill patternType="gray125"/>
    </fill>
    <fill>
      <patternFill patternType="solid">
        <fgColor theme="0" tint="-0.499984740745262"/>
        <bgColor indexed="64"/>
      </patternFill>
    </fill>
    <fill>
      <patternFill patternType="solid">
        <fgColor theme="7" tint="0.59999389629810485"/>
        <bgColor indexed="64"/>
      </patternFill>
    </fill>
    <fill>
      <patternFill patternType="solid">
        <fgColor rgb="FF92D050"/>
        <bgColor indexed="64"/>
      </patternFill>
    </fill>
    <fill>
      <patternFill patternType="solid">
        <fgColor theme="0"/>
        <bgColor indexed="64"/>
      </patternFill>
    </fill>
    <fill>
      <patternFill patternType="solid">
        <fgColor theme="0" tint="-0.14996795556505021"/>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7" tint="0.79995117038483843"/>
        <bgColor indexed="64"/>
      </patternFill>
    </fill>
    <fill>
      <patternFill patternType="solid">
        <fgColor rgb="FF00B050"/>
        <bgColor indexed="64"/>
      </patternFill>
    </fill>
    <fill>
      <patternFill patternType="solid">
        <fgColor rgb="FFFFC000"/>
        <bgColor indexed="64"/>
      </patternFill>
    </fill>
    <fill>
      <patternFill patternType="solid">
        <fgColor theme="5"/>
        <bgColor indexed="64"/>
      </patternFill>
    </fill>
    <fill>
      <patternFill patternType="solid">
        <fgColor theme="9"/>
        <bgColor indexed="64"/>
      </patternFill>
    </fill>
  </fills>
  <borders count="2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n">
        <color auto="1"/>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bottom/>
      <diagonal/>
    </border>
    <border>
      <left style="thin">
        <color auto="1"/>
      </left>
      <right style="thin">
        <color auto="1"/>
      </right>
      <top/>
      <bottom/>
      <diagonal/>
    </border>
  </borders>
  <cellStyleXfs count="3">
    <xf numFmtId="0" fontId="0" fillId="0" borderId="0"/>
    <xf numFmtId="0" fontId="11" fillId="0" borderId="0"/>
    <xf numFmtId="0" fontId="64" fillId="0" borderId="0"/>
  </cellStyleXfs>
  <cellXfs count="629">
    <xf numFmtId="0" fontId="0" fillId="0" borderId="0" xfId="0"/>
    <xf numFmtId="0" fontId="1" fillId="2" borderId="0" xfId="0" applyFont="1" applyFill="1" applyBorder="1" applyAlignment="1">
      <alignment horizontal="center" vertical="center"/>
    </xf>
    <xf numFmtId="49" fontId="1" fillId="0" borderId="0" xfId="0" applyNumberFormat="1"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center" vertical="center"/>
    </xf>
    <xf numFmtId="2" fontId="1" fillId="0" borderId="0" xfId="0" applyNumberFormat="1" applyFont="1" applyFill="1" applyAlignment="1">
      <alignment horizontal="center" vertical="center"/>
    </xf>
    <xf numFmtId="0" fontId="4" fillId="0" borderId="1" xfId="0" applyFont="1" applyBorder="1" applyAlignment="1">
      <alignment horizontal="center" vertical="center"/>
    </xf>
    <xf numFmtId="0" fontId="6" fillId="0" borderId="1" xfId="0" applyFont="1" applyBorder="1" applyAlignment="1">
      <alignment horizontal="center" vertical="center"/>
    </xf>
    <xf numFmtId="0" fontId="2" fillId="5" borderId="1" xfId="0" applyFont="1" applyFill="1" applyBorder="1" applyAlignment="1">
      <alignment vertical="center"/>
    </xf>
    <xf numFmtId="0" fontId="8" fillId="0" borderId="0" xfId="0" applyFont="1" applyFill="1" applyBorder="1" applyAlignment="1">
      <alignment horizontal="center" vertical="center"/>
    </xf>
    <xf numFmtId="0" fontId="1" fillId="5" borderId="0" xfId="0" applyFont="1" applyFill="1" applyAlignment="1">
      <alignment horizontal="center" vertical="center"/>
    </xf>
    <xf numFmtId="0" fontId="1" fillId="5" borderId="1" xfId="0" applyFont="1" applyFill="1" applyBorder="1" applyAlignment="1">
      <alignment horizontal="left" vertical="center"/>
    </xf>
    <xf numFmtId="1" fontId="10" fillId="5" borderId="1" xfId="0" applyNumberFormat="1" applyFont="1" applyFill="1" applyBorder="1" applyAlignment="1">
      <alignment horizontal="left" vertical="center"/>
    </xf>
    <xf numFmtId="0" fontId="2" fillId="5" borderId="1" xfId="0" applyFont="1" applyFill="1" applyBorder="1" applyAlignment="1">
      <alignment horizontal="left" vertical="center"/>
    </xf>
    <xf numFmtId="0" fontId="10" fillId="5" borderId="1" xfId="0" applyFont="1" applyFill="1" applyBorder="1" applyAlignment="1">
      <alignment horizontal="left" vertical="center"/>
    </xf>
    <xf numFmtId="0" fontId="1" fillId="5" borderId="8" xfId="0" applyFont="1" applyFill="1" applyBorder="1" applyAlignment="1">
      <alignment horizontal="left" vertical="center"/>
    </xf>
    <xf numFmtId="0" fontId="1" fillId="5" borderId="1" xfId="0" applyFont="1" applyFill="1" applyBorder="1" applyAlignment="1">
      <alignment vertical="center"/>
    </xf>
    <xf numFmtId="0" fontId="1" fillId="5" borderId="4" xfId="0" applyFont="1" applyFill="1" applyBorder="1" applyAlignment="1">
      <alignment vertical="center"/>
    </xf>
    <xf numFmtId="2" fontId="2" fillId="5" borderId="1" xfId="0" applyNumberFormat="1" applyFont="1" applyFill="1" applyBorder="1" applyAlignment="1">
      <alignment horizontal="left" vertical="center"/>
    </xf>
    <xf numFmtId="166" fontId="2" fillId="5" borderId="1" xfId="0" applyNumberFormat="1" applyFont="1" applyFill="1" applyBorder="1" applyAlignment="1">
      <alignment horizontal="left" vertical="center"/>
    </xf>
    <xf numFmtId="164" fontId="1" fillId="5" borderId="1" xfId="0" applyNumberFormat="1" applyFont="1" applyFill="1" applyBorder="1" applyAlignment="1">
      <alignment horizontal="left" vertical="center"/>
    </xf>
    <xf numFmtId="1" fontId="1" fillId="5" borderId="1" xfId="0" applyNumberFormat="1" applyFont="1" applyFill="1" applyBorder="1" applyAlignment="1">
      <alignment horizontal="left" vertical="center"/>
    </xf>
    <xf numFmtId="2" fontId="1" fillId="5" borderId="1" xfId="0" applyNumberFormat="1" applyFont="1" applyFill="1" applyBorder="1" applyAlignment="1">
      <alignment horizontal="left" vertical="center"/>
    </xf>
    <xf numFmtId="0" fontId="13" fillId="5" borderId="1" xfId="0" applyFont="1" applyFill="1" applyBorder="1" applyAlignment="1">
      <alignment horizontal="left" vertical="center"/>
    </xf>
    <xf numFmtId="1" fontId="15" fillId="5" borderId="1" xfId="0" applyNumberFormat="1" applyFont="1" applyFill="1" applyBorder="1" applyAlignment="1">
      <alignment horizontal="left" vertical="center"/>
    </xf>
    <xf numFmtId="0" fontId="1" fillId="5" borderId="0" xfId="0" applyFont="1" applyFill="1" applyBorder="1" applyAlignment="1">
      <alignment horizontal="center" vertical="center"/>
    </xf>
    <xf numFmtId="49" fontId="11" fillId="5" borderId="0" xfId="0" applyNumberFormat="1" applyFont="1" applyFill="1" applyBorder="1" applyAlignment="1">
      <alignment horizontal="right" vertical="center"/>
    </xf>
    <xf numFmtId="2" fontId="11" fillId="5" borderId="0" xfId="0" applyNumberFormat="1" applyFont="1" applyFill="1" applyBorder="1" applyAlignment="1">
      <alignment horizontal="right" vertical="center"/>
    </xf>
    <xf numFmtId="2" fontId="2" fillId="5" borderId="0" xfId="0" applyNumberFormat="1" applyFont="1" applyFill="1" applyBorder="1" applyAlignment="1">
      <alignment horizontal="right" vertical="center"/>
    </xf>
    <xf numFmtId="1" fontId="11" fillId="5" borderId="0" xfId="0" applyNumberFormat="1" applyFont="1" applyFill="1" applyBorder="1" applyAlignment="1">
      <alignment horizontal="center" vertical="center"/>
    </xf>
    <xf numFmtId="1" fontId="11" fillId="5" borderId="0" xfId="0" applyNumberFormat="1" applyFont="1" applyFill="1" applyBorder="1" applyAlignment="1">
      <alignment horizontal="right" vertical="center"/>
    </xf>
    <xf numFmtId="1" fontId="1" fillId="5" borderId="0" xfId="0" applyNumberFormat="1" applyFont="1" applyFill="1" applyBorder="1" applyAlignment="1">
      <alignment horizontal="right" vertical="center"/>
    </xf>
    <xf numFmtId="49" fontId="1" fillId="5" borderId="0" xfId="0" applyNumberFormat="1" applyFont="1" applyFill="1" applyBorder="1" applyAlignment="1">
      <alignment horizontal="center" vertical="center"/>
    </xf>
    <xf numFmtId="0" fontId="2" fillId="5" borderId="0" xfId="0" applyFont="1" applyFill="1" applyBorder="1" applyAlignment="1">
      <alignment horizontal="center" vertical="center"/>
    </xf>
    <xf numFmtId="2" fontId="1" fillId="5" borderId="0" xfId="0" applyNumberFormat="1" applyFont="1" applyFill="1" applyBorder="1" applyAlignment="1">
      <alignment horizontal="center" vertical="center"/>
    </xf>
    <xf numFmtId="0" fontId="9" fillId="2" borderId="0" xfId="0" applyFont="1" applyFill="1" applyAlignment="1">
      <alignment horizontal="center" vertical="center"/>
    </xf>
    <xf numFmtId="0" fontId="2" fillId="5" borderId="0" xfId="0" applyFont="1" applyFill="1" applyAlignment="1">
      <alignment horizontal="center" vertical="center"/>
    </xf>
    <xf numFmtId="0" fontId="1" fillId="2" borderId="0" xfId="0" applyFont="1" applyFill="1" applyAlignment="1">
      <alignment horizontal="center" vertical="center"/>
    </xf>
    <xf numFmtId="3" fontId="11" fillId="0" borderId="1" xfId="0" applyNumberFormat="1" applyFont="1" applyFill="1" applyBorder="1" applyAlignment="1">
      <alignment horizontal="center" vertical="center"/>
    </xf>
    <xf numFmtId="4" fontId="11" fillId="0" borderId="1" xfId="0" applyNumberFormat="1" applyFont="1" applyFill="1" applyBorder="1" applyAlignment="1">
      <alignment horizontal="center" vertical="center"/>
    </xf>
    <xf numFmtId="3" fontId="11" fillId="0" borderId="1" xfId="0" applyNumberFormat="1" applyFont="1" applyFill="1" applyBorder="1" applyAlignment="1">
      <alignment horizontal="left" vertical="center"/>
    </xf>
    <xf numFmtId="168" fontId="11" fillId="0" borderId="1" xfId="0" applyNumberFormat="1" applyFont="1" applyFill="1" applyBorder="1" applyAlignment="1">
      <alignment horizontal="center" vertical="center"/>
    </xf>
    <xf numFmtId="0" fontId="0" fillId="5" borderId="0" xfId="0" applyFill="1"/>
    <xf numFmtId="0" fontId="2" fillId="2" borderId="0" xfId="0" applyFont="1" applyFill="1" applyAlignment="1">
      <alignment horizontal="center" vertical="center"/>
    </xf>
    <xf numFmtId="0" fontId="3" fillId="3" borderId="0" xfId="0" applyFont="1" applyFill="1" applyBorder="1" applyAlignment="1">
      <alignment vertical="center" wrapText="1"/>
    </xf>
    <xf numFmtId="0" fontId="8" fillId="5" borderId="7" xfId="0" applyFont="1" applyFill="1" applyBorder="1" applyAlignment="1">
      <alignment vertical="center"/>
    </xf>
    <xf numFmtId="0" fontId="8" fillId="5" borderId="0" xfId="0" applyFont="1" applyFill="1" applyBorder="1" applyAlignment="1">
      <alignment vertical="center"/>
    </xf>
    <xf numFmtId="0" fontId="9" fillId="5" borderId="0" xfId="0" applyFont="1" applyFill="1" applyBorder="1" applyAlignment="1">
      <alignment horizontal="left" vertical="center"/>
    </xf>
    <xf numFmtId="0" fontId="2" fillId="5" borderId="0" xfId="0" applyFont="1" applyFill="1" applyBorder="1" applyAlignment="1">
      <alignment horizontal="left" vertical="center"/>
    </xf>
    <xf numFmtId="0" fontId="2" fillId="5" borderId="1" xfId="0" applyNumberFormat="1" applyFont="1" applyFill="1" applyBorder="1" applyAlignment="1">
      <alignment horizontal="left" vertical="center"/>
    </xf>
    <xf numFmtId="0" fontId="2" fillId="5" borderId="1" xfId="0" applyFont="1" applyFill="1" applyBorder="1" applyAlignment="1">
      <alignment horizontal="center" vertical="center"/>
    </xf>
    <xf numFmtId="2" fontId="19" fillId="5" borderId="1" xfId="0" applyNumberFormat="1" applyFont="1" applyFill="1" applyBorder="1"/>
    <xf numFmtId="0" fontId="19" fillId="5" borderId="1" xfId="0" applyFont="1" applyFill="1" applyBorder="1" applyAlignment="1">
      <alignment horizontal="center"/>
    </xf>
    <xf numFmtId="0" fontId="0" fillId="5" borderId="1" xfId="0" applyFill="1" applyBorder="1"/>
    <xf numFmtId="2" fontId="2" fillId="5" borderId="0" xfId="0" applyNumberFormat="1" applyFont="1" applyFill="1" applyBorder="1" applyAlignment="1">
      <alignment horizontal="left" vertical="center"/>
    </xf>
    <xf numFmtId="166" fontId="2" fillId="5" borderId="0" xfId="0" applyNumberFormat="1" applyFont="1" applyFill="1" applyBorder="1" applyAlignment="1">
      <alignment horizontal="left" vertical="center"/>
    </xf>
    <xf numFmtId="0" fontId="20" fillId="5" borderId="0" xfId="0" applyFont="1" applyFill="1" applyBorder="1" applyAlignment="1">
      <alignment horizontal="left" vertical="center"/>
    </xf>
    <xf numFmtId="3" fontId="2" fillId="0" borderId="1" xfId="0" applyNumberFormat="1" applyFont="1" applyFill="1" applyBorder="1" applyAlignment="1">
      <alignment horizontal="left" vertical="center"/>
    </xf>
    <xf numFmtId="164" fontId="1" fillId="5" borderId="0" xfId="0" applyNumberFormat="1" applyFont="1" applyFill="1" applyBorder="1" applyAlignment="1">
      <alignment horizontal="left" vertical="center"/>
    </xf>
    <xf numFmtId="169" fontId="2" fillId="0" borderId="1" xfId="0" applyNumberFormat="1" applyFont="1" applyFill="1" applyBorder="1" applyAlignment="1">
      <alignment horizontal="left" vertical="center"/>
    </xf>
    <xf numFmtId="0" fontId="1" fillId="5" borderId="0" xfId="0" applyFont="1" applyFill="1" applyBorder="1" applyAlignment="1">
      <alignment vertical="center"/>
    </xf>
    <xf numFmtId="0" fontId="14" fillId="5" borderId="0" xfId="0" applyFont="1" applyFill="1" applyBorder="1" applyAlignment="1">
      <alignment horizontal="left" vertical="center"/>
    </xf>
    <xf numFmtId="1" fontId="2" fillId="5" borderId="1" xfId="0" applyNumberFormat="1" applyFont="1" applyFill="1" applyBorder="1" applyAlignment="1">
      <alignment horizontal="left" vertical="center"/>
    </xf>
    <xf numFmtId="0" fontId="0" fillId="0" borderId="1" xfId="0" applyBorder="1"/>
    <xf numFmtId="164" fontId="2" fillId="5" borderId="1" xfId="0" applyNumberFormat="1" applyFont="1" applyFill="1" applyBorder="1" applyAlignment="1">
      <alignment horizontal="left" vertical="center"/>
    </xf>
    <xf numFmtId="3" fontId="11" fillId="5" borderId="0" xfId="0" applyNumberFormat="1" applyFont="1" applyFill="1" applyBorder="1" applyAlignment="1">
      <alignment horizontal="center" vertical="center"/>
    </xf>
    <xf numFmtId="0" fontId="2" fillId="5" borderId="0" xfId="0" applyNumberFormat="1" applyFont="1" applyFill="1" applyBorder="1" applyAlignment="1">
      <alignment horizontal="left" vertical="center"/>
    </xf>
    <xf numFmtId="2" fontId="0" fillId="5" borderId="0" xfId="0" applyNumberFormat="1" applyFill="1" applyBorder="1"/>
    <xf numFmtId="0" fontId="11" fillId="0" borderId="1" xfId="0" applyFont="1" applyFill="1" applyBorder="1" applyAlignment="1">
      <alignment horizontal="left" vertical="center"/>
    </xf>
    <xf numFmtId="2" fontId="11" fillId="0" borderId="1" xfId="0" applyNumberFormat="1" applyFont="1" applyFill="1" applyBorder="1" applyAlignment="1">
      <alignment horizontal="left" vertical="center"/>
    </xf>
    <xf numFmtId="167" fontId="2" fillId="0" borderId="1" xfId="0" applyNumberFormat="1" applyFont="1" applyFill="1" applyBorder="1" applyAlignment="1">
      <alignment horizontal="left" vertical="center"/>
    </xf>
    <xf numFmtId="0" fontId="2" fillId="0" borderId="1" xfId="0" applyFont="1" applyFill="1" applyBorder="1" applyAlignment="1">
      <alignment horizontal="left" vertical="center"/>
    </xf>
    <xf numFmtId="3" fontId="15" fillId="5" borderId="0" xfId="0" applyNumberFormat="1" applyFont="1" applyFill="1" applyBorder="1" applyAlignment="1">
      <alignment horizontal="left" vertical="center"/>
    </xf>
    <xf numFmtId="0" fontId="20" fillId="5" borderId="5" xfId="0" applyFont="1" applyFill="1" applyBorder="1" applyAlignment="1">
      <alignment vertical="center"/>
    </xf>
    <xf numFmtId="1" fontId="20" fillId="5" borderId="6" xfId="0" applyNumberFormat="1" applyFont="1" applyFill="1" applyBorder="1" applyAlignment="1">
      <alignment vertical="center"/>
    </xf>
    <xf numFmtId="1" fontId="1" fillId="5" borderId="6" xfId="0" applyNumberFormat="1" applyFont="1" applyFill="1" applyBorder="1" applyAlignment="1">
      <alignment horizontal="left" vertical="center"/>
    </xf>
    <xf numFmtId="4" fontId="11" fillId="5" borderId="0" xfId="0" applyNumberFormat="1" applyFont="1" applyFill="1" applyBorder="1" applyAlignment="1">
      <alignment horizontal="center" vertical="center"/>
    </xf>
    <xf numFmtId="168" fontId="11" fillId="5" borderId="0" xfId="0" applyNumberFormat="1" applyFont="1" applyFill="1" applyBorder="1" applyAlignment="1">
      <alignment horizontal="center" vertical="center"/>
    </xf>
    <xf numFmtId="1" fontId="10" fillId="0" borderId="1" xfId="0" applyNumberFormat="1" applyFont="1" applyBorder="1" applyAlignment="1" applyProtection="1">
      <alignment horizontal="left" vertical="center"/>
      <protection hidden="1"/>
    </xf>
    <xf numFmtId="3" fontId="11" fillId="5" borderId="0" xfId="0" applyNumberFormat="1" applyFont="1" applyFill="1" applyBorder="1" applyAlignment="1">
      <alignment horizontal="left" vertical="center"/>
    </xf>
    <xf numFmtId="170" fontId="2" fillId="5" borderId="0" xfId="0" applyNumberFormat="1" applyFont="1" applyFill="1" applyBorder="1" applyAlignment="1">
      <alignment horizontal="left" vertical="center"/>
    </xf>
    <xf numFmtId="3" fontId="11" fillId="0" borderId="0" xfId="0" applyNumberFormat="1" applyFont="1" applyFill="1" applyBorder="1" applyAlignment="1">
      <alignment horizontal="center" vertical="center"/>
    </xf>
    <xf numFmtId="3" fontId="11" fillId="5" borderId="1" xfId="0" applyNumberFormat="1" applyFont="1" applyFill="1" applyBorder="1" applyAlignment="1">
      <alignment horizontal="left" vertical="center"/>
    </xf>
    <xf numFmtId="4" fontId="11" fillId="5" borderId="1" xfId="0" applyNumberFormat="1" applyFont="1" applyFill="1" applyBorder="1" applyAlignment="1">
      <alignment horizontal="left" vertical="center"/>
    </xf>
    <xf numFmtId="4" fontId="2" fillId="5" borderId="1" xfId="0" applyNumberFormat="1" applyFont="1" applyFill="1" applyBorder="1" applyAlignment="1">
      <alignment horizontal="left" vertical="center"/>
    </xf>
    <xf numFmtId="3" fontId="15" fillId="5" borderId="1" xfId="0" applyNumberFormat="1" applyFont="1" applyFill="1" applyBorder="1" applyAlignment="1">
      <alignment horizontal="left" vertical="center"/>
    </xf>
    <xf numFmtId="3" fontId="14" fillId="5" borderId="1" xfId="0" applyNumberFormat="1" applyFont="1" applyFill="1" applyBorder="1" applyAlignment="1">
      <alignment horizontal="left" vertical="center"/>
    </xf>
    <xf numFmtId="3" fontId="11" fillId="5" borderId="1" xfId="0" applyNumberFormat="1" applyFont="1" applyFill="1" applyBorder="1" applyAlignment="1">
      <alignment horizontal="center" vertical="center"/>
    </xf>
    <xf numFmtId="3" fontId="15" fillId="0" borderId="1" xfId="0" applyNumberFormat="1" applyFont="1" applyFill="1" applyBorder="1" applyAlignment="1">
      <alignment horizontal="center" vertical="center"/>
    </xf>
    <xf numFmtId="3" fontId="14" fillId="0" borderId="1" xfId="0" applyNumberFormat="1" applyFont="1" applyFill="1" applyBorder="1" applyAlignment="1">
      <alignment horizontal="center" vertical="center"/>
    </xf>
    <xf numFmtId="0" fontId="0" fillId="5" borderId="0" xfId="0" applyFill="1" applyBorder="1" applyAlignment="1">
      <alignment horizontal="left" vertical="center"/>
    </xf>
    <xf numFmtId="3" fontId="14" fillId="5" borderId="0" xfId="0" applyNumberFormat="1" applyFont="1" applyFill="1" applyBorder="1" applyAlignment="1">
      <alignment horizontal="left" vertical="center"/>
    </xf>
    <xf numFmtId="4" fontId="2" fillId="5" borderId="0" xfId="0" applyNumberFormat="1" applyFont="1" applyFill="1" applyBorder="1" applyAlignment="1">
      <alignment horizontal="center" vertical="center"/>
    </xf>
    <xf numFmtId="3" fontId="14" fillId="5" borderId="0" xfId="0" applyNumberFormat="1" applyFont="1" applyFill="1" applyBorder="1" applyAlignment="1">
      <alignment horizontal="center" vertical="center"/>
    </xf>
    <xf numFmtId="3" fontId="8" fillId="4" borderId="1" xfId="0" applyNumberFormat="1" applyFont="1" applyFill="1" applyBorder="1" applyAlignment="1" applyProtection="1">
      <alignment horizontal="center" vertical="center" wrapText="1"/>
      <protection hidden="1"/>
    </xf>
    <xf numFmtId="3" fontId="11" fillId="5" borderId="1" xfId="0" applyNumberFormat="1" applyFont="1" applyFill="1" applyBorder="1" applyAlignment="1">
      <alignment horizontal="right" vertical="center"/>
    </xf>
    <xf numFmtId="4" fontId="11" fillId="5" borderId="1" xfId="0" applyNumberFormat="1" applyFont="1" applyFill="1" applyBorder="1" applyAlignment="1">
      <alignment horizontal="center" vertical="center"/>
    </xf>
    <xf numFmtId="0" fontId="9" fillId="5" borderId="0" xfId="0" applyFont="1" applyFill="1" applyAlignment="1">
      <alignment horizontal="center" vertical="center"/>
    </xf>
    <xf numFmtId="0" fontId="3" fillId="3" borderId="0" xfId="0" applyFont="1" applyFill="1" applyBorder="1" applyAlignment="1">
      <alignment horizontal="left" vertical="center" wrapText="1"/>
    </xf>
    <xf numFmtId="1" fontId="5" fillId="3" borderId="4" xfId="0" applyNumberFormat="1" applyFont="1" applyFill="1" applyBorder="1" applyAlignment="1">
      <alignment vertical="center"/>
    </xf>
    <xf numFmtId="1" fontId="5" fillId="3" borderId="5" xfId="0" applyNumberFormat="1" applyFont="1" applyFill="1" applyBorder="1" applyAlignment="1">
      <alignment vertical="center"/>
    </xf>
    <xf numFmtId="1" fontId="7" fillId="3" borderId="4" xfId="0" applyNumberFormat="1" applyFont="1" applyFill="1" applyBorder="1" applyAlignment="1">
      <alignment vertical="center"/>
    </xf>
    <xf numFmtId="1" fontId="7" fillId="3" borderId="5" xfId="0" applyNumberFormat="1" applyFont="1" applyFill="1" applyBorder="1" applyAlignment="1">
      <alignment vertical="center"/>
    </xf>
    <xf numFmtId="0" fontId="8" fillId="5" borderId="2" xfId="0" applyFont="1" applyFill="1" applyBorder="1" applyAlignment="1">
      <alignment vertical="center"/>
    </xf>
    <xf numFmtId="0" fontId="8" fillId="5" borderId="3" xfId="0" applyFont="1" applyFill="1" applyBorder="1" applyAlignment="1">
      <alignment vertical="center"/>
    </xf>
    <xf numFmtId="2" fontId="0" fillId="5" borderId="1" xfId="0" applyNumberFormat="1" applyFill="1" applyBorder="1"/>
    <xf numFmtId="0" fontId="9" fillId="5" borderId="0" xfId="0" applyFont="1" applyFill="1" applyBorder="1" applyAlignment="1">
      <alignment vertical="top" wrapText="1"/>
    </xf>
    <xf numFmtId="0" fontId="0" fillId="5" borderId="0" xfId="0" applyFill="1" applyBorder="1"/>
    <xf numFmtId="1" fontId="2" fillId="5" borderId="0" xfId="0" applyNumberFormat="1" applyFont="1" applyFill="1" applyBorder="1" applyAlignment="1">
      <alignment horizontal="left" vertical="center"/>
    </xf>
    <xf numFmtId="3" fontId="1" fillId="5" borderId="1" xfId="0" applyNumberFormat="1" applyFont="1" applyFill="1" applyBorder="1" applyAlignment="1">
      <alignment horizontal="left" vertical="center"/>
    </xf>
    <xf numFmtId="3" fontId="1" fillId="5" borderId="6" xfId="0" applyNumberFormat="1" applyFont="1" applyFill="1" applyBorder="1" applyAlignment="1">
      <alignment horizontal="left" vertical="center"/>
    </xf>
    <xf numFmtId="0" fontId="9" fillId="5" borderId="10" xfId="0" applyFont="1" applyFill="1" applyBorder="1" applyAlignment="1">
      <alignment vertical="top" wrapText="1"/>
    </xf>
    <xf numFmtId="4" fontId="2" fillId="5" borderId="0" xfId="0" applyNumberFormat="1" applyFont="1" applyFill="1" applyBorder="1" applyAlignment="1">
      <alignment horizontal="left" vertical="center"/>
    </xf>
    <xf numFmtId="3" fontId="15" fillId="5" borderId="0" xfId="0" applyNumberFormat="1" applyFont="1" applyFill="1" applyBorder="1" applyAlignment="1">
      <alignment horizontal="center" vertical="center"/>
    </xf>
    <xf numFmtId="4" fontId="11" fillId="0" borderId="0" xfId="0" applyNumberFormat="1" applyFont="1" applyFill="1" applyBorder="1" applyAlignment="1">
      <alignment horizontal="center" vertical="center"/>
    </xf>
    <xf numFmtId="0" fontId="8" fillId="5" borderId="0" xfId="0" applyFont="1" applyFill="1" applyBorder="1" applyAlignment="1" applyProtection="1">
      <alignment vertical="center"/>
      <protection hidden="1"/>
    </xf>
    <xf numFmtId="0" fontId="2" fillId="5" borderId="0" xfId="0" applyFont="1" applyFill="1" applyBorder="1" applyAlignment="1">
      <alignment vertical="center"/>
    </xf>
    <xf numFmtId="168" fontId="14" fillId="0" borderId="1" xfId="0" applyNumberFormat="1" applyFont="1" applyFill="1" applyBorder="1" applyAlignment="1">
      <alignment horizontal="left" vertical="center"/>
    </xf>
    <xf numFmtId="1" fontId="2" fillId="5" borderId="1" xfId="0" applyNumberFormat="1" applyFont="1" applyFill="1" applyBorder="1" applyAlignment="1">
      <alignment vertical="center"/>
    </xf>
    <xf numFmtId="1" fontId="2" fillId="5" borderId="0" xfId="0" applyNumberFormat="1" applyFont="1" applyFill="1" applyBorder="1" applyAlignment="1">
      <alignment vertical="center"/>
    </xf>
    <xf numFmtId="0" fontId="11" fillId="5" borderId="0" xfId="0" applyFont="1" applyFill="1" applyBorder="1" applyAlignment="1">
      <alignment horizontal="left" vertical="center"/>
    </xf>
    <xf numFmtId="1" fontId="11" fillId="5" borderId="0" xfId="0" applyNumberFormat="1" applyFont="1" applyFill="1" applyBorder="1" applyAlignment="1">
      <alignment horizontal="left" vertical="center"/>
    </xf>
    <xf numFmtId="168" fontId="14" fillId="5" borderId="1" xfId="0" applyNumberFormat="1" applyFont="1" applyFill="1" applyBorder="1" applyAlignment="1">
      <alignment horizontal="left" vertical="center"/>
    </xf>
    <xf numFmtId="3" fontId="11" fillId="5" borderId="0" xfId="0" applyNumberFormat="1" applyFont="1" applyFill="1" applyBorder="1" applyAlignment="1">
      <alignment horizontal="right" vertical="center"/>
    </xf>
    <xf numFmtId="168" fontId="11" fillId="5" borderId="1" xfId="0" applyNumberFormat="1" applyFont="1" applyFill="1" applyBorder="1" applyAlignment="1">
      <alignment horizontal="left" vertical="center"/>
    </xf>
    <xf numFmtId="168" fontId="11" fillId="5" borderId="1" xfId="0" applyNumberFormat="1" applyFont="1" applyFill="1" applyBorder="1" applyAlignment="1">
      <alignment horizontal="right" vertical="center"/>
    </xf>
    <xf numFmtId="168" fontId="9" fillId="5" borderId="1" xfId="0" applyNumberFormat="1" applyFont="1" applyFill="1" applyBorder="1" applyAlignment="1">
      <alignment horizontal="left" vertical="center"/>
    </xf>
    <xf numFmtId="0" fontId="2" fillId="2" borderId="0" xfId="0" applyFont="1" applyFill="1" applyBorder="1" applyAlignment="1">
      <alignment vertical="top" wrapText="1"/>
    </xf>
    <xf numFmtId="0" fontId="2" fillId="2" borderId="0" xfId="0" applyFont="1" applyFill="1" applyBorder="1" applyAlignment="1">
      <alignment horizontal="center" vertical="center"/>
    </xf>
    <xf numFmtId="0" fontId="14" fillId="2" borderId="1" xfId="0" applyFont="1" applyFill="1" applyBorder="1" applyAlignment="1">
      <alignment horizontal="center" vertical="center" wrapText="1"/>
    </xf>
    <xf numFmtId="0" fontId="14" fillId="2" borderId="0" xfId="0" applyFont="1" applyFill="1" applyBorder="1" applyAlignment="1">
      <alignment horizontal="center" vertical="center" wrapText="1"/>
    </xf>
    <xf numFmtId="0" fontId="9" fillId="2" borderId="1" xfId="0" applyFont="1" applyFill="1" applyBorder="1" applyAlignment="1">
      <alignment horizontal="center" vertical="center" wrapText="1"/>
    </xf>
    <xf numFmtId="0" fontId="14" fillId="2" borderId="1" xfId="0" applyFont="1" applyFill="1" applyBorder="1" applyAlignment="1">
      <alignment horizontal="center" vertical="center"/>
    </xf>
    <xf numFmtId="0" fontId="0" fillId="0" borderId="0" xfId="0" applyBorder="1" applyAlignment="1">
      <alignment horizontal="left" vertical="center"/>
    </xf>
    <xf numFmtId="0" fontId="21" fillId="8" borderId="1" xfId="0" applyFont="1" applyFill="1" applyBorder="1" applyAlignment="1">
      <alignment horizontal="center" vertical="center"/>
    </xf>
    <xf numFmtId="0" fontId="9" fillId="8" borderId="1" xfId="0" applyFont="1" applyFill="1" applyBorder="1" applyAlignment="1">
      <alignment horizontal="center" vertical="center"/>
    </xf>
    <xf numFmtId="0" fontId="9" fillId="2" borderId="0" xfId="0" applyFont="1" applyFill="1" applyBorder="1" applyAlignment="1">
      <alignment horizontal="center" vertical="center"/>
    </xf>
    <xf numFmtId="0" fontId="11" fillId="2" borderId="1" xfId="0" applyFont="1" applyFill="1" applyBorder="1" applyAlignment="1">
      <alignment horizontal="center" vertical="center" wrapText="1"/>
    </xf>
    <xf numFmtId="0" fontId="2"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8" fillId="4" borderId="0" xfId="0" applyFont="1" applyFill="1" applyBorder="1" applyAlignment="1">
      <alignment horizontal="center" vertical="center"/>
    </xf>
    <xf numFmtId="0" fontId="1" fillId="7" borderId="0" xfId="0" applyFont="1" applyFill="1" applyBorder="1" applyAlignment="1" applyProtection="1">
      <alignment horizontal="center" vertical="center" wrapText="1"/>
      <protection hidden="1"/>
    </xf>
    <xf numFmtId="0" fontId="9" fillId="2" borderId="1" xfId="0" applyFont="1" applyFill="1" applyBorder="1" applyAlignment="1">
      <alignment horizontal="center" vertical="center"/>
    </xf>
    <xf numFmtId="0" fontId="14" fillId="2" borderId="0" xfId="0" applyFont="1" applyFill="1" applyBorder="1" applyAlignment="1">
      <alignment horizontal="center" vertical="center"/>
    </xf>
    <xf numFmtId="0" fontId="11" fillId="2" borderId="1" xfId="0" applyFont="1" applyFill="1" applyBorder="1" applyAlignment="1">
      <alignment horizontal="center" vertical="center"/>
    </xf>
    <xf numFmtId="0" fontId="11" fillId="5" borderId="0" xfId="0" applyFont="1" applyFill="1" applyBorder="1" applyAlignment="1">
      <alignment vertical="center" wrapText="1"/>
    </xf>
    <xf numFmtId="0" fontId="15" fillId="5" borderId="1" xfId="0" applyFont="1" applyFill="1" applyBorder="1" applyAlignment="1">
      <alignment horizontal="right" vertical="center" wrapText="1"/>
    </xf>
    <xf numFmtId="0" fontId="14" fillId="5" borderId="1" xfId="0" applyFont="1" applyFill="1" applyBorder="1" applyAlignment="1">
      <alignment vertical="center"/>
    </xf>
    <xf numFmtId="0" fontId="15" fillId="5" borderId="0" xfId="0" applyFont="1" applyFill="1" applyBorder="1" applyAlignment="1">
      <alignment vertical="center"/>
    </xf>
    <xf numFmtId="3" fontId="8" fillId="4" borderId="0" xfId="0" applyNumberFormat="1" applyFont="1" applyFill="1" applyBorder="1" applyAlignment="1" applyProtection="1">
      <alignment horizontal="center" vertical="center" wrapText="1"/>
      <protection hidden="1"/>
    </xf>
    <xf numFmtId="168" fontId="11" fillId="5" borderId="1" xfId="0" applyNumberFormat="1" applyFont="1" applyFill="1" applyBorder="1" applyAlignment="1">
      <alignment horizontal="center" vertical="center"/>
    </xf>
    <xf numFmtId="0" fontId="8" fillId="2" borderId="0" xfId="0" applyFont="1" applyFill="1" applyAlignment="1">
      <alignment horizontal="center" vertical="center"/>
    </xf>
    <xf numFmtId="0" fontId="21" fillId="2" borderId="1" xfId="0" applyFont="1" applyFill="1" applyBorder="1" applyAlignment="1">
      <alignment horizontal="center" vertical="center"/>
    </xf>
    <xf numFmtId="171" fontId="11" fillId="5" borderId="0" xfId="0" applyNumberFormat="1" applyFont="1" applyFill="1" applyBorder="1" applyAlignment="1">
      <alignment horizontal="left" vertical="center"/>
    </xf>
    <xf numFmtId="0" fontId="2" fillId="2" borderId="0" xfId="0" applyFont="1" applyFill="1" applyAlignment="1">
      <alignment horizontal="left" vertical="center"/>
    </xf>
    <xf numFmtId="0" fontId="0" fillId="0" borderId="0" xfId="0" applyAlignment="1">
      <alignment horizontal="center"/>
    </xf>
    <xf numFmtId="0" fontId="9" fillId="2" borderId="0" xfId="0" applyFont="1" applyFill="1" applyAlignment="1">
      <alignment horizontal="left" vertical="center"/>
    </xf>
    <xf numFmtId="0" fontId="23" fillId="2" borderId="1" xfId="0" applyFont="1" applyFill="1" applyBorder="1" applyAlignment="1">
      <alignment vertical="center"/>
    </xf>
    <xf numFmtId="49"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 fontId="23" fillId="0" borderId="1" xfId="0" applyNumberFormat="1" applyFont="1" applyBorder="1" applyAlignment="1">
      <alignment horizontal="center" vertical="center"/>
    </xf>
    <xf numFmtId="168" fontId="24" fillId="0" borderId="1" xfId="0" applyNumberFormat="1" applyFont="1" applyBorder="1" applyAlignment="1">
      <alignment horizontal="center" vertical="center"/>
    </xf>
    <xf numFmtId="166" fontId="23" fillId="0" borderId="1" xfId="0" applyNumberFormat="1" applyFont="1" applyBorder="1" applyAlignment="1">
      <alignment horizontal="center" vertical="center"/>
    </xf>
    <xf numFmtId="164" fontId="23" fillId="0" borderId="1" xfId="0" applyNumberFormat="1" applyFont="1" applyBorder="1" applyAlignment="1">
      <alignment horizontal="center" vertical="center"/>
    </xf>
    <xf numFmtId="1" fontId="23" fillId="2" borderId="6" xfId="0" applyNumberFormat="1" applyFont="1" applyFill="1" applyBorder="1" applyAlignment="1">
      <alignment horizontal="right" vertical="center"/>
    </xf>
    <xf numFmtId="1" fontId="23" fillId="2" borderId="1" xfId="0" applyNumberFormat="1" applyFont="1" applyFill="1" applyBorder="1" applyAlignment="1">
      <alignment horizontal="left" vertical="center"/>
    </xf>
    <xf numFmtId="0" fontId="23" fillId="2" borderId="0" xfId="0" applyFont="1" applyFill="1" applyAlignment="1">
      <alignment vertical="center"/>
    </xf>
    <xf numFmtId="0" fontId="23" fillId="2" borderId="1" xfId="0" applyFont="1" applyFill="1" applyBorder="1" applyAlignment="1">
      <alignment horizontal="center" vertical="center"/>
    </xf>
    <xf numFmtId="0" fontId="23" fillId="2" borderId="4" xfId="0" applyFont="1" applyFill="1" applyBorder="1" applyAlignment="1">
      <alignment vertical="center"/>
    </xf>
    <xf numFmtId="172" fontId="23" fillId="2" borderId="1" xfId="0" applyNumberFormat="1" applyFont="1" applyFill="1" applyBorder="1" applyAlignment="1">
      <alignment vertical="center"/>
    </xf>
    <xf numFmtId="0" fontId="23" fillId="2" borderId="1" xfId="0" applyFont="1" applyFill="1" applyBorder="1" applyAlignment="1">
      <alignment horizontal="center" vertical="center" wrapText="1"/>
    </xf>
    <xf numFmtId="1" fontId="23" fillId="2" borderId="7" xfId="0" applyNumberFormat="1" applyFont="1" applyFill="1" applyBorder="1" applyAlignment="1">
      <alignment vertical="center" wrapText="1"/>
    </xf>
    <xf numFmtId="1" fontId="23" fillId="2" borderId="0" xfId="0" applyNumberFormat="1" applyFont="1" applyFill="1" applyBorder="1" applyAlignment="1">
      <alignment vertical="center" wrapText="1"/>
    </xf>
    <xf numFmtId="1" fontId="23" fillId="2" borderId="0" xfId="0" applyNumberFormat="1" applyFont="1" applyFill="1" applyBorder="1" applyAlignment="1">
      <alignment vertical="center"/>
    </xf>
    <xf numFmtId="0" fontId="26" fillId="7" borderId="7" xfId="0" applyFont="1" applyFill="1" applyBorder="1" applyAlignment="1">
      <alignment horizontal="left" vertical="center"/>
    </xf>
    <xf numFmtId="0" fontId="26" fillId="7" borderId="0" xfId="0" applyFont="1" applyFill="1" applyBorder="1" applyAlignment="1">
      <alignment horizontal="left" vertical="center"/>
    </xf>
    <xf numFmtId="166" fontId="26" fillId="7" borderId="0" xfId="0" applyNumberFormat="1" applyFont="1" applyFill="1" applyBorder="1" applyAlignment="1">
      <alignment horizontal="left" vertical="center"/>
    </xf>
    <xf numFmtId="0" fontId="26" fillId="7" borderId="22" xfId="0" applyFont="1" applyFill="1" applyBorder="1" applyAlignment="1">
      <alignment horizontal="left" vertical="center"/>
    </xf>
    <xf numFmtId="0" fontId="26" fillId="7" borderId="3" xfId="0" applyFont="1" applyFill="1" applyBorder="1" applyAlignment="1">
      <alignment vertical="center"/>
    </xf>
    <xf numFmtId="0" fontId="26" fillId="7" borderId="11" xfId="0" applyFont="1" applyFill="1" applyBorder="1" applyAlignment="1">
      <alignment vertical="center"/>
    </xf>
    <xf numFmtId="0" fontId="2" fillId="7" borderId="1" xfId="0" applyFont="1" applyFill="1" applyBorder="1" applyAlignment="1">
      <alignment horizontal="left" vertical="center"/>
    </xf>
    <xf numFmtId="0" fontId="26" fillId="7" borderId="0" xfId="0" applyFont="1" applyFill="1" applyBorder="1" applyAlignment="1">
      <alignment vertical="center"/>
    </xf>
    <xf numFmtId="0" fontId="26" fillId="7" borderId="22" xfId="0" applyFont="1" applyFill="1" applyBorder="1" applyAlignment="1">
      <alignment vertical="center"/>
    </xf>
    <xf numFmtId="0" fontId="26" fillId="7" borderId="1" xfId="0" applyFont="1" applyFill="1" applyBorder="1" applyAlignment="1">
      <alignment vertical="center" wrapText="1"/>
    </xf>
    <xf numFmtId="166" fontId="26" fillId="7" borderId="1" xfId="0" applyNumberFormat="1" applyFont="1" applyFill="1" applyBorder="1" applyAlignment="1">
      <alignment vertical="center" wrapText="1"/>
    </xf>
    <xf numFmtId="49" fontId="1" fillId="10" borderId="1" xfId="0" applyNumberFormat="1" applyFont="1" applyFill="1" applyBorder="1" applyAlignment="1">
      <alignment horizontal="center" vertical="center"/>
    </xf>
    <xf numFmtId="0" fontId="1" fillId="10" borderId="1" xfId="0" applyFont="1" applyFill="1" applyBorder="1" applyAlignment="1">
      <alignment horizontal="center" vertical="center"/>
    </xf>
    <xf numFmtId="0" fontId="1" fillId="10" borderId="1" xfId="0" applyFont="1" applyFill="1" applyBorder="1" applyAlignment="1">
      <alignment horizontal="center" vertical="center" wrapText="1"/>
    </xf>
    <xf numFmtId="166" fontId="1" fillId="10" borderId="1" xfId="0" applyNumberFormat="1" applyFont="1" applyFill="1" applyBorder="1" applyAlignment="1">
      <alignment horizontal="center" vertical="center" wrapText="1"/>
    </xf>
    <xf numFmtId="0" fontId="31" fillId="10" borderId="1" xfId="2" applyFont="1" applyFill="1" applyBorder="1" applyAlignment="1">
      <alignment horizontal="center" vertical="center"/>
    </xf>
    <xf numFmtId="166" fontId="1" fillId="10" borderId="1" xfId="0" applyNumberFormat="1" applyFont="1" applyFill="1" applyBorder="1" applyAlignment="1">
      <alignment horizontal="center" vertical="center"/>
    </xf>
    <xf numFmtId="1" fontId="23" fillId="2" borderId="6" xfId="0" applyNumberFormat="1" applyFont="1" applyFill="1" applyBorder="1" applyAlignment="1">
      <alignment horizontal="center" vertical="center"/>
    </xf>
    <xf numFmtId="1" fontId="23" fillId="2" borderId="1" xfId="0" applyNumberFormat="1" applyFont="1" applyFill="1" applyBorder="1" applyAlignment="1">
      <alignment horizontal="center" vertical="center"/>
    </xf>
    <xf numFmtId="2" fontId="32" fillId="0" borderId="1" xfId="0" applyNumberFormat="1" applyFont="1" applyBorder="1" applyAlignment="1">
      <alignment horizontal="center" vertical="center"/>
    </xf>
    <xf numFmtId="2" fontId="23" fillId="2" borderId="6" xfId="0" applyNumberFormat="1" applyFont="1" applyFill="1" applyBorder="1" applyAlignment="1">
      <alignment horizontal="right" vertical="center"/>
    </xf>
    <xf numFmtId="2" fontId="23" fillId="2" borderId="1" xfId="0" applyNumberFormat="1" applyFont="1" applyFill="1" applyBorder="1" applyAlignment="1">
      <alignment horizontal="left" vertical="center"/>
    </xf>
    <xf numFmtId="2" fontId="0" fillId="0" borderId="1" xfId="0" applyNumberFormat="1" applyBorder="1" applyAlignment="1">
      <alignment horizontal="center" vertical="center"/>
    </xf>
    <xf numFmtId="2" fontId="23" fillId="2" borderId="1" xfId="0" applyNumberFormat="1" applyFont="1" applyFill="1" applyBorder="1" applyAlignment="1">
      <alignment vertical="center"/>
    </xf>
    <xf numFmtId="1" fontId="23" fillId="0" borderId="1" xfId="0" applyNumberFormat="1" applyFont="1" applyFill="1" applyBorder="1" applyAlignment="1">
      <alignment horizontal="center" vertical="center"/>
    </xf>
    <xf numFmtId="49" fontId="33" fillId="0" borderId="1" xfId="2" applyNumberFormat="1" applyFont="1" applyBorder="1" applyAlignment="1">
      <alignment horizontal="center" vertical="center"/>
    </xf>
    <xf numFmtId="1" fontId="33" fillId="0" borderId="1" xfId="2" applyNumberFormat="1" applyFont="1" applyBorder="1" applyAlignment="1">
      <alignment horizontal="center" vertical="center"/>
    </xf>
    <xf numFmtId="0" fontId="34" fillId="0" borderId="0" xfId="2" applyFont="1" applyAlignment="1">
      <alignment horizontal="center" vertical="center"/>
    </xf>
    <xf numFmtId="49" fontId="35" fillId="11" borderId="1" xfId="2" applyNumberFormat="1" applyFont="1" applyFill="1" applyBorder="1" applyAlignment="1">
      <alignment horizontal="center" vertical="center"/>
    </xf>
    <xf numFmtId="0" fontId="35" fillId="11" borderId="1" xfId="2" applyFont="1" applyFill="1" applyBorder="1" applyAlignment="1">
      <alignment horizontal="center" vertical="center"/>
    </xf>
    <xf numFmtId="49" fontId="11" fillId="0" borderId="1" xfId="1" applyNumberFormat="1" applyBorder="1"/>
    <xf numFmtId="0" fontId="11" fillId="0" borderId="1" xfId="1" applyBorder="1"/>
    <xf numFmtId="0" fontId="11" fillId="0" borderId="0" xfId="1"/>
    <xf numFmtId="49" fontId="11" fillId="10" borderId="1" xfId="1" applyNumberFormat="1" applyFill="1" applyBorder="1"/>
    <xf numFmtId="0" fontId="11" fillId="10" borderId="1" xfId="1" applyFill="1" applyBorder="1"/>
    <xf numFmtId="0" fontId="11" fillId="10" borderId="4" xfId="1" applyFill="1" applyBorder="1"/>
    <xf numFmtId="0" fontId="11" fillId="0" borderId="4" xfId="1" applyBorder="1"/>
    <xf numFmtId="49" fontId="33" fillId="0" borderId="1" xfId="1" applyNumberFormat="1" applyFont="1" applyBorder="1"/>
    <xf numFmtId="0" fontId="33" fillId="0" borderId="1" xfId="1" applyFont="1" applyBorder="1"/>
    <xf numFmtId="0" fontId="33" fillId="0" borderId="0" xfId="1" applyFont="1"/>
    <xf numFmtId="0" fontId="8" fillId="0" borderId="0" xfId="0" applyFont="1" applyFill="1" applyAlignment="1">
      <alignment horizontal="center" vertical="center"/>
    </xf>
    <xf numFmtId="1" fontId="1" fillId="0" borderId="0" xfId="0" applyNumberFormat="1" applyFont="1" applyFill="1" applyAlignment="1">
      <alignment horizontal="center" vertical="center"/>
    </xf>
    <xf numFmtId="2" fontId="10" fillId="0" borderId="0" xfId="0" applyNumberFormat="1" applyFont="1" applyFill="1" applyAlignment="1">
      <alignment horizontal="center" vertical="center"/>
    </xf>
    <xf numFmtId="0" fontId="1" fillId="0" borderId="1" xfId="0" applyFont="1" applyBorder="1" applyAlignment="1">
      <alignment horizontal="center" vertical="center"/>
    </xf>
    <xf numFmtId="49" fontId="2" fillId="0" borderId="1" xfId="0" applyNumberFormat="1" applyFont="1" applyBorder="1" applyAlignment="1">
      <alignment horizontal="center" vertical="center"/>
    </xf>
    <xf numFmtId="0" fontId="2" fillId="0" borderId="1" xfId="0" applyFont="1" applyBorder="1" applyAlignment="1">
      <alignment horizontal="center" vertical="center"/>
    </xf>
    <xf numFmtId="164" fontId="2" fillId="0" borderId="1" xfId="0" applyNumberFormat="1" applyFont="1" applyBorder="1" applyAlignment="1">
      <alignment horizontal="center" vertical="center"/>
    </xf>
    <xf numFmtId="164" fontId="1" fillId="0" borderId="1" xfId="0" applyNumberFormat="1" applyFont="1" applyBorder="1" applyAlignment="1">
      <alignment horizontal="center" vertical="center"/>
    </xf>
    <xf numFmtId="2" fontId="2" fillId="0" borderId="1" xfId="0" applyNumberFormat="1" applyFont="1" applyBorder="1" applyAlignment="1">
      <alignment horizontal="center" vertical="center"/>
    </xf>
    <xf numFmtId="0" fontId="2" fillId="0" borderId="1" xfId="0" applyFont="1" applyFill="1" applyBorder="1" applyAlignment="1">
      <alignment horizontal="center" vertical="center"/>
    </xf>
    <xf numFmtId="1" fontId="1" fillId="0" borderId="0" xfId="0" applyNumberFormat="1" applyFont="1" applyFill="1" applyBorder="1" applyAlignment="1">
      <alignment horizontal="center" vertical="center"/>
    </xf>
    <xf numFmtId="0" fontId="2" fillId="2" borderId="0" xfId="0" applyNumberFormat="1" applyFont="1" applyFill="1" applyBorder="1" applyAlignment="1">
      <alignment horizontal="left" vertical="center"/>
    </xf>
    <xf numFmtId="0" fontId="2" fillId="0" borderId="0" xfId="0" applyNumberFormat="1" applyFont="1" applyFill="1" applyBorder="1" applyAlignment="1">
      <alignment horizontal="left" vertical="center"/>
    </xf>
    <xf numFmtId="164" fontId="10" fillId="0" borderId="1" xfId="0" applyNumberFormat="1" applyFont="1" applyBorder="1" applyAlignment="1">
      <alignment horizontal="center" vertical="center"/>
    </xf>
    <xf numFmtId="0" fontId="1" fillId="2" borderId="0" xfId="0" applyFont="1" applyFill="1" applyBorder="1" applyAlignment="1">
      <alignment vertical="center"/>
    </xf>
    <xf numFmtId="173" fontId="1" fillId="0" borderId="6" xfId="0" applyNumberFormat="1" applyFont="1" applyFill="1" applyBorder="1" applyAlignment="1">
      <alignment horizontal="center" vertical="center"/>
    </xf>
    <xf numFmtId="0" fontId="11" fillId="5" borderId="6" xfId="0" applyFont="1" applyFill="1" applyBorder="1" applyAlignment="1">
      <alignment vertical="center"/>
    </xf>
    <xf numFmtId="1" fontId="14" fillId="5" borderId="1" xfId="0" applyNumberFormat="1" applyFont="1" applyFill="1" applyBorder="1" applyAlignment="1">
      <alignment horizontal="left" vertical="center"/>
    </xf>
    <xf numFmtId="2" fontId="1" fillId="0" borderId="4" xfId="0" applyNumberFormat="1" applyFont="1" applyFill="1" applyBorder="1" applyAlignment="1">
      <alignment horizontal="center" vertical="center"/>
    </xf>
    <xf numFmtId="1" fontId="14" fillId="5" borderId="6" xfId="0" applyNumberFormat="1" applyFont="1" applyFill="1" applyBorder="1" applyAlignment="1">
      <alignment horizontal="left" vertical="center"/>
    </xf>
    <xf numFmtId="0" fontId="11" fillId="5" borderId="1" xfId="0" applyFont="1" applyFill="1" applyBorder="1" applyAlignment="1">
      <alignment vertical="center"/>
    </xf>
    <xf numFmtId="2" fontId="1" fillId="0" borderId="0" xfId="0" applyNumberFormat="1" applyFont="1" applyFill="1" applyBorder="1" applyAlignment="1">
      <alignment horizontal="center" vertical="center"/>
    </xf>
    <xf numFmtId="1" fontId="8" fillId="5" borderId="1" xfId="0" applyNumberFormat="1" applyFont="1" applyFill="1" applyBorder="1" applyAlignment="1">
      <alignment horizontal="left" vertical="center"/>
    </xf>
    <xf numFmtId="49" fontId="14" fillId="5" borderId="0" xfId="0" applyNumberFormat="1" applyFont="1" applyFill="1" applyBorder="1" applyAlignment="1">
      <alignment horizontal="left" vertical="center"/>
    </xf>
    <xf numFmtId="49" fontId="8" fillId="5" borderId="0" xfId="0" applyNumberFormat="1" applyFont="1" applyFill="1" applyAlignment="1">
      <alignment horizontal="left" vertical="center"/>
    </xf>
    <xf numFmtId="0" fontId="8" fillId="5" borderId="0" xfId="0" applyFont="1" applyFill="1" applyAlignment="1">
      <alignment horizontal="left" vertical="center"/>
    </xf>
    <xf numFmtId="0" fontId="8" fillId="5" borderId="0" xfId="0" applyFont="1" applyFill="1" applyAlignment="1">
      <alignment vertical="center"/>
    </xf>
    <xf numFmtId="2" fontId="1" fillId="5" borderId="0" xfId="0" applyNumberFormat="1" applyFont="1" applyFill="1" applyAlignment="1">
      <alignment horizontal="center" vertical="center"/>
    </xf>
    <xf numFmtId="0" fontId="8" fillId="4" borderId="1" xfId="0" applyFont="1" applyFill="1" applyBorder="1" applyAlignment="1">
      <alignment horizontal="center" vertical="center"/>
    </xf>
    <xf numFmtId="2" fontId="8" fillId="4" borderId="1" xfId="0" applyNumberFormat="1" applyFont="1" applyFill="1" applyBorder="1" applyAlignment="1">
      <alignment horizontal="center" vertical="center"/>
    </xf>
    <xf numFmtId="2" fontId="8" fillId="2" borderId="0" xfId="0" applyNumberFormat="1" applyFont="1" applyFill="1" applyBorder="1" applyAlignment="1">
      <alignment horizontal="center" vertical="center"/>
    </xf>
    <xf numFmtId="0" fontId="14" fillId="4" borderId="1" xfId="0" applyFont="1" applyFill="1" applyBorder="1" applyAlignment="1">
      <alignment horizontal="center" vertical="center"/>
    </xf>
    <xf numFmtId="0" fontId="11" fillId="4" borderId="1" xfId="0" applyFont="1" applyFill="1" applyBorder="1" applyAlignment="1">
      <alignment horizontal="center" vertical="center"/>
    </xf>
    <xf numFmtId="0" fontId="8" fillId="11" borderId="1" xfId="0" applyFont="1" applyFill="1" applyBorder="1" applyAlignment="1">
      <alignment horizontal="center" vertical="center"/>
    </xf>
    <xf numFmtId="0" fontId="40" fillId="11" borderId="1" xfId="0" applyFont="1" applyFill="1" applyBorder="1" applyAlignment="1">
      <alignment horizontal="center" vertical="center"/>
    </xf>
    <xf numFmtId="2" fontId="8" fillId="11" borderId="1" xfId="0" applyNumberFormat="1" applyFont="1" applyFill="1" applyBorder="1" applyAlignment="1">
      <alignment horizontal="center" vertical="center"/>
    </xf>
    <xf numFmtId="0" fontId="8" fillId="2" borderId="0" xfId="0" applyFont="1" applyFill="1" applyBorder="1" applyAlignment="1">
      <alignment horizontal="center" vertical="center"/>
    </xf>
    <xf numFmtId="49" fontId="2" fillId="5" borderId="0" xfId="0" applyNumberFormat="1" applyFont="1" applyFill="1" applyBorder="1" applyAlignment="1">
      <alignment horizontal="center" vertical="center"/>
    </xf>
    <xf numFmtId="0" fontId="1" fillId="5" borderId="0" xfId="0" applyFont="1" applyFill="1" applyBorder="1" applyAlignment="1">
      <alignment horizontal="left" vertical="center"/>
    </xf>
    <xf numFmtId="1" fontId="2" fillId="5" borderId="0" xfId="0" applyNumberFormat="1" applyFont="1" applyFill="1" applyBorder="1" applyAlignment="1">
      <alignment horizontal="right" vertical="center"/>
    </xf>
    <xf numFmtId="0" fontId="1" fillId="5" borderId="0" xfId="0" applyFont="1" applyFill="1" applyBorder="1" applyAlignment="1">
      <alignment horizontal="right" vertical="center"/>
    </xf>
    <xf numFmtId="166" fontId="1" fillId="5" borderId="0" xfId="0" applyNumberFormat="1" applyFont="1" applyFill="1" applyBorder="1" applyAlignment="1">
      <alignment horizontal="right" vertical="center"/>
    </xf>
    <xf numFmtId="166" fontId="41" fillId="5" borderId="0" xfId="0" applyNumberFormat="1" applyFont="1" applyFill="1" applyBorder="1" applyAlignment="1">
      <alignment horizontal="right" vertical="center"/>
    </xf>
    <xf numFmtId="2" fontId="1" fillId="5" borderId="0" xfId="0" applyNumberFormat="1" applyFont="1" applyFill="1" applyBorder="1" applyAlignment="1">
      <alignment horizontal="right" vertical="center"/>
    </xf>
    <xf numFmtId="1" fontId="41" fillId="5" borderId="0" xfId="0" applyNumberFormat="1" applyFont="1" applyFill="1" applyBorder="1" applyAlignment="1">
      <alignment horizontal="right" vertical="center"/>
    </xf>
    <xf numFmtId="1" fontId="1" fillId="2" borderId="0" xfId="0" applyNumberFormat="1" applyFont="1" applyFill="1" applyBorder="1" applyAlignment="1">
      <alignment horizontal="right" vertical="center"/>
    </xf>
    <xf numFmtId="0" fontId="1" fillId="0" borderId="0" xfId="0" applyFont="1" applyFill="1" applyBorder="1" applyAlignment="1">
      <alignment horizontal="center" vertical="center"/>
    </xf>
    <xf numFmtId="1" fontId="2" fillId="5" borderId="0" xfId="0" applyNumberFormat="1" applyFont="1" applyFill="1" applyBorder="1" applyAlignment="1">
      <alignment horizontal="center" vertical="center"/>
    </xf>
    <xf numFmtId="2" fontId="10" fillId="4" borderId="1"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4" fillId="4" borderId="1" xfId="0" applyFont="1" applyFill="1" applyBorder="1" applyAlignment="1">
      <alignment vertical="center"/>
    </xf>
    <xf numFmtId="166" fontId="10" fillId="4" borderId="1" xfId="0" applyNumberFormat="1" applyFont="1" applyFill="1" applyBorder="1" applyAlignment="1">
      <alignment horizontal="center" vertical="center"/>
    </xf>
    <xf numFmtId="164" fontId="10" fillId="5" borderId="0" xfId="0" applyNumberFormat="1" applyFont="1" applyFill="1" applyBorder="1" applyAlignment="1">
      <alignment horizontal="center" vertical="center"/>
    </xf>
    <xf numFmtId="49" fontId="1" fillId="0" borderId="0" xfId="0" applyNumberFormat="1" applyFont="1" applyFill="1" applyBorder="1" applyAlignment="1">
      <alignment horizontal="center" vertical="center"/>
    </xf>
    <xf numFmtId="0" fontId="0" fillId="0" borderId="1" xfId="0" applyBorder="1" applyAlignment="1">
      <alignment horizontal="center" vertical="center"/>
    </xf>
    <xf numFmtId="0" fontId="4" fillId="0" borderId="0" xfId="0" applyFont="1" applyAlignment="1">
      <alignment horizontal="center" vertical="center"/>
    </xf>
    <xf numFmtId="0" fontId="4" fillId="0" borderId="1" xfId="0" applyFont="1" applyBorder="1" applyAlignment="1">
      <alignment vertical="center"/>
    </xf>
    <xf numFmtId="0" fontId="42" fillId="0" borderId="1" xfId="0" applyFont="1" applyBorder="1" applyAlignment="1">
      <alignment horizontal="left" vertical="center"/>
    </xf>
    <xf numFmtId="0" fontId="42" fillId="0" borderId="1" xfId="0" applyFont="1" applyBorder="1" applyAlignment="1">
      <alignment horizontal="right" vertical="center"/>
    </xf>
    <xf numFmtId="0" fontId="4" fillId="0" borderId="1" xfId="0" applyFont="1" applyBorder="1" applyAlignment="1">
      <alignment horizontal="left" vertical="center"/>
    </xf>
    <xf numFmtId="0" fontId="4" fillId="0" borderId="1" xfId="0" applyFont="1" applyBorder="1" applyAlignment="1">
      <alignment horizontal="right" vertical="center"/>
    </xf>
    <xf numFmtId="1" fontId="4" fillId="0" borderId="1" xfId="0" applyNumberFormat="1" applyFont="1" applyBorder="1" applyAlignment="1">
      <alignment horizontal="center" vertical="center"/>
    </xf>
    <xf numFmtId="0" fontId="44" fillId="0" borderId="1" xfId="0" applyFont="1" applyBorder="1" applyAlignment="1">
      <alignment vertical="center"/>
    </xf>
    <xf numFmtId="0" fontId="44" fillId="0" borderId="1" xfId="0" applyFont="1" applyBorder="1" applyAlignment="1">
      <alignment horizontal="center" vertical="center"/>
    </xf>
    <xf numFmtId="0" fontId="42" fillId="0" borderId="1" xfId="0" applyFont="1" applyBorder="1" applyAlignment="1">
      <alignment horizontal="center" vertical="center"/>
    </xf>
    <xf numFmtId="0" fontId="4" fillId="0" borderId="0" xfId="0" applyFont="1" applyBorder="1" applyAlignment="1">
      <alignment horizontal="center" vertical="center"/>
    </xf>
    <xf numFmtId="0" fontId="11" fillId="0" borderId="1" xfId="0" applyFont="1" applyBorder="1" applyAlignment="1">
      <alignment horizontal="center" vertical="center" wrapText="1"/>
    </xf>
    <xf numFmtId="0" fontId="0" fillId="0" borderId="1" xfId="0" applyBorder="1" applyAlignment="1">
      <alignment vertical="center"/>
    </xf>
    <xf numFmtId="0" fontId="11" fillId="0" borderId="1" xfId="0" applyFont="1" applyBorder="1" applyAlignment="1">
      <alignment horizontal="center" vertical="center"/>
    </xf>
    <xf numFmtId="0" fontId="46" fillId="0" borderId="1" xfId="0" applyFont="1" applyBorder="1" applyAlignment="1">
      <alignment horizontal="center" vertical="center"/>
    </xf>
    <xf numFmtId="0" fontId="4" fillId="0" borderId="0" xfId="0" applyFont="1" applyAlignment="1">
      <alignment horizontal="center"/>
    </xf>
    <xf numFmtId="0" fontId="47" fillId="0" borderId="0" xfId="0" applyFont="1" applyAlignment="1">
      <alignment horizontal="center"/>
    </xf>
    <xf numFmtId="0" fontId="49" fillId="0" borderId="0" xfId="0" applyFont="1" applyFill="1" applyBorder="1" applyAlignment="1">
      <alignment horizontal="left" vertical="center"/>
    </xf>
    <xf numFmtId="0" fontId="49" fillId="0" borderId="0" xfId="0" applyFont="1" applyFill="1" applyBorder="1" applyAlignment="1">
      <alignment horizontal="left"/>
    </xf>
    <xf numFmtId="0" fontId="6" fillId="0" borderId="0" xfId="0" applyFont="1" applyFill="1" applyAlignment="1" applyProtection="1">
      <alignment horizontal="centerContinuous" vertical="center"/>
      <protection locked="0"/>
    </xf>
    <xf numFmtId="174" fontId="50" fillId="0" borderId="0" xfId="0" applyNumberFormat="1" applyFont="1" applyFill="1" applyBorder="1" applyAlignment="1" applyProtection="1">
      <alignment horizontal="center" vertical="center"/>
      <protection locked="0"/>
    </xf>
    <xf numFmtId="0" fontId="6" fillId="0" borderId="0" xfId="0" applyFont="1" applyFill="1" applyAlignment="1">
      <alignment horizontal="center" vertical="center"/>
    </xf>
    <xf numFmtId="0" fontId="6" fillId="0" borderId="0" xfId="0" applyFont="1" applyFill="1" applyAlignment="1" applyProtection="1">
      <alignment horizontal="left" vertical="center"/>
      <protection locked="0"/>
    </xf>
    <xf numFmtId="0" fontId="6" fillId="0" borderId="0" xfId="0" applyFont="1" applyFill="1" applyAlignment="1">
      <alignment horizontal="centerContinuous" vertical="center"/>
    </xf>
    <xf numFmtId="0" fontId="51" fillId="0" borderId="0" xfId="0" applyFont="1" applyAlignment="1">
      <alignment vertical="center"/>
    </xf>
    <xf numFmtId="0" fontId="52" fillId="0" borderId="0" xfId="0" applyFont="1" applyFill="1" applyBorder="1" applyAlignment="1">
      <alignment horizontal="left" vertical="center"/>
    </xf>
    <xf numFmtId="0" fontId="6" fillId="0" borderId="0" xfId="0" applyFont="1"/>
    <xf numFmtId="0" fontId="53" fillId="0" borderId="0" xfId="0" applyFont="1" applyFill="1" applyBorder="1" applyAlignment="1">
      <alignment horizontal="left"/>
    </xf>
    <xf numFmtId="0" fontId="6" fillId="0" borderId="0" xfId="0" applyFont="1" applyFill="1"/>
    <xf numFmtId="0" fontId="6" fillId="0" borderId="0" xfId="0" applyFont="1" applyFill="1" applyAlignment="1">
      <alignment horizontal="left" vertical="center"/>
    </xf>
    <xf numFmtId="0" fontId="6" fillId="0" borderId="0" xfId="0" applyNumberFormat="1" applyFont="1" applyFill="1" applyAlignment="1" applyProtection="1">
      <alignment horizontal="left" vertical="center"/>
      <protection locked="0"/>
    </xf>
    <xf numFmtId="0" fontId="6" fillId="0" borderId="0" xfId="0" applyFont="1" applyFill="1" applyAlignment="1">
      <alignment horizontal="left"/>
    </xf>
    <xf numFmtId="0" fontId="6" fillId="0" borderId="0" xfId="0" applyFont="1" applyFill="1" applyAlignment="1" applyProtection="1">
      <alignment horizontal="center" vertical="center"/>
      <protection locked="0"/>
    </xf>
    <xf numFmtId="167" fontId="6" fillId="0" borderId="0" xfId="0" applyNumberFormat="1" applyFont="1" applyFill="1" applyBorder="1" applyAlignment="1" applyProtection="1">
      <alignment horizontal="center"/>
      <protection locked="0"/>
    </xf>
    <xf numFmtId="175" fontId="54" fillId="0" borderId="0" xfId="0" applyNumberFormat="1" applyFont="1" applyFill="1" applyAlignment="1">
      <alignment horizontal="center"/>
    </xf>
    <xf numFmtId="2" fontId="6" fillId="0" borderId="0" xfId="0" applyNumberFormat="1" applyFont="1" applyFill="1" applyAlignment="1">
      <alignment horizontal="right"/>
    </xf>
    <xf numFmtId="0" fontId="54" fillId="0" borderId="0" xfId="0" applyFont="1" applyFill="1" applyAlignment="1" applyProtection="1">
      <alignment horizontal="center" vertical="center"/>
      <protection locked="0"/>
    </xf>
    <xf numFmtId="0" fontId="55" fillId="0" borderId="0" xfId="0" applyFont="1"/>
    <xf numFmtId="2" fontId="6" fillId="0" borderId="0" xfId="0" applyNumberFormat="1" applyFont="1" applyFill="1" applyAlignment="1">
      <alignment horizontal="left" vertical="center"/>
    </xf>
    <xf numFmtId="2" fontId="6" fillId="0" borderId="0" xfId="0" applyNumberFormat="1" applyFont="1" applyFill="1" applyAlignment="1" applyProtection="1">
      <alignment horizontal="center" vertical="center"/>
      <protection locked="0"/>
    </xf>
    <xf numFmtId="0" fontId="6" fillId="0" borderId="0" xfId="0" applyFont="1" applyFill="1" applyAlignment="1">
      <alignment horizontal="right" vertical="center"/>
    </xf>
    <xf numFmtId="0" fontId="56" fillId="0" borderId="0" xfId="0" applyFont="1" applyAlignment="1"/>
    <xf numFmtId="0" fontId="57" fillId="0" borderId="0" xfId="0" applyFont="1"/>
    <xf numFmtId="0" fontId="58" fillId="0" borderId="0" xfId="0" applyFont="1"/>
    <xf numFmtId="0" fontId="59" fillId="0" borderId="0" xfId="0" applyFont="1"/>
    <xf numFmtId="0" fontId="6" fillId="0" borderId="0" xfId="0" applyFont="1" applyFill="1" applyBorder="1" applyAlignment="1">
      <alignment horizontal="center" vertical="center"/>
    </xf>
    <xf numFmtId="0" fontId="6" fillId="0" borderId="0" xfId="0" applyFont="1" applyFill="1" applyBorder="1"/>
    <xf numFmtId="0" fontId="50" fillId="0" borderId="0" xfId="0" applyFont="1" applyFill="1" applyBorder="1" applyAlignment="1" applyProtection="1">
      <alignment horizontal="center"/>
      <protection locked="0"/>
    </xf>
    <xf numFmtId="2" fontId="6" fillId="0" borderId="0" xfId="0" applyNumberFormat="1" applyFont="1" applyFill="1" applyBorder="1" applyAlignment="1">
      <alignment horizontal="center"/>
    </xf>
    <xf numFmtId="2" fontId="6" fillId="0" borderId="0" xfId="0" applyNumberFormat="1" applyFont="1" applyFill="1" applyBorder="1" applyAlignment="1">
      <alignment horizontal="center" vertical="center"/>
    </xf>
    <xf numFmtId="0" fontId="51" fillId="0" borderId="0" xfId="0" applyFont="1" applyFill="1" applyBorder="1" applyAlignment="1">
      <alignment horizontal="left" vertical="center"/>
    </xf>
    <xf numFmtId="0" fontId="51" fillId="0" borderId="0" xfId="0" applyFont="1" applyFill="1" applyBorder="1" applyAlignment="1">
      <alignment horizontal="left"/>
    </xf>
    <xf numFmtId="0" fontId="60" fillId="0" borderId="0" xfId="0" applyFont="1" applyAlignment="1">
      <alignment horizontal="left" vertical="center"/>
    </xf>
    <xf numFmtId="0" fontId="50" fillId="0" borderId="0" xfId="0" applyFont="1" applyFill="1" applyBorder="1" applyAlignment="1" applyProtection="1">
      <alignment horizontal="center" vertical="center"/>
      <protection locked="0"/>
    </xf>
    <xf numFmtId="0" fontId="61" fillId="0" borderId="0" xfId="0" applyFont="1"/>
    <xf numFmtId="0" fontId="6" fillId="0" borderId="0" xfId="0" applyFont="1" applyFill="1" applyBorder="1" applyAlignment="1" applyProtection="1">
      <alignment horizontal="right"/>
      <protection locked="0"/>
    </xf>
    <xf numFmtId="1" fontId="6" fillId="0" borderId="0" xfId="0" applyNumberFormat="1" applyFont="1" applyFill="1" applyBorder="1" applyAlignment="1">
      <alignment horizontal="left"/>
    </xf>
    <xf numFmtId="0" fontId="6" fillId="0" borderId="0" xfId="0" applyFont="1" applyFill="1" applyBorder="1" applyAlignment="1" applyProtection="1">
      <alignment horizontal="left" vertical="center"/>
      <protection locked="0"/>
    </xf>
    <xf numFmtId="0" fontId="6" fillId="0" borderId="0" xfId="0" applyFont="1" applyFill="1" applyBorder="1" applyAlignment="1" applyProtection="1">
      <alignment horizontal="center" vertical="center"/>
      <protection locked="0"/>
    </xf>
    <xf numFmtId="0" fontId="0" fillId="0" borderId="0" xfId="0" applyFill="1"/>
    <xf numFmtId="176" fontId="51" fillId="0" borderId="0" xfId="0" applyNumberFormat="1" applyFont="1" applyFill="1" applyBorder="1"/>
    <xf numFmtId="0" fontId="6" fillId="0" borderId="0" xfId="0" applyFont="1" applyFill="1" applyBorder="1" applyAlignment="1">
      <alignment horizontal="center"/>
    </xf>
    <xf numFmtId="0" fontId="6" fillId="0" borderId="0" xfId="0" applyFont="1" applyFill="1" applyBorder="1" applyAlignment="1">
      <alignment horizontal="centerContinuous"/>
    </xf>
    <xf numFmtId="2" fontId="50" fillId="0" borderId="0" xfId="0" applyNumberFormat="1" applyFont="1" applyFill="1" applyBorder="1" applyAlignment="1" applyProtection="1">
      <alignment horizontal="center"/>
      <protection locked="0"/>
    </xf>
    <xf numFmtId="0" fontId="61" fillId="0" borderId="0" xfId="0" applyFont="1" applyFill="1"/>
    <xf numFmtId="0" fontId="62" fillId="0" borderId="0" xfId="0" applyFont="1" applyFill="1"/>
    <xf numFmtId="166" fontId="6" fillId="0" borderId="0" xfId="0" applyNumberFormat="1" applyFont="1" applyFill="1" applyBorder="1" applyAlignment="1">
      <alignment horizontal="center" vertical="center"/>
    </xf>
    <xf numFmtId="0" fontId="51" fillId="0" borderId="0" xfId="0" applyFont="1"/>
    <xf numFmtId="0" fontId="51" fillId="0" borderId="0" xfId="0" applyFont="1" applyFill="1" applyBorder="1" applyAlignment="1">
      <alignment horizontal="center" vertical="center"/>
    </xf>
    <xf numFmtId="0" fontId="51" fillId="0" borderId="0" xfId="0" applyFont="1" applyFill="1" applyBorder="1"/>
    <xf numFmtId="171" fontId="6" fillId="0" borderId="0" xfId="0" applyNumberFormat="1" applyFont="1" applyFill="1" applyAlignment="1">
      <alignment horizontal="center" vertical="center"/>
    </xf>
    <xf numFmtId="164" fontId="53" fillId="0" borderId="0" xfId="0" applyNumberFormat="1" applyFont="1" applyFill="1" applyBorder="1" applyAlignment="1">
      <alignment horizontal="centerContinuous"/>
    </xf>
    <xf numFmtId="164" fontId="53" fillId="0" borderId="0" xfId="0" applyNumberFormat="1" applyFont="1" applyFill="1" applyBorder="1" applyAlignment="1">
      <alignment horizontal="center"/>
    </xf>
    <xf numFmtId="166" fontId="53" fillId="0" borderId="0" xfId="0" applyNumberFormat="1" applyFont="1" applyFill="1" applyBorder="1" applyAlignment="1">
      <alignment horizontal="right"/>
    </xf>
    <xf numFmtId="0" fontId="6" fillId="0" borderId="0" xfId="0" applyFont="1" applyFill="1" applyBorder="1" applyAlignment="1">
      <alignment horizontal="left"/>
    </xf>
    <xf numFmtId="177" fontId="53" fillId="0" borderId="0" xfId="0" applyNumberFormat="1" applyFont="1" applyFill="1" applyBorder="1" applyAlignment="1">
      <alignment horizontal="center" vertical="center"/>
    </xf>
    <xf numFmtId="0" fontId="63" fillId="0" borderId="0" xfId="0" applyFont="1" applyFill="1" applyBorder="1" applyAlignment="1">
      <alignment horizontal="left" vertical="center"/>
    </xf>
    <xf numFmtId="164" fontId="53" fillId="0" borderId="0" xfId="0" applyNumberFormat="1" applyFont="1" applyFill="1" applyBorder="1" applyAlignment="1">
      <alignment horizontal="left" vertical="center"/>
    </xf>
    <xf numFmtId="166" fontId="53" fillId="0" borderId="0" xfId="0" applyNumberFormat="1" applyFont="1" applyFill="1" applyBorder="1" applyAlignment="1">
      <alignment horizontal="left" vertical="center"/>
    </xf>
    <xf numFmtId="0" fontId="6" fillId="0" borderId="0" xfId="0" applyFont="1" applyFill="1" applyBorder="1" applyAlignment="1">
      <alignment horizontal="left" vertical="center"/>
    </xf>
    <xf numFmtId="177" fontId="53" fillId="0" borderId="0" xfId="0" applyNumberFormat="1" applyFont="1" applyFill="1" applyBorder="1" applyAlignment="1">
      <alignment horizontal="left" vertical="center"/>
    </xf>
    <xf numFmtId="0" fontId="61" fillId="0" borderId="0" xfId="0" applyFont="1" applyFill="1" applyBorder="1" applyAlignment="1">
      <alignment horizontal="left"/>
    </xf>
    <xf numFmtId="164" fontId="53" fillId="0" borderId="0" xfId="0" applyNumberFormat="1" applyFont="1" applyFill="1" applyBorder="1" applyAlignment="1">
      <alignment horizontal="left"/>
    </xf>
    <xf numFmtId="0" fontId="60" fillId="0" borderId="0" xfId="0" applyFont="1" applyFill="1" applyBorder="1" applyAlignment="1">
      <alignment horizontal="left"/>
    </xf>
    <xf numFmtId="0" fontId="60" fillId="0" borderId="0" xfId="0" applyFont="1" applyFill="1"/>
    <xf numFmtId="0" fontId="6" fillId="0" borderId="0" xfId="0" applyFont="1" applyAlignment="1">
      <alignment horizontal="center"/>
    </xf>
    <xf numFmtId="0" fontId="6" fillId="0" borderId="0" xfId="0" applyFont="1" applyAlignment="1">
      <alignment horizontal="center" vertical="center"/>
    </xf>
    <xf numFmtId="1" fontId="6" fillId="0" borderId="0" xfId="0" applyNumberFormat="1" applyFont="1" applyFill="1"/>
    <xf numFmtId="178" fontId="6" fillId="0" borderId="0" xfId="0" applyNumberFormat="1" applyFont="1" applyFill="1" applyAlignment="1">
      <alignment horizontal="left" vertical="center"/>
    </xf>
    <xf numFmtId="0" fontId="51" fillId="0" borderId="0" xfId="0" applyFont="1" applyAlignment="1">
      <alignment horizontal="right" vertical="center"/>
    </xf>
    <xf numFmtId="178" fontId="51" fillId="0" borderId="0" xfId="0" applyNumberFormat="1" applyFont="1" applyFill="1" applyAlignment="1">
      <alignment horizontal="left" vertical="center"/>
    </xf>
    <xf numFmtId="0" fontId="63" fillId="0" borderId="0" xfId="0" applyFont="1" applyFill="1" applyBorder="1" applyAlignment="1">
      <alignment horizontal="left"/>
    </xf>
    <xf numFmtId="0" fontId="6" fillId="0" borderId="0" xfId="0" quotePrefix="1" applyFont="1"/>
    <xf numFmtId="0" fontId="6" fillId="0" borderId="0" xfId="0" quotePrefix="1" applyFont="1" applyFill="1" applyAlignment="1">
      <alignment horizontal="left"/>
    </xf>
    <xf numFmtId="0" fontId="55" fillId="0" borderId="0" xfId="0" quotePrefix="1" applyFont="1"/>
    <xf numFmtId="0" fontId="6" fillId="0" borderId="0" xfId="0" quotePrefix="1" applyFont="1" applyFill="1"/>
    <xf numFmtId="0" fontId="2" fillId="2" borderId="0" xfId="0" quotePrefix="1" applyFont="1" applyFill="1" applyAlignment="1">
      <alignment horizontal="left" vertical="center"/>
    </xf>
    <xf numFmtId="0" fontId="111" fillId="10" borderId="1" xfId="0" applyFont="1" applyFill="1" applyBorder="1" applyAlignment="1">
      <alignment horizontal="center" vertical="center"/>
    </xf>
    <xf numFmtId="0" fontId="111" fillId="10" borderId="1" xfId="0" applyFont="1" applyFill="1" applyBorder="1" applyAlignment="1">
      <alignment horizontal="center" vertical="center" wrapText="1"/>
    </xf>
    <xf numFmtId="0" fontId="113" fillId="10" borderId="1" xfId="0" applyFont="1" applyFill="1" applyBorder="1" applyAlignment="1">
      <alignment horizontal="center" vertical="center" wrapText="1"/>
    </xf>
    <xf numFmtId="0" fontId="113" fillId="10" borderId="1" xfId="0" applyFont="1" applyFill="1" applyBorder="1" applyAlignment="1">
      <alignment horizontal="center" vertical="center"/>
    </xf>
    <xf numFmtId="0" fontId="113" fillId="10" borderId="1" xfId="0" applyNumberFormat="1" applyFont="1" applyFill="1" applyBorder="1" applyAlignment="1">
      <alignment horizontal="center" vertical="center"/>
    </xf>
    <xf numFmtId="2" fontId="111" fillId="10" borderId="1" xfId="0" applyNumberFormat="1" applyFont="1" applyFill="1" applyBorder="1" applyAlignment="1">
      <alignment horizontal="center" vertical="center"/>
    </xf>
    <xf numFmtId="1" fontId="111" fillId="10" borderId="1" xfId="0" applyNumberFormat="1" applyFont="1" applyFill="1" applyBorder="1" applyAlignment="1">
      <alignment horizontal="center" vertical="center" wrapText="1"/>
    </xf>
    <xf numFmtId="0" fontId="111" fillId="2" borderId="1" xfId="0" applyFont="1" applyFill="1" applyBorder="1" applyAlignment="1">
      <alignment horizontal="center" vertical="center" wrapText="1"/>
    </xf>
    <xf numFmtId="0" fontId="116" fillId="5" borderId="1" xfId="0" applyFont="1" applyFill="1" applyBorder="1" applyAlignment="1">
      <alignment horizontal="left" vertical="center" wrapText="1"/>
    </xf>
    <xf numFmtId="0" fontId="111" fillId="2" borderId="0" xfId="0" applyFont="1" applyFill="1" applyAlignment="1">
      <alignment horizontal="center" vertical="center"/>
    </xf>
    <xf numFmtId="0" fontId="117" fillId="11" borderId="1" xfId="0" applyFont="1" applyFill="1" applyBorder="1" applyAlignment="1">
      <alignment horizontal="center" vertical="center"/>
    </xf>
    <xf numFmtId="1" fontId="111" fillId="10" borderId="1" xfId="0" applyNumberFormat="1" applyFont="1" applyFill="1" applyBorder="1" applyAlignment="1">
      <alignment horizontal="center" vertical="center"/>
    </xf>
    <xf numFmtId="0" fontId="111" fillId="2" borderId="1" xfId="0" applyFont="1" applyFill="1" applyBorder="1" applyAlignment="1">
      <alignment horizontal="center" vertical="center"/>
    </xf>
    <xf numFmtId="0" fontId="118" fillId="5" borderId="1" xfId="0" applyFont="1" applyFill="1" applyBorder="1" applyAlignment="1">
      <alignment horizontal="left" vertical="center"/>
    </xf>
    <xf numFmtId="0" fontId="120" fillId="5" borderId="1" xfId="0" applyFont="1" applyFill="1" applyBorder="1" applyAlignment="1">
      <alignment horizontal="left" vertical="center"/>
    </xf>
    <xf numFmtId="0" fontId="111" fillId="0" borderId="1" xfId="0" applyFont="1" applyBorder="1" applyAlignment="1">
      <alignment horizontal="center" vertical="center"/>
    </xf>
    <xf numFmtId="3" fontId="111" fillId="0" borderId="1" xfId="0" applyNumberFormat="1" applyFont="1" applyBorder="1" applyAlignment="1">
      <alignment horizontal="center" vertical="center"/>
    </xf>
    <xf numFmtId="3" fontId="117" fillId="0" borderId="1" xfId="0" applyNumberFormat="1" applyFont="1" applyBorder="1" applyAlignment="1">
      <alignment horizontal="center" vertical="center"/>
    </xf>
    <xf numFmtId="3" fontId="113" fillId="0" borderId="1" xfId="0" applyNumberFormat="1" applyFont="1" applyBorder="1" applyAlignment="1">
      <alignment horizontal="center" vertical="center"/>
    </xf>
    <xf numFmtId="0" fontId="121" fillId="0" borderId="1" xfId="0" applyFont="1" applyBorder="1" applyAlignment="1">
      <alignment horizontal="center" vertical="center"/>
    </xf>
    <xf numFmtId="3" fontId="122" fillId="0" borderId="1" xfId="0" applyNumberFormat="1" applyFont="1" applyBorder="1" applyAlignment="1">
      <alignment horizontal="center" vertical="center"/>
    </xf>
    <xf numFmtId="0" fontId="113" fillId="0" borderId="1" xfId="0" applyNumberFormat="1" applyFont="1" applyBorder="1" applyAlignment="1">
      <alignment horizontal="center" vertical="center"/>
    </xf>
    <xf numFmtId="4" fontId="111" fillId="0" borderId="1" xfId="0" applyNumberFormat="1" applyFont="1" applyBorder="1" applyAlignment="1">
      <alignment horizontal="center" vertical="center"/>
    </xf>
    <xf numFmtId="0" fontId="113" fillId="0" borderId="1" xfId="0" applyFont="1" applyFill="1" applyBorder="1" applyAlignment="1">
      <alignment horizontal="center" vertical="center"/>
    </xf>
    <xf numFmtId="2" fontId="113" fillId="0" borderId="1" xfId="0" applyNumberFormat="1" applyFont="1" applyFill="1" applyBorder="1" applyAlignment="1">
      <alignment horizontal="center" vertical="center"/>
    </xf>
    <xf numFmtId="1" fontId="113" fillId="0" borderId="1" xfId="0" applyNumberFormat="1" applyFont="1" applyFill="1" applyBorder="1" applyAlignment="1">
      <alignment horizontal="center" vertical="center"/>
    </xf>
    <xf numFmtId="0" fontId="43" fillId="0" borderId="0" xfId="0" applyFont="1" applyAlignment="1">
      <alignment horizontal="center"/>
    </xf>
    <xf numFmtId="0" fontId="48" fillId="0" borderId="0" xfId="0" applyFont="1" applyAlignment="1">
      <alignment horizontal="center"/>
    </xf>
    <xf numFmtId="178" fontId="51" fillId="0" borderId="0" xfId="0" applyNumberFormat="1" applyFont="1" applyFill="1" applyAlignment="1">
      <alignment horizontal="left"/>
    </xf>
    <xf numFmtId="0" fontId="4" fillId="0" borderId="10" xfId="0" applyFont="1" applyBorder="1" applyAlignment="1">
      <alignment horizontal="center" vertical="center"/>
    </xf>
    <xf numFmtId="0" fontId="4" fillId="0" borderId="1"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3" fillId="13" borderId="7" xfId="0" applyFont="1" applyFill="1" applyBorder="1" applyAlignment="1">
      <alignment horizontal="center" vertical="center"/>
    </xf>
    <xf numFmtId="0" fontId="43" fillId="13" borderId="0" xfId="0" applyFont="1" applyFill="1" applyBorder="1" applyAlignment="1">
      <alignment horizontal="center" vertical="center"/>
    </xf>
    <xf numFmtId="0" fontId="45" fillId="0" borderId="0" xfId="0" applyFont="1" applyAlignment="1">
      <alignment horizontal="center" vertical="center"/>
    </xf>
    <xf numFmtId="0" fontId="0" fillId="0" borderId="1" xfId="0" applyBorder="1" applyAlignment="1">
      <alignment horizontal="center" vertical="center"/>
    </xf>
    <xf numFmtId="0" fontId="14" fillId="13" borderId="0" xfId="0" applyFont="1" applyFill="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11" fillId="0" borderId="8" xfId="0" applyFont="1" applyBorder="1" applyAlignment="1">
      <alignment horizontal="center" vertical="center" wrapText="1"/>
    </xf>
    <xf numFmtId="0" fontId="3" fillId="3" borderId="1" xfId="0" applyFont="1" applyFill="1" applyBorder="1" applyAlignment="1">
      <alignment horizontal="left" vertical="center" wrapText="1"/>
    </xf>
    <xf numFmtId="0" fontId="5" fillId="3" borderId="1" xfId="0" applyFont="1" applyFill="1" applyBorder="1" applyAlignment="1">
      <alignment horizontal="left" vertical="center"/>
    </xf>
    <xf numFmtId="1" fontId="5" fillId="3" borderId="1" xfId="0" applyNumberFormat="1" applyFont="1" applyFill="1" applyBorder="1" applyAlignment="1">
      <alignment horizontal="left" vertical="center"/>
    </xf>
    <xf numFmtId="164" fontId="5" fillId="3" borderId="1" xfId="0" applyNumberFormat="1" applyFont="1" applyFill="1" applyBorder="1" applyAlignment="1">
      <alignment horizontal="left" vertical="center"/>
    </xf>
    <xf numFmtId="165" fontId="5" fillId="3" borderId="1" xfId="0" applyNumberFormat="1" applyFont="1" applyFill="1" applyBorder="1" applyAlignment="1">
      <alignment horizontal="left" vertical="center"/>
    </xf>
    <xf numFmtId="0" fontId="1" fillId="12" borderId="9" xfId="0" applyFont="1" applyFill="1" applyBorder="1" applyAlignment="1">
      <alignment horizontal="center" vertical="center"/>
    </xf>
    <xf numFmtId="1" fontId="7" fillId="3" borderId="1" xfId="0" applyNumberFormat="1" applyFont="1" applyFill="1" applyBorder="1" applyAlignment="1">
      <alignment horizontal="left" vertical="center"/>
    </xf>
    <xf numFmtId="0" fontId="38" fillId="0" borderId="8" xfId="0" applyFont="1" applyBorder="1" applyAlignment="1">
      <alignment horizontal="center" vertical="center" wrapText="1"/>
    </xf>
    <xf numFmtId="0" fontId="38" fillId="0" borderId="23" xfId="0" applyFont="1" applyBorder="1" applyAlignment="1">
      <alignment horizontal="center" vertical="center" wrapText="1"/>
    </xf>
    <xf numFmtId="0" fontId="38" fillId="0" borderId="9" xfId="0" applyFont="1" applyBorder="1" applyAlignment="1">
      <alignment horizontal="center" vertical="center" wrapText="1"/>
    </xf>
    <xf numFmtId="0" fontId="38" fillId="0" borderId="23" xfId="0" applyFont="1" applyBorder="1" applyAlignment="1">
      <alignment horizontal="center" vertical="center"/>
    </xf>
    <xf numFmtId="0" fontId="38" fillId="0" borderId="9" xfId="0" applyFont="1" applyBorder="1" applyAlignment="1">
      <alignment horizontal="center" vertical="center"/>
    </xf>
    <xf numFmtId="0" fontId="1" fillId="0" borderId="8" xfId="0" applyFont="1" applyBorder="1" applyAlignment="1">
      <alignment horizontal="center" vertical="center" wrapText="1"/>
    </xf>
    <xf numFmtId="0" fontId="1" fillId="0" borderId="23" xfId="0" applyFont="1" applyBorder="1" applyAlignment="1">
      <alignment horizontal="center" vertical="center" wrapText="1"/>
    </xf>
    <xf numFmtId="0" fontId="1" fillId="0" borderId="9" xfId="0" applyFont="1" applyBorder="1" applyAlignment="1">
      <alignment horizontal="center" vertical="center" wrapText="1"/>
    </xf>
    <xf numFmtId="0" fontId="1" fillId="0" borderId="9" xfId="0" applyFont="1" applyBorder="1" applyAlignment="1">
      <alignment horizontal="center" vertical="center"/>
    </xf>
    <xf numFmtId="0" fontId="5" fillId="0" borderId="2" xfId="0" applyFont="1" applyFill="1" applyBorder="1" applyAlignment="1">
      <alignment horizontal="center" vertical="center"/>
    </xf>
    <xf numFmtId="0" fontId="5" fillId="0" borderId="3" xfId="0" applyFont="1" applyFill="1" applyBorder="1" applyAlignment="1">
      <alignment horizontal="center" vertical="center"/>
    </xf>
    <xf numFmtId="0" fontId="8" fillId="4" borderId="4" xfId="0" applyFont="1" applyFill="1" applyBorder="1" applyAlignment="1">
      <alignment horizontal="center" vertical="center"/>
    </xf>
    <xf numFmtId="0" fontId="8" fillId="4" borderId="5" xfId="0" applyFont="1" applyFill="1" applyBorder="1" applyAlignment="1">
      <alignment horizontal="center" vertical="center"/>
    </xf>
    <xf numFmtId="0" fontId="8" fillId="4" borderId="6" xfId="0" applyFont="1" applyFill="1" applyBorder="1" applyAlignment="1">
      <alignment horizontal="center" vertical="center"/>
    </xf>
    <xf numFmtId="0" fontId="10" fillId="2" borderId="4" xfId="0" applyFont="1" applyFill="1" applyBorder="1" applyAlignment="1">
      <alignment horizontal="center" vertical="center"/>
    </xf>
    <xf numFmtId="0" fontId="10" fillId="2" borderId="6" xfId="0" applyFont="1" applyFill="1" applyBorder="1" applyAlignment="1">
      <alignment horizontal="center" vertical="center"/>
    </xf>
    <xf numFmtId="0" fontId="8" fillId="0" borderId="7" xfId="0" applyFont="1" applyFill="1" applyBorder="1" applyAlignment="1">
      <alignment horizontal="center" vertical="center"/>
    </xf>
    <xf numFmtId="0" fontId="8" fillId="0" borderId="0" xfId="0" applyFont="1" applyFill="1" applyBorder="1" applyAlignment="1">
      <alignment horizontal="center" vertical="center"/>
    </xf>
    <xf numFmtId="0" fontId="8" fillId="5" borderId="1" xfId="0" applyFont="1" applyFill="1" applyBorder="1" applyAlignment="1">
      <alignment horizontal="center" vertical="center"/>
    </xf>
    <xf numFmtId="0" fontId="1" fillId="5" borderId="1" xfId="0" applyFont="1" applyFill="1" applyBorder="1" applyAlignment="1">
      <alignment horizontal="left" vertical="center"/>
    </xf>
    <xf numFmtId="0" fontId="9" fillId="5" borderId="1" xfId="0" applyFont="1" applyFill="1" applyBorder="1" applyAlignment="1">
      <alignment horizontal="left" vertical="center"/>
    </xf>
    <xf numFmtId="0" fontId="11" fillId="5" borderId="1" xfId="0" applyFont="1" applyFill="1" applyBorder="1" applyAlignment="1">
      <alignment horizontal="left" vertical="center"/>
    </xf>
    <xf numFmtId="0" fontId="2" fillId="5" borderId="1" xfId="0" applyFont="1" applyFill="1" applyBorder="1" applyAlignment="1">
      <alignment horizontal="left" vertical="center"/>
    </xf>
    <xf numFmtId="0" fontId="1" fillId="5" borderId="8" xfId="0" applyFont="1" applyFill="1" applyBorder="1" applyAlignment="1">
      <alignment horizontal="left" vertical="center"/>
    </xf>
    <xf numFmtId="2" fontId="2" fillId="5" borderId="1" xfId="0" applyNumberFormat="1" applyFont="1" applyFill="1" applyBorder="1" applyAlignment="1">
      <alignment horizontal="left" vertical="center"/>
    </xf>
    <xf numFmtId="0" fontId="1" fillId="5" borderId="9" xfId="0" applyFont="1" applyFill="1" applyBorder="1" applyAlignment="1">
      <alignment horizontal="left" vertical="center"/>
    </xf>
    <xf numFmtId="166" fontId="2" fillId="5" borderId="1" xfId="0" applyNumberFormat="1" applyFont="1" applyFill="1" applyBorder="1" applyAlignment="1">
      <alignment horizontal="left" vertical="center"/>
    </xf>
    <xf numFmtId="164" fontId="1" fillId="5" borderId="1" xfId="0" applyNumberFormat="1" applyFont="1" applyFill="1" applyBorder="1" applyAlignment="1">
      <alignment horizontal="left" vertical="center"/>
    </xf>
    <xf numFmtId="0" fontId="12" fillId="5" borderId="1" xfId="0" applyFont="1" applyFill="1" applyBorder="1" applyAlignment="1">
      <alignment horizontal="left" vertical="center"/>
    </xf>
    <xf numFmtId="167" fontId="2" fillId="5" borderId="1" xfId="0" applyNumberFormat="1" applyFont="1" applyFill="1" applyBorder="1" applyAlignment="1">
      <alignment horizontal="left" vertical="center"/>
    </xf>
    <xf numFmtId="0" fontId="1" fillId="5" borderId="4" xfId="0" applyFont="1" applyFill="1" applyBorder="1" applyAlignment="1">
      <alignment horizontal="left" vertical="center"/>
    </xf>
    <xf numFmtId="0" fontId="1" fillId="5" borderId="6" xfId="0" applyFont="1" applyFill="1" applyBorder="1" applyAlignment="1">
      <alignment horizontal="left" vertical="center"/>
    </xf>
    <xf numFmtId="0" fontId="11" fillId="5" borderId="4" xfId="0" applyFont="1" applyFill="1" applyBorder="1" applyAlignment="1" applyProtection="1">
      <alignment horizontal="center" vertical="center"/>
      <protection locked="0"/>
    </xf>
    <xf numFmtId="0" fontId="11" fillId="5" borderId="5" xfId="0" applyFont="1" applyFill="1" applyBorder="1" applyAlignment="1" applyProtection="1">
      <alignment horizontal="center" vertical="center"/>
      <protection locked="0"/>
    </xf>
    <xf numFmtId="0" fontId="11" fillId="5" borderId="6" xfId="0" applyFont="1" applyFill="1" applyBorder="1" applyAlignment="1" applyProtection="1">
      <alignment horizontal="center" vertical="center"/>
      <protection locked="0"/>
    </xf>
    <xf numFmtId="0" fontId="14" fillId="5" borderId="1" xfId="0" applyFont="1" applyFill="1" applyBorder="1" applyAlignment="1">
      <alignment horizontal="left" vertical="center"/>
    </xf>
    <xf numFmtId="0" fontId="8" fillId="5" borderId="1" xfId="0" applyFont="1" applyFill="1" applyBorder="1" applyAlignment="1">
      <alignment horizontal="left" vertical="center"/>
    </xf>
    <xf numFmtId="0" fontId="1" fillId="5" borderId="0" xfId="0" applyFont="1" applyFill="1" applyBorder="1" applyAlignment="1">
      <alignment horizontal="center" vertical="center"/>
    </xf>
    <xf numFmtId="2" fontId="1" fillId="5" borderId="4" xfId="0" applyNumberFormat="1" applyFont="1" applyFill="1" applyBorder="1" applyAlignment="1">
      <alignment horizontal="left" vertical="center"/>
    </xf>
    <xf numFmtId="2" fontId="1" fillId="5" borderId="5" xfId="0" applyNumberFormat="1" applyFont="1" applyFill="1" applyBorder="1" applyAlignment="1">
      <alignment horizontal="left" vertical="center"/>
    </xf>
    <xf numFmtId="2" fontId="39" fillId="5" borderId="4" xfId="0" applyNumberFormat="1" applyFont="1" applyFill="1" applyBorder="1" applyAlignment="1">
      <alignment horizontal="center" vertical="center"/>
    </xf>
    <xf numFmtId="2" fontId="39" fillId="5" borderId="5" xfId="0" applyNumberFormat="1" applyFont="1" applyFill="1" applyBorder="1" applyAlignment="1">
      <alignment horizontal="center" vertical="center"/>
    </xf>
    <xf numFmtId="0" fontId="1" fillId="5" borderId="5" xfId="0" applyFont="1" applyFill="1" applyBorder="1" applyAlignment="1">
      <alignment horizontal="left" vertical="center"/>
    </xf>
    <xf numFmtId="0" fontId="11" fillId="5" borderId="4" xfId="0" applyFont="1" applyFill="1" applyBorder="1" applyAlignment="1">
      <alignment horizontal="left" vertical="center"/>
    </xf>
    <xf numFmtId="0" fontId="11" fillId="5" borderId="5" xfId="0" applyFont="1" applyFill="1" applyBorder="1" applyAlignment="1">
      <alignment horizontal="left" vertical="center"/>
    </xf>
    <xf numFmtId="0" fontId="11" fillId="5" borderId="6" xfId="0" applyFont="1" applyFill="1" applyBorder="1" applyAlignment="1">
      <alignment horizontal="left" vertical="center"/>
    </xf>
    <xf numFmtId="0" fontId="11" fillId="5" borderId="12" xfId="0" applyFont="1" applyFill="1" applyBorder="1" applyAlignment="1">
      <alignment horizontal="center" vertical="center"/>
    </xf>
    <xf numFmtId="0" fontId="11" fillId="5" borderId="10" xfId="0" applyFont="1" applyFill="1" applyBorder="1" applyAlignment="1">
      <alignment horizontal="center" vertical="center"/>
    </xf>
    <xf numFmtId="0" fontId="36" fillId="5" borderId="1" xfId="0" applyFont="1" applyFill="1" applyBorder="1" applyAlignment="1">
      <alignment horizontal="left" vertical="center"/>
    </xf>
    <xf numFmtId="0" fontId="37" fillId="5" borderId="1" xfId="0" applyFont="1" applyFill="1" applyBorder="1" applyAlignment="1">
      <alignment horizontal="left" vertical="center"/>
    </xf>
    <xf numFmtId="1" fontId="11" fillId="5" borderId="1" xfId="0" applyNumberFormat="1" applyFont="1" applyFill="1" applyBorder="1" applyAlignment="1">
      <alignment horizontal="left" vertical="center"/>
    </xf>
    <xf numFmtId="0" fontId="11" fillId="5" borderId="1" xfId="0" quotePrefix="1" applyFont="1" applyFill="1" applyBorder="1" applyAlignment="1">
      <alignment horizontal="left" vertical="center"/>
    </xf>
    <xf numFmtId="0" fontId="8" fillId="11" borderId="1" xfId="0" applyFont="1" applyFill="1" applyBorder="1" applyAlignment="1">
      <alignment horizontal="center" vertical="center" wrapText="1"/>
    </xf>
    <xf numFmtId="0" fontId="8" fillId="11" borderId="1" xfId="0" applyFont="1" applyFill="1" applyBorder="1" applyAlignment="1">
      <alignment horizontal="center" vertical="center"/>
    </xf>
    <xf numFmtId="1" fontId="14" fillId="5" borderId="1" xfId="0" applyNumberFormat="1" applyFont="1" applyFill="1" applyBorder="1" applyAlignment="1">
      <alignment horizontal="left" vertical="center"/>
    </xf>
    <xf numFmtId="2" fontId="39" fillId="11" borderId="1" xfId="0" applyNumberFormat="1" applyFont="1" applyFill="1" applyBorder="1" applyAlignment="1">
      <alignment horizontal="center" vertical="center" wrapText="1"/>
    </xf>
    <xf numFmtId="1" fontId="1" fillId="5" borderId="1" xfId="0" applyNumberFormat="1" applyFont="1" applyFill="1" applyBorder="1" applyAlignment="1">
      <alignment horizontal="center" vertical="center"/>
    </xf>
    <xf numFmtId="2" fontId="8" fillId="11" borderId="1" xfId="0" applyNumberFormat="1" applyFont="1" applyFill="1" applyBorder="1" applyAlignment="1">
      <alignment horizontal="center" vertical="center"/>
    </xf>
    <xf numFmtId="49" fontId="1" fillId="0" borderId="1" xfId="0" applyNumberFormat="1" applyFont="1" applyBorder="1" applyAlignment="1">
      <alignment horizontal="center" vertical="center"/>
    </xf>
    <xf numFmtId="0" fontId="1" fillId="0" borderId="1" xfId="0" applyFont="1" applyBorder="1" applyAlignment="1">
      <alignment horizontal="center" vertical="center"/>
    </xf>
    <xf numFmtId="0" fontId="1" fillId="0" borderId="1" xfId="0" applyFont="1" applyBorder="1" applyAlignment="1">
      <alignment horizontal="center" vertical="center" wrapText="1"/>
    </xf>
    <xf numFmtId="2" fontId="14" fillId="11" borderId="1" xfId="0" applyNumberFormat="1" applyFont="1" applyFill="1" applyBorder="1" applyAlignment="1">
      <alignment horizontal="center" vertical="center"/>
    </xf>
    <xf numFmtId="0" fontId="14" fillId="11" borderId="1" xfId="0" applyFont="1" applyFill="1" applyBorder="1" applyAlignment="1">
      <alignment horizontal="center" vertical="center"/>
    </xf>
    <xf numFmtId="1" fontId="14" fillId="11" borderId="1" xfId="0" applyNumberFormat="1" applyFont="1" applyFill="1" applyBorder="1" applyAlignment="1">
      <alignment horizontal="center" vertical="center"/>
    </xf>
    <xf numFmtId="0" fontId="40" fillId="11" borderId="1" xfId="0" applyFont="1" applyFill="1" applyBorder="1" applyAlignment="1">
      <alignment horizontal="center" vertical="center"/>
    </xf>
    <xf numFmtId="0" fontId="8" fillId="5" borderId="0" xfId="0" applyFont="1" applyFill="1" applyBorder="1" applyAlignment="1">
      <alignment horizontal="left" vertical="center"/>
    </xf>
    <xf numFmtId="2" fontId="8" fillId="4" borderId="1" xfId="0" applyNumberFormat="1" applyFont="1" applyFill="1" applyBorder="1" applyAlignment="1">
      <alignment horizontal="center" vertical="center"/>
    </xf>
    <xf numFmtId="0" fontId="8" fillId="4" borderId="1" xfId="0" applyFont="1" applyFill="1" applyBorder="1" applyAlignment="1">
      <alignment horizontal="center" vertical="center"/>
    </xf>
    <xf numFmtId="0" fontId="14" fillId="4" borderId="1" xfId="0" applyFont="1" applyFill="1" applyBorder="1" applyAlignment="1">
      <alignment horizontal="center" vertical="center"/>
    </xf>
    <xf numFmtId="49" fontId="8" fillId="11" borderId="1" xfId="0" applyNumberFormat="1" applyFont="1" applyFill="1" applyBorder="1" applyAlignment="1">
      <alignment horizontal="center" vertical="center"/>
    </xf>
    <xf numFmtId="0" fontId="1" fillId="0" borderId="8" xfId="0" applyFont="1" applyFill="1" applyBorder="1" applyAlignment="1">
      <alignment horizontal="center" vertical="center" wrapText="1"/>
    </xf>
    <xf numFmtId="0" fontId="1" fillId="0" borderId="23" xfId="0" applyFont="1" applyFill="1" applyBorder="1" applyAlignment="1">
      <alignment horizontal="center" vertical="center" wrapText="1"/>
    </xf>
    <xf numFmtId="0" fontId="1" fillId="0" borderId="9" xfId="0" applyFont="1" applyFill="1" applyBorder="1" applyAlignment="1">
      <alignment horizontal="center" vertical="center" wrapText="1"/>
    </xf>
    <xf numFmtId="0" fontId="14" fillId="5" borderId="2" xfId="0" applyFont="1" applyFill="1" applyBorder="1" applyAlignment="1">
      <alignment horizontal="left" vertical="center"/>
    </xf>
    <xf numFmtId="0" fontId="14" fillId="5" borderId="3" xfId="0" applyFont="1" applyFill="1" applyBorder="1" applyAlignment="1">
      <alignment horizontal="left" vertical="center"/>
    </xf>
    <xf numFmtId="0" fontId="14" fillId="5" borderId="11" xfId="0" applyFont="1" applyFill="1" applyBorder="1" applyAlignment="1">
      <alignment horizontal="left" vertical="center"/>
    </xf>
    <xf numFmtId="0" fontId="14" fillId="5" borderId="7" xfId="0" applyFont="1" applyFill="1" applyBorder="1" applyAlignment="1">
      <alignment horizontal="left" vertical="center"/>
    </xf>
    <xf numFmtId="0" fontId="14" fillId="5" borderId="0" xfId="0" applyFont="1" applyFill="1" applyBorder="1" applyAlignment="1">
      <alignment horizontal="left" vertical="center"/>
    </xf>
    <xf numFmtId="0" fontId="14" fillId="5" borderId="22" xfId="0" applyFont="1" applyFill="1" applyBorder="1" applyAlignment="1">
      <alignment horizontal="left" vertical="center"/>
    </xf>
    <xf numFmtId="0" fontId="14" fillId="5" borderId="12" xfId="0" applyFont="1" applyFill="1" applyBorder="1" applyAlignment="1">
      <alignment horizontal="left" vertical="center"/>
    </xf>
    <xf numFmtId="0" fontId="14" fillId="5" borderId="10" xfId="0" applyFont="1" applyFill="1" applyBorder="1" applyAlignment="1">
      <alignment horizontal="left" vertical="center"/>
    </xf>
    <xf numFmtId="0" fontId="14" fillId="5" borderId="13" xfId="0" applyFont="1" applyFill="1" applyBorder="1" applyAlignment="1">
      <alignment horizontal="left" vertical="center"/>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7" xfId="0" applyFont="1" applyFill="1" applyBorder="1" applyAlignment="1">
      <alignment horizontal="center" vertical="center" wrapText="1"/>
    </xf>
    <xf numFmtId="0" fontId="8" fillId="5" borderId="0" xfId="0" applyFont="1" applyFill="1" applyBorder="1" applyAlignment="1">
      <alignment horizontal="center" vertical="center" wrapText="1"/>
    </xf>
    <xf numFmtId="0" fontId="8" fillId="5" borderId="12" xfId="0" applyFont="1" applyFill="1" applyBorder="1" applyAlignment="1">
      <alignment horizontal="center" vertical="center" wrapText="1"/>
    </xf>
    <xf numFmtId="0" fontId="8" fillId="5" borderId="10" xfId="0" applyFont="1" applyFill="1" applyBorder="1" applyAlignment="1">
      <alignment horizontal="center" vertical="center" wrapText="1"/>
    </xf>
    <xf numFmtId="0" fontId="1" fillId="5" borderId="1" xfId="0" applyFont="1" applyFill="1" applyBorder="1" applyAlignment="1">
      <alignment horizontal="center" vertical="center"/>
    </xf>
    <xf numFmtId="0" fontId="115" fillId="5" borderId="1" xfId="0" applyFont="1" applyFill="1" applyBorder="1" applyAlignment="1">
      <alignment horizontal="left" vertical="center"/>
    </xf>
    <xf numFmtId="0" fontId="118" fillId="5" borderId="4" xfId="0" quotePrefix="1" applyFont="1" applyFill="1" applyBorder="1" applyAlignment="1">
      <alignment horizontal="left" vertical="center"/>
    </xf>
    <xf numFmtId="0" fontId="118" fillId="5" borderId="6" xfId="0" applyFont="1" applyFill="1" applyBorder="1" applyAlignment="1">
      <alignment horizontal="left" vertical="center"/>
    </xf>
    <xf numFmtId="0" fontId="118" fillId="5" borderId="1" xfId="0" applyFont="1" applyFill="1" applyBorder="1" applyAlignment="1">
      <alignment horizontal="left" vertical="center"/>
    </xf>
    <xf numFmtId="0" fontId="25" fillId="9" borderId="1" xfId="0" applyFont="1" applyFill="1" applyBorder="1" applyAlignment="1">
      <alignment horizontal="left" vertical="center" wrapText="1"/>
    </xf>
    <xf numFmtId="1" fontId="23" fillId="2" borderId="1" xfId="0" applyNumberFormat="1" applyFont="1" applyFill="1" applyBorder="1" applyAlignment="1">
      <alignment horizontal="center" vertical="center" wrapText="1"/>
    </xf>
    <xf numFmtId="0" fontId="26" fillId="9" borderId="1" xfId="0" applyFont="1" applyFill="1" applyBorder="1" applyAlignment="1">
      <alignment horizontal="left" vertical="center"/>
    </xf>
    <xf numFmtId="0" fontId="26" fillId="9" borderId="4" xfId="0" applyFont="1" applyFill="1" applyBorder="1" applyAlignment="1">
      <alignment horizontal="left" vertical="center"/>
    </xf>
    <xf numFmtId="0" fontId="0" fillId="0" borderId="5" xfId="0" applyBorder="1" applyAlignment="1">
      <alignment horizontal="left" vertical="center"/>
    </xf>
    <xf numFmtId="0" fontId="0" fillId="0" borderId="6" xfId="0" applyBorder="1" applyAlignment="1">
      <alignment horizontal="left" vertical="center"/>
    </xf>
    <xf numFmtId="49" fontId="26" fillId="9" borderId="1" xfId="0" applyNumberFormat="1" applyFont="1" applyFill="1" applyBorder="1" applyAlignment="1">
      <alignment horizontal="left" vertical="center"/>
    </xf>
    <xf numFmtId="165" fontId="26" fillId="9" borderId="1" xfId="0" applyNumberFormat="1" applyFont="1" applyFill="1" applyBorder="1" applyAlignment="1">
      <alignment horizontal="left" vertical="center"/>
    </xf>
    <xf numFmtId="0" fontId="26" fillId="9" borderId="5" xfId="0" applyFont="1" applyFill="1" applyBorder="1" applyAlignment="1">
      <alignment horizontal="left" vertical="center"/>
    </xf>
    <xf numFmtId="0" fontId="26" fillId="9" borderId="6" xfId="0" applyFont="1" applyFill="1" applyBorder="1" applyAlignment="1">
      <alignment horizontal="left" vertical="center"/>
    </xf>
    <xf numFmtId="0" fontId="26" fillId="7" borderId="1" xfId="0" applyFont="1" applyFill="1" applyBorder="1" applyAlignment="1">
      <alignment horizontal="center" vertical="center"/>
    </xf>
    <xf numFmtId="0" fontId="26" fillId="7" borderId="1" xfId="0" applyFont="1" applyFill="1" applyBorder="1" applyAlignment="1">
      <alignment horizontal="left" vertical="center"/>
    </xf>
    <xf numFmtId="0" fontId="27" fillId="7" borderId="1" xfId="0" applyFont="1" applyFill="1" applyBorder="1" applyAlignment="1">
      <alignment horizontal="center" vertical="center"/>
    </xf>
    <xf numFmtId="0" fontId="28" fillId="7" borderId="1" xfId="0" applyFont="1" applyFill="1" applyBorder="1" applyAlignment="1">
      <alignment horizontal="left" vertical="center"/>
    </xf>
    <xf numFmtId="0" fontId="29" fillId="7" borderId="1" xfId="0" applyFont="1" applyFill="1" applyBorder="1" applyAlignment="1">
      <alignment horizontal="center" vertical="center"/>
    </xf>
    <xf numFmtId="0" fontId="26" fillId="7" borderId="1" xfId="0" applyFont="1" applyFill="1" applyBorder="1" applyAlignment="1">
      <alignment horizontal="left" vertical="center" wrapText="1"/>
    </xf>
    <xf numFmtId="49" fontId="26" fillId="7" borderId="1" xfId="0" applyNumberFormat="1" applyFont="1" applyFill="1" applyBorder="1" applyAlignment="1">
      <alignment horizontal="left" vertical="center"/>
    </xf>
    <xf numFmtId="0" fontId="0" fillId="0" borderId="1" xfId="0" applyBorder="1" applyAlignment="1">
      <alignment horizontal="left" vertical="center"/>
    </xf>
    <xf numFmtId="0" fontId="30" fillId="7" borderId="1" xfId="0" applyFont="1" applyFill="1" applyBorder="1" applyAlignment="1">
      <alignment horizontal="left" vertical="center"/>
    </xf>
    <xf numFmtId="0" fontId="23" fillId="2" borderId="4" xfId="0" applyFont="1" applyFill="1" applyBorder="1" applyAlignment="1">
      <alignment horizontal="center" vertical="center"/>
    </xf>
    <xf numFmtId="0" fontId="23" fillId="2" borderId="6" xfId="0" applyFont="1" applyFill="1" applyBorder="1" applyAlignment="1">
      <alignment horizontal="center" vertical="center"/>
    </xf>
    <xf numFmtId="1" fontId="1" fillId="2" borderId="1" xfId="0" applyNumberFormat="1" applyFont="1" applyFill="1" applyBorder="1" applyAlignment="1">
      <alignment horizontal="center" vertical="center"/>
    </xf>
    <xf numFmtId="0" fontId="1" fillId="10" borderId="8" xfId="0" applyFont="1" applyFill="1" applyBorder="1" applyAlignment="1">
      <alignment horizontal="center" vertical="center" wrapText="1"/>
    </xf>
    <xf numFmtId="0" fontId="1" fillId="10" borderId="9" xfId="0" applyFont="1" applyFill="1" applyBorder="1" applyAlignment="1">
      <alignment horizontal="center" vertical="center"/>
    </xf>
    <xf numFmtId="0" fontId="3" fillId="3" borderId="4" xfId="0" applyFont="1" applyFill="1" applyBorder="1" applyAlignment="1">
      <alignment horizontal="left" vertical="center" wrapText="1"/>
    </xf>
    <xf numFmtId="0" fontId="14" fillId="2" borderId="1" xfId="0" applyFont="1" applyFill="1" applyBorder="1" applyAlignment="1">
      <alignment horizontal="center" vertical="center" wrapText="1"/>
    </xf>
    <xf numFmtId="0" fontId="14" fillId="2" borderId="1" xfId="0" applyFont="1" applyFill="1" applyBorder="1" applyAlignment="1">
      <alignment horizontal="center" vertical="center"/>
    </xf>
    <xf numFmtId="164" fontId="5" fillId="3" borderId="4" xfId="0" applyNumberFormat="1" applyFont="1" applyFill="1" applyBorder="1" applyAlignment="1">
      <alignment horizontal="left" vertical="center"/>
    </xf>
    <xf numFmtId="164" fontId="5" fillId="3" borderId="5" xfId="0" applyNumberFormat="1" applyFont="1" applyFill="1" applyBorder="1" applyAlignment="1">
      <alignment horizontal="left" vertical="center"/>
    </xf>
    <xf numFmtId="164" fontId="5" fillId="3" borderId="6" xfId="0" applyNumberFormat="1" applyFont="1" applyFill="1" applyBorder="1" applyAlignment="1">
      <alignment horizontal="left" vertical="center"/>
    </xf>
    <xf numFmtId="0" fontId="5" fillId="3" borderId="4" xfId="0" applyFont="1" applyFill="1" applyBorder="1" applyAlignment="1">
      <alignment horizontal="left" vertical="center"/>
    </xf>
    <xf numFmtId="165" fontId="5" fillId="3" borderId="4" xfId="0" applyNumberFormat="1" applyFont="1" applyFill="1" applyBorder="1" applyAlignment="1">
      <alignment horizontal="left" vertical="center"/>
    </xf>
    <xf numFmtId="0" fontId="8" fillId="4" borderId="4" xfId="0" applyFont="1" applyFill="1" applyBorder="1" applyAlignment="1">
      <alignment horizontal="center" vertical="center" wrapText="1"/>
    </xf>
    <xf numFmtId="0" fontId="14" fillId="7" borderId="1" xfId="0" applyFont="1" applyFill="1" applyBorder="1" applyAlignment="1" applyProtection="1">
      <alignment horizontal="center" vertical="center" wrapText="1"/>
      <protection hidden="1"/>
    </xf>
    <xf numFmtId="0" fontId="8" fillId="7" borderId="8" xfId="0" applyFont="1" applyFill="1" applyBorder="1" applyAlignment="1" applyProtection="1">
      <alignment horizontal="center" vertical="center"/>
      <protection hidden="1"/>
    </xf>
    <xf numFmtId="0" fontId="8" fillId="7" borderId="9" xfId="0" applyFont="1" applyFill="1" applyBorder="1" applyAlignment="1" applyProtection="1">
      <alignment horizontal="center" vertical="center"/>
      <protection hidden="1"/>
    </xf>
    <xf numFmtId="0" fontId="8" fillId="7" borderId="1" xfId="0" applyFont="1" applyFill="1" applyBorder="1" applyAlignment="1" applyProtection="1">
      <alignment horizontal="center" vertical="center" wrapText="1"/>
      <protection hidden="1"/>
    </xf>
    <xf numFmtId="0" fontId="18" fillId="5" borderId="1" xfId="0" applyFont="1" applyFill="1" applyBorder="1" applyAlignment="1">
      <alignment horizontal="left" vertical="center"/>
    </xf>
    <xf numFmtId="3" fontId="11" fillId="0" borderId="4" xfId="0" applyNumberFormat="1" applyFont="1" applyFill="1" applyBorder="1" applyAlignment="1">
      <alignment horizontal="left" vertical="center"/>
    </xf>
    <xf numFmtId="3" fontId="11" fillId="0" borderId="5" xfId="0" applyNumberFormat="1" applyFont="1" applyFill="1" applyBorder="1" applyAlignment="1">
      <alignment horizontal="left" vertical="center"/>
    </xf>
    <xf numFmtId="3" fontId="11" fillId="0" borderId="6" xfId="0" applyNumberFormat="1" applyFont="1" applyFill="1" applyBorder="1" applyAlignment="1">
      <alignment horizontal="left" vertical="center"/>
    </xf>
    <xf numFmtId="3" fontId="11" fillId="5" borderId="9" xfId="0" applyNumberFormat="1" applyFont="1" applyFill="1" applyBorder="1" applyAlignment="1">
      <alignment horizontal="left" vertical="center"/>
    </xf>
    <xf numFmtId="3" fontId="11" fillId="5" borderId="1" xfId="0" applyNumberFormat="1" applyFont="1" applyFill="1" applyBorder="1" applyAlignment="1">
      <alignment horizontal="left" vertical="center"/>
    </xf>
    <xf numFmtId="3" fontId="8" fillId="4" borderId="1" xfId="0" applyNumberFormat="1" applyFont="1" applyFill="1" applyBorder="1" applyAlignment="1" applyProtection="1">
      <alignment horizontal="center" vertical="center" wrapText="1"/>
      <protection hidden="1"/>
    </xf>
    <xf numFmtId="3" fontId="11" fillId="5" borderId="1" xfId="0" applyNumberFormat="1" applyFont="1" applyFill="1" applyBorder="1" applyAlignment="1">
      <alignment horizontal="center" vertical="center"/>
    </xf>
    <xf numFmtId="0" fontId="2" fillId="5" borderId="0" xfId="0" applyFont="1" applyFill="1" applyBorder="1" applyAlignment="1">
      <alignment horizontal="left" vertical="center" wrapText="1"/>
    </xf>
    <xf numFmtId="3" fontId="8" fillId="4" borderId="1" xfId="0" applyNumberFormat="1" applyFont="1" applyFill="1" applyBorder="1" applyAlignment="1" applyProtection="1">
      <alignment horizontal="center" vertical="top"/>
      <protection hidden="1"/>
    </xf>
    <xf numFmtId="3" fontId="14" fillId="4" borderId="1" xfId="0" applyNumberFormat="1" applyFont="1" applyFill="1" applyBorder="1" applyAlignment="1" applyProtection="1">
      <alignment horizontal="center" vertical="center" wrapText="1"/>
      <protection hidden="1"/>
    </xf>
    <xf numFmtId="4" fontId="2" fillId="5" borderId="1" xfId="0" applyNumberFormat="1" applyFont="1" applyFill="1" applyBorder="1" applyAlignment="1">
      <alignment horizontal="center" vertical="center"/>
    </xf>
    <xf numFmtId="0" fontId="1" fillId="7" borderId="1" xfId="0" applyFont="1" applyFill="1" applyBorder="1" applyAlignment="1" applyProtection="1">
      <alignment horizontal="center" vertical="center" wrapText="1"/>
      <protection hidden="1"/>
    </xf>
    <xf numFmtId="0" fontId="2" fillId="5" borderId="4" xfId="0" applyFont="1" applyFill="1" applyBorder="1" applyAlignment="1">
      <alignment horizontal="left" vertical="center"/>
    </xf>
    <xf numFmtId="0" fontId="2" fillId="5" borderId="5" xfId="0" applyFont="1" applyFill="1" applyBorder="1" applyAlignment="1">
      <alignment horizontal="left" vertical="center"/>
    </xf>
    <xf numFmtId="0" fontId="2" fillId="5" borderId="6" xfId="0" applyFont="1" applyFill="1" applyBorder="1" applyAlignment="1">
      <alignment horizontal="left" vertical="center"/>
    </xf>
    <xf numFmtId="0" fontId="22" fillId="0" borderId="2" xfId="0" applyFont="1" applyFill="1" applyBorder="1" applyAlignment="1">
      <alignment horizontal="left" vertical="center"/>
    </xf>
    <xf numFmtId="0" fontId="5" fillId="0" borderId="3" xfId="0" applyFont="1" applyFill="1" applyBorder="1" applyAlignment="1">
      <alignment horizontal="left" vertical="center"/>
    </xf>
    <xf numFmtId="0" fontId="11" fillId="0" borderId="1" xfId="0" applyFont="1" applyFill="1" applyBorder="1" applyAlignment="1">
      <alignment horizontal="left" vertical="center"/>
    </xf>
    <xf numFmtId="0" fontId="11" fillId="0" borderId="4" xfId="0" applyFont="1" applyFill="1" applyBorder="1" applyAlignment="1">
      <alignment horizontal="left" vertical="center"/>
    </xf>
    <xf numFmtId="0" fontId="11" fillId="0" borderId="5" xfId="0" applyFont="1" applyFill="1" applyBorder="1" applyAlignment="1">
      <alignment horizontal="left" vertical="center"/>
    </xf>
    <xf numFmtId="0" fontId="11" fillId="0" borderId="6" xfId="0" applyFont="1" applyFill="1" applyBorder="1" applyAlignment="1">
      <alignment horizontal="left" vertical="center"/>
    </xf>
    <xf numFmtId="0" fontId="11" fillId="7" borderId="1" xfId="0" applyFont="1" applyFill="1" applyBorder="1" applyAlignment="1" applyProtection="1">
      <alignment horizontal="center" vertical="center" wrapText="1"/>
      <protection hidden="1"/>
    </xf>
    <xf numFmtId="0" fontId="1" fillId="7" borderId="8" xfId="0" applyFont="1" applyFill="1" applyBorder="1" applyAlignment="1" applyProtection="1">
      <alignment horizontal="center" vertical="center"/>
      <protection hidden="1"/>
    </xf>
    <xf numFmtId="0" fontId="1" fillId="7" borderId="9" xfId="0" applyFont="1" applyFill="1" applyBorder="1" applyAlignment="1" applyProtection="1">
      <alignment horizontal="center" vertical="center"/>
      <protection hidden="1"/>
    </xf>
    <xf numFmtId="0" fontId="11" fillId="5" borderId="3" xfId="0" applyFont="1" applyFill="1" applyBorder="1" applyAlignment="1">
      <alignment horizontal="left" vertical="center" wrapText="1"/>
    </xf>
    <xf numFmtId="0" fontId="11" fillId="5" borderId="10" xfId="0" applyFont="1" applyFill="1" applyBorder="1" applyAlignment="1">
      <alignment horizontal="left" vertical="center" wrapText="1"/>
    </xf>
    <xf numFmtId="0" fontId="16" fillId="0" borderId="2" xfId="0" applyFont="1" applyFill="1" applyBorder="1" applyAlignment="1">
      <alignment horizontal="center" vertical="center"/>
    </xf>
    <xf numFmtId="0" fontId="16" fillId="0" borderId="3" xfId="0" applyFont="1" applyFill="1" applyBorder="1" applyAlignment="1">
      <alignment horizontal="center" vertical="center"/>
    </xf>
    <xf numFmtId="3" fontId="11" fillId="0" borderId="1" xfId="0" applyNumberFormat="1" applyFont="1" applyFill="1" applyBorder="1" applyAlignment="1">
      <alignment horizontal="left" vertical="center"/>
    </xf>
    <xf numFmtId="3" fontId="11" fillId="5" borderId="1" xfId="0" applyNumberFormat="1" applyFont="1" applyFill="1" applyBorder="1" applyAlignment="1">
      <alignment horizontal="left" vertical="center" wrapText="1"/>
    </xf>
    <xf numFmtId="0" fontId="2" fillId="2" borderId="14" xfId="0" applyFont="1" applyFill="1" applyBorder="1" applyAlignment="1">
      <alignment horizontal="left" vertical="top" wrapText="1"/>
    </xf>
    <xf numFmtId="0" fontId="2" fillId="2" borderId="15" xfId="0" applyFont="1" applyFill="1" applyBorder="1" applyAlignment="1">
      <alignment horizontal="left" vertical="top" wrapText="1"/>
    </xf>
    <xf numFmtId="0" fontId="2" fillId="2" borderId="16" xfId="0" applyFont="1" applyFill="1" applyBorder="1" applyAlignment="1">
      <alignment horizontal="left" vertical="top" wrapText="1"/>
    </xf>
    <xf numFmtId="0" fontId="2" fillId="2" borderId="17" xfId="0" applyFont="1" applyFill="1" applyBorder="1" applyAlignment="1">
      <alignment horizontal="left" vertical="top" wrapText="1"/>
    </xf>
    <xf numFmtId="0" fontId="2" fillId="2" borderId="0" xfId="0" applyFont="1" applyFill="1" applyBorder="1" applyAlignment="1">
      <alignment horizontal="left" vertical="top" wrapText="1"/>
    </xf>
    <xf numFmtId="0" fontId="2" fillId="2" borderId="18" xfId="0" applyFont="1" applyFill="1" applyBorder="1" applyAlignment="1">
      <alignment horizontal="left" vertical="top" wrapText="1"/>
    </xf>
    <xf numFmtId="0" fontId="2" fillId="2" borderId="19" xfId="0" applyFont="1" applyFill="1" applyBorder="1" applyAlignment="1">
      <alignment horizontal="left" vertical="top" wrapText="1"/>
    </xf>
    <xf numFmtId="0" fontId="2" fillId="2" borderId="20" xfId="0" applyFont="1" applyFill="1" applyBorder="1" applyAlignment="1">
      <alignment horizontal="left" vertical="top" wrapText="1"/>
    </xf>
    <xf numFmtId="0" fontId="2" fillId="2" borderId="21" xfId="0" applyFont="1" applyFill="1" applyBorder="1" applyAlignment="1">
      <alignment horizontal="left" vertical="top" wrapText="1"/>
    </xf>
    <xf numFmtId="3" fontId="9" fillId="5" borderId="1" xfId="0" applyNumberFormat="1" applyFont="1" applyFill="1" applyBorder="1" applyAlignment="1">
      <alignment horizontal="left" vertical="center"/>
    </xf>
    <xf numFmtId="3" fontId="11" fillId="0" borderId="1" xfId="0" applyNumberFormat="1" applyFont="1" applyFill="1" applyBorder="1" applyAlignment="1">
      <alignment horizontal="center" vertical="center"/>
    </xf>
    <xf numFmtId="0" fontId="17" fillId="7" borderId="1" xfId="0" applyFont="1" applyFill="1" applyBorder="1" applyAlignment="1" applyProtection="1">
      <alignment horizontal="center" vertical="center" wrapText="1"/>
      <protection hidden="1"/>
    </xf>
    <xf numFmtId="0" fontId="18" fillId="7" borderId="1" xfId="0" applyFont="1" applyFill="1" applyBorder="1" applyAlignment="1" applyProtection="1">
      <alignment horizontal="center" vertical="center"/>
      <protection hidden="1"/>
    </xf>
    <xf numFmtId="0" fontId="18" fillId="7" borderId="1" xfId="0" applyFont="1" applyFill="1" applyBorder="1" applyAlignment="1" applyProtection="1">
      <alignment horizontal="center" vertical="center" wrapText="1"/>
      <protection hidden="1"/>
    </xf>
    <xf numFmtId="0" fontId="0" fillId="5" borderId="1" xfId="0" applyFill="1" applyBorder="1" applyAlignment="1">
      <alignment horizontal="left" vertical="center"/>
    </xf>
    <xf numFmtId="0" fontId="2" fillId="5" borderId="1" xfId="0" applyFont="1" applyFill="1" applyBorder="1" applyAlignment="1">
      <alignment horizontal="left" vertical="center" wrapText="1"/>
    </xf>
    <xf numFmtId="0" fontId="2" fillId="5" borderId="8" xfId="0" applyFont="1" applyFill="1" applyBorder="1" applyAlignment="1">
      <alignment horizontal="left" vertical="center" wrapText="1"/>
    </xf>
    <xf numFmtId="3" fontId="11" fillId="5" borderId="2" xfId="0" applyNumberFormat="1" applyFont="1" applyFill="1" applyBorder="1" applyAlignment="1">
      <alignment horizontal="center" vertical="center"/>
    </xf>
    <xf numFmtId="3" fontId="11" fillId="5" borderId="11" xfId="0" applyNumberFormat="1" applyFont="1" applyFill="1" applyBorder="1" applyAlignment="1">
      <alignment horizontal="center" vertical="center"/>
    </xf>
    <xf numFmtId="3" fontId="11" fillId="5" borderId="12" xfId="0" applyNumberFormat="1" applyFont="1" applyFill="1" applyBorder="1" applyAlignment="1">
      <alignment horizontal="center" vertical="center"/>
    </xf>
    <xf numFmtId="3" fontId="11" fillId="5" borderId="13" xfId="0" applyNumberFormat="1" applyFont="1" applyFill="1" applyBorder="1" applyAlignment="1">
      <alignment horizontal="center" vertical="center"/>
    </xf>
    <xf numFmtId="0" fontId="9" fillId="5" borderId="0" xfId="0" applyFont="1" applyFill="1" applyBorder="1" applyAlignment="1">
      <alignment horizontal="left" vertical="top" wrapText="1"/>
    </xf>
    <xf numFmtId="0" fontId="9" fillId="5" borderId="10" xfId="0" applyFont="1" applyFill="1" applyBorder="1" applyAlignment="1">
      <alignment horizontal="left" vertical="top" wrapText="1"/>
    </xf>
    <xf numFmtId="3" fontId="8" fillId="4" borderId="8" xfId="0" applyNumberFormat="1" applyFont="1" applyFill="1" applyBorder="1" applyAlignment="1" applyProtection="1">
      <alignment horizontal="center" vertical="center" wrapText="1"/>
      <protection hidden="1"/>
    </xf>
    <xf numFmtId="3" fontId="8" fillId="4" borderId="9" xfId="0" applyNumberFormat="1" applyFont="1" applyFill="1" applyBorder="1" applyAlignment="1" applyProtection="1">
      <alignment horizontal="center" vertical="center" wrapText="1"/>
      <protection hidden="1"/>
    </xf>
    <xf numFmtId="4" fontId="2" fillId="5" borderId="8" xfId="0" applyNumberFormat="1" applyFont="1" applyFill="1" applyBorder="1" applyAlignment="1">
      <alignment horizontal="center" vertical="center"/>
    </xf>
    <xf numFmtId="4" fontId="2" fillId="5" borderId="9" xfId="0" applyNumberFormat="1" applyFont="1" applyFill="1" applyBorder="1" applyAlignment="1">
      <alignment horizontal="center" vertical="center"/>
    </xf>
    <xf numFmtId="3" fontId="11" fillId="5" borderId="0" xfId="0" applyNumberFormat="1" applyFont="1" applyFill="1" applyBorder="1" applyAlignment="1">
      <alignment horizontal="center" vertical="center"/>
    </xf>
    <xf numFmtId="0" fontId="16" fillId="0" borderId="7" xfId="0" applyFont="1" applyFill="1" applyBorder="1" applyAlignment="1">
      <alignment horizontal="center" vertical="center"/>
    </xf>
    <xf numFmtId="0" fontId="16" fillId="0" borderId="0" xfId="0" applyFont="1" applyFill="1" applyBorder="1" applyAlignment="1">
      <alignment horizontal="center" vertical="center"/>
    </xf>
    <xf numFmtId="0" fontId="2" fillId="5" borderId="0" xfId="0" applyFont="1" applyFill="1" applyBorder="1" applyAlignment="1">
      <alignment horizontal="left" vertical="center"/>
    </xf>
    <xf numFmtId="3" fontId="8" fillId="4" borderId="1" xfId="0" applyNumberFormat="1" applyFont="1" applyFill="1" applyBorder="1" applyAlignment="1" applyProtection="1">
      <alignment horizontal="center" vertical="center"/>
      <protection hidden="1"/>
    </xf>
    <xf numFmtId="0" fontId="3" fillId="3" borderId="7" xfId="0" applyFont="1" applyFill="1" applyBorder="1" applyAlignment="1">
      <alignment horizontal="left" vertical="center" wrapText="1"/>
    </xf>
    <xf numFmtId="0" fontId="3" fillId="3" borderId="0" xfId="0" applyFont="1" applyFill="1" applyBorder="1" applyAlignment="1">
      <alignment horizontal="left" vertical="center" wrapText="1"/>
    </xf>
    <xf numFmtId="0" fontId="16" fillId="0" borderId="4" xfId="0" applyFont="1" applyFill="1" applyBorder="1" applyAlignment="1">
      <alignment horizontal="center" vertical="center"/>
    </xf>
    <xf numFmtId="0" fontId="16" fillId="0" borderId="5" xfId="0" applyFont="1" applyFill="1" applyBorder="1" applyAlignment="1">
      <alignment horizontal="center" vertical="center"/>
    </xf>
    <xf numFmtId="0" fontId="8" fillId="4" borderId="5" xfId="0" applyFont="1" applyFill="1" applyBorder="1" applyAlignment="1">
      <alignment horizontal="center" vertical="center" wrapText="1"/>
    </xf>
    <xf numFmtId="0" fontId="17" fillId="6" borderId="1" xfId="0" applyFont="1" applyFill="1" applyBorder="1" applyAlignment="1" applyProtection="1">
      <alignment horizontal="center" vertical="center"/>
      <protection hidden="1"/>
    </xf>
    <xf numFmtId="0" fontId="17" fillId="6" borderId="1" xfId="0" applyFont="1" applyFill="1" applyBorder="1" applyAlignment="1" applyProtection="1">
      <alignment horizontal="center" vertical="center" wrapText="1"/>
      <protection hidden="1"/>
    </xf>
    <xf numFmtId="0" fontId="2" fillId="5" borderId="2"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2" fillId="5" borderId="11" xfId="0" applyFont="1" applyFill="1" applyBorder="1" applyAlignment="1">
      <alignment horizontal="center" vertical="center" wrapText="1"/>
    </xf>
    <xf numFmtId="0" fontId="2" fillId="5" borderId="12" xfId="0" applyFont="1" applyFill="1" applyBorder="1" applyAlignment="1">
      <alignment horizontal="center" vertical="center" wrapText="1"/>
    </xf>
    <xf numFmtId="0" fontId="2" fillId="5" borderId="10" xfId="0" applyFont="1" applyFill="1" applyBorder="1" applyAlignment="1">
      <alignment horizontal="center" vertical="center" wrapText="1"/>
    </xf>
    <xf numFmtId="0" fontId="2" fillId="5" borderId="13" xfId="0" applyFont="1" applyFill="1" applyBorder="1" applyAlignment="1">
      <alignment horizontal="center" vertical="center" wrapText="1"/>
    </xf>
    <xf numFmtId="0" fontId="2" fillId="5" borderId="1" xfId="0" applyFont="1" applyFill="1" applyBorder="1" applyAlignment="1">
      <alignment horizontal="center" vertical="center"/>
    </xf>
    <xf numFmtId="0" fontId="11" fillId="6" borderId="1" xfId="0" applyFont="1" applyFill="1" applyBorder="1" applyAlignment="1">
      <alignment horizontal="center" vertical="center" wrapText="1"/>
    </xf>
    <xf numFmtId="1" fontId="5" fillId="3" borderId="4" xfId="0" applyNumberFormat="1" applyFont="1" applyFill="1" applyBorder="1" applyAlignment="1">
      <alignment horizontal="left" vertical="center"/>
    </xf>
    <xf numFmtId="1" fontId="5" fillId="3" borderId="5" xfId="0" applyNumberFormat="1" applyFont="1" applyFill="1" applyBorder="1" applyAlignment="1">
      <alignment horizontal="left" vertical="center"/>
    </xf>
    <xf numFmtId="1" fontId="5" fillId="3" borderId="6" xfId="0" applyNumberFormat="1" applyFont="1" applyFill="1" applyBorder="1" applyAlignment="1">
      <alignment horizontal="left" vertical="center"/>
    </xf>
    <xf numFmtId="1" fontId="7" fillId="3" borderId="4" xfId="0" applyNumberFormat="1" applyFont="1" applyFill="1" applyBorder="1" applyAlignment="1">
      <alignment horizontal="left" vertical="center"/>
    </xf>
    <xf numFmtId="0" fontId="8" fillId="4" borderId="1" xfId="0" applyFont="1" applyFill="1" applyBorder="1" applyAlignment="1">
      <alignment horizontal="center" vertical="center" wrapText="1"/>
    </xf>
    <xf numFmtId="3" fontId="8" fillId="4" borderId="1" xfId="0" applyNumberFormat="1" applyFont="1" applyFill="1" applyBorder="1" applyAlignment="1" applyProtection="1">
      <alignment horizontal="center" wrapText="1"/>
      <protection hidden="1"/>
    </xf>
  </cellXfs>
  <cellStyles count="3">
    <cellStyle name="Normal" xfId="0" builtinId="0"/>
    <cellStyle name="Normal 2" xfId="1"/>
    <cellStyle name="Normal 6" xfId="2"/>
  </cellStyles>
  <dxfs count="33">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border>
        <left style="thin">
          <color auto="1"/>
        </left>
        <right style="thin">
          <color auto="1"/>
        </right>
        <top style="thin">
          <color auto="1"/>
        </top>
        <bottom style="thin">
          <color auto="1"/>
        </bottom>
      </border>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color rgb="FF9C0006"/>
      </font>
      <fill>
        <patternFill patternType="solid">
          <bgColor rgb="FFFFC7CE"/>
        </patternFill>
      </fill>
    </dxf>
    <dxf>
      <border>
        <left style="thin">
          <color auto="1"/>
        </left>
        <right style="thin">
          <color auto="1"/>
        </right>
        <top style="thin">
          <color auto="1"/>
        </top>
        <bottom style="thin">
          <color auto="1"/>
        </bottom>
      </border>
    </dxf>
    <dxf>
      <font>
        <color rgb="FF9C0006"/>
      </font>
      <fill>
        <patternFill patternType="solid">
          <bgColor rgb="FFFFC7CE"/>
        </patternFill>
      </fill>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color rgb="FF9C0006"/>
      </font>
      <fill>
        <patternFill patternType="solid">
          <bgColor rgb="FFFFC7CE"/>
        </patternFill>
      </fill>
    </dxf>
    <dxf>
      <font>
        <color rgb="FF9C0006"/>
      </font>
      <fill>
        <patternFill patternType="solid">
          <bgColor rgb="FFFFC7CE"/>
        </patternFill>
      </fill>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s>
  <tableStyles count="0" defaultTableStyle="TableStyleMedium2" defaultPivotStyle="PivotStyleLight16"/>
  <colors>
    <mruColors>
      <color rgb="FF0000FF"/>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rnd" cmpd="sng" algn="ctr">
              <a:noFill/>
              <a:prstDash val="solid"/>
              <a:round/>
            </a:ln>
            <a:effectLst/>
          </c:spPr>
          <c:marker>
            <c:symbol val="circle"/>
            <c:size val="5"/>
            <c:spPr>
              <a:solidFill>
                <a:schemeClr val="accent1"/>
              </a:solidFill>
              <a:ln w="9525" cap="flat" cmpd="sng" algn="ctr">
                <a:solidFill>
                  <a:schemeClr val="accent1"/>
                </a:solidFill>
                <a:prstDash val="solid"/>
                <a:round/>
              </a:ln>
              <a:effectLst/>
            </c:spPr>
          </c:marker>
          <c:trendline>
            <c:spPr>
              <a:ln w="19050" cap="rnd" cmpd="sng" algn="ctr">
                <a:solidFill>
                  <a:schemeClr val="accent1"/>
                </a:solidFill>
                <a:prstDash val="sysDot"/>
                <a:round/>
              </a:ln>
              <a:effectLst/>
            </c:spPr>
            <c:trendlineType val="log"/>
            <c:dispRSqr val="0"/>
            <c:dispEq val="0"/>
          </c:trendline>
          <c:trendline>
            <c:spPr>
              <a:ln w="19050" cap="rnd" cmpd="sng" algn="ctr">
                <a:solidFill>
                  <a:schemeClr val="accent1"/>
                </a:solidFill>
                <a:prstDash val="sysDot"/>
                <a:round/>
              </a:ln>
              <a:effectLst/>
            </c:spPr>
            <c:trendlineType val="linear"/>
            <c:dispRSqr val="0"/>
            <c:dispEq val="1"/>
            <c:trendlineLbl>
              <c:numFmt formatCode="General" sourceLinked="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trendlineLbl>
          </c:trendline>
          <c:xVal>
            <c:numRef>
              <c:f>BANGTRA!$A$28:$A$29</c:f>
              <c:numCache>
                <c:formatCode>General</c:formatCode>
                <c:ptCount val="2"/>
                <c:pt idx="0">
                  <c:v>0.35</c:v>
                </c:pt>
                <c:pt idx="1">
                  <c:v>0.8</c:v>
                </c:pt>
              </c:numCache>
            </c:numRef>
          </c:xVal>
          <c:yVal>
            <c:numRef>
              <c:f>BANGTRA!$B$28:$B$29</c:f>
              <c:numCache>
                <c:formatCode>General</c:formatCode>
                <c:ptCount val="2"/>
                <c:pt idx="0">
                  <c:v>1</c:v>
                </c:pt>
                <c:pt idx="1">
                  <c:v>0.5</c:v>
                </c:pt>
              </c:numCache>
            </c:numRef>
          </c:yVal>
          <c:smooth val="0"/>
          <c:extLst>
            <c:ext xmlns:c16="http://schemas.microsoft.com/office/drawing/2014/chart" uri="{C3380CC4-5D6E-409C-BE32-E72D297353CC}">
              <c16:uniqueId val="{00000000-E4BF-44A5-BF74-21D610EAD959}"/>
            </c:ext>
          </c:extLst>
        </c:ser>
        <c:dLbls>
          <c:showLegendKey val="0"/>
          <c:showVal val="0"/>
          <c:showCatName val="0"/>
          <c:showSerName val="0"/>
          <c:showPercent val="0"/>
          <c:showBubbleSize val="0"/>
        </c:dLbls>
        <c:axId val="477934832"/>
        <c:axId val="477935920"/>
      </c:scatterChart>
      <c:valAx>
        <c:axId val="477934832"/>
        <c:scaling>
          <c:orientation val="minMax"/>
        </c:scaling>
        <c:delete val="0"/>
        <c:axPos val="b"/>
        <c:majorGridlines>
          <c:spPr>
            <a:ln w="9525" cap="flat" cmpd="sng" algn="ctr">
              <a:solidFill>
                <a:schemeClr val="tx1">
                  <a:lumMod val="15000"/>
                  <a:lumOff val="85000"/>
                </a:schemeClr>
              </a:solidFill>
              <a:prstDash val="solid"/>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477935920"/>
        <c:crosses val="autoZero"/>
        <c:crossBetween val="midCat"/>
      </c:valAx>
      <c:valAx>
        <c:axId val="477935920"/>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477934832"/>
        <c:crosses val="autoZero"/>
        <c:crossBetween val="midCat"/>
      </c:valAx>
      <c:spPr>
        <a:noFill/>
        <a:ln>
          <a:noFill/>
        </a:ln>
        <a:effectLst/>
      </c:spPr>
    </c:plotArea>
    <c:plotVisOnly val="1"/>
    <c:dispBlanksAs val="gap"/>
    <c:showDLblsOverMax val="0"/>
    <c:extLst>
      <c:ext uri="{0b15fc19-7d7d-44ad-8c2d-2c3a37ce22c3}">
        <chartProps xmlns="https://web.wps.cn/et/2018/main" chartId="{3c593f67-b9d0-4385-a71a-a6d82b25e336}"/>
      </c:ext>
    </c:extLst>
  </c:chart>
  <c:spPr>
    <a:solidFill>
      <a:schemeClr val="bg1"/>
    </a:solidFill>
    <a:ln w="9525" cap="flat" cmpd="sng" algn="ctr">
      <a:solidFill>
        <a:schemeClr val="tx1">
          <a:lumMod val="15000"/>
          <a:lumOff val="85000"/>
        </a:schemeClr>
      </a:solidFill>
      <a:prstDash val="solid"/>
      <a:round/>
    </a:ln>
    <a:effectLst/>
  </c:spPr>
  <c:txPr>
    <a:bodyPr/>
    <a:lstStyle/>
    <a:p>
      <a:pPr>
        <a:defRPr lang="en-US"/>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rnd" cmpd="sng" algn="ctr">
              <a:noFill/>
              <a:prstDash val="solid"/>
              <a:round/>
            </a:ln>
            <a:effectLst/>
          </c:spPr>
          <c:marker>
            <c:symbol val="circle"/>
            <c:size val="5"/>
            <c:spPr>
              <a:solidFill>
                <a:schemeClr val="accent1"/>
              </a:solidFill>
              <a:ln w="9525" cap="flat" cmpd="sng" algn="ctr">
                <a:solidFill>
                  <a:schemeClr val="accent1"/>
                </a:solidFill>
                <a:prstDash val="solid"/>
                <a:round/>
              </a:ln>
              <a:effectLst/>
            </c:spPr>
          </c:marker>
          <c:trendline>
            <c:spPr>
              <a:ln w="19050" cap="rnd" cmpd="sng" algn="ctr">
                <a:solidFill>
                  <a:schemeClr val="accent1"/>
                </a:solidFill>
                <a:prstDash val="sysDot"/>
                <a:round/>
              </a:ln>
              <a:effectLst/>
            </c:spPr>
            <c:trendlineType val="log"/>
            <c:dispRSqr val="0"/>
            <c:dispEq val="0"/>
          </c:trendline>
          <c:trendline>
            <c:spPr>
              <a:ln w="19050" cap="rnd" cmpd="sng" algn="ctr">
                <a:solidFill>
                  <a:schemeClr val="accent1"/>
                </a:solidFill>
                <a:prstDash val="sysDot"/>
                <a:round/>
              </a:ln>
              <a:effectLst/>
            </c:spPr>
            <c:trendlineType val="linear"/>
            <c:dispRSqr val="0"/>
            <c:dispEq val="1"/>
            <c:trendlineLbl>
              <c:numFmt formatCode="General" sourceLinked="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trendlineLbl>
          </c:trendline>
          <c:xVal>
            <c:numRef>
              <c:f>BANGTRA!$A$31:$A$32</c:f>
              <c:numCache>
                <c:formatCode>General</c:formatCode>
                <c:ptCount val="2"/>
                <c:pt idx="0">
                  <c:v>50</c:v>
                </c:pt>
                <c:pt idx="1">
                  <c:v>120</c:v>
                </c:pt>
              </c:numCache>
            </c:numRef>
          </c:xVal>
          <c:yVal>
            <c:numRef>
              <c:f>BANGTRA!$B$31:$B$32</c:f>
              <c:numCache>
                <c:formatCode>General</c:formatCode>
                <c:ptCount val="2"/>
                <c:pt idx="0">
                  <c:v>1</c:v>
                </c:pt>
                <c:pt idx="1">
                  <c:v>0.7</c:v>
                </c:pt>
              </c:numCache>
            </c:numRef>
          </c:yVal>
          <c:smooth val="0"/>
          <c:extLst>
            <c:ext xmlns:c16="http://schemas.microsoft.com/office/drawing/2014/chart" uri="{C3380CC4-5D6E-409C-BE32-E72D297353CC}">
              <c16:uniqueId val="{00000000-08D3-45E0-BB7E-567415BA032C}"/>
            </c:ext>
          </c:extLst>
        </c:ser>
        <c:dLbls>
          <c:showLegendKey val="0"/>
          <c:showVal val="0"/>
          <c:showCatName val="0"/>
          <c:showSerName val="0"/>
          <c:showPercent val="0"/>
          <c:showBubbleSize val="0"/>
        </c:dLbls>
        <c:axId val="477912528"/>
        <c:axId val="477916880"/>
      </c:scatterChart>
      <c:valAx>
        <c:axId val="477912528"/>
        <c:scaling>
          <c:orientation val="minMax"/>
        </c:scaling>
        <c:delete val="0"/>
        <c:axPos val="b"/>
        <c:majorGridlines>
          <c:spPr>
            <a:ln w="9525" cap="flat" cmpd="sng" algn="ctr">
              <a:solidFill>
                <a:schemeClr val="tx1">
                  <a:lumMod val="15000"/>
                  <a:lumOff val="85000"/>
                </a:schemeClr>
              </a:solidFill>
              <a:prstDash val="solid"/>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477916880"/>
        <c:crosses val="autoZero"/>
        <c:crossBetween val="midCat"/>
      </c:valAx>
      <c:valAx>
        <c:axId val="477916880"/>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477912528"/>
        <c:crosses val="autoZero"/>
        <c:crossBetween val="midCat"/>
      </c:valAx>
      <c:spPr>
        <a:noFill/>
        <a:ln>
          <a:noFill/>
        </a:ln>
        <a:effectLst/>
      </c:spPr>
    </c:plotArea>
    <c:plotVisOnly val="1"/>
    <c:dispBlanksAs val="gap"/>
    <c:showDLblsOverMax val="0"/>
    <c:extLst>
      <c:ext uri="{0b15fc19-7d7d-44ad-8c2d-2c3a37ce22c3}">
        <chartProps xmlns="https://web.wps.cn/et/2018/main" chartId="{2c0dd1de-44a6-4529-b122-c617edb0610e}"/>
      </c:ext>
    </c:extLst>
  </c:chart>
  <c:spPr>
    <a:solidFill>
      <a:schemeClr val="bg1"/>
    </a:solidFill>
    <a:ln w="9525" cap="flat" cmpd="sng" algn="ctr">
      <a:solidFill>
        <a:schemeClr val="tx1">
          <a:lumMod val="15000"/>
          <a:lumOff val="85000"/>
        </a:schemeClr>
      </a:solidFill>
      <a:prstDash val="solid"/>
      <a:round/>
    </a:ln>
    <a:effectLst/>
  </c:spPr>
  <c:txPr>
    <a:bodyPr/>
    <a:lstStyle/>
    <a:p>
      <a:pPr>
        <a:defRPr lang="en-US"/>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rnd" cmpd="sng" algn="ctr">
              <a:noFill/>
              <a:prstDash val="solid"/>
              <a:round/>
            </a:ln>
            <a:effectLst/>
          </c:spPr>
          <c:marker>
            <c:symbol val="circle"/>
            <c:size val="5"/>
            <c:spPr>
              <a:solidFill>
                <a:schemeClr val="accent1"/>
              </a:solidFill>
              <a:ln w="9525" cap="flat" cmpd="sng" algn="ctr">
                <a:solidFill>
                  <a:schemeClr val="accent1"/>
                </a:solidFill>
                <a:prstDash val="solid"/>
                <a:round/>
              </a:ln>
              <a:effectLst/>
            </c:spPr>
          </c:marker>
          <c:trendline>
            <c:spPr>
              <a:ln w="19050" cap="rnd" cmpd="sng" algn="ctr">
                <a:solidFill>
                  <a:schemeClr val="accent1"/>
                </a:solidFill>
                <a:prstDash val="sysDot"/>
                <a:round/>
              </a:ln>
              <a:effectLst/>
            </c:spPr>
            <c:trendlineType val="poly"/>
            <c:order val="3"/>
            <c:dispRSqr val="0"/>
            <c:dispEq val="1"/>
            <c:trendlineLbl>
              <c:layout>
                <c:manualLayout>
                  <c:x val="-0.26014129483814502"/>
                  <c:y val="0.16076115485564299"/>
                </c:manualLayout>
              </c:layout>
              <c:numFmt formatCode="General" sourceLinked="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trendlineLbl>
          </c:trendline>
          <c:xVal>
            <c:numRef>
              <c:f>BANGTRA!$A$55:$A$71</c:f>
              <c:numCache>
                <c:formatCode>General</c:formatCode>
                <c:ptCount val="17"/>
                <c:pt idx="0">
                  <c:v>40</c:v>
                </c:pt>
                <c:pt idx="1">
                  <c:v>50</c:v>
                </c:pt>
                <c:pt idx="2">
                  <c:v>60</c:v>
                </c:pt>
                <c:pt idx="3">
                  <c:v>70</c:v>
                </c:pt>
                <c:pt idx="4">
                  <c:v>80</c:v>
                </c:pt>
                <c:pt idx="5">
                  <c:v>90</c:v>
                </c:pt>
                <c:pt idx="6">
                  <c:v>100</c:v>
                </c:pt>
                <c:pt idx="7">
                  <c:v>110</c:v>
                </c:pt>
                <c:pt idx="8">
                  <c:v>120</c:v>
                </c:pt>
                <c:pt idx="9">
                  <c:v>130</c:v>
                </c:pt>
                <c:pt idx="10">
                  <c:v>140</c:v>
                </c:pt>
                <c:pt idx="11">
                  <c:v>150</c:v>
                </c:pt>
                <c:pt idx="12">
                  <c:v>160</c:v>
                </c:pt>
                <c:pt idx="13">
                  <c:v>170</c:v>
                </c:pt>
                <c:pt idx="14">
                  <c:v>180</c:v>
                </c:pt>
                <c:pt idx="15">
                  <c:v>190</c:v>
                </c:pt>
                <c:pt idx="16">
                  <c:v>200</c:v>
                </c:pt>
              </c:numCache>
            </c:numRef>
          </c:xVal>
          <c:yVal>
            <c:numRef>
              <c:f>BANGTRA!$B$55:$B$71</c:f>
              <c:numCache>
                <c:formatCode>General</c:formatCode>
                <c:ptCount val="17"/>
                <c:pt idx="0">
                  <c:v>1</c:v>
                </c:pt>
                <c:pt idx="1">
                  <c:v>0.9</c:v>
                </c:pt>
                <c:pt idx="2">
                  <c:v>0.79</c:v>
                </c:pt>
                <c:pt idx="3">
                  <c:v>0.7</c:v>
                </c:pt>
                <c:pt idx="4">
                  <c:v>0.63</c:v>
                </c:pt>
                <c:pt idx="5">
                  <c:v>0.57999999999999996</c:v>
                </c:pt>
                <c:pt idx="6">
                  <c:v>0.52</c:v>
                </c:pt>
                <c:pt idx="7">
                  <c:v>0.48</c:v>
                </c:pt>
                <c:pt idx="8">
                  <c:v>0.45</c:v>
                </c:pt>
                <c:pt idx="9">
                  <c:v>0.41</c:v>
                </c:pt>
                <c:pt idx="10">
                  <c:v>0.39</c:v>
                </c:pt>
                <c:pt idx="11">
                  <c:v>0.37</c:v>
                </c:pt>
                <c:pt idx="12">
                  <c:v>0.36</c:v>
                </c:pt>
                <c:pt idx="13">
                  <c:v>0.35</c:v>
                </c:pt>
                <c:pt idx="14">
                  <c:v>0.34</c:v>
                </c:pt>
                <c:pt idx="15">
                  <c:v>0.33</c:v>
                </c:pt>
                <c:pt idx="16">
                  <c:v>0.32</c:v>
                </c:pt>
              </c:numCache>
            </c:numRef>
          </c:yVal>
          <c:smooth val="0"/>
          <c:extLst>
            <c:ext xmlns:c16="http://schemas.microsoft.com/office/drawing/2014/chart" uri="{C3380CC4-5D6E-409C-BE32-E72D297353CC}">
              <c16:uniqueId val="{00000000-F979-4B74-900D-8AE2BEF770A5}"/>
            </c:ext>
          </c:extLst>
        </c:ser>
        <c:dLbls>
          <c:showLegendKey val="0"/>
          <c:showVal val="0"/>
          <c:showCatName val="0"/>
          <c:showSerName val="0"/>
          <c:showPercent val="0"/>
          <c:showBubbleSize val="0"/>
        </c:dLbls>
        <c:axId val="477945168"/>
        <c:axId val="477971280"/>
      </c:scatterChart>
      <c:valAx>
        <c:axId val="477945168"/>
        <c:scaling>
          <c:orientation val="minMax"/>
        </c:scaling>
        <c:delete val="0"/>
        <c:axPos val="b"/>
        <c:majorGridlines>
          <c:spPr>
            <a:ln w="9525" cap="flat" cmpd="sng" algn="ctr">
              <a:solidFill>
                <a:schemeClr val="tx1">
                  <a:lumMod val="15000"/>
                  <a:lumOff val="85000"/>
                </a:schemeClr>
              </a:solidFill>
              <a:prstDash val="solid"/>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477971280"/>
        <c:crosses val="autoZero"/>
        <c:crossBetween val="midCat"/>
      </c:valAx>
      <c:valAx>
        <c:axId val="477971280"/>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477945168"/>
        <c:crosses val="autoZero"/>
        <c:crossBetween val="midCat"/>
      </c:valAx>
      <c:spPr>
        <a:noFill/>
        <a:ln>
          <a:noFill/>
        </a:ln>
        <a:effectLst/>
      </c:spPr>
    </c:plotArea>
    <c:plotVisOnly val="1"/>
    <c:dispBlanksAs val="gap"/>
    <c:showDLblsOverMax val="0"/>
    <c:extLst>
      <c:ext uri="{0b15fc19-7d7d-44ad-8c2d-2c3a37ce22c3}">
        <chartProps xmlns="https://web.wps.cn/et/2018/main" chartId="{ee595b77-a8fb-4b89-a87b-010bae441c79}"/>
      </c:ext>
    </c:extLst>
  </c:chart>
  <c:spPr>
    <a:solidFill>
      <a:schemeClr val="bg1"/>
    </a:solidFill>
    <a:ln w="9525" cap="flat" cmpd="sng" algn="ctr">
      <a:solidFill>
        <a:schemeClr val="tx1">
          <a:lumMod val="15000"/>
          <a:lumOff val="85000"/>
        </a:schemeClr>
      </a:solidFill>
      <a:prstDash val="solid"/>
      <a:round/>
    </a:ln>
    <a:effectLst/>
  </c:spPr>
  <c:txPr>
    <a:bodyPr/>
    <a:lstStyle/>
    <a:p>
      <a:pPr>
        <a:defRPr lang="en-US"/>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86052744285"/>
          <c:y val="0.18021578409569"/>
          <c:w val="0.82968075660395102"/>
          <c:h val="0.78972951854300699"/>
        </c:manualLayout>
      </c:layout>
      <c:scatterChart>
        <c:scatterStyle val="lineMarker"/>
        <c:varyColors val="0"/>
        <c:ser>
          <c:idx val="0"/>
          <c:order val="0"/>
          <c:tx>
            <c:v>CT Nhật bản</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'HK1'!$S$45:$S$199</c:f>
              <c:numCache>
                <c:formatCode>0</c:formatCode>
                <c:ptCount val="35"/>
                <c:pt idx="0">
                  <c:v>0</c:v>
                </c:pt>
                <c:pt idx="1">
                  <c:v>353.42917352885144</c:v>
                </c:pt>
                <c:pt idx="2">
                  <c:v>471.23889803846856</c:v>
                </c:pt>
                <c:pt idx="3">
                  <c:v>559.59619142068141</c:v>
                </c:pt>
                <c:pt idx="4">
                  <c:v>788.67065574493699</c:v>
                </c:pt>
                <c:pt idx="5">
                  <c:v>1075.3409853850053</c:v>
                </c:pt>
                <c:pt idx="6">
                  <c:v>2630.4293489119518</c:v>
                </c:pt>
                <c:pt idx="7">
                  <c:v>2789.0797779182367</c:v>
                </c:pt>
                <c:pt idx="8">
                  <c:v>3197.4868228849091</c:v>
                </c:pt>
                <c:pt idx="9">
                  <c:v>3628.2777155084095</c:v>
                </c:pt>
                <c:pt idx="10">
                  <c:v>4168.2389528441545</c:v>
                </c:pt>
                <c:pt idx="11">
                  <c:v>4678.747759052495</c:v>
                </c:pt>
                <c:pt idx="12">
                  <c:v>5448.4379591819943</c:v>
                </c:pt>
                <c:pt idx="13">
                  <c:v>6803.24979104259</c:v>
                </c:pt>
                <c:pt idx="14">
                  <c:v>7137.0440104865065</c:v>
                </c:pt>
                <c:pt idx="15">
                  <c:v>8795.0195334185173</c:v>
                </c:pt>
                <c:pt idx="16">
                  <c:v>9018.8580099867904</c:v>
                </c:pt>
                <c:pt idx="17">
                  <c:v>13129.108398433433</c:v>
                </c:pt>
                <c:pt idx="18">
                  <c:v>12363.345189120922</c:v>
                </c:pt>
              </c:numCache>
            </c:numRef>
          </c:xVal>
          <c:yVal>
            <c:numRef>
              <c:f>'HK1'!$E$45:$E$199</c:f>
              <c:numCache>
                <c:formatCode>0.00</c:formatCode>
                <c:ptCount val="35"/>
                <c:pt idx="0">
                  <c:v>0</c:v>
                </c:pt>
                <c:pt idx="1">
                  <c:v>1.5</c:v>
                </c:pt>
                <c:pt idx="2">
                  <c:v>4.5</c:v>
                </c:pt>
                <c:pt idx="3">
                  <c:v>7</c:v>
                </c:pt>
                <c:pt idx="4">
                  <c:v>10</c:v>
                </c:pt>
                <c:pt idx="5">
                  <c:v>10.5</c:v>
                </c:pt>
                <c:pt idx="6">
                  <c:v>12.2</c:v>
                </c:pt>
                <c:pt idx="7">
                  <c:v>15.2</c:v>
                </c:pt>
                <c:pt idx="8">
                  <c:v>15.5</c:v>
                </c:pt>
                <c:pt idx="9">
                  <c:v>18.5</c:v>
                </c:pt>
                <c:pt idx="10">
                  <c:v>21.5</c:v>
                </c:pt>
                <c:pt idx="11">
                  <c:v>24.5</c:v>
                </c:pt>
                <c:pt idx="12">
                  <c:v>27</c:v>
                </c:pt>
                <c:pt idx="13">
                  <c:v>30</c:v>
                </c:pt>
                <c:pt idx="14">
                  <c:v>33</c:v>
                </c:pt>
                <c:pt idx="15">
                  <c:v>36</c:v>
                </c:pt>
                <c:pt idx="16">
                  <c:v>38.200000000000003</c:v>
                </c:pt>
                <c:pt idx="17">
                  <c:v>41.2</c:v>
                </c:pt>
                <c:pt idx="18">
                  <c:v>43.2</c:v>
                </c:pt>
                <c:pt idx="19">
                  <c:v>43.2</c:v>
                </c:pt>
              </c:numCache>
            </c:numRef>
          </c:yVal>
          <c:smooth val="0"/>
          <c:extLst>
            <c:ext xmlns:c16="http://schemas.microsoft.com/office/drawing/2014/chart" uri="{C3380CC4-5D6E-409C-BE32-E72D297353CC}">
              <c16:uniqueId val="{00000000-94CF-4C19-82A2-1C8A26B496DE}"/>
            </c:ext>
          </c:extLst>
        </c:ser>
        <c:ser>
          <c:idx val="1"/>
          <c:order val="1"/>
          <c:tx>
            <c:v>Meyerhof</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'HK1'!$S$404:$S$600</c:f>
              <c:numCache>
                <c:formatCode>0</c:formatCode>
                <c:ptCount val="197"/>
                <c:pt idx="0">
                  <c:v>0</c:v>
                </c:pt>
                <c:pt idx="1">
                  <c:v>235.61944901923425</c:v>
                </c:pt>
                <c:pt idx="2">
                  <c:v>382.88160465625566</c:v>
                </c:pt>
                <c:pt idx="3">
                  <c:v>500.69132916587279</c:v>
                </c:pt>
                <c:pt idx="4">
                  <c:v>572.68616081063874</c:v>
                </c:pt>
                <c:pt idx="5">
                  <c:v>839.72153636577082</c:v>
                </c:pt>
                <c:pt idx="6">
                  <c:v>2083.7922271873285</c:v>
                </c:pt>
                <c:pt idx="7">
                  <c:v>2190.2922181440222</c:v>
                </c:pt>
                <c:pt idx="8">
                  <c:v>2312.8143316340238</c:v>
                </c:pt>
                <c:pt idx="9">
                  <c:v>2450.8873287592951</c:v>
                </c:pt>
                <c:pt idx="10">
                  <c:v>2662.9448328766061</c:v>
                </c:pt>
                <c:pt idx="11">
                  <c:v>2875.0023369939172</c:v>
                </c:pt>
                <c:pt idx="12">
                  <c:v>3223.7191215423836</c:v>
                </c:pt>
                <c:pt idx="13">
                  <c:v>3954.1394135020105</c:v>
                </c:pt>
                <c:pt idx="14">
                  <c:v>3907.0155236981636</c:v>
                </c:pt>
                <c:pt idx="15">
                  <c:v>4905.0995097436398</c:v>
                </c:pt>
                <c:pt idx="16">
                  <c:v>4707.179172567483</c:v>
                </c:pt>
                <c:pt idx="17">
                  <c:v>7471.7807077264997</c:v>
                </c:pt>
                <c:pt idx="18">
                  <c:v>6859.1701402764902</c:v>
                </c:pt>
              </c:numCache>
            </c:numRef>
          </c:xVal>
          <c:yVal>
            <c:numRef>
              <c:f>'HK1'!$E$404:$E$600</c:f>
              <c:numCache>
                <c:formatCode>0.00</c:formatCode>
                <c:ptCount val="197"/>
                <c:pt idx="0">
                  <c:v>0</c:v>
                </c:pt>
                <c:pt idx="1">
                  <c:v>1.5</c:v>
                </c:pt>
                <c:pt idx="2">
                  <c:v>4.5</c:v>
                </c:pt>
                <c:pt idx="3">
                  <c:v>7</c:v>
                </c:pt>
                <c:pt idx="4">
                  <c:v>10</c:v>
                </c:pt>
                <c:pt idx="5">
                  <c:v>10.5</c:v>
                </c:pt>
                <c:pt idx="6">
                  <c:v>12.2</c:v>
                </c:pt>
                <c:pt idx="7">
                  <c:v>15.2</c:v>
                </c:pt>
                <c:pt idx="8">
                  <c:v>15.5</c:v>
                </c:pt>
                <c:pt idx="9">
                  <c:v>18.5</c:v>
                </c:pt>
                <c:pt idx="10">
                  <c:v>21.5</c:v>
                </c:pt>
                <c:pt idx="11">
                  <c:v>24.5</c:v>
                </c:pt>
                <c:pt idx="12">
                  <c:v>27</c:v>
                </c:pt>
                <c:pt idx="13">
                  <c:v>30</c:v>
                </c:pt>
                <c:pt idx="14">
                  <c:v>33</c:v>
                </c:pt>
                <c:pt idx="15">
                  <c:v>36</c:v>
                </c:pt>
                <c:pt idx="16">
                  <c:v>38.200000000000003</c:v>
                </c:pt>
                <c:pt idx="17">
                  <c:v>41.2</c:v>
                </c:pt>
                <c:pt idx="18">
                  <c:v>43.2</c:v>
                </c:pt>
              </c:numCache>
            </c:numRef>
          </c:yVal>
          <c:smooth val="0"/>
          <c:extLst>
            <c:ext xmlns:c16="http://schemas.microsoft.com/office/drawing/2014/chart" uri="{C3380CC4-5D6E-409C-BE32-E72D297353CC}">
              <c16:uniqueId val="{00000001-94CF-4C19-82A2-1C8A26B496DE}"/>
            </c:ext>
          </c:extLst>
        </c:ser>
        <c:ser>
          <c:idx val="2"/>
          <c:order val="2"/>
          <c:tx>
            <c:v>Đất nền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'HK1'!$S$204:$S$399</c:f>
              <c:numCache>
                <c:formatCode>0</c:formatCode>
                <c:ptCount val="38"/>
                <c:pt idx="0">
                  <c:v>0</c:v>
                </c:pt>
                <c:pt idx="1">
                  <c:v>353.42917352885144</c:v>
                </c:pt>
                <c:pt idx="2">
                  <c:v>471.23889803846856</c:v>
                </c:pt>
                <c:pt idx="3">
                  <c:v>559.59619142068141</c:v>
                </c:pt>
                <c:pt idx="4">
                  <c:v>784.50549641949783</c:v>
                </c:pt>
                <c:pt idx="5">
                  <c:v>1043.9382177529426</c:v>
                </c:pt>
                <c:pt idx="6">
                  <c:v>7244.5759690030627</c:v>
                </c:pt>
                <c:pt idx="7">
                  <c:v>7254.8566100662956</c:v>
                </c:pt>
                <c:pt idx="8">
                  <c:v>7357.6630206986292</c:v>
                </c:pt>
                <c:pt idx="9">
                  <c:v>7460.4694313309628</c:v>
                </c:pt>
                <c:pt idx="10">
                  <c:v>7563.2758419632964</c:v>
                </c:pt>
                <c:pt idx="11">
                  <c:v>7648.9478508235743</c:v>
                </c:pt>
                <c:pt idx="12">
                  <c:v>7824.5899860797253</c:v>
                </c:pt>
                <c:pt idx="13">
                  <c:v>8000.2321213358764</c:v>
                </c:pt>
                <c:pt idx="14">
                  <c:v>8175.8742565920275</c:v>
                </c:pt>
                <c:pt idx="15">
                  <c:v>8304.6784891132047</c:v>
                </c:pt>
                <c:pt idx="16">
                  <c:v>16647.295185111914</c:v>
                </c:pt>
                <c:pt idx="17">
                  <c:v>17072.012061716145</c:v>
                </c:pt>
                <c:pt idx="18">
                  <c:v>17072.012061716145</c:v>
                </c:pt>
              </c:numCache>
            </c:numRef>
          </c:xVal>
          <c:yVal>
            <c:numRef>
              <c:f>'HK1'!$E$204:$E$399</c:f>
              <c:numCache>
                <c:formatCode>0.00</c:formatCode>
                <c:ptCount val="38"/>
                <c:pt idx="0">
                  <c:v>0</c:v>
                </c:pt>
                <c:pt idx="1">
                  <c:v>1.5</c:v>
                </c:pt>
                <c:pt idx="2">
                  <c:v>4.5</c:v>
                </c:pt>
                <c:pt idx="3">
                  <c:v>7</c:v>
                </c:pt>
                <c:pt idx="4">
                  <c:v>10</c:v>
                </c:pt>
                <c:pt idx="5">
                  <c:v>10.5</c:v>
                </c:pt>
                <c:pt idx="6">
                  <c:v>12.2</c:v>
                </c:pt>
                <c:pt idx="7">
                  <c:v>15.2</c:v>
                </c:pt>
                <c:pt idx="8">
                  <c:v>15.5</c:v>
                </c:pt>
                <c:pt idx="9">
                  <c:v>18.5</c:v>
                </c:pt>
                <c:pt idx="10">
                  <c:v>21.5</c:v>
                </c:pt>
                <c:pt idx="11">
                  <c:v>24.5</c:v>
                </c:pt>
                <c:pt idx="12">
                  <c:v>27</c:v>
                </c:pt>
                <c:pt idx="13">
                  <c:v>30</c:v>
                </c:pt>
                <c:pt idx="14">
                  <c:v>33</c:v>
                </c:pt>
                <c:pt idx="15">
                  <c:v>36</c:v>
                </c:pt>
                <c:pt idx="16">
                  <c:v>38.200000000000003</c:v>
                </c:pt>
                <c:pt idx="17">
                  <c:v>41.2</c:v>
                </c:pt>
                <c:pt idx="18">
                  <c:v>43.2</c:v>
                </c:pt>
              </c:numCache>
            </c:numRef>
          </c:yVal>
          <c:smooth val="0"/>
          <c:extLst>
            <c:ext xmlns:c16="http://schemas.microsoft.com/office/drawing/2014/chart" uri="{C3380CC4-5D6E-409C-BE32-E72D297353CC}">
              <c16:uniqueId val="{00000002-94CF-4C19-82A2-1C8A26B496DE}"/>
            </c:ext>
          </c:extLst>
        </c:ser>
        <c:dLbls>
          <c:showLegendKey val="0"/>
          <c:showVal val="0"/>
          <c:showCatName val="0"/>
          <c:showSerName val="0"/>
          <c:showPercent val="0"/>
          <c:showBubbleSize val="0"/>
        </c:dLbls>
        <c:axId val="477949520"/>
        <c:axId val="477973456"/>
      </c:scatterChart>
      <c:valAx>
        <c:axId val="477949520"/>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en-US" sz="1000" b="0" i="0" u="none" strike="noStrike" kern="1200" baseline="0">
                    <a:solidFill>
                      <a:schemeClr val="tx1">
                        <a:lumMod val="65000"/>
                        <a:lumOff val="35000"/>
                      </a:schemeClr>
                    </a:solidFill>
                    <a:latin typeface="+mn-lt"/>
                    <a:ea typeface="+mn-ea"/>
                    <a:cs typeface="+mn-cs"/>
                  </a:defRPr>
                </a:pPr>
                <a:r>
                  <a:rPr lang="en-US"/>
                  <a:t>SỨC</a:t>
                </a:r>
                <a:r>
                  <a:rPr lang="en-US" baseline="0"/>
                  <a:t> CHỊU TẢI CỌC (kN)</a:t>
                </a:r>
                <a:endParaRPr lang="en-US"/>
              </a:p>
            </c:rich>
          </c:tx>
          <c:overlay val="0"/>
          <c:spPr>
            <a:noFill/>
            <a:ln>
              <a:noFill/>
            </a:ln>
            <a:effectLst/>
          </c:spPr>
          <c:txPr>
            <a:bodyPr rot="0" spcFirstLastPara="1" vertOverflow="ellipsis" vert="horz" wrap="square" anchor="ctr" anchorCtr="1"/>
            <a:lstStyle/>
            <a:p>
              <a:pPr>
                <a:defRPr lang="en-US"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477973456"/>
        <c:crosses val="autoZero"/>
        <c:crossBetween val="midCat"/>
      </c:valAx>
      <c:valAx>
        <c:axId val="477973456"/>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en-US" sz="1000" b="0" i="0" u="none" strike="noStrike" kern="1200" baseline="0">
                    <a:solidFill>
                      <a:schemeClr val="tx1">
                        <a:lumMod val="65000"/>
                        <a:lumOff val="35000"/>
                      </a:schemeClr>
                    </a:solidFill>
                    <a:latin typeface="+mn-lt"/>
                    <a:ea typeface="+mn-ea"/>
                    <a:cs typeface="+mn-cs"/>
                  </a:defRPr>
                </a:pPr>
                <a:r>
                  <a:rPr lang="en-US"/>
                  <a:t>ĐỘ</a:t>
                </a:r>
                <a:r>
                  <a:rPr lang="en-US" baseline="0"/>
                  <a:t> SÂU (m)</a:t>
                </a:r>
                <a:endParaRPr lang="en-US"/>
              </a:p>
            </c:rich>
          </c:tx>
          <c:layout>
            <c:manualLayout>
              <c:xMode val="edge"/>
              <c:yMode val="edge"/>
              <c:x val="1.18477965970734E-2"/>
              <c:y val="0.50199937197466604"/>
            </c:manualLayout>
          </c:layout>
          <c:overlay val="0"/>
          <c:spPr>
            <a:noFill/>
            <a:ln>
              <a:noFill/>
            </a:ln>
            <a:effectLst/>
          </c:spPr>
          <c:txPr>
            <a:bodyPr rot="-5400000" spcFirstLastPara="1" vertOverflow="ellipsis" vert="horz" wrap="square" anchor="ctr" anchorCtr="1"/>
            <a:lstStyle/>
            <a:p>
              <a:pPr>
                <a:defRPr lang="en-US"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477949520"/>
        <c:crosses val="autoZero"/>
        <c:crossBetween val="midCat"/>
      </c:valAx>
      <c:spPr>
        <a:noFill/>
        <a:ln>
          <a:noFill/>
        </a:ln>
        <a:effectLst/>
      </c:spPr>
    </c:plotArea>
    <c:legend>
      <c:legendPos val="t"/>
      <c:layout>
        <c:manualLayout>
          <c:xMode val="edge"/>
          <c:yMode val="edge"/>
          <c:x val="0.123053270241056"/>
          <c:y val="3.0677260150607601E-2"/>
          <c:w val="0.75898258900843496"/>
          <c:h val="4.61068900019126E-2"/>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uri="{0b15fc19-7d7d-44ad-8c2d-2c3a37ce22c3}">
        <chartProps xmlns="https://web.wps.cn/et/2018/main" chartId="{fd4c620e-23a7-4762-9219-21bf4bbab61a}"/>
      </c:ext>
    </c:extLst>
  </c:chart>
  <c:spPr>
    <a:solidFill>
      <a:schemeClr val="bg1"/>
    </a:solidFill>
    <a:ln w="9525" cap="flat" cmpd="sng" algn="ctr">
      <a:solidFill>
        <a:schemeClr val="tx1">
          <a:lumMod val="15000"/>
          <a:lumOff val="85000"/>
        </a:schemeClr>
      </a:solidFill>
      <a:round/>
    </a:ln>
    <a:effectLst/>
  </c:spPr>
  <c:txPr>
    <a:bodyPr/>
    <a:lstStyle/>
    <a:p>
      <a:pPr>
        <a:defRPr lang="en-US"/>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200" b="0" i="0" u="none" strike="noStrike" kern="1200" spc="0" baseline="0">
                <a:solidFill>
                  <a:schemeClr val="tx1">
                    <a:lumMod val="65000"/>
                    <a:lumOff val="35000"/>
                  </a:schemeClr>
                </a:solidFill>
                <a:latin typeface="+mn-lt"/>
                <a:ea typeface="+mn-ea"/>
                <a:cs typeface="+mn-cs"/>
              </a:defRPr>
            </a:pPr>
            <a:r>
              <a:rPr lang="en-US" sz="1200" baseline="0">
                <a:latin typeface="Arial" panose="020B0604020202020204" pitchFamily="7" charset="0"/>
                <a:cs typeface="Arial" panose="020B0604020202020204" pitchFamily="7" charset="0"/>
              </a:rPr>
              <a:t>HIỆU SUẤT SỨC CHỊU TẢI CỌC</a:t>
            </a:r>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550941895740502E-2"/>
          <c:y val="5.8962971683962501E-2"/>
          <c:w val="0.93956908122334704"/>
          <c:h val="0.83553762095450601"/>
        </c:manualLayout>
      </c:layout>
      <c:bubbleChart>
        <c:varyColors val="0"/>
        <c:ser>
          <c:idx val="0"/>
          <c:order val="0"/>
          <c:tx>
            <c:v>&lt;50%</c:v>
          </c:tx>
          <c:spPr>
            <a:solidFill>
              <a:schemeClr val="accent1">
                <a:alpha val="75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4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'TM SCT Coc'!$Z$20:$Z$1000</c:f>
              <c:numCache>
                <c:formatCode>General</c:formatCode>
                <c:ptCount val="981"/>
                <c:pt idx="0">
                  <c:v>6.8731810448613304</c:v>
                </c:pt>
                <c:pt idx="1">
                  <c:v>6.8731810448613304</c:v>
                </c:pt>
                <c:pt idx="2">
                  <c:v>6.1231810448613304</c:v>
                </c:pt>
                <c:pt idx="3">
                  <c:v>6.1231810448613304</c:v>
                </c:pt>
                <c:pt idx="4">
                  <c:v>6.8731810448613304</c:v>
                </c:pt>
                <c:pt idx="5">
                  <c:v>6.8731810448613304</c:v>
                </c:pt>
                <c:pt idx="6">
                  <c:v>6.1231810448613304</c:v>
                </c:pt>
                <c:pt idx="7">
                  <c:v>6.1231810448613304</c:v>
                </c:pt>
                <c:pt idx="8">
                  <c:v>10.1824180606238</c:v>
                </c:pt>
                <c:pt idx="9">
                  <c:v>9.4324180606238297</c:v>
                </c:pt>
                <c:pt idx="10">
                  <c:v>10.240871197373901</c:v>
                </c:pt>
                <c:pt idx="11">
                  <c:v>10.4095391592571</c:v>
                </c:pt>
                <c:pt idx="12">
                  <c:v>9.65953915925712</c:v>
                </c:pt>
                <c:pt idx="13">
                  <c:v>10.364699899319101</c:v>
                </c:pt>
                <c:pt idx="14">
                  <c:v>1.50145957663233</c:v>
                </c:pt>
                <c:pt idx="15">
                  <c:v>0.75145957663232799</c:v>
                </c:pt>
                <c:pt idx="16">
                  <c:v>1.4595766323282099E-3</c:v>
                </c:pt>
                <c:pt idx="17">
                  <c:v>2.25145957663233</c:v>
                </c:pt>
                <c:pt idx="18">
                  <c:v>3.00145957663233</c:v>
                </c:pt>
                <c:pt idx="19">
                  <c:v>3.75145957663233</c:v>
                </c:pt>
                <c:pt idx="20">
                  <c:v>3.0559342543122598</c:v>
                </c:pt>
                <c:pt idx="21">
                  <c:v>2.3059342543122598</c:v>
                </c:pt>
                <c:pt idx="22">
                  <c:v>3.8059342543122598</c:v>
                </c:pt>
                <c:pt idx="23">
                  <c:v>-1.206526414716</c:v>
                </c:pt>
                <c:pt idx="24">
                  <c:v>-0.32771976987464801</c:v>
                </c:pt>
                <c:pt idx="25">
                  <c:v>-0.52537648875107801</c:v>
                </c:pt>
                <c:pt idx="26">
                  <c:v>0.353430156090212</c:v>
                </c:pt>
                <c:pt idx="27">
                  <c:v>-1.38729804734794E-2</c:v>
                </c:pt>
                <c:pt idx="28">
                  <c:v>0.89874441868522603</c:v>
                </c:pt>
                <c:pt idx="29">
                  <c:v>0.55359277036564003</c:v>
                </c:pt>
                <c:pt idx="30">
                  <c:v>-1.91782048806198</c:v>
                </c:pt>
                <c:pt idx="31">
                  <c:v>-0.14729854935791301</c:v>
                </c:pt>
                <c:pt idx="32">
                  <c:v>1.24389606700481</c:v>
                </c:pt>
                <c:pt idx="33">
                  <c:v>-1.8450365363591099</c:v>
                </c:pt>
                <c:pt idx="34">
                  <c:v>0.19770284480981901</c:v>
                </c:pt>
                <c:pt idx="35">
                  <c:v>-0.96321775837127799</c:v>
                </c:pt>
                <c:pt idx="36">
                  <c:v>-0.42654812931286301</c:v>
                </c:pt>
                <c:pt idx="37">
                  <c:v>6.8731810448613304</c:v>
                </c:pt>
                <c:pt idx="38">
                  <c:v>6.8731810448613304</c:v>
                </c:pt>
                <c:pt idx="39">
                  <c:v>6.1231810448613304</c:v>
                </c:pt>
                <c:pt idx="40">
                  <c:v>6.1231810448613304</c:v>
                </c:pt>
                <c:pt idx="41">
                  <c:v>6.8731810448613304</c:v>
                </c:pt>
                <c:pt idx="42">
                  <c:v>6.8731810448613304</c:v>
                </c:pt>
                <c:pt idx="43">
                  <c:v>6.1231810448613304</c:v>
                </c:pt>
                <c:pt idx="44">
                  <c:v>6.1231810448613304</c:v>
                </c:pt>
                <c:pt idx="45">
                  <c:v>10.1824180606238</c:v>
                </c:pt>
                <c:pt idx="46">
                  <c:v>9.4324180606238297</c:v>
                </c:pt>
                <c:pt idx="47">
                  <c:v>10.240871197373901</c:v>
                </c:pt>
                <c:pt idx="48">
                  <c:v>10.4095391592571</c:v>
                </c:pt>
                <c:pt idx="49">
                  <c:v>9.65953915925712</c:v>
                </c:pt>
                <c:pt idx="50">
                  <c:v>10.364699899319101</c:v>
                </c:pt>
                <c:pt idx="51">
                  <c:v>1.50145957663233</c:v>
                </c:pt>
                <c:pt idx="52">
                  <c:v>0.75145957663232799</c:v>
                </c:pt>
                <c:pt idx="53">
                  <c:v>1.4595766323282099E-3</c:v>
                </c:pt>
                <c:pt idx="54">
                  <c:v>2.25145957663233</c:v>
                </c:pt>
                <c:pt idx="55">
                  <c:v>3.00145957663233</c:v>
                </c:pt>
                <c:pt idx="56">
                  <c:v>3.75145957663233</c:v>
                </c:pt>
                <c:pt idx="57">
                  <c:v>3.0559342543122598</c:v>
                </c:pt>
                <c:pt idx="58">
                  <c:v>2.3059342543122598</c:v>
                </c:pt>
                <c:pt idx="59">
                  <c:v>3.8059342543122598</c:v>
                </c:pt>
                <c:pt idx="60">
                  <c:v>-1.206526414716</c:v>
                </c:pt>
                <c:pt idx="61">
                  <c:v>-0.32771976987464801</c:v>
                </c:pt>
                <c:pt idx="62">
                  <c:v>-0.52537648875107801</c:v>
                </c:pt>
                <c:pt idx="63">
                  <c:v>0.353430156090212</c:v>
                </c:pt>
                <c:pt idx="64">
                  <c:v>-1.38729804734794E-2</c:v>
                </c:pt>
                <c:pt idx="65">
                  <c:v>0.89874441868522603</c:v>
                </c:pt>
                <c:pt idx="66">
                  <c:v>0.55359277036564003</c:v>
                </c:pt>
                <c:pt idx="67">
                  <c:v>-1.91782048806198</c:v>
                </c:pt>
                <c:pt idx="68">
                  <c:v>-0.14729854935791301</c:v>
                </c:pt>
                <c:pt idx="69">
                  <c:v>1.24389606700481</c:v>
                </c:pt>
                <c:pt idx="70">
                  <c:v>-1.8450365363591099</c:v>
                </c:pt>
                <c:pt idx="71">
                  <c:v>0.19770284480981901</c:v>
                </c:pt>
                <c:pt idx="72">
                  <c:v>-0.96321775837127799</c:v>
                </c:pt>
                <c:pt idx="73">
                  <c:v>-0.42654812931286301</c:v>
                </c:pt>
                <c:pt idx="74">
                  <c:v>6.8731810448613304</c:v>
                </c:pt>
                <c:pt idx="75">
                  <c:v>6.8731810448613304</c:v>
                </c:pt>
                <c:pt idx="76">
                  <c:v>6.1231810448613304</c:v>
                </c:pt>
                <c:pt idx="77">
                  <c:v>6.1231810448613304</c:v>
                </c:pt>
                <c:pt idx="78">
                  <c:v>6.8731810448613304</c:v>
                </c:pt>
                <c:pt idx="79">
                  <c:v>6.8731810448613304</c:v>
                </c:pt>
                <c:pt idx="80">
                  <c:v>6.1231810448613304</c:v>
                </c:pt>
                <c:pt idx="81">
                  <c:v>6.1231810448613304</c:v>
                </c:pt>
                <c:pt idx="82">
                  <c:v>10.1824180606238</c:v>
                </c:pt>
                <c:pt idx="83">
                  <c:v>9.4324180606238297</c:v>
                </c:pt>
                <c:pt idx="84">
                  <c:v>10.240871197373901</c:v>
                </c:pt>
                <c:pt idx="85">
                  <c:v>10.4095391592571</c:v>
                </c:pt>
                <c:pt idx="86">
                  <c:v>9.65953915925712</c:v>
                </c:pt>
                <c:pt idx="87">
                  <c:v>10.364699899319101</c:v>
                </c:pt>
                <c:pt idx="88">
                  <c:v>1.50145957663233</c:v>
                </c:pt>
                <c:pt idx="89">
                  <c:v>0.75145957663232799</c:v>
                </c:pt>
                <c:pt idx="90">
                  <c:v>1.4595766323282099E-3</c:v>
                </c:pt>
                <c:pt idx="91">
                  <c:v>2.25145957663233</c:v>
                </c:pt>
                <c:pt idx="92">
                  <c:v>3.00145957663233</c:v>
                </c:pt>
                <c:pt idx="93">
                  <c:v>3.75145957663233</c:v>
                </c:pt>
                <c:pt idx="94">
                  <c:v>3.0559342543122598</c:v>
                </c:pt>
                <c:pt idx="95">
                  <c:v>2.3059342543122598</c:v>
                </c:pt>
                <c:pt idx="96">
                  <c:v>3.8059342543122598</c:v>
                </c:pt>
                <c:pt idx="97">
                  <c:v>-1.206526414716</c:v>
                </c:pt>
                <c:pt idx="98">
                  <c:v>-0.32771976987464801</c:v>
                </c:pt>
                <c:pt idx="99">
                  <c:v>-0.52537648875107801</c:v>
                </c:pt>
                <c:pt idx="100">
                  <c:v>0.353430156090212</c:v>
                </c:pt>
                <c:pt idx="101">
                  <c:v>-1.38729804734794E-2</c:v>
                </c:pt>
                <c:pt idx="102">
                  <c:v>0.89874441868522603</c:v>
                </c:pt>
                <c:pt idx="103">
                  <c:v>0.55359277036564003</c:v>
                </c:pt>
                <c:pt idx="104">
                  <c:v>-1.91782048806198</c:v>
                </c:pt>
                <c:pt idx="105">
                  <c:v>-0.14729854935791301</c:v>
                </c:pt>
                <c:pt idx="106">
                  <c:v>1.24389606700481</c:v>
                </c:pt>
                <c:pt idx="107">
                  <c:v>-1.8450365363591099</c:v>
                </c:pt>
                <c:pt idx="108">
                  <c:v>0.19770284480981901</c:v>
                </c:pt>
                <c:pt idx="109">
                  <c:v>-0.96321775837127799</c:v>
                </c:pt>
                <c:pt idx="110">
                  <c:v>-0.42654812931286301</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numCache>
            </c:numRef>
          </c:xVal>
          <c:yVal>
            <c:numRef>
              <c:f>'TM SCT Coc'!$AA$20:$AA$1000</c:f>
              <c:numCache>
                <c:formatCode>General</c:formatCode>
                <c:ptCount val="981"/>
                <c:pt idx="0">
                  <c:v>1.5974348951886E-4</c:v>
                </c:pt>
                <c:pt idx="1">
                  <c:v>0.75015974348951897</c:v>
                </c:pt>
                <c:pt idx="2">
                  <c:v>1.5974348951886E-4</c:v>
                </c:pt>
                <c:pt idx="3">
                  <c:v>0.75015974348951897</c:v>
                </c:pt>
                <c:pt idx="4">
                  <c:v>2.99232887153511</c:v>
                </c:pt>
                <c:pt idx="5">
                  <c:v>2.24232887153511</c:v>
                </c:pt>
                <c:pt idx="6">
                  <c:v>2.99232887153511</c:v>
                </c:pt>
                <c:pt idx="7">
                  <c:v>2.24232887153511</c:v>
                </c:pt>
                <c:pt idx="8">
                  <c:v>2.99232887153511</c:v>
                </c:pt>
                <c:pt idx="9">
                  <c:v>2.99232887153511</c:v>
                </c:pt>
                <c:pt idx="10">
                  <c:v>2.24671743963557</c:v>
                </c:pt>
                <c:pt idx="11">
                  <c:v>1.5974348951886E-4</c:v>
                </c:pt>
                <c:pt idx="12">
                  <c:v>1.5974348951886E-4</c:v>
                </c:pt>
                <c:pt idx="13">
                  <c:v>0.74679327977094101</c:v>
                </c:pt>
                <c:pt idx="14">
                  <c:v>0</c:v>
                </c:pt>
                <c:pt idx="15">
                  <c:v>0</c:v>
                </c:pt>
                <c:pt idx="16">
                  <c:v>0</c:v>
                </c:pt>
                <c:pt idx="17">
                  <c:v>0</c:v>
                </c:pt>
                <c:pt idx="18">
                  <c:v>0</c:v>
                </c:pt>
                <c:pt idx="19">
                  <c:v>0</c:v>
                </c:pt>
                <c:pt idx="20">
                  <c:v>2.9890143494323498</c:v>
                </c:pt>
                <c:pt idx="21">
                  <c:v>2.9890143494323498</c:v>
                </c:pt>
                <c:pt idx="22">
                  <c:v>2.9890143494323498</c:v>
                </c:pt>
                <c:pt idx="23">
                  <c:v>5.5522947417145998</c:v>
                </c:pt>
                <c:pt idx="24">
                  <c:v>3.6449257310655998</c:v>
                </c:pt>
                <c:pt idx="25">
                  <c:v>5.8661972458797296</c:v>
                </c:pt>
                <c:pt idx="26">
                  <c:v>3.9588282352307802</c:v>
                </c:pt>
                <c:pt idx="27">
                  <c:v>2.9637501349212099</c:v>
                </c:pt>
                <c:pt idx="28">
                  <c:v>6.10300588726329</c:v>
                </c:pt>
                <c:pt idx="29">
                  <c:v>6.7688664880365597</c:v>
                </c:pt>
                <c:pt idx="30">
                  <c:v>7.1269660615786297</c:v>
                </c:pt>
                <c:pt idx="31">
                  <c:v>8.1237899616547793</c:v>
                </c:pt>
                <c:pt idx="32">
                  <c:v>5.4371452864900203</c:v>
                </c:pt>
                <c:pt idx="33">
                  <c:v>7.7417433770927797</c:v>
                </c:pt>
                <c:pt idx="34">
                  <c:v>7.4568527714877701</c:v>
                </c:pt>
                <c:pt idx="35">
                  <c:v>8.2745336150432909</c:v>
                </c:pt>
                <c:pt idx="36">
                  <c:v>4.7555614884726598</c:v>
                </c:pt>
                <c:pt idx="37">
                  <c:v>1.5974348951886E-4</c:v>
                </c:pt>
                <c:pt idx="38">
                  <c:v>0.75015974348951897</c:v>
                </c:pt>
                <c:pt idx="39">
                  <c:v>1.5974348951886E-4</c:v>
                </c:pt>
                <c:pt idx="40">
                  <c:v>0.75015974348951897</c:v>
                </c:pt>
                <c:pt idx="41">
                  <c:v>2.99232887153511</c:v>
                </c:pt>
                <c:pt idx="42">
                  <c:v>2.24232887153511</c:v>
                </c:pt>
                <c:pt idx="43">
                  <c:v>2.99232887153511</c:v>
                </c:pt>
                <c:pt idx="44">
                  <c:v>2.24232887153511</c:v>
                </c:pt>
                <c:pt idx="45">
                  <c:v>2.99232887153511</c:v>
                </c:pt>
                <c:pt idx="46">
                  <c:v>2.99232887153511</c:v>
                </c:pt>
                <c:pt idx="47">
                  <c:v>2.24671743963557</c:v>
                </c:pt>
                <c:pt idx="48">
                  <c:v>1.5974348951886E-4</c:v>
                </c:pt>
                <c:pt idx="49">
                  <c:v>1.5974348951886E-4</c:v>
                </c:pt>
                <c:pt idx="50">
                  <c:v>0.74679327977094101</c:v>
                </c:pt>
                <c:pt idx="51">
                  <c:v>0</c:v>
                </c:pt>
                <c:pt idx="52">
                  <c:v>0</c:v>
                </c:pt>
                <c:pt idx="53">
                  <c:v>0</c:v>
                </c:pt>
                <c:pt idx="54">
                  <c:v>0</c:v>
                </c:pt>
                <c:pt idx="55">
                  <c:v>0</c:v>
                </c:pt>
                <c:pt idx="56">
                  <c:v>0</c:v>
                </c:pt>
                <c:pt idx="57">
                  <c:v>2.9890143494323498</c:v>
                </c:pt>
                <c:pt idx="58">
                  <c:v>2.9890143494323498</c:v>
                </c:pt>
                <c:pt idx="59">
                  <c:v>2.9890143494323498</c:v>
                </c:pt>
                <c:pt idx="60">
                  <c:v>5.5522947417145998</c:v>
                </c:pt>
                <c:pt idx="61">
                  <c:v>3.6449257310655998</c:v>
                </c:pt>
                <c:pt idx="62">
                  <c:v>5.8661972458797296</c:v>
                </c:pt>
                <c:pt idx="63">
                  <c:v>3.9588282352307802</c:v>
                </c:pt>
                <c:pt idx="64">
                  <c:v>2.9637501349212099</c:v>
                </c:pt>
                <c:pt idx="65">
                  <c:v>6.10300588726329</c:v>
                </c:pt>
                <c:pt idx="66">
                  <c:v>6.7688664880365597</c:v>
                </c:pt>
                <c:pt idx="67">
                  <c:v>7.1269660615786297</c:v>
                </c:pt>
                <c:pt idx="68">
                  <c:v>8.1237899616547793</c:v>
                </c:pt>
                <c:pt idx="69">
                  <c:v>5.4371452864900203</c:v>
                </c:pt>
                <c:pt idx="70">
                  <c:v>7.7417433770927797</c:v>
                </c:pt>
                <c:pt idx="71">
                  <c:v>7.4568527714877701</c:v>
                </c:pt>
                <c:pt idx="72">
                  <c:v>8.2745336150432909</c:v>
                </c:pt>
                <c:pt idx="73">
                  <c:v>4.7555614884726598</c:v>
                </c:pt>
                <c:pt idx="74">
                  <c:v>1.5974348951886E-4</c:v>
                </c:pt>
                <c:pt idx="75">
                  <c:v>0.75015974348951897</c:v>
                </c:pt>
                <c:pt idx="76">
                  <c:v>1.5974348951886E-4</c:v>
                </c:pt>
                <c:pt idx="77">
                  <c:v>0.75015974348951897</c:v>
                </c:pt>
                <c:pt idx="78">
                  <c:v>2.99232887153511</c:v>
                </c:pt>
                <c:pt idx="79">
                  <c:v>2.24232887153511</c:v>
                </c:pt>
                <c:pt idx="80">
                  <c:v>2.99232887153511</c:v>
                </c:pt>
                <c:pt idx="81">
                  <c:v>2.24232887153511</c:v>
                </c:pt>
                <c:pt idx="82">
                  <c:v>2.99232887153511</c:v>
                </c:pt>
                <c:pt idx="83">
                  <c:v>2.99232887153511</c:v>
                </c:pt>
                <c:pt idx="84">
                  <c:v>2.24671743963557</c:v>
                </c:pt>
                <c:pt idx="85">
                  <c:v>1.5974348951886E-4</c:v>
                </c:pt>
                <c:pt idx="86">
                  <c:v>1.5974348951886E-4</c:v>
                </c:pt>
                <c:pt idx="87">
                  <c:v>0.74679327977094101</c:v>
                </c:pt>
                <c:pt idx="88">
                  <c:v>0</c:v>
                </c:pt>
                <c:pt idx="89">
                  <c:v>0</c:v>
                </c:pt>
                <c:pt idx="90">
                  <c:v>0</c:v>
                </c:pt>
                <c:pt idx="91">
                  <c:v>0</c:v>
                </c:pt>
                <c:pt idx="92">
                  <c:v>0</c:v>
                </c:pt>
                <c:pt idx="93">
                  <c:v>0</c:v>
                </c:pt>
                <c:pt idx="94">
                  <c:v>2.9890143494323498</c:v>
                </c:pt>
                <c:pt idx="95">
                  <c:v>2.9890143494323498</c:v>
                </c:pt>
                <c:pt idx="96">
                  <c:v>2.9890143494323498</c:v>
                </c:pt>
                <c:pt idx="97">
                  <c:v>5.5522947417145998</c:v>
                </c:pt>
                <c:pt idx="98">
                  <c:v>3.6449257310655998</c:v>
                </c:pt>
                <c:pt idx="99">
                  <c:v>5.8661972458797296</c:v>
                </c:pt>
                <c:pt idx="100">
                  <c:v>3.9588282352307802</c:v>
                </c:pt>
                <c:pt idx="101">
                  <c:v>2.9637501349212099</c:v>
                </c:pt>
                <c:pt idx="102">
                  <c:v>6.10300588726329</c:v>
                </c:pt>
                <c:pt idx="103">
                  <c:v>6.7688664880365597</c:v>
                </c:pt>
                <c:pt idx="104">
                  <c:v>7.1269660615786297</c:v>
                </c:pt>
                <c:pt idx="105">
                  <c:v>8.1237899616547793</c:v>
                </c:pt>
                <c:pt idx="106">
                  <c:v>5.4371452864900203</c:v>
                </c:pt>
                <c:pt idx="107">
                  <c:v>7.7417433770927797</c:v>
                </c:pt>
                <c:pt idx="108">
                  <c:v>7.4568527714877701</c:v>
                </c:pt>
                <c:pt idx="109">
                  <c:v>8.2745336150432909</c:v>
                </c:pt>
                <c:pt idx="110">
                  <c:v>4.7555614884726598</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numCache>
            </c:numRef>
          </c:yVal>
          <c:bubbleSize>
            <c:numRef>
              <c:f>'TM SCT Coc'!$V$20:$V$1000</c:f>
              <c:numCache>
                <c:formatCode>0.00</c:formatCode>
                <c:ptCount val="9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0.49065569889003302</c:v>
                </c:pt>
                <c:pt idx="76">
                  <c:v>0</c:v>
                </c:pt>
                <c:pt idx="77">
                  <c:v>0.495654695394037</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numCache>
            </c:numRef>
          </c:bubbleSize>
          <c:bubble3D val="0"/>
          <c:extLst>
            <c:ext xmlns:c16="http://schemas.microsoft.com/office/drawing/2014/chart" uri="{C3380CC4-5D6E-409C-BE32-E72D297353CC}">
              <c16:uniqueId val="{00000000-5EE4-44E6-84B1-286688941108}"/>
            </c:ext>
          </c:extLst>
        </c:ser>
        <c:ser>
          <c:idx val="1"/>
          <c:order val="1"/>
          <c:tx>
            <c:v>50-85%</c:v>
          </c:tx>
          <c:spPr>
            <a:solidFill>
              <a:schemeClr val="accent2">
                <a:alpha val="75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2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xVal>
            <c:numRef>
              <c:f>'TM SCT Coc'!$Z$20:$Z$1000</c:f>
              <c:numCache>
                <c:formatCode>General</c:formatCode>
                <c:ptCount val="981"/>
                <c:pt idx="0">
                  <c:v>6.8731810448613304</c:v>
                </c:pt>
                <c:pt idx="1">
                  <c:v>6.8731810448613304</c:v>
                </c:pt>
                <c:pt idx="2">
                  <c:v>6.1231810448613304</c:v>
                </c:pt>
                <c:pt idx="3">
                  <c:v>6.1231810448613304</c:v>
                </c:pt>
                <c:pt idx="4">
                  <c:v>6.8731810448613304</c:v>
                </c:pt>
                <c:pt idx="5">
                  <c:v>6.8731810448613304</c:v>
                </c:pt>
                <c:pt idx="6">
                  <c:v>6.1231810448613304</c:v>
                </c:pt>
                <c:pt idx="7">
                  <c:v>6.1231810448613304</c:v>
                </c:pt>
                <c:pt idx="8">
                  <c:v>10.1824180606238</c:v>
                </c:pt>
                <c:pt idx="9">
                  <c:v>9.4324180606238297</c:v>
                </c:pt>
                <c:pt idx="10">
                  <c:v>10.240871197373901</c:v>
                </c:pt>
                <c:pt idx="11">
                  <c:v>10.4095391592571</c:v>
                </c:pt>
                <c:pt idx="12">
                  <c:v>9.65953915925712</c:v>
                </c:pt>
                <c:pt idx="13">
                  <c:v>10.364699899319101</c:v>
                </c:pt>
                <c:pt idx="14">
                  <c:v>1.50145957663233</c:v>
                </c:pt>
                <c:pt idx="15">
                  <c:v>0.75145957663232799</c:v>
                </c:pt>
                <c:pt idx="16">
                  <c:v>1.4595766323282099E-3</c:v>
                </c:pt>
                <c:pt idx="17">
                  <c:v>2.25145957663233</c:v>
                </c:pt>
                <c:pt idx="18">
                  <c:v>3.00145957663233</c:v>
                </c:pt>
                <c:pt idx="19">
                  <c:v>3.75145957663233</c:v>
                </c:pt>
                <c:pt idx="20">
                  <c:v>3.0559342543122598</c:v>
                </c:pt>
                <c:pt idx="21">
                  <c:v>2.3059342543122598</c:v>
                </c:pt>
                <c:pt idx="22">
                  <c:v>3.8059342543122598</c:v>
                </c:pt>
                <c:pt idx="23">
                  <c:v>-1.206526414716</c:v>
                </c:pt>
                <c:pt idx="24">
                  <c:v>-0.32771976987464801</c:v>
                </c:pt>
                <c:pt idx="25">
                  <c:v>-0.52537648875107801</c:v>
                </c:pt>
                <c:pt idx="26">
                  <c:v>0.353430156090212</c:v>
                </c:pt>
                <c:pt idx="27">
                  <c:v>-1.38729804734794E-2</c:v>
                </c:pt>
                <c:pt idx="28">
                  <c:v>0.89874441868522603</c:v>
                </c:pt>
                <c:pt idx="29">
                  <c:v>0.55359277036564003</c:v>
                </c:pt>
                <c:pt idx="30">
                  <c:v>-1.91782048806198</c:v>
                </c:pt>
                <c:pt idx="31">
                  <c:v>-0.14729854935791301</c:v>
                </c:pt>
                <c:pt idx="32">
                  <c:v>1.24389606700481</c:v>
                </c:pt>
                <c:pt idx="33">
                  <c:v>-1.8450365363591099</c:v>
                </c:pt>
                <c:pt idx="34">
                  <c:v>0.19770284480981901</c:v>
                </c:pt>
                <c:pt idx="35">
                  <c:v>-0.96321775837127799</c:v>
                </c:pt>
                <c:pt idx="36">
                  <c:v>-0.42654812931286301</c:v>
                </c:pt>
                <c:pt idx="37">
                  <c:v>6.8731810448613304</c:v>
                </c:pt>
                <c:pt idx="38">
                  <c:v>6.8731810448613304</c:v>
                </c:pt>
                <c:pt idx="39">
                  <c:v>6.1231810448613304</c:v>
                </c:pt>
                <c:pt idx="40">
                  <c:v>6.1231810448613304</c:v>
                </c:pt>
                <c:pt idx="41">
                  <c:v>6.8731810448613304</c:v>
                </c:pt>
                <c:pt idx="42">
                  <c:v>6.8731810448613304</c:v>
                </c:pt>
                <c:pt idx="43">
                  <c:v>6.1231810448613304</c:v>
                </c:pt>
                <c:pt idx="44">
                  <c:v>6.1231810448613304</c:v>
                </c:pt>
                <c:pt idx="45">
                  <c:v>10.1824180606238</c:v>
                </c:pt>
                <c:pt idx="46">
                  <c:v>9.4324180606238297</c:v>
                </c:pt>
                <c:pt idx="47">
                  <c:v>10.240871197373901</c:v>
                </c:pt>
                <c:pt idx="48">
                  <c:v>10.4095391592571</c:v>
                </c:pt>
                <c:pt idx="49">
                  <c:v>9.65953915925712</c:v>
                </c:pt>
                <c:pt idx="50">
                  <c:v>10.364699899319101</c:v>
                </c:pt>
                <c:pt idx="51">
                  <c:v>1.50145957663233</c:v>
                </c:pt>
                <c:pt idx="52">
                  <c:v>0.75145957663232799</c:v>
                </c:pt>
                <c:pt idx="53">
                  <c:v>1.4595766323282099E-3</c:v>
                </c:pt>
                <c:pt idx="54">
                  <c:v>2.25145957663233</c:v>
                </c:pt>
                <c:pt idx="55">
                  <c:v>3.00145957663233</c:v>
                </c:pt>
                <c:pt idx="56">
                  <c:v>3.75145957663233</c:v>
                </c:pt>
                <c:pt idx="57">
                  <c:v>3.0559342543122598</c:v>
                </c:pt>
                <c:pt idx="58">
                  <c:v>2.3059342543122598</c:v>
                </c:pt>
                <c:pt idx="59">
                  <c:v>3.8059342543122598</c:v>
                </c:pt>
                <c:pt idx="60">
                  <c:v>-1.206526414716</c:v>
                </c:pt>
                <c:pt idx="61">
                  <c:v>-0.32771976987464801</c:v>
                </c:pt>
                <c:pt idx="62">
                  <c:v>-0.52537648875107801</c:v>
                </c:pt>
                <c:pt idx="63">
                  <c:v>0.353430156090212</c:v>
                </c:pt>
                <c:pt idx="64">
                  <c:v>-1.38729804734794E-2</c:v>
                </c:pt>
                <c:pt idx="65">
                  <c:v>0.89874441868522603</c:v>
                </c:pt>
                <c:pt idx="66">
                  <c:v>0.55359277036564003</c:v>
                </c:pt>
                <c:pt idx="67">
                  <c:v>-1.91782048806198</c:v>
                </c:pt>
                <c:pt idx="68">
                  <c:v>-0.14729854935791301</c:v>
                </c:pt>
                <c:pt idx="69">
                  <c:v>1.24389606700481</c:v>
                </c:pt>
                <c:pt idx="70">
                  <c:v>-1.8450365363591099</c:v>
                </c:pt>
                <c:pt idx="71">
                  <c:v>0.19770284480981901</c:v>
                </c:pt>
                <c:pt idx="72">
                  <c:v>-0.96321775837127799</c:v>
                </c:pt>
                <c:pt idx="73">
                  <c:v>-0.42654812931286301</c:v>
                </c:pt>
                <c:pt idx="74">
                  <c:v>6.8731810448613304</c:v>
                </c:pt>
                <c:pt idx="75">
                  <c:v>6.8731810448613304</c:v>
                </c:pt>
                <c:pt idx="76">
                  <c:v>6.1231810448613304</c:v>
                </c:pt>
                <c:pt idx="77">
                  <c:v>6.1231810448613304</c:v>
                </c:pt>
                <c:pt idx="78">
                  <c:v>6.8731810448613304</c:v>
                </c:pt>
                <c:pt idx="79">
                  <c:v>6.8731810448613304</c:v>
                </c:pt>
                <c:pt idx="80">
                  <c:v>6.1231810448613304</c:v>
                </c:pt>
                <c:pt idx="81">
                  <c:v>6.1231810448613304</c:v>
                </c:pt>
                <c:pt idx="82">
                  <c:v>10.1824180606238</c:v>
                </c:pt>
                <c:pt idx="83">
                  <c:v>9.4324180606238297</c:v>
                </c:pt>
                <c:pt idx="84">
                  <c:v>10.240871197373901</c:v>
                </c:pt>
                <c:pt idx="85">
                  <c:v>10.4095391592571</c:v>
                </c:pt>
                <c:pt idx="86">
                  <c:v>9.65953915925712</c:v>
                </c:pt>
                <c:pt idx="87">
                  <c:v>10.364699899319101</c:v>
                </c:pt>
                <c:pt idx="88">
                  <c:v>1.50145957663233</c:v>
                </c:pt>
                <c:pt idx="89">
                  <c:v>0.75145957663232799</c:v>
                </c:pt>
                <c:pt idx="90">
                  <c:v>1.4595766323282099E-3</c:v>
                </c:pt>
                <c:pt idx="91">
                  <c:v>2.25145957663233</c:v>
                </c:pt>
                <c:pt idx="92">
                  <c:v>3.00145957663233</c:v>
                </c:pt>
                <c:pt idx="93">
                  <c:v>3.75145957663233</c:v>
                </c:pt>
                <c:pt idx="94">
                  <c:v>3.0559342543122598</c:v>
                </c:pt>
                <c:pt idx="95">
                  <c:v>2.3059342543122598</c:v>
                </c:pt>
                <c:pt idx="96">
                  <c:v>3.8059342543122598</c:v>
                </c:pt>
                <c:pt idx="97">
                  <c:v>-1.206526414716</c:v>
                </c:pt>
                <c:pt idx="98">
                  <c:v>-0.32771976987464801</c:v>
                </c:pt>
                <c:pt idx="99">
                  <c:v>-0.52537648875107801</c:v>
                </c:pt>
                <c:pt idx="100">
                  <c:v>0.353430156090212</c:v>
                </c:pt>
                <c:pt idx="101">
                  <c:v>-1.38729804734794E-2</c:v>
                </c:pt>
                <c:pt idx="102">
                  <c:v>0.89874441868522603</c:v>
                </c:pt>
                <c:pt idx="103">
                  <c:v>0.55359277036564003</c:v>
                </c:pt>
                <c:pt idx="104">
                  <c:v>-1.91782048806198</c:v>
                </c:pt>
                <c:pt idx="105">
                  <c:v>-0.14729854935791301</c:v>
                </c:pt>
                <c:pt idx="106">
                  <c:v>1.24389606700481</c:v>
                </c:pt>
                <c:pt idx="107">
                  <c:v>-1.8450365363591099</c:v>
                </c:pt>
                <c:pt idx="108">
                  <c:v>0.19770284480981901</c:v>
                </c:pt>
                <c:pt idx="109">
                  <c:v>-0.96321775837127799</c:v>
                </c:pt>
                <c:pt idx="110">
                  <c:v>-0.42654812931286301</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numCache>
            </c:numRef>
          </c:xVal>
          <c:yVal>
            <c:numRef>
              <c:f>'TM SCT Coc'!$AA$20:$AA$1000</c:f>
              <c:numCache>
                <c:formatCode>General</c:formatCode>
                <c:ptCount val="981"/>
                <c:pt idx="0">
                  <c:v>1.5974348951886E-4</c:v>
                </c:pt>
                <c:pt idx="1">
                  <c:v>0.75015974348951897</c:v>
                </c:pt>
                <c:pt idx="2">
                  <c:v>1.5974348951886E-4</c:v>
                </c:pt>
                <c:pt idx="3">
                  <c:v>0.75015974348951897</c:v>
                </c:pt>
                <c:pt idx="4">
                  <c:v>2.99232887153511</c:v>
                </c:pt>
                <c:pt idx="5">
                  <c:v>2.24232887153511</c:v>
                </c:pt>
                <c:pt idx="6">
                  <c:v>2.99232887153511</c:v>
                </c:pt>
                <c:pt idx="7">
                  <c:v>2.24232887153511</c:v>
                </c:pt>
                <c:pt idx="8">
                  <c:v>2.99232887153511</c:v>
                </c:pt>
                <c:pt idx="9">
                  <c:v>2.99232887153511</c:v>
                </c:pt>
                <c:pt idx="10">
                  <c:v>2.24671743963557</c:v>
                </c:pt>
                <c:pt idx="11">
                  <c:v>1.5974348951886E-4</c:v>
                </c:pt>
                <c:pt idx="12">
                  <c:v>1.5974348951886E-4</c:v>
                </c:pt>
                <c:pt idx="13">
                  <c:v>0.74679327977094101</c:v>
                </c:pt>
                <c:pt idx="14">
                  <c:v>0</c:v>
                </c:pt>
                <c:pt idx="15">
                  <c:v>0</c:v>
                </c:pt>
                <c:pt idx="16">
                  <c:v>0</c:v>
                </c:pt>
                <c:pt idx="17">
                  <c:v>0</c:v>
                </c:pt>
                <c:pt idx="18">
                  <c:v>0</c:v>
                </c:pt>
                <c:pt idx="19">
                  <c:v>0</c:v>
                </c:pt>
                <c:pt idx="20">
                  <c:v>2.9890143494323498</c:v>
                </c:pt>
                <c:pt idx="21">
                  <c:v>2.9890143494323498</c:v>
                </c:pt>
                <c:pt idx="22">
                  <c:v>2.9890143494323498</c:v>
                </c:pt>
                <c:pt idx="23">
                  <c:v>5.5522947417145998</c:v>
                </c:pt>
                <c:pt idx="24">
                  <c:v>3.6449257310655998</c:v>
                </c:pt>
                <c:pt idx="25">
                  <c:v>5.8661972458797296</c:v>
                </c:pt>
                <c:pt idx="26">
                  <c:v>3.9588282352307802</c:v>
                </c:pt>
                <c:pt idx="27">
                  <c:v>2.9637501349212099</c:v>
                </c:pt>
                <c:pt idx="28">
                  <c:v>6.10300588726329</c:v>
                </c:pt>
                <c:pt idx="29">
                  <c:v>6.7688664880365597</c:v>
                </c:pt>
                <c:pt idx="30">
                  <c:v>7.1269660615786297</c:v>
                </c:pt>
                <c:pt idx="31">
                  <c:v>8.1237899616547793</c:v>
                </c:pt>
                <c:pt idx="32">
                  <c:v>5.4371452864900203</c:v>
                </c:pt>
                <c:pt idx="33">
                  <c:v>7.7417433770927797</c:v>
                </c:pt>
                <c:pt idx="34">
                  <c:v>7.4568527714877701</c:v>
                </c:pt>
                <c:pt idx="35">
                  <c:v>8.2745336150432909</c:v>
                </c:pt>
                <c:pt idx="36">
                  <c:v>4.7555614884726598</c:v>
                </c:pt>
                <c:pt idx="37">
                  <c:v>1.5974348951886E-4</c:v>
                </c:pt>
                <c:pt idx="38">
                  <c:v>0.75015974348951897</c:v>
                </c:pt>
                <c:pt idx="39">
                  <c:v>1.5974348951886E-4</c:v>
                </c:pt>
                <c:pt idx="40">
                  <c:v>0.75015974348951897</c:v>
                </c:pt>
                <c:pt idx="41">
                  <c:v>2.99232887153511</c:v>
                </c:pt>
                <c:pt idx="42">
                  <c:v>2.24232887153511</c:v>
                </c:pt>
                <c:pt idx="43">
                  <c:v>2.99232887153511</c:v>
                </c:pt>
                <c:pt idx="44">
                  <c:v>2.24232887153511</c:v>
                </c:pt>
                <c:pt idx="45">
                  <c:v>2.99232887153511</c:v>
                </c:pt>
                <c:pt idx="46">
                  <c:v>2.99232887153511</c:v>
                </c:pt>
                <c:pt idx="47">
                  <c:v>2.24671743963557</c:v>
                </c:pt>
                <c:pt idx="48">
                  <c:v>1.5974348951886E-4</c:v>
                </c:pt>
                <c:pt idx="49">
                  <c:v>1.5974348951886E-4</c:v>
                </c:pt>
                <c:pt idx="50">
                  <c:v>0.74679327977094101</c:v>
                </c:pt>
                <c:pt idx="51">
                  <c:v>0</c:v>
                </c:pt>
                <c:pt idx="52">
                  <c:v>0</c:v>
                </c:pt>
                <c:pt idx="53">
                  <c:v>0</c:v>
                </c:pt>
                <c:pt idx="54">
                  <c:v>0</c:v>
                </c:pt>
                <c:pt idx="55">
                  <c:v>0</c:v>
                </c:pt>
                <c:pt idx="56">
                  <c:v>0</c:v>
                </c:pt>
                <c:pt idx="57">
                  <c:v>2.9890143494323498</c:v>
                </c:pt>
                <c:pt idx="58">
                  <c:v>2.9890143494323498</c:v>
                </c:pt>
                <c:pt idx="59">
                  <c:v>2.9890143494323498</c:v>
                </c:pt>
                <c:pt idx="60">
                  <c:v>5.5522947417145998</c:v>
                </c:pt>
                <c:pt idx="61">
                  <c:v>3.6449257310655998</c:v>
                </c:pt>
                <c:pt idx="62">
                  <c:v>5.8661972458797296</c:v>
                </c:pt>
                <c:pt idx="63">
                  <c:v>3.9588282352307802</c:v>
                </c:pt>
                <c:pt idx="64">
                  <c:v>2.9637501349212099</c:v>
                </c:pt>
                <c:pt idx="65">
                  <c:v>6.10300588726329</c:v>
                </c:pt>
                <c:pt idx="66">
                  <c:v>6.7688664880365597</c:v>
                </c:pt>
                <c:pt idx="67">
                  <c:v>7.1269660615786297</c:v>
                </c:pt>
                <c:pt idx="68">
                  <c:v>8.1237899616547793</c:v>
                </c:pt>
                <c:pt idx="69">
                  <c:v>5.4371452864900203</c:v>
                </c:pt>
                <c:pt idx="70">
                  <c:v>7.7417433770927797</c:v>
                </c:pt>
                <c:pt idx="71">
                  <c:v>7.4568527714877701</c:v>
                </c:pt>
                <c:pt idx="72">
                  <c:v>8.2745336150432909</c:v>
                </c:pt>
                <c:pt idx="73">
                  <c:v>4.7555614884726598</c:v>
                </c:pt>
                <c:pt idx="74">
                  <c:v>1.5974348951886E-4</c:v>
                </c:pt>
                <c:pt idx="75">
                  <c:v>0.75015974348951897</c:v>
                </c:pt>
                <c:pt idx="76">
                  <c:v>1.5974348951886E-4</c:v>
                </c:pt>
                <c:pt idx="77">
                  <c:v>0.75015974348951897</c:v>
                </c:pt>
                <c:pt idx="78">
                  <c:v>2.99232887153511</c:v>
                </c:pt>
                <c:pt idx="79">
                  <c:v>2.24232887153511</c:v>
                </c:pt>
                <c:pt idx="80">
                  <c:v>2.99232887153511</c:v>
                </c:pt>
                <c:pt idx="81">
                  <c:v>2.24232887153511</c:v>
                </c:pt>
                <c:pt idx="82">
                  <c:v>2.99232887153511</c:v>
                </c:pt>
                <c:pt idx="83">
                  <c:v>2.99232887153511</c:v>
                </c:pt>
                <c:pt idx="84">
                  <c:v>2.24671743963557</c:v>
                </c:pt>
                <c:pt idx="85">
                  <c:v>1.5974348951886E-4</c:v>
                </c:pt>
                <c:pt idx="86">
                  <c:v>1.5974348951886E-4</c:v>
                </c:pt>
                <c:pt idx="87">
                  <c:v>0.74679327977094101</c:v>
                </c:pt>
                <c:pt idx="88">
                  <c:v>0</c:v>
                </c:pt>
                <c:pt idx="89">
                  <c:v>0</c:v>
                </c:pt>
                <c:pt idx="90">
                  <c:v>0</c:v>
                </c:pt>
                <c:pt idx="91">
                  <c:v>0</c:v>
                </c:pt>
                <c:pt idx="92">
                  <c:v>0</c:v>
                </c:pt>
                <c:pt idx="93">
                  <c:v>0</c:v>
                </c:pt>
                <c:pt idx="94">
                  <c:v>2.9890143494323498</c:v>
                </c:pt>
                <c:pt idx="95">
                  <c:v>2.9890143494323498</c:v>
                </c:pt>
                <c:pt idx="96">
                  <c:v>2.9890143494323498</c:v>
                </c:pt>
                <c:pt idx="97">
                  <c:v>5.5522947417145998</c:v>
                </c:pt>
                <c:pt idx="98">
                  <c:v>3.6449257310655998</c:v>
                </c:pt>
                <c:pt idx="99">
                  <c:v>5.8661972458797296</c:v>
                </c:pt>
                <c:pt idx="100">
                  <c:v>3.9588282352307802</c:v>
                </c:pt>
                <c:pt idx="101">
                  <c:v>2.9637501349212099</c:v>
                </c:pt>
                <c:pt idx="102">
                  <c:v>6.10300588726329</c:v>
                </c:pt>
                <c:pt idx="103">
                  <c:v>6.7688664880365597</c:v>
                </c:pt>
                <c:pt idx="104">
                  <c:v>7.1269660615786297</c:v>
                </c:pt>
                <c:pt idx="105">
                  <c:v>8.1237899616547793</c:v>
                </c:pt>
                <c:pt idx="106">
                  <c:v>5.4371452864900203</c:v>
                </c:pt>
                <c:pt idx="107">
                  <c:v>7.7417433770927797</c:v>
                </c:pt>
                <c:pt idx="108">
                  <c:v>7.4568527714877701</c:v>
                </c:pt>
                <c:pt idx="109">
                  <c:v>8.2745336150432909</c:v>
                </c:pt>
                <c:pt idx="110">
                  <c:v>4.7555614884726598</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numCache>
            </c:numRef>
          </c:yVal>
          <c:bubbleSize>
            <c:numRef>
              <c:f>'TM SCT Coc'!$W$20:$W$1000</c:f>
              <c:numCache>
                <c:formatCode>0.00</c:formatCode>
                <c:ptCount val="981"/>
                <c:pt idx="0">
                  <c:v>0</c:v>
                </c:pt>
                <c:pt idx="1">
                  <c:v>0.75695814707145304</c:v>
                </c:pt>
                <c:pt idx="2">
                  <c:v>0</c:v>
                </c:pt>
                <c:pt idx="3">
                  <c:v>0.75637324407238504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0.71776931934757204</c:v>
                </c:pt>
                <c:pt idx="38">
                  <c:v>0.58560901627446904</c:v>
                </c:pt>
                <c:pt idx="39">
                  <c:v>0.71786981964213503</c:v>
                </c:pt>
                <c:pt idx="40">
                  <c:v>0.58771831231774396</c:v>
                </c:pt>
                <c:pt idx="41">
                  <c:v>0.79621146060375203</c:v>
                </c:pt>
                <c:pt idx="42">
                  <c:v>0.63519870501412201</c:v>
                </c:pt>
                <c:pt idx="43">
                  <c:v>0.78946147204426798</c:v>
                </c:pt>
                <c:pt idx="44">
                  <c:v>0.62972295654286703</c:v>
                </c:pt>
                <c:pt idx="45">
                  <c:v>0</c:v>
                </c:pt>
                <c:pt idx="46">
                  <c:v>0</c:v>
                </c:pt>
                <c:pt idx="47">
                  <c:v>0.74895665228392705</c:v>
                </c:pt>
                <c:pt idx="48">
                  <c:v>0</c:v>
                </c:pt>
                <c:pt idx="49">
                  <c:v>0.75760000336755395</c:v>
                </c:pt>
                <c:pt idx="50">
                  <c:v>0.656512806933917</c:v>
                </c:pt>
                <c:pt idx="51">
                  <c:v>0</c:v>
                </c:pt>
                <c:pt idx="52">
                  <c:v>0</c:v>
                </c:pt>
                <c:pt idx="53">
                  <c:v>0</c:v>
                </c:pt>
                <c:pt idx="54">
                  <c:v>0.773120456008348</c:v>
                </c:pt>
                <c:pt idx="55">
                  <c:v>0.75385811066160502</c:v>
                </c:pt>
                <c:pt idx="56">
                  <c:v>0.73845373729348396</c:v>
                </c:pt>
                <c:pt idx="57">
                  <c:v>0.74053438454350295</c:v>
                </c:pt>
                <c:pt idx="58">
                  <c:v>0.702807638379773</c:v>
                </c:pt>
                <c:pt idx="59">
                  <c:v>0.77141797521970601</c:v>
                </c:pt>
                <c:pt idx="60">
                  <c:v>0.79422451285925999</c:v>
                </c:pt>
                <c:pt idx="61">
                  <c:v>0.78380263484985901</c:v>
                </c:pt>
                <c:pt idx="62">
                  <c:v>0.72144209475120002</c:v>
                </c:pt>
                <c:pt idx="63">
                  <c:v>0.71596264920088903</c:v>
                </c:pt>
                <c:pt idx="64">
                  <c:v>0.76819285641075497</c:v>
                </c:pt>
                <c:pt idx="65">
                  <c:v>0</c:v>
                </c:pt>
                <c:pt idx="66">
                  <c:v>0</c:v>
                </c:pt>
                <c:pt idx="67">
                  <c:v>0</c:v>
                </c:pt>
                <c:pt idx="68">
                  <c:v>0</c:v>
                </c:pt>
                <c:pt idx="69">
                  <c:v>0.79964831977510997</c:v>
                </c:pt>
                <c:pt idx="70">
                  <c:v>0</c:v>
                </c:pt>
                <c:pt idx="71">
                  <c:v>0</c:v>
                </c:pt>
                <c:pt idx="72">
                  <c:v>0</c:v>
                </c:pt>
                <c:pt idx="73">
                  <c:v>0.75724483693998401</c:v>
                </c:pt>
                <c:pt idx="74">
                  <c:v>0.51430341131250301</c:v>
                </c:pt>
                <c:pt idx="75">
                  <c:v>0</c:v>
                </c:pt>
                <c:pt idx="76">
                  <c:v>0.518653080429337</c:v>
                </c:pt>
                <c:pt idx="77">
                  <c:v>0</c:v>
                </c:pt>
                <c:pt idx="78">
                  <c:v>0.59346667817273702</c:v>
                </c:pt>
                <c:pt idx="79">
                  <c:v>0.52760443066615703</c:v>
                </c:pt>
                <c:pt idx="80">
                  <c:v>0.60586415287470297</c:v>
                </c:pt>
                <c:pt idx="81">
                  <c:v>0.53985102824061304</c:v>
                </c:pt>
                <c:pt idx="82">
                  <c:v>0.66084879476069003</c:v>
                </c:pt>
                <c:pt idx="83">
                  <c:v>0.61558524786216995</c:v>
                </c:pt>
                <c:pt idx="84">
                  <c:v>0.59917033909092998</c:v>
                </c:pt>
                <c:pt idx="85">
                  <c:v>0.61418762414080297</c:v>
                </c:pt>
                <c:pt idx="86">
                  <c:v>0.56077078360282295</c:v>
                </c:pt>
                <c:pt idx="87">
                  <c:v>0.57727194296872697</c:v>
                </c:pt>
                <c:pt idx="88">
                  <c:v>0.58404026674212695</c:v>
                </c:pt>
                <c:pt idx="89">
                  <c:v>0.60174534254739698</c:v>
                </c:pt>
                <c:pt idx="90">
                  <c:v>0.62000956437488997</c:v>
                </c:pt>
                <c:pt idx="91">
                  <c:v>0.57107317200494701</c:v>
                </c:pt>
                <c:pt idx="92">
                  <c:v>0.561555025910077</c:v>
                </c:pt>
                <c:pt idx="93">
                  <c:v>0.55047626888698697</c:v>
                </c:pt>
                <c:pt idx="94">
                  <c:v>0.67416940019816696</c:v>
                </c:pt>
                <c:pt idx="95">
                  <c:v>0.67196244669044303</c:v>
                </c:pt>
                <c:pt idx="96">
                  <c:v>0.66759137784492695</c:v>
                </c:pt>
                <c:pt idx="97">
                  <c:v>0.65311690456171001</c:v>
                </c:pt>
                <c:pt idx="98">
                  <c:v>0.65862717055940501</c:v>
                </c:pt>
                <c:pt idx="99">
                  <c:v>0.64963472518474996</c:v>
                </c:pt>
                <c:pt idx="100">
                  <c:v>0.65308241829944003</c:v>
                </c:pt>
                <c:pt idx="101">
                  <c:v>0.65045981668194996</c:v>
                </c:pt>
                <c:pt idx="102">
                  <c:v>0.68009935473492</c:v>
                </c:pt>
                <c:pt idx="103">
                  <c:v>0.67753030191017005</c:v>
                </c:pt>
                <c:pt idx="104">
                  <c:v>0.67649165916888299</c:v>
                </c:pt>
                <c:pt idx="105">
                  <c:v>0.67182737462046005</c:v>
                </c:pt>
                <c:pt idx="106">
                  <c:v>0.67980900641623998</c:v>
                </c:pt>
                <c:pt idx="107">
                  <c:v>0.68012091743880698</c:v>
                </c:pt>
                <c:pt idx="108">
                  <c:v>0.67324611512229504</c:v>
                </c:pt>
                <c:pt idx="109">
                  <c:v>0.70380262162801699</c:v>
                </c:pt>
                <c:pt idx="110">
                  <c:v>0.65699979423197497</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numCache>
            </c:numRef>
          </c:bubbleSize>
          <c:bubble3D val="0"/>
          <c:extLst>
            <c:ext xmlns:c16="http://schemas.microsoft.com/office/drawing/2014/chart" uri="{C3380CC4-5D6E-409C-BE32-E72D297353CC}">
              <c16:uniqueId val="{00000001-5EE4-44E6-84B1-286688941108}"/>
            </c:ext>
          </c:extLst>
        </c:ser>
        <c:ser>
          <c:idx val="2"/>
          <c:order val="2"/>
          <c:tx>
            <c:v>85-100%</c:v>
          </c:tx>
          <c:spPr>
            <a:solidFill>
              <a:schemeClr val="accent3">
                <a:alpha val="75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200" b="1"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xVal>
            <c:numRef>
              <c:f>'TM SCT Coc'!$Z$20:$Z$1000</c:f>
              <c:numCache>
                <c:formatCode>General</c:formatCode>
                <c:ptCount val="981"/>
                <c:pt idx="0">
                  <c:v>6.8731810448613304</c:v>
                </c:pt>
                <c:pt idx="1">
                  <c:v>6.8731810448613304</c:v>
                </c:pt>
                <c:pt idx="2">
                  <c:v>6.1231810448613304</c:v>
                </c:pt>
                <c:pt idx="3">
                  <c:v>6.1231810448613304</c:v>
                </c:pt>
                <c:pt idx="4">
                  <c:v>6.8731810448613304</c:v>
                </c:pt>
                <c:pt idx="5">
                  <c:v>6.8731810448613304</c:v>
                </c:pt>
                <c:pt idx="6">
                  <c:v>6.1231810448613304</c:v>
                </c:pt>
                <c:pt idx="7">
                  <c:v>6.1231810448613304</c:v>
                </c:pt>
                <c:pt idx="8">
                  <c:v>10.1824180606238</c:v>
                </c:pt>
                <c:pt idx="9">
                  <c:v>9.4324180606238297</c:v>
                </c:pt>
                <c:pt idx="10">
                  <c:v>10.240871197373901</c:v>
                </c:pt>
                <c:pt idx="11">
                  <c:v>10.4095391592571</c:v>
                </c:pt>
                <c:pt idx="12">
                  <c:v>9.65953915925712</c:v>
                </c:pt>
                <c:pt idx="13">
                  <c:v>10.364699899319101</c:v>
                </c:pt>
                <c:pt idx="14">
                  <c:v>1.50145957663233</c:v>
                </c:pt>
                <c:pt idx="15">
                  <c:v>0.75145957663232799</c:v>
                </c:pt>
                <c:pt idx="16">
                  <c:v>1.4595766323282099E-3</c:v>
                </c:pt>
                <c:pt idx="17">
                  <c:v>2.25145957663233</c:v>
                </c:pt>
                <c:pt idx="18">
                  <c:v>3.00145957663233</c:v>
                </c:pt>
                <c:pt idx="19">
                  <c:v>3.75145957663233</c:v>
                </c:pt>
                <c:pt idx="20">
                  <c:v>3.0559342543122598</c:v>
                </c:pt>
                <c:pt idx="21">
                  <c:v>2.3059342543122598</c:v>
                </c:pt>
                <c:pt idx="22">
                  <c:v>3.8059342543122598</c:v>
                </c:pt>
                <c:pt idx="23">
                  <c:v>-1.206526414716</c:v>
                </c:pt>
                <c:pt idx="24">
                  <c:v>-0.32771976987464801</c:v>
                </c:pt>
                <c:pt idx="25">
                  <c:v>-0.52537648875107801</c:v>
                </c:pt>
                <c:pt idx="26">
                  <c:v>0.353430156090212</c:v>
                </c:pt>
                <c:pt idx="27">
                  <c:v>-1.38729804734794E-2</c:v>
                </c:pt>
                <c:pt idx="28">
                  <c:v>0.89874441868522603</c:v>
                </c:pt>
                <c:pt idx="29">
                  <c:v>0.55359277036564003</c:v>
                </c:pt>
                <c:pt idx="30">
                  <c:v>-1.91782048806198</c:v>
                </c:pt>
                <c:pt idx="31">
                  <c:v>-0.14729854935791301</c:v>
                </c:pt>
                <c:pt idx="32">
                  <c:v>1.24389606700481</c:v>
                </c:pt>
                <c:pt idx="33">
                  <c:v>-1.8450365363591099</c:v>
                </c:pt>
                <c:pt idx="34">
                  <c:v>0.19770284480981901</c:v>
                </c:pt>
                <c:pt idx="35">
                  <c:v>-0.96321775837127799</c:v>
                </c:pt>
                <c:pt idx="36">
                  <c:v>-0.42654812931286301</c:v>
                </c:pt>
                <c:pt idx="37">
                  <c:v>6.8731810448613304</c:v>
                </c:pt>
                <c:pt idx="38">
                  <c:v>6.8731810448613304</c:v>
                </c:pt>
                <c:pt idx="39">
                  <c:v>6.1231810448613304</c:v>
                </c:pt>
                <c:pt idx="40">
                  <c:v>6.1231810448613304</c:v>
                </c:pt>
                <c:pt idx="41">
                  <c:v>6.8731810448613304</c:v>
                </c:pt>
                <c:pt idx="42">
                  <c:v>6.8731810448613304</c:v>
                </c:pt>
                <c:pt idx="43">
                  <c:v>6.1231810448613304</c:v>
                </c:pt>
                <c:pt idx="44">
                  <c:v>6.1231810448613304</c:v>
                </c:pt>
                <c:pt idx="45">
                  <c:v>10.1824180606238</c:v>
                </c:pt>
                <c:pt idx="46">
                  <c:v>9.4324180606238297</c:v>
                </c:pt>
                <c:pt idx="47">
                  <c:v>10.240871197373901</c:v>
                </c:pt>
                <c:pt idx="48">
                  <c:v>10.4095391592571</c:v>
                </c:pt>
                <c:pt idx="49">
                  <c:v>9.65953915925712</c:v>
                </c:pt>
                <c:pt idx="50">
                  <c:v>10.364699899319101</c:v>
                </c:pt>
                <c:pt idx="51">
                  <c:v>1.50145957663233</c:v>
                </c:pt>
                <c:pt idx="52">
                  <c:v>0.75145957663232799</c:v>
                </c:pt>
                <c:pt idx="53">
                  <c:v>1.4595766323282099E-3</c:v>
                </c:pt>
                <c:pt idx="54">
                  <c:v>2.25145957663233</c:v>
                </c:pt>
                <c:pt idx="55">
                  <c:v>3.00145957663233</c:v>
                </c:pt>
                <c:pt idx="56">
                  <c:v>3.75145957663233</c:v>
                </c:pt>
                <c:pt idx="57">
                  <c:v>3.0559342543122598</c:v>
                </c:pt>
                <c:pt idx="58">
                  <c:v>2.3059342543122598</c:v>
                </c:pt>
                <c:pt idx="59">
                  <c:v>3.8059342543122598</c:v>
                </c:pt>
                <c:pt idx="60">
                  <c:v>-1.206526414716</c:v>
                </c:pt>
                <c:pt idx="61">
                  <c:v>-0.32771976987464801</c:v>
                </c:pt>
                <c:pt idx="62">
                  <c:v>-0.52537648875107801</c:v>
                </c:pt>
                <c:pt idx="63">
                  <c:v>0.353430156090212</c:v>
                </c:pt>
                <c:pt idx="64">
                  <c:v>-1.38729804734794E-2</c:v>
                </c:pt>
                <c:pt idx="65">
                  <c:v>0.89874441868522603</c:v>
                </c:pt>
                <c:pt idx="66">
                  <c:v>0.55359277036564003</c:v>
                </c:pt>
                <c:pt idx="67">
                  <c:v>-1.91782048806198</c:v>
                </c:pt>
                <c:pt idx="68">
                  <c:v>-0.14729854935791301</c:v>
                </c:pt>
                <c:pt idx="69">
                  <c:v>1.24389606700481</c:v>
                </c:pt>
                <c:pt idx="70">
                  <c:v>-1.8450365363591099</c:v>
                </c:pt>
                <c:pt idx="71">
                  <c:v>0.19770284480981901</c:v>
                </c:pt>
                <c:pt idx="72">
                  <c:v>-0.96321775837127799</c:v>
                </c:pt>
                <c:pt idx="73">
                  <c:v>-0.42654812931286301</c:v>
                </c:pt>
                <c:pt idx="74">
                  <c:v>6.8731810448613304</c:v>
                </c:pt>
                <c:pt idx="75">
                  <c:v>6.8731810448613304</c:v>
                </c:pt>
                <c:pt idx="76">
                  <c:v>6.1231810448613304</c:v>
                </c:pt>
                <c:pt idx="77">
                  <c:v>6.1231810448613304</c:v>
                </c:pt>
                <c:pt idx="78">
                  <c:v>6.8731810448613304</c:v>
                </c:pt>
                <c:pt idx="79">
                  <c:v>6.8731810448613304</c:v>
                </c:pt>
                <c:pt idx="80">
                  <c:v>6.1231810448613304</c:v>
                </c:pt>
                <c:pt idx="81">
                  <c:v>6.1231810448613304</c:v>
                </c:pt>
                <c:pt idx="82">
                  <c:v>10.1824180606238</c:v>
                </c:pt>
                <c:pt idx="83">
                  <c:v>9.4324180606238297</c:v>
                </c:pt>
                <c:pt idx="84">
                  <c:v>10.240871197373901</c:v>
                </c:pt>
                <c:pt idx="85">
                  <c:v>10.4095391592571</c:v>
                </c:pt>
                <c:pt idx="86">
                  <c:v>9.65953915925712</c:v>
                </c:pt>
                <c:pt idx="87">
                  <c:v>10.364699899319101</c:v>
                </c:pt>
                <c:pt idx="88">
                  <c:v>1.50145957663233</c:v>
                </c:pt>
                <c:pt idx="89">
                  <c:v>0.75145957663232799</c:v>
                </c:pt>
                <c:pt idx="90">
                  <c:v>1.4595766323282099E-3</c:v>
                </c:pt>
                <c:pt idx="91">
                  <c:v>2.25145957663233</c:v>
                </c:pt>
                <c:pt idx="92">
                  <c:v>3.00145957663233</c:v>
                </c:pt>
                <c:pt idx="93">
                  <c:v>3.75145957663233</c:v>
                </c:pt>
                <c:pt idx="94">
                  <c:v>3.0559342543122598</c:v>
                </c:pt>
                <c:pt idx="95">
                  <c:v>2.3059342543122598</c:v>
                </c:pt>
                <c:pt idx="96">
                  <c:v>3.8059342543122598</c:v>
                </c:pt>
                <c:pt idx="97">
                  <c:v>-1.206526414716</c:v>
                </c:pt>
                <c:pt idx="98">
                  <c:v>-0.32771976987464801</c:v>
                </c:pt>
                <c:pt idx="99">
                  <c:v>-0.52537648875107801</c:v>
                </c:pt>
                <c:pt idx="100">
                  <c:v>0.353430156090212</c:v>
                </c:pt>
                <c:pt idx="101">
                  <c:v>-1.38729804734794E-2</c:v>
                </c:pt>
                <c:pt idx="102">
                  <c:v>0.89874441868522603</c:v>
                </c:pt>
                <c:pt idx="103">
                  <c:v>0.55359277036564003</c:v>
                </c:pt>
                <c:pt idx="104">
                  <c:v>-1.91782048806198</c:v>
                </c:pt>
                <c:pt idx="105">
                  <c:v>-0.14729854935791301</c:v>
                </c:pt>
                <c:pt idx="106">
                  <c:v>1.24389606700481</c:v>
                </c:pt>
                <c:pt idx="107">
                  <c:v>-1.8450365363591099</c:v>
                </c:pt>
                <c:pt idx="108">
                  <c:v>0.19770284480981901</c:v>
                </c:pt>
                <c:pt idx="109">
                  <c:v>-0.96321775837127799</c:v>
                </c:pt>
                <c:pt idx="110">
                  <c:v>-0.42654812931286301</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numCache>
            </c:numRef>
          </c:xVal>
          <c:yVal>
            <c:numRef>
              <c:f>'TM SCT Coc'!$AA$20:$AA$1000</c:f>
              <c:numCache>
                <c:formatCode>General</c:formatCode>
                <c:ptCount val="981"/>
                <c:pt idx="0">
                  <c:v>1.5974348951886E-4</c:v>
                </c:pt>
                <c:pt idx="1">
                  <c:v>0.75015974348951897</c:v>
                </c:pt>
                <c:pt idx="2">
                  <c:v>1.5974348951886E-4</c:v>
                </c:pt>
                <c:pt idx="3">
                  <c:v>0.75015974348951897</c:v>
                </c:pt>
                <c:pt idx="4">
                  <c:v>2.99232887153511</c:v>
                </c:pt>
                <c:pt idx="5">
                  <c:v>2.24232887153511</c:v>
                </c:pt>
                <c:pt idx="6">
                  <c:v>2.99232887153511</c:v>
                </c:pt>
                <c:pt idx="7">
                  <c:v>2.24232887153511</c:v>
                </c:pt>
                <c:pt idx="8">
                  <c:v>2.99232887153511</c:v>
                </c:pt>
                <c:pt idx="9">
                  <c:v>2.99232887153511</c:v>
                </c:pt>
                <c:pt idx="10">
                  <c:v>2.24671743963557</c:v>
                </c:pt>
                <c:pt idx="11">
                  <c:v>1.5974348951886E-4</c:v>
                </c:pt>
                <c:pt idx="12">
                  <c:v>1.5974348951886E-4</c:v>
                </c:pt>
                <c:pt idx="13">
                  <c:v>0.74679327977094101</c:v>
                </c:pt>
                <c:pt idx="14">
                  <c:v>0</c:v>
                </c:pt>
                <c:pt idx="15">
                  <c:v>0</c:v>
                </c:pt>
                <c:pt idx="16">
                  <c:v>0</c:v>
                </c:pt>
                <c:pt idx="17">
                  <c:v>0</c:v>
                </c:pt>
                <c:pt idx="18">
                  <c:v>0</c:v>
                </c:pt>
                <c:pt idx="19">
                  <c:v>0</c:v>
                </c:pt>
                <c:pt idx="20">
                  <c:v>2.9890143494323498</c:v>
                </c:pt>
                <c:pt idx="21">
                  <c:v>2.9890143494323498</c:v>
                </c:pt>
                <c:pt idx="22">
                  <c:v>2.9890143494323498</c:v>
                </c:pt>
                <c:pt idx="23">
                  <c:v>5.5522947417145998</c:v>
                </c:pt>
                <c:pt idx="24">
                  <c:v>3.6449257310655998</c:v>
                </c:pt>
                <c:pt idx="25">
                  <c:v>5.8661972458797296</c:v>
                </c:pt>
                <c:pt idx="26">
                  <c:v>3.9588282352307802</c:v>
                </c:pt>
                <c:pt idx="27">
                  <c:v>2.9637501349212099</c:v>
                </c:pt>
                <c:pt idx="28">
                  <c:v>6.10300588726329</c:v>
                </c:pt>
                <c:pt idx="29">
                  <c:v>6.7688664880365597</c:v>
                </c:pt>
                <c:pt idx="30">
                  <c:v>7.1269660615786297</c:v>
                </c:pt>
                <c:pt idx="31">
                  <c:v>8.1237899616547793</c:v>
                </c:pt>
                <c:pt idx="32">
                  <c:v>5.4371452864900203</c:v>
                </c:pt>
                <c:pt idx="33">
                  <c:v>7.7417433770927797</c:v>
                </c:pt>
                <c:pt idx="34">
                  <c:v>7.4568527714877701</c:v>
                </c:pt>
                <c:pt idx="35">
                  <c:v>8.2745336150432909</c:v>
                </c:pt>
                <c:pt idx="36">
                  <c:v>4.7555614884726598</c:v>
                </c:pt>
                <c:pt idx="37">
                  <c:v>1.5974348951886E-4</c:v>
                </c:pt>
                <c:pt idx="38">
                  <c:v>0.75015974348951897</c:v>
                </c:pt>
                <c:pt idx="39">
                  <c:v>1.5974348951886E-4</c:v>
                </c:pt>
                <c:pt idx="40">
                  <c:v>0.75015974348951897</c:v>
                </c:pt>
                <c:pt idx="41">
                  <c:v>2.99232887153511</c:v>
                </c:pt>
                <c:pt idx="42">
                  <c:v>2.24232887153511</c:v>
                </c:pt>
                <c:pt idx="43">
                  <c:v>2.99232887153511</c:v>
                </c:pt>
                <c:pt idx="44">
                  <c:v>2.24232887153511</c:v>
                </c:pt>
                <c:pt idx="45">
                  <c:v>2.99232887153511</c:v>
                </c:pt>
                <c:pt idx="46">
                  <c:v>2.99232887153511</c:v>
                </c:pt>
                <c:pt idx="47">
                  <c:v>2.24671743963557</c:v>
                </c:pt>
                <c:pt idx="48">
                  <c:v>1.5974348951886E-4</c:v>
                </c:pt>
                <c:pt idx="49">
                  <c:v>1.5974348951886E-4</c:v>
                </c:pt>
                <c:pt idx="50">
                  <c:v>0.74679327977094101</c:v>
                </c:pt>
                <c:pt idx="51">
                  <c:v>0</c:v>
                </c:pt>
                <c:pt idx="52">
                  <c:v>0</c:v>
                </c:pt>
                <c:pt idx="53">
                  <c:v>0</c:v>
                </c:pt>
                <c:pt idx="54">
                  <c:v>0</c:v>
                </c:pt>
                <c:pt idx="55">
                  <c:v>0</c:v>
                </c:pt>
                <c:pt idx="56">
                  <c:v>0</c:v>
                </c:pt>
                <c:pt idx="57">
                  <c:v>2.9890143494323498</c:v>
                </c:pt>
                <c:pt idx="58">
                  <c:v>2.9890143494323498</c:v>
                </c:pt>
                <c:pt idx="59">
                  <c:v>2.9890143494323498</c:v>
                </c:pt>
                <c:pt idx="60">
                  <c:v>5.5522947417145998</c:v>
                </c:pt>
                <c:pt idx="61">
                  <c:v>3.6449257310655998</c:v>
                </c:pt>
                <c:pt idx="62">
                  <c:v>5.8661972458797296</c:v>
                </c:pt>
                <c:pt idx="63">
                  <c:v>3.9588282352307802</c:v>
                </c:pt>
                <c:pt idx="64">
                  <c:v>2.9637501349212099</c:v>
                </c:pt>
                <c:pt idx="65">
                  <c:v>6.10300588726329</c:v>
                </c:pt>
                <c:pt idx="66">
                  <c:v>6.7688664880365597</c:v>
                </c:pt>
                <c:pt idx="67">
                  <c:v>7.1269660615786297</c:v>
                </c:pt>
                <c:pt idx="68">
                  <c:v>8.1237899616547793</c:v>
                </c:pt>
                <c:pt idx="69">
                  <c:v>5.4371452864900203</c:v>
                </c:pt>
                <c:pt idx="70">
                  <c:v>7.7417433770927797</c:v>
                </c:pt>
                <c:pt idx="71">
                  <c:v>7.4568527714877701</c:v>
                </c:pt>
                <c:pt idx="72">
                  <c:v>8.2745336150432909</c:v>
                </c:pt>
                <c:pt idx="73">
                  <c:v>4.7555614884726598</c:v>
                </c:pt>
                <c:pt idx="74">
                  <c:v>1.5974348951886E-4</c:v>
                </c:pt>
                <c:pt idx="75">
                  <c:v>0.75015974348951897</c:v>
                </c:pt>
                <c:pt idx="76">
                  <c:v>1.5974348951886E-4</c:v>
                </c:pt>
                <c:pt idx="77">
                  <c:v>0.75015974348951897</c:v>
                </c:pt>
                <c:pt idx="78">
                  <c:v>2.99232887153511</c:v>
                </c:pt>
                <c:pt idx="79">
                  <c:v>2.24232887153511</c:v>
                </c:pt>
                <c:pt idx="80">
                  <c:v>2.99232887153511</c:v>
                </c:pt>
                <c:pt idx="81">
                  <c:v>2.24232887153511</c:v>
                </c:pt>
                <c:pt idx="82">
                  <c:v>2.99232887153511</c:v>
                </c:pt>
                <c:pt idx="83">
                  <c:v>2.99232887153511</c:v>
                </c:pt>
                <c:pt idx="84">
                  <c:v>2.24671743963557</c:v>
                </c:pt>
                <c:pt idx="85">
                  <c:v>1.5974348951886E-4</c:v>
                </c:pt>
                <c:pt idx="86">
                  <c:v>1.5974348951886E-4</c:v>
                </c:pt>
                <c:pt idx="87">
                  <c:v>0.74679327977094101</c:v>
                </c:pt>
                <c:pt idx="88">
                  <c:v>0</c:v>
                </c:pt>
                <c:pt idx="89">
                  <c:v>0</c:v>
                </c:pt>
                <c:pt idx="90">
                  <c:v>0</c:v>
                </c:pt>
                <c:pt idx="91">
                  <c:v>0</c:v>
                </c:pt>
                <c:pt idx="92">
                  <c:v>0</c:v>
                </c:pt>
                <c:pt idx="93">
                  <c:v>0</c:v>
                </c:pt>
                <c:pt idx="94">
                  <c:v>2.9890143494323498</c:v>
                </c:pt>
                <c:pt idx="95">
                  <c:v>2.9890143494323498</c:v>
                </c:pt>
                <c:pt idx="96">
                  <c:v>2.9890143494323498</c:v>
                </c:pt>
                <c:pt idx="97">
                  <c:v>5.5522947417145998</c:v>
                </c:pt>
                <c:pt idx="98">
                  <c:v>3.6449257310655998</c:v>
                </c:pt>
                <c:pt idx="99">
                  <c:v>5.8661972458797296</c:v>
                </c:pt>
                <c:pt idx="100">
                  <c:v>3.9588282352307802</c:v>
                </c:pt>
                <c:pt idx="101">
                  <c:v>2.9637501349212099</c:v>
                </c:pt>
                <c:pt idx="102">
                  <c:v>6.10300588726329</c:v>
                </c:pt>
                <c:pt idx="103">
                  <c:v>6.7688664880365597</c:v>
                </c:pt>
                <c:pt idx="104">
                  <c:v>7.1269660615786297</c:v>
                </c:pt>
                <c:pt idx="105">
                  <c:v>8.1237899616547793</c:v>
                </c:pt>
                <c:pt idx="106">
                  <c:v>5.4371452864900203</c:v>
                </c:pt>
                <c:pt idx="107">
                  <c:v>7.7417433770927797</c:v>
                </c:pt>
                <c:pt idx="108">
                  <c:v>7.4568527714877701</c:v>
                </c:pt>
                <c:pt idx="109">
                  <c:v>8.2745336150432909</c:v>
                </c:pt>
                <c:pt idx="110">
                  <c:v>4.7555614884726598</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numCache>
            </c:numRef>
          </c:yVal>
          <c:bubbleSize>
            <c:numRef>
              <c:f>'TM SCT Coc'!$X$20:$X$1000</c:f>
              <c:numCache>
                <c:formatCode>0.00</c:formatCode>
                <c:ptCount val="981"/>
                <c:pt idx="0">
                  <c:v>0</c:v>
                </c:pt>
                <c:pt idx="1">
                  <c:v>0</c:v>
                </c:pt>
                <c:pt idx="2">
                  <c:v>0</c:v>
                </c:pt>
                <c:pt idx="3">
                  <c:v>0</c:v>
                </c:pt>
                <c:pt idx="4">
                  <c:v>0</c:v>
                </c:pt>
                <c:pt idx="5">
                  <c:v>0.82609719941603998</c:v>
                </c:pt>
                <c:pt idx="6">
                  <c:v>0</c:v>
                </c:pt>
                <c:pt idx="7">
                  <c:v>0.80244206295221598</c:v>
                </c:pt>
                <c:pt idx="8">
                  <c:v>0</c:v>
                </c:pt>
                <c:pt idx="9">
                  <c:v>0</c:v>
                </c:pt>
                <c:pt idx="10">
                  <c:v>0.99691158511964395</c:v>
                </c:pt>
                <c:pt idx="11">
                  <c:v>0</c:v>
                </c:pt>
                <c:pt idx="12">
                  <c:v>0</c:v>
                </c:pt>
                <c:pt idx="13">
                  <c:v>0.82300924814347698</c:v>
                </c:pt>
                <c:pt idx="14">
                  <c:v>0</c:v>
                </c:pt>
                <c:pt idx="15">
                  <c:v>0</c:v>
                </c:pt>
                <c:pt idx="16">
                  <c:v>0</c:v>
                </c:pt>
                <c:pt idx="17">
                  <c:v>0</c:v>
                </c:pt>
                <c:pt idx="18">
                  <c:v>0</c:v>
                </c:pt>
                <c:pt idx="19">
                  <c:v>0</c:v>
                </c:pt>
                <c:pt idx="20">
                  <c:v>0.89980160525179698</c:v>
                </c:pt>
                <c:pt idx="21">
                  <c:v>0.81779832457679702</c:v>
                </c:pt>
                <c:pt idx="22">
                  <c:v>0.97519025251610703</c:v>
                </c:pt>
                <c:pt idx="23">
                  <c:v>0</c:v>
                </c:pt>
                <c:pt idx="24">
                  <c:v>0</c:v>
                </c:pt>
                <c:pt idx="25">
                  <c:v>0.87951682665397601</c:v>
                </c:pt>
                <c:pt idx="26">
                  <c:v>0.86309586525581605</c:v>
                </c:pt>
                <c:pt idx="27">
                  <c:v>0.97696438739246905</c:v>
                </c:pt>
                <c:pt idx="28">
                  <c:v>0</c:v>
                </c:pt>
                <c:pt idx="29">
                  <c:v>0</c:v>
                </c:pt>
                <c:pt idx="30">
                  <c:v>0</c:v>
                </c:pt>
                <c:pt idx="31">
                  <c:v>0</c:v>
                </c:pt>
                <c:pt idx="32">
                  <c:v>0</c:v>
                </c:pt>
                <c:pt idx="33">
                  <c:v>0</c:v>
                </c:pt>
                <c:pt idx="34">
                  <c:v>0</c:v>
                </c:pt>
                <c:pt idx="35">
                  <c:v>0</c:v>
                </c:pt>
                <c:pt idx="36">
                  <c:v>0.94814457141312602</c:v>
                </c:pt>
                <c:pt idx="37">
                  <c:v>0</c:v>
                </c:pt>
                <c:pt idx="38">
                  <c:v>0</c:v>
                </c:pt>
                <c:pt idx="39">
                  <c:v>0</c:v>
                </c:pt>
                <c:pt idx="40">
                  <c:v>0</c:v>
                </c:pt>
                <c:pt idx="41">
                  <c:v>0</c:v>
                </c:pt>
                <c:pt idx="42">
                  <c:v>0</c:v>
                </c:pt>
                <c:pt idx="43">
                  <c:v>0</c:v>
                </c:pt>
                <c:pt idx="44">
                  <c:v>0</c:v>
                </c:pt>
                <c:pt idx="45">
                  <c:v>0.93164507731708901</c:v>
                </c:pt>
                <c:pt idx="46">
                  <c:v>0.86107096582683196</c:v>
                </c:pt>
                <c:pt idx="47">
                  <c:v>0</c:v>
                </c:pt>
                <c:pt idx="48">
                  <c:v>0.80532054021625399</c:v>
                </c:pt>
                <c:pt idx="49">
                  <c:v>0</c:v>
                </c:pt>
                <c:pt idx="50">
                  <c:v>0</c:v>
                </c:pt>
                <c:pt idx="51">
                  <c:v>0.80272750573690399</c:v>
                </c:pt>
                <c:pt idx="52">
                  <c:v>0.84389593508849303</c:v>
                </c:pt>
                <c:pt idx="53">
                  <c:v>0.89002518992171198</c:v>
                </c:pt>
                <c:pt idx="54">
                  <c:v>0</c:v>
                </c:pt>
                <c:pt idx="55">
                  <c:v>0</c:v>
                </c:pt>
                <c:pt idx="56">
                  <c:v>0</c:v>
                </c:pt>
                <c:pt idx="57">
                  <c:v>0</c:v>
                </c:pt>
                <c:pt idx="58">
                  <c:v>0</c:v>
                </c:pt>
                <c:pt idx="59">
                  <c:v>0</c:v>
                </c:pt>
                <c:pt idx="60">
                  <c:v>0</c:v>
                </c:pt>
                <c:pt idx="61">
                  <c:v>0</c:v>
                </c:pt>
                <c:pt idx="62">
                  <c:v>0</c:v>
                </c:pt>
                <c:pt idx="63">
                  <c:v>0</c:v>
                </c:pt>
                <c:pt idx="64">
                  <c:v>0</c:v>
                </c:pt>
                <c:pt idx="65">
                  <c:v>0.83418851087928603</c:v>
                </c:pt>
                <c:pt idx="66">
                  <c:v>0.86888770016611705</c:v>
                </c:pt>
                <c:pt idx="67">
                  <c:v>0.82496829669551197</c:v>
                </c:pt>
                <c:pt idx="68">
                  <c:v>0.94847319730231705</c:v>
                </c:pt>
                <c:pt idx="69">
                  <c:v>0</c:v>
                </c:pt>
                <c:pt idx="70">
                  <c:v>0.82165271040004895</c:v>
                </c:pt>
                <c:pt idx="71">
                  <c:v>0.90609846576515596</c:v>
                </c:pt>
                <c:pt idx="72">
                  <c:v>0.96257334636410696</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numCache>
            </c:numRef>
          </c:bubbleSize>
          <c:bubble3D val="0"/>
          <c:extLst>
            <c:ext xmlns:c16="http://schemas.microsoft.com/office/drawing/2014/chart" uri="{C3380CC4-5D6E-409C-BE32-E72D297353CC}">
              <c16:uniqueId val="{00000002-5EE4-44E6-84B1-286688941108}"/>
            </c:ext>
          </c:extLst>
        </c:ser>
        <c:ser>
          <c:idx val="3"/>
          <c:order val="3"/>
          <c:tx>
            <c:v>&gt;100%</c:v>
          </c:tx>
          <c:spPr>
            <a:solidFill>
              <a:schemeClr val="accent4">
                <a:alpha val="75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800" b="0" i="0" u="none" strike="noStrike" kern="1200" baseline="0">
                    <a:solidFill>
                      <a:sysClr val="windowText" lastClr="000000"/>
                    </a:solidFill>
                    <a:latin typeface="+mn-lt"/>
                    <a:ea typeface="+mn-ea"/>
                    <a:cs typeface="+mn-cs"/>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xVal>
            <c:numRef>
              <c:f>'TM SCT Coc'!$Z$20:$Z$1000</c:f>
              <c:numCache>
                <c:formatCode>General</c:formatCode>
                <c:ptCount val="981"/>
                <c:pt idx="0">
                  <c:v>6.8731810448613304</c:v>
                </c:pt>
                <c:pt idx="1">
                  <c:v>6.8731810448613304</c:v>
                </c:pt>
                <c:pt idx="2">
                  <c:v>6.1231810448613304</c:v>
                </c:pt>
                <c:pt idx="3">
                  <c:v>6.1231810448613304</c:v>
                </c:pt>
                <c:pt idx="4">
                  <c:v>6.8731810448613304</c:v>
                </c:pt>
                <c:pt idx="5">
                  <c:v>6.8731810448613304</c:v>
                </c:pt>
                <c:pt idx="6">
                  <c:v>6.1231810448613304</c:v>
                </c:pt>
                <c:pt idx="7">
                  <c:v>6.1231810448613304</c:v>
                </c:pt>
                <c:pt idx="8">
                  <c:v>10.1824180606238</c:v>
                </c:pt>
                <c:pt idx="9">
                  <c:v>9.4324180606238297</c:v>
                </c:pt>
                <c:pt idx="10">
                  <c:v>10.240871197373901</c:v>
                </c:pt>
                <c:pt idx="11">
                  <c:v>10.4095391592571</c:v>
                </c:pt>
                <c:pt idx="12">
                  <c:v>9.65953915925712</c:v>
                </c:pt>
                <c:pt idx="13">
                  <c:v>10.364699899319101</c:v>
                </c:pt>
                <c:pt idx="14">
                  <c:v>1.50145957663233</c:v>
                </c:pt>
                <c:pt idx="15">
                  <c:v>0.75145957663232799</c:v>
                </c:pt>
                <c:pt idx="16">
                  <c:v>1.4595766323282099E-3</c:v>
                </c:pt>
                <c:pt idx="17">
                  <c:v>2.25145957663233</c:v>
                </c:pt>
                <c:pt idx="18">
                  <c:v>3.00145957663233</c:v>
                </c:pt>
                <c:pt idx="19">
                  <c:v>3.75145957663233</c:v>
                </c:pt>
                <c:pt idx="20">
                  <c:v>3.0559342543122598</c:v>
                </c:pt>
                <c:pt idx="21">
                  <c:v>2.3059342543122598</c:v>
                </c:pt>
                <c:pt idx="22">
                  <c:v>3.8059342543122598</c:v>
                </c:pt>
                <c:pt idx="23">
                  <c:v>-1.206526414716</c:v>
                </c:pt>
                <c:pt idx="24">
                  <c:v>-0.32771976987464801</c:v>
                </c:pt>
                <c:pt idx="25">
                  <c:v>-0.52537648875107801</c:v>
                </c:pt>
                <c:pt idx="26">
                  <c:v>0.353430156090212</c:v>
                </c:pt>
                <c:pt idx="27">
                  <c:v>-1.38729804734794E-2</c:v>
                </c:pt>
                <c:pt idx="28">
                  <c:v>0.89874441868522603</c:v>
                </c:pt>
                <c:pt idx="29">
                  <c:v>0.55359277036564003</c:v>
                </c:pt>
                <c:pt idx="30">
                  <c:v>-1.91782048806198</c:v>
                </c:pt>
                <c:pt idx="31">
                  <c:v>-0.14729854935791301</c:v>
                </c:pt>
                <c:pt idx="32">
                  <c:v>1.24389606700481</c:v>
                </c:pt>
                <c:pt idx="33">
                  <c:v>-1.8450365363591099</c:v>
                </c:pt>
                <c:pt idx="34">
                  <c:v>0.19770284480981901</c:v>
                </c:pt>
                <c:pt idx="35">
                  <c:v>-0.96321775837127799</c:v>
                </c:pt>
                <c:pt idx="36">
                  <c:v>-0.42654812931286301</c:v>
                </c:pt>
                <c:pt idx="37">
                  <c:v>6.8731810448613304</c:v>
                </c:pt>
                <c:pt idx="38">
                  <c:v>6.8731810448613304</c:v>
                </c:pt>
                <c:pt idx="39">
                  <c:v>6.1231810448613304</c:v>
                </c:pt>
                <c:pt idx="40">
                  <c:v>6.1231810448613304</c:v>
                </c:pt>
                <c:pt idx="41">
                  <c:v>6.8731810448613304</c:v>
                </c:pt>
                <c:pt idx="42">
                  <c:v>6.8731810448613304</c:v>
                </c:pt>
                <c:pt idx="43">
                  <c:v>6.1231810448613304</c:v>
                </c:pt>
                <c:pt idx="44">
                  <c:v>6.1231810448613304</c:v>
                </c:pt>
                <c:pt idx="45">
                  <c:v>10.1824180606238</c:v>
                </c:pt>
                <c:pt idx="46">
                  <c:v>9.4324180606238297</c:v>
                </c:pt>
                <c:pt idx="47">
                  <c:v>10.240871197373901</c:v>
                </c:pt>
                <c:pt idx="48">
                  <c:v>10.4095391592571</c:v>
                </c:pt>
                <c:pt idx="49">
                  <c:v>9.65953915925712</c:v>
                </c:pt>
                <c:pt idx="50">
                  <c:v>10.364699899319101</c:v>
                </c:pt>
                <c:pt idx="51">
                  <c:v>1.50145957663233</c:v>
                </c:pt>
                <c:pt idx="52">
                  <c:v>0.75145957663232799</c:v>
                </c:pt>
                <c:pt idx="53">
                  <c:v>1.4595766323282099E-3</c:v>
                </c:pt>
                <c:pt idx="54">
                  <c:v>2.25145957663233</c:v>
                </c:pt>
                <c:pt idx="55">
                  <c:v>3.00145957663233</c:v>
                </c:pt>
                <c:pt idx="56">
                  <c:v>3.75145957663233</c:v>
                </c:pt>
                <c:pt idx="57">
                  <c:v>3.0559342543122598</c:v>
                </c:pt>
                <c:pt idx="58">
                  <c:v>2.3059342543122598</c:v>
                </c:pt>
                <c:pt idx="59">
                  <c:v>3.8059342543122598</c:v>
                </c:pt>
                <c:pt idx="60">
                  <c:v>-1.206526414716</c:v>
                </c:pt>
                <c:pt idx="61">
                  <c:v>-0.32771976987464801</c:v>
                </c:pt>
                <c:pt idx="62">
                  <c:v>-0.52537648875107801</c:v>
                </c:pt>
                <c:pt idx="63">
                  <c:v>0.353430156090212</c:v>
                </c:pt>
                <c:pt idx="64">
                  <c:v>-1.38729804734794E-2</c:v>
                </c:pt>
                <c:pt idx="65">
                  <c:v>0.89874441868522603</c:v>
                </c:pt>
                <c:pt idx="66">
                  <c:v>0.55359277036564003</c:v>
                </c:pt>
                <c:pt idx="67">
                  <c:v>-1.91782048806198</c:v>
                </c:pt>
                <c:pt idx="68">
                  <c:v>-0.14729854935791301</c:v>
                </c:pt>
                <c:pt idx="69">
                  <c:v>1.24389606700481</c:v>
                </c:pt>
                <c:pt idx="70">
                  <c:v>-1.8450365363591099</c:v>
                </c:pt>
                <c:pt idx="71">
                  <c:v>0.19770284480981901</c:v>
                </c:pt>
                <c:pt idx="72">
                  <c:v>-0.96321775837127799</c:v>
                </c:pt>
                <c:pt idx="73">
                  <c:v>-0.42654812931286301</c:v>
                </c:pt>
                <c:pt idx="74">
                  <c:v>6.8731810448613304</c:v>
                </c:pt>
                <c:pt idx="75">
                  <c:v>6.8731810448613304</c:v>
                </c:pt>
                <c:pt idx="76">
                  <c:v>6.1231810448613304</c:v>
                </c:pt>
                <c:pt idx="77">
                  <c:v>6.1231810448613304</c:v>
                </c:pt>
                <c:pt idx="78">
                  <c:v>6.8731810448613304</c:v>
                </c:pt>
                <c:pt idx="79">
                  <c:v>6.8731810448613304</c:v>
                </c:pt>
                <c:pt idx="80">
                  <c:v>6.1231810448613304</c:v>
                </c:pt>
                <c:pt idx="81">
                  <c:v>6.1231810448613304</c:v>
                </c:pt>
                <c:pt idx="82">
                  <c:v>10.1824180606238</c:v>
                </c:pt>
                <c:pt idx="83">
                  <c:v>9.4324180606238297</c:v>
                </c:pt>
                <c:pt idx="84">
                  <c:v>10.240871197373901</c:v>
                </c:pt>
                <c:pt idx="85">
                  <c:v>10.4095391592571</c:v>
                </c:pt>
                <c:pt idx="86">
                  <c:v>9.65953915925712</c:v>
                </c:pt>
                <c:pt idx="87">
                  <c:v>10.364699899319101</c:v>
                </c:pt>
                <c:pt idx="88">
                  <c:v>1.50145957663233</c:v>
                </c:pt>
                <c:pt idx="89">
                  <c:v>0.75145957663232799</c:v>
                </c:pt>
                <c:pt idx="90">
                  <c:v>1.4595766323282099E-3</c:v>
                </c:pt>
                <c:pt idx="91">
                  <c:v>2.25145957663233</c:v>
                </c:pt>
                <c:pt idx="92">
                  <c:v>3.00145957663233</c:v>
                </c:pt>
                <c:pt idx="93">
                  <c:v>3.75145957663233</c:v>
                </c:pt>
                <c:pt idx="94">
                  <c:v>3.0559342543122598</c:v>
                </c:pt>
                <c:pt idx="95">
                  <c:v>2.3059342543122598</c:v>
                </c:pt>
                <c:pt idx="96">
                  <c:v>3.8059342543122598</c:v>
                </c:pt>
                <c:pt idx="97">
                  <c:v>-1.206526414716</c:v>
                </c:pt>
                <c:pt idx="98">
                  <c:v>-0.32771976987464801</c:v>
                </c:pt>
                <c:pt idx="99">
                  <c:v>-0.52537648875107801</c:v>
                </c:pt>
                <c:pt idx="100">
                  <c:v>0.353430156090212</c:v>
                </c:pt>
                <c:pt idx="101">
                  <c:v>-1.38729804734794E-2</c:v>
                </c:pt>
                <c:pt idx="102">
                  <c:v>0.89874441868522603</c:v>
                </c:pt>
                <c:pt idx="103">
                  <c:v>0.55359277036564003</c:v>
                </c:pt>
                <c:pt idx="104">
                  <c:v>-1.91782048806198</c:v>
                </c:pt>
                <c:pt idx="105">
                  <c:v>-0.14729854935791301</c:v>
                </c:pt>
                <c:pt idx="106">
                  <c:v>1.24389606700481</c:v>
                </c:pt>
                <c:pt idx="107">
                  <c:v>-1.8450365363591099</c:v>
                </c:pt>
                <c:pt idx="108">
                  <c:v>0.19770284480981901</c:v>
                </c:pt>
                <c:pt idx="109">
                  <c:v>-0.96321775837127799</c:v>
                </c:pt>
                <c:pt idx="110">
                  <c:v>-0.42654812931286301</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numCache>
            </c:numRef>
          </c:xVal>
          <c:yVal>
            <c:numRef>
              <c:f>'TM SCT Coc'!$AA$20:$AA$1000</c:f>
              <c:numCache>
                <c:formatCode>General</c:formatCode>
                <c:ptCount val="981"/>
                <c:pt idx="0">
                  <c:v>1.5974348951886E-4</c:v>
                </c:pt>
                <c:pt idx="1">
                  <c:v>0.75015974348951897</c:v>
                </c:pt>
                <c:pt idx="2">
                  <c:v>1.5974348951886E-4</c:v>
                </c:pt>
                <c:pt idx="3">
                  <c:v>0.75015974348951897</c:v>
                </c:pt>
                <c:pt idx="4">
                  <c:v>2.99232887153511</c:v>
                </c:pt>
                <c:pt idx="5">
                  <c:v>2.24232887153511</c:v>
                </c:pt>
                <c:pt idx="6">
                  <c:v>2.99232887153511</c:v>
                </c:pt>
                <c:pt idx="7">
                  <c:v>2.24232887153511</c:v>
                </c:pt>
                <c:pt idx="8">
                  <c:v>2.99232887153511</c:v>
                </c:pt>
                <c:pt idx="9">
                  <c:v>2.99232887153511</c:v>
                </c:pt>
                <c:pt idx="10">
                  <c:v>2.24671743963557</c:v>
                </c:pt>
                <c:pt idx="11">
                  <c:v>1.5974348951886E-4</c:v>
                </c:pt>
                <c:pt idx="12">
                  <c:v>1.5974348951886E-4</c:v>
                </c:pt>
                <c:pt idx="13">
                  <c:v>0.74679327977094101</c:v>
                </c:pt>
                <c:pt idx="14">
                  <c:v>0</c:v>
                </c:pt>
                <c:pt idx="15">
                  <c:v>0</c:v>
                </c:pt>
                <c:pt idx="16">
                  <c:v>0</c:v>
                </c:pt>
                <c:pt idx="17">
                  <c:v>0</c:v>
                </c:pt>
                <c:pt idx="18">
                  <c:v>0</c:v>
                </c:pt>
                <c:pt idx="19">
                  <c:v>0</c:v>
                </c:pt>
                <c:pt idx="20">
                  <c:v>2.9890143494323498</c:v>
                </c:pt>
                <c:pt idx="21">
                  <c:v>2.9890143494323498</c:v>
                </c:pt>
                <c:pt idx="22">
                  <c:v>2.9890143494323498</c:v>
                </c:pt>
                <c:pt idx="23">
                  <c:v>5.5522947417145998</c:v>
                </c:pt>
                <c:pt idx="24">
                  <c:v>3.6449257310655998</c:v>
                </c:pt>
                <c:pt idx="25">
                  <c:v>5.8661972458797296</c:v>
                </c:pt>
                <c:pt idx="26">
                  <c:v>3.9588282352307802</c:v>
                </c:pt>
                <c:pt idx="27">
                  <c:v>2.9637501349212099</c:v>
                </c:pt>
                <c:pt idx="28">
                  <c:v>6.10300588726329</c:v>
                </c:pt>
                <c:pt idx="29">
                  <c:v>6.7688664880365597</c:v>
                </c:pt>
                <c:pt idx="30">
                  <c:v>7.1269660615786297</c:v>
                </c:pt>
                <c:pt idx="31">
                  <c:v>8.1237899616547793</c:v>
                </c:pt>
                <c:pt idx="32">
                  <c:v>5.4371452864900203</c:v>
                </c:pt>
                <c:pt idx="33">
                  <c:v>7.7417433770927797</c:v>
                </c:pt>
                <c:pt idx="34">
                  <c:v>7.4568527714877701</c:v>
                </c:pt>
                <c:pt idx="35">
                  <c:v>8.2745336150432909</c:v>
                </c:pt>
                <c:pt idx="36">
                  <c:v>4.7555614884726598</c:v>
                </c:pt>
                <c:pt idx="37">
                  <c:v>1.5974348951886E-4</c:v>
                </c:pt>
                <c:pt idx="38">
                  <c:v>0.75015974348951897</c:v>
                </c:pt>
                <c:pt idx="39">
                  <c:v>1.5974348951886E-4</c:v>
                </c:pt>
                <c:pt idx="40">
                  <c:v>0.75015974348951897</c:v>
                </c:pt>
                <c:pt idx="41">
                  <c:v>2.99232887153511</c:v>
                </c:pt>
                <c:pt idx="42">
                  <c:v>2.24232887153511</c:v>
                </c:pt>
                <c:pt idx="43">
                  <c:v>2.99232887153511</c:v>
                </c:pt>
                <c:pt idx="44">
                  <c:v>2.24232887153511</c:v>
                </c:pt>
                <c:pt idx="45">
                  <c:v>2.99232887153511</c:v>
                </c:pt>
                <c:pt idx="46">
                  <c:v>2.99232887153511</c:v>
                </c:pt>
                <c:pt idx="47">
                  <c:v>2.24671743963557</c:v>
                </c:pt>
                <c:pt idx="48">
                  <c:v>1.5974348951886E-4</c:v>
                </c:pt>
                <c:pt idx="49">
                  <c:v>1.5974348951886E-4</c:v>
                </c:pt>
                <c:pt idx="50">
                  <c:v>0.74679327977094101</c:v>
                </c:pt>
                <c:pt idx="51">
                  <c:v>0</c:v>
                </c:pt>
                <c:pt idx="52">
                  <c:v>0</c:v>
                </c:pt>
                <c:pt idx="53">
                  <c:v>0</c:v>
                </c:pt>
                <c:pt idx="54">
                  <c:v>0</c:v>
                </c:pt>
                <c:pt idx="55">
                  <c:v>0</c:v>
                </c:pt>
                <c:pt idx="56">
                  <c:v>0</c:v>
                </c:pt>
                <c:pt idx="57">
                  <c:v>2.9890143494323498</c:v>
                </c:pt>
                <c:pt idx="58">
                  <c:v>2.9890143494323498</c:v>
                </c:pt>
                <c:pt idx="59">
                  <c:v>2.9890143494323498</c:v>
                </c:pt>
                <c:pt idx="60">
                  <c:v>5.5522947417145998</c:v>
                </c:pt>
                <c:pt idx="61">
                  <c:v>3.6449257310655998</c:v>
                </c:pt>
                <c:pt idx="62">
                  <c:v>5.8661972458797296</c:v>
                </c:pt>
                <c:pt idx="63">
                  <c:v>3.9588282352307802</c:v>
                </c:pt>
                <c:pt idx="64">
                  <c:v>2.9637501349212099</c:v>
                </c:pt>
                <c:pt idx="65">
                  <c:v>6.10300588726329</c:v>
                </c:pt>
                <c:pt idx="66">
                  <c:v>6.7688664880365597</c:v>
                </c:pt>
                <c:pt idx="67">
                  <c:v>7.1269660615786297</c:v>
                </c:pt>
                <c:pt idx="68">
                  <c:v>8.1237899616547793</c:v>
                </c:pt>
                <c:pt idx="69">
                  <c:v>5.4371452864900203</c:v>
                </c:pt>
                <c:pt idx="70">
                  <c:v>7.7417433770927797</c:v>
                </c:pt>
                <c:pt idx="71">
                  <c:v>7.4568527714877701</c:v>
                </c:pt>
                <c:pt idx="72">
                  <c:v>8.2745336150432909</c:v>
                </c:pt>
                <c:pt idx="73">
                  <c:v>4.7555614884726598</c:v>
                </c:pt>
                <c:pt idx="74">
                  <c:v>1.5974348951886E-4</c:v>
                </c:pt>
                <c:pt idx="75">
                  <c:v>0.75015974348951897</c:v>
                </c:pt>
                <c:pt idx="76">
                  <c:v>1.5974348951886E-4</c:v>
                </c:pt>
                <c:pt idx="77">
                  <c:v>0.75015974348951897</c:v>
                </c:pt>
                <c:pt idx="78">
                  <c:v>2.99232887153511</c:v>
                </c:pt>
                <c:pt idx="79">
                  <c:v>2.24232887153511</c:v>
                </c:pt>
                <c:pt idx="80">
                  <c:v>2.99232887153511</c:v>
                </c:pt>
                <c:pt idx="81">
                  <c:v>2.24232887153511</c:v>
                </c:pt>
                <c:pt idx="82">
                  <c:v>2.99232887153511</c:v>
                </c:pt>
                <c:pt idx="83">
                  <c:v>2.99232887153511</c:v>
                </c:pt>
                <c:pt idx="84">
                  <c:v>2.24671743963557</c:v>
                </c:pt>
                <c:pt idx="85">
                  <c:v>1.5974348951886E-4</c:v>
                </c:pt>
                <c:pt idx="86">
                  <c:v>1.5974348951886E-4</c:v>
                </c:pt>
                <c:pt idx="87">
                  <c:v>0.74679327977094101</c:v>
                </c:pt>
                <c:pt idx="88">
                  <c:v>0</c:v>
                </c:pt>
                <c:pt idx="89">
                  <c:v>0</c:v>
                </c:pt>
                <c:pt idx="90">
                  <c:v>0</c:v>
                </c:pt>
                <c:pt idx="91">
                  <c:v>0</c:v>
                </c:pt>
                <c:pt idx="92">
                  <c:v>0</c:v>
                </c:pt>
                <c:pt idx="93">
                  <c:v>0</c:v>
                </c:pt>
                <c:pt idx="94">
                  <c:v>2.9890143494323498</c:v>
                </c:pt>
                <c:pt idx="95">
                  <c:v>2.9890143494323498</c:v>
                </c:pt>
                <c:pt idx="96">
                  <c:v>2.9890143494323498</c:v>
                </c:pt>
                <c:pt idx="97">
                  <c:v>5.5522947417145998</c:v>
                </c:pt>
                <c:pt idx="98">
                  <c:v>3.6449257310655998</c:v>
                </c:pt>
                <c:pt idx="99">
                  <c:v>5.8661972458797296</c:v>
                </c:pt>
                <c:pt idx="100">
                  <c:v>3.9588282352307802</c:v>
                </c:pt>
                <c:pt idx="101">
                  <c:v>2.9637501349212099</c:v>
                </c:pt>
                <c:pt idx="102">
                  <c:v>6.10300588726329</c:v>
                </c:pt>
                <c:pt idx="103">
                  <c:v>6.7688664880365597</c:v>
                </c:pt>
                <c:pt idx="104">
                  <c:v>7.1269660615786297</c:v>
                </c:pt>
                <c:pt idx="105">
                  <c:v>8.1237899616547793</c:v>
                </c:pt>
                <c:pt idx="106">
                  <c:v>5.4371452864900203</c:v>
                </c:pt>
                <c:pt idx="107">
                  <c:v>7.7417433770927797</c:v>
                </c:pt>
                <c:pt idx="108">
                  <c:v>7.4568527714877701</c:v>
                </c:pt>
                <c:pt idx="109">
                  <c:v>8.2745336150432909</c:v>
                </c:pt>
                <c:pt idx="110">
                  <c:v>4.7555614884726598</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numCache>
            </c:numRef>
          </c:yVal>
          <c:bubbleSize>
            <c:numRef>
              <c:f>'TM SCT Coc'!$Y$20:$Y$1000</c:f>
              <c:numCache>
                <c:formatCode>0.00</c:formatCode>
                <c:ptCount val="981"/>
                <c:pt idx="0">
                  <c:v>1.0118407046214399</c:v>
                </c:pt>
                <c:pt idx="1">
                  <c:v>0</c:v>
                </c:pt>
                <c:pt idx="2">
                  <c:v>1.00766917183182</c:v>
                </c:pt>
                <c:pt idx="3">
                  <c:v>0</c:v>
                </c:pt>
                <c:pt idx="4">
                  <c:v>1.10148064271482</c:v>
                </c:pt>
                <c:pt idx="5">
                  <c:v>0</c:v>
                </c:pt>
                <c:pt idx="6">
                  <c:v>1.07498827668181</c:v>
                </c:pt>
                <c:pt idx="7">
                  <c:v>0</c:v>
                </c:pt>
                <c:pt idx="8">
                  <c:v>1.32214211522045</c:v>
                </c:pt>
                <c:pt idx="9">
                  <c:v>1.2169534506828501</c:v>
                </c:pt>
                <c:pt idx="10">
                  <c:v>0</c:v>
                </c:pt>
                <c:pt idx="11">
                  <c:v>1.09996942287486</c:v>
                </c:pt>
                <c:pt idx="12">
                  <c:v>1.05076919690351</c:v>
                </c:pt>
                <c:pt idx="13">
                  <c:v>0</c:v>
                </c:pt>
                <c:pt idx="14">
                  <c:v>1.1149832693066899</c:v>
                </c:pt>
                <c:pt idx="15">
                  <c:v>1.1822952812234999</c:v>
                </c:pt>
                <c:pt idx="16">
                  <c:v>1.25948175274471</c:v>
                </c:pt>
                <c:pt idx="17">
                  <c:v>1.0672877615173699</c:v>
                </c:pt>
                <c:pt idx="18">
                  <c:v>1.0378199369380701</c:v>
                </c:pt>
                <c:pt idx="19">
                  <c:v>1.01777579367475</c:v>
                </c:pt>
                <c:pt idx="20">
                  <c:v>0</c:v>
                </c:pt>
                <c:pt idx="21">
                  <c:v>0</c:v>
                </c:pt>
                <c:pt idx="22">
                  <c:v>0</c:v>
                </c:pt>
                <c:pt idx="23">
                  <c:v>1.02867035519476</c:v>
                </c:pt>
                <c:pt idx="24">
                  <c:v>1.00174219373027</c:v>
                </c:pt>
                <c:pt idx="25">
                  <c:v>0</c:v>
                </c:pt>
                <c:pt idx="26">
                  <c:v>0</c:v>
                </c:pt>
                <c:pt idx="27">
                  <c:v>0</c:v>
                </c:pt>
                <c:pt idx="28">
                  <c:v>1.0905590906902201</c:v>
                </c:pt>
                <c:pt idx="29">
                  <c:v>1.1651414083654801</c:v>
                </c:pt>
                <c:pt idx="30">
                  <c:v>1.0686435467489901</c:v>
                </c:pt>
                <c:pt idx="31">
                  <c:v>1.3358901692535401</c:v>
                </c:pt>
                <c:pt idx="32">
                  <c:v>1.0189870188047701</c:v>
                </c:pt>
                <c:pt idx="33">
                  <c:v>1.05801781602162</c:v>
                </c:pt>
                <c:pt idx="34">
                  <c:v>1.2465014295550201</c:v>
                </c:pt>
                <c:pt idx="35">
                  <c:v>1.3324286479347101</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numCache>
            </c:numRef>
          </c:bubbleSize>
          <c:bubble3D val="0"/>
          <c:extLst>
            <c:ext xmlns:c16="http://schemas.microsoft.com/office/drawing/2014/chart" uri="{C3380CC4-5D6E-409C-BE32-E72D297353CC}">
              <c16:uniqueId val="{00000003-5EE4-44E6-84B1-286688941108}"/>
            </c:ext>
          </c:extLst>
        </c:ser>
        <c:dLbls>
          <c:showLegendKey val="0"/>
          <c:showVal val="1"/>
          <c:showCatName val="0"/>
          <c:showSerName val="0"/>
          <c:showPercent val="0"/>
          <c:showBubbleSize val="0"/>
        </c:dLbls>
        <c:bubbleScale val="10"/>
        <c:showNegBubbles val="1"/>
        <c:axId val="207344720"/>
        <c:axId val="207349072"/>
      </c:bubbleChart>
      <c:valAx>
        <c:axId val="2073447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en-US" sz="1300" b="0" i="0" u="none" strike="noStrike" kern="1200" baseline="0">
                <a:solidFill>
                  <a:schemeClr val="tx1">
                    <a:lumMod val="65000"/>
                    <a:lumOff val="35000"/>
                  </a:schemeClr>
                </a:solidFill>
                <a:latin typeface="+mn-lt"/>
                <a:ea typeface="+mn-ea"/>
                <a:cs typeface="+mn-cs"/>
              </a:defRPr>
            </a:pPr>
            <a:endParaRPr lang="en-US"/>
          </a:p>
        </c:txPr>
        <c:crossAx val="207349072"/>
        <c:crosses val="autoZero"/>
        <c:crossBetween val="midCat"/>
      </c:valAx>
      <c:valAx>
        <c:axId val="2073490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en-US" sz="1300" b="0" i="0" u="none" strike="noStrike" kern="1200" baseline="0">
                <a:solidFill>
                  <a:schemeClr val="tx1">
                    <a:lumMod val="65000"/>
                    <a:lumOff val="35000"/>
                  </a:schemeClr>
                </a:solidFill>
                <a:latin typeface="+mn-lt"/>
                <a:ea typeface="+mn-ea"/>
                <a:cs typeface="+mn-cs"/>
              </a:defRPr>
            </a:pPr>
            <a:endParaRPr lang="en-US"/>
          </a:p>
        </c:txPr>
        <c:crossAx val="207344720"/>
        <c:crosses val="autoZero"/>
        <c:crossBetween val="midCat"/>
      </c:valAx>
      <c:spPr>
        <a:noFill/>
        <a:ln>
          <a:noFill/>
        </a:ln>
        <a:effectLst/>
      </c:spPr>
    </c:plotArea>
    <c:legend>
      <c:legendPos val="b"/>
      <c:layout>
        <c:manualLayout>
          <c:xMode val="edge"/>
          <c:yMode val="edge"/>
          <c:x val="0.19635178626435101"/>
          <c:y val="0.96102054458821196"/>
          <c:w val="0.62619933365577296"/>
          <c:h val="3.0879861443796199E-2"/>
        </c:manualLayout>
      </c:layout>
      <c:overlay val="0"/>
      <c:spPr>
        <a:noFill/>
        <a:ln>
          <a:noFill/>
        </a:ln>
        <a:effectLst/>
      </c:spPr>
      <c:txPr>
        <a:bodyPr rot="0" spcFirstLastPara="1" vertOverflow="ellipsis" vert="horz" wrap="square" anchor="ctr" anchorCtr="1"/>
        <a:lstStyle/>
        <a:p>
          <a:pPr>
            <a:defRPr lang="en-US" sz="12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extLst>
      <c:ext uri="{0b15fc19-7d7d-44ad-8c2d-2c3a37ce22c3}">
        <chartProps xmlns="https://web.wps.cn/et/2018/main" chartId="{83f3439e-b37b-4caf-9fdd-e856b89df516}"/>
      </c:ext>
    </c:extLst>
  </c:chart>
  <c:spPr>
    <a:solidFill>
      <a:schemeClr val="bg1"/>
    </a:solidFill>
    <a:ln w="9525" cap="flat" cmpd="sng" algn="ctr">
      <a:solidFill>
        <a:schemeClr val="tx1">
          <a:lumMod val="15000"/>
          <a:lumOff val="85000"/>
        </a:schemeClr>
      </a:solidFill>
      <a:round/>
    </a:ln>
    <a:effectLst/>
  </c:spPr>
  <c:txPr>
    <a:bodyPr/>
    <a:lstStyle/>
    <a:p>
      <a:pPr>
        <a:defRPr lang="en-US"/>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86052744285"/>
          <c:y val="0.111809211350214"/>
          <c:w val="0.82968075660395102"/>
          <c:h val="0.85813606069118098"/>
        </c:manualLayout>
      </c:layout>
      <c:scatterChart>
        <c:scatterStyle val="lineMarker"/>
        <c:varyColors val="0"/>
        <c:ser>
          <c:idx val="0"/>
          <c:order val="0"/>
          <c:tx>
            <c:v>CT Nhật bản</c:v>
          </c:tx>
          <c:spPr>
            <a:ln w="19050" cap="rnd">
              <a:solidFill>
                <a:schemeClr val="accent1"/>
              </a:solidFill>
              <a:round/>
            </a:ln>
            <a:effectLst/>
          </c:spPr>
          <c:marker>
            <c:symbol val="none"/>
          </c:marker>
          <c:xVal>
            <c:numRef>
              <c:f>'SPT 10304-2025'!$M$35:$M$104</c:f>
              <c:numCache>
                <c:formatCode>#,##0</c:formatCode>
                <c:ptCount val="70"/>
                <c:pt idx="0">
                  <c:v>0</c:v>
                </c:pt>
                <c:pt idx="1">
                  <c:v>104.71975511965999</c:v>
                </c:pt>
                <c:pt idx="2">
                  <c:v>183.25957145940501</c:v>
                </c:pt>
                <c:pt idx="3">
                  <c:v>249.527541496064</c:v>
                </c:pt>
                <c:pt idx="4">
                  <c:v>298.61492670840499</c:v>
                </c:pt>
                <c:pt idx="5">
                  <c:v>350.15668118136199</c:v>
                </c:pt>
                <c:pt idx="6">
                  <c:v>409.06154343617101</c:v>
                </c:pt>
                <c:pt idx="7">
                  <c:v>451.60394395353302</c:v>
                </c:pt>
                <c:pt idx="8">
                  <c:v>471.23889803846902</c:v>
                </c:pt>
                <c:pt idx="9">
                  <c:v>608.68357663302197</c:v>
                </c:pt>
                <c:pt idx="10">
                  <c:v>785.398163397448</c:v>
                </c:pt>
                <c:pt idx="11">
                  <c:v>896.66290321208703</c:v>
                </c:pt>
                <c:pt idx="12">
                  <c:v>994.83767363676805</c:v>
                </c:pt>
                <c:pt idx="13">
                  <c:v>1209.6671712719501</c:v>
                </c:pt>
                <c:pt idx="14">
                  <c:v>1324.2429033440501</c:v>
                </c:pt>
                <c:pt idx="15">
                  <c:v>2215.1727079626198</c:v>
                </c:pt>
                <c:pt idx="16">
                  <c:v>2381.4257911905902</c:v>
                </c:pt>
                <c:pt idx="17">
                  <c:v>2562.2872802577499</c:v>
                </c:pt>
                <c:pt idx="18">
                  <c:v>2706.48638305752</c:v>
                </c:pt>
                <c:pt idx="19">
                  <c:v>2841.2607078965302</c:v>
                </c:pt>
                <c:pt idx="20">
                  <c:v>2976.03503273553</c:v>
                </c:pt>
                <c:pt idx="21">
                  <c:v>3110.8093575745302</c:v>
                </c:pt>
                <c:pt idx="22">
                  <c:v>3287.4296965593498</c:v>
                </c:pt>
                <c:pt idx="23">
                  <c:v>3478.6584413833598</c:v>
                </c:pt>
                <c:pt idx="24">
                  <c:v>3633.2247999399801</c:v>
                </c:pt>
                <c:pt idx="25">
                  <c:v>3778.3663805358301</c:v>
                </c:pt>
                <c:pt idx="26">
                  <c:v>3965.35397527749</c:v>
                </c:pt>
                <c:pt idx="27">
                  <c:v>4166.9499758583497</c:v>
                </c:pt>
                <c:pt idx="28">
                  <c:v>4331.8835901718103</c:v>
                </c:pt>
                <c:pt idx="29">
                  <c:v>4487.3924265245096</c:v>
                </c:pt>
                <c:pt idx="30">
                  <c:v>4852.1313336062804</c:v>
                </c:pt>
                <c:pt idx="31">
                  <c:v>5185.2972345194803</c:v>
                </c:pt>
                <c:pt idx="32">
                  <c:v>5534.0140190679404</c:v>
                </c:pt>
                <c:pt idx="33">
                  <c:v>6002.8967226162204</c:v>
                </c:pt>
                <c:pt idx="34">
                  <c:v>6497.6975655566102</c:v>
                </c:pt>
                <c:pt idx="35">
                  <c:v>6495.3413710664199</c:v>
                </c:pt>
                <c:pt idx="36">
                  <c:v>6467.0670371841097</c:v>
                </c:pt>
                <c:pt idx="37">
                  <c:v>7040.5647760969296</c:v>
                </c:pt>
                <c:pt idx="38">
                  <c:v>7650.34791015871</c:v>
                </c:pt>
                <c:pt idx="39">
                  <c:v>8087.1863686403703</c:v>
                </c:pt>
                <c:pt idx="40">
                  <c:v>8539.5757107573008</c:v>
                </c:pt>
                <c:pt idx="41">
                  <c:v>8120.1730915030703</c:v>
                </c:pt>
                <c:pt idx="42">
                  <c:v>8224.9766224268205</c:v>
                </c:pt>
                <c:pt idx="43">
                  <c:v>9561.7871283823406</c:v>
                </c:pt>
                <c:pt idx="44">
                  <c:v>11278.416186156899</c:v>
                </c:pt>
                <c:pt idx="45">
                  <c:v>12041.823200979199</c:v>
                </c:pt>
                <c:pt idx="46">
                  <c:v>12560.1859888215</c:v>
                </c:pt>
                <c:pt idx="47">
                  <c:v>12663.85854639</c:v>
                </c:pt>
                <c:pt idx="48">
                  <c:v>12663.85854639</c:v>
                </c:pt>
                <c:pt idx="49">
                  <c:v>13182.221334232299</c:v>
                </c:pt>
                <c:pt idx="50">
                  <c:v>13182.221334232299</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numCache>
            </c:numRef>
          </c:xVal>
          <c:yVal>
            <c:numRef>
              <c:f>'SPT 10304-2025'!$B$35:$B$104</c:f>
              <c:numCache>
                <c:formatCode>#,##0.00</c:formatCode>
                <c:ptCount val="70"/>
                <c:pt idx="0">
                  <c:v>0</c:v>
                </c:pt>
                <c:pt idx="1">
                  <c:v>1</c:v>
                </c:pt>
                <c:pt idx="2">
                  <c:v>1.5</c:v>
                </c:pt>
                <c:pt idx="3">
                  <c:v>2</c:v>
                </c:pt>
                <c:pt idx="4">
                  <c:v>3</c:v>
                </c:pt>
                <c:pt idx="5">
                  <c:v>4</c:v>
                </c:pt>
                <c:pt idx="6">
                  <c:v>5</c:v>
                </c:pt>
                <c:pt idx="7">
                  <c:v>6</c:v>
                </c:pt>
                <c:pt idx="8">
                  <c:v>7</c:v>
                </c:pt>
                <c:pt idx="9">
                  <c:v>8</c:v>
                </c:pt>
                <c:pt idx="10">
                  <c:v>9</c:v>
                </c:pt>
                <c:pt idx="11">
                  <c:v>10</c:v>
                </c:pt>
                <c:pt idx="12">
                  <c:v>10.5</c:v>
                </c:pt>
                <c:pt idx="13">
                  <c:v>11</c:v>
                </c:pt>
                <c:pt idx="14">
                  <c:v>12</c:v>
                </c:pt>
                <c:pt idx="15">
                  <c:v>12.2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38.200000000000003</c:v>
                </c:pt>
                <c:pt idx="43">
                  <c:v>39</c:v>
                </c:pt>
                <c:pt idx="44">
                  <c:v>40</c:v>
                </c:pt>
                <c:pt idx="45">
                  <c:v>41</c:v>
                </c:pt>
                <c:pt idx="46">
                  <c:v>42</c:v>
                </c:pt>
                <c:pt idx="47">
                  <c:v>43</c:v>
                </c:pt>
                <c:pt idx="48">
                  <c:v>43.2</c:v>
                </c:pt>
                <c:pt idx="49">
                  <c:v>44</c:v>
                </c:pt>
                <c:pt idx="50">
                  <c:v>45</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numCache>
            </c:numRef>
          </c:yVal>
          <c:smooth val="0"/>
          <c:extLst>
            <c:ext xmlns:c16="http://schemas.microsoft.com/office/drawing/2014/chart" uri="{C3380CC4-5D6E-409C-BE32-E72D297353CC}">
              <c16:uniqueId val="{00000000-8AD0-4137-99A7-7341F6D400B8}"/>
            </c:ext>
          </c:extLst>
        </c:ser>
        <c:ser>
          <c:idx val="1"/>
          <c:order val="1"/>
          <c:spPr>
            <a:ln w="19050" cap="rnd">
              <a:solidFill>
                <a:srgbClr val="FF0000"/>
              </a:solidFill>
              <a:prstDash val="dash"/>
              <a:round/>
            </a:ln>
            <a:effectLst/>
          </c:spPr>
          <c:marker>
            <c:symbol val="circle"/>
            <c:size val="5"/>
            <c:spPr>
              <a:solidFill>
                <a:schemeClr val="accent2"/>
              </a:solidFill>
              <a:ln w="9525">
                <a:solidFill>
                  <a:schemeClr val="accent2"/>
                </a:solidFill>
              </a:ln>
              <a:effectLst/>
            </c:spPr>
          </c:marker>
          <c:xVal>
            <c:numRef>
              <c:f>'SPT 10304-2025'!$B$24:$C$24</c:f>
              <c:numCache>
                <c:formatCode>0</c:formatCode>
                <c:ptCount val="2"/>
                <c:pt idx="0" formatCode="General">
                  <c:v>0</c:v>
                </c:pt>
                <c:pt idx="1">
                  <c:v>12663.85854639</c:v>
                </c:pt>
              </c:numCache>
            </c:numRef>
          </c:xVal>
          <c:yVal>
            <c:numRef>
              <c:f>'SPT 10304-2025'!$D$16:$E$16</c:f>
              <c:numCache>
                <c:formatCode>General</c:formatCode>
                <c:ptCount val="2"/>
                <c:pt idx="0">
                  <c:v>43.2</c:v>
                </c:pt>
                <c:pt idx="1">
                  <c:v>43.2</c:v>
                </c:pt>
              </c:numCache>
            </c:numRef>
          </c:yVal>
          <c:smooth val="0"/>
          <c:extLst>
            <c:ext xmlns:c16="http://schemas.microsoft.com/office/drawing/2014/chart" uri="{C3380CC4-5D6E-409C-BE32-E72D297353CC}">
              <c16:uniqueId val="{00000001-8AD0-4137-99A7-7341F6D400B8}"/>
            </c:ext>
          </c:extLst>
        </c:ser>
        <c:dLbls>
          <c:showLegendKey val="0"/>
          <c:showVal val="0"/>
          <c:showCatName val="0"/>
          <c:showSerName val="0"/>
          <c:showPercent val="0"/>
          <c:showBubbleSize val="0"/>
        </c:dLbls>
        <c:axId val="477949520"/>
        <c:axId val="477973456"/>
      </c:scatterChart>
      <c:valAx>
        <c:axId val="477949520"/>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en-US" sz="800" b="0" i="0" u="none" strike="noStrike" kern="1200" baseline="0">
                    <a:solidFill>
                      <a:schemeClr val="tx1">
                        <a:lumMod val="65000"/>
                        <a:lumOff val="35000"/>
                      </a:schemeClr>
                    </a:solidFill>
                    <a:latin typeface="Arial" panose="020B0604020202020204" pitchFamily="7" charset="0"/>
                    <a:ea typeface="+mn-ea"/>
                    <a:cs typeface="Arial" panose="020B0604020202020204" pitchFamily="7" charset="0"/>
                  </a:defRPr>
                </a:pPr>
                <a:r>
                  <a:rPr lang="en-US"/>
                  <a:t>SỨC CHỊU TẢI CỌC (kN)</a:t>
                </a:r>
              </a:p>
            </c:rich>
          </c:tx>
          <c:layout>
            <c:manualLayout>
              <c:xMode val="edge"/>
              <c:yMode val="edge"/>
              <c:x val="0.239143748201987"/>
              <c:y val="1.44779567869698E-2"/>
            </c:manualLayout>
          </c:layout>
          <c:overlay val="0"/>
          <c:spPr>
            <a:noFill/>
            <a:ln>
              <a:noFill/>
            </a:ln>
            <a:effectLst/>
          </c:spPr>
          <c:txPr>
            <a:bodyPr rot="0" spcFirstLastPara="1" vertOverflow="ellipsis" vert="horz" wrap="square" anchor="ctr" anchorCtr="1"/>
            <a:lstStyle/>
            <a:p>
              <a:pPr>
                <a:defRPr lang="en-US" sz="800" b="0" i="0" u="none" strike="noStrike" kern="1200" baseline="0">
                  <a:solidFill>
                    <a:schemeClr val="tx1">
                      <a:lumMod val="65000"/>
                      <a:lumOff val="35000"/>
                    </a:schemeClr>
                  </a:solidFill>
                  <a:latin typeface="Arial" panose="020B0604020202020204" pitchFamily="7" charset="0"/>
                  <a:ea typeface="+mn-ea"/>
                  <a:cs typeface="Arial" panose="020B0604020202020204" pitchFamily="7" charset="0"/>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en-US" sz="800" b="0" i="0" u="none" strike="noStrike" kern="1200" baseline="0">
                <a:solidFill>
                  <a:schemeClr val="tx1">
                    <a:lumMod val="65000"/>
                    <a:lumOff val="35000"/>
                  </a:schemeClr>
                </a:solidFill>
                <a:latin typeface="Arial" panose="020B0604020202020204" pitchFamily="7" charset="0"/>
                <a:ea typeface="+mn-ea"/>
                <a:cs typeface="Arial" panose="020B0604020202020204" pitchFamily="7" charset="0"/>
              </a:defRPr>
            </a:pPr>
            <a:endParaRPr lang="en-US"/>
          </a:p>
        </c:txPr>
        <c:crossAx val="477973456"/>
        <c:crosses val="autoZero"/>
        <c:crossBetween val="midCat"/>
      </c:valAx>
      <c:valAx>
        <c:axId val="477973456"/>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en-US" sz="800" b="0" i="0" u="none" strike="noStrike" kern="1200" baseline="0">
                    <a:solidFill>
                      <a:schemeClr val="tx1">
                        <a:lumMod val="65000"/>
                        <a:lumOff val="35000"/>
                      </a:schemeClr>
                    </a:solidFill>
                    <a:latin typeface="Arial" panose="020B0604020202020204" pitchFamily="7" charset="0"/>
                    <a:ea typeface="+mn-ea"/>
                    <a:cs typeface="Arial" panose="020B0604020202020204" pitchFamily="7" charset="0"/>
                  </a:defRPr>
                </a:pPr>
                <a:r>
                  <a:rPr lang="en-US"/>
                  <a:t>ĐỘ SÂU (m)</a:t>
                </a:r>
              </a:p>
            </c:rich>
          </c:tx>
          <c:layout>
            <c:manualLayout>
              <c:xMode val="edge"/>
              <c:yMode val="edge"/>
              <c:x val="0.92127294535247695"/>
              <c:y val="0.48147730207673201"/>
            </c:manualLayout>
          </c:layout>
          <c:overlay val="0"/>
          <c:spPr>
            <a:noFill/>
            <a:ln>
              <a:noFill/>
            </a:ln>
            <a:effectLst/>
          </c:spPr>
          <c:txPr>
            <a:bodyPr rot="-5400000" spcFirstLastPara="1" vertOverflow="ellipsis" vert="horz" wrap="square" anchor="ctr" anchorCtr="1"/>
            <a:lstStyle/>
            <a:p>
              <a:pPr>
                <a:defRPr lang="en-US" sz="800" b="0" i="0" u="none" strike="noStrike" kern="1200" baseline="0">
                  <a:solidFill>
                    <a:schemeClr val="tx1">
                      <a:lumMod val="65000"/>
                      <a:lumOff val="35000"/>
                    </a:schemeClr>
                  </a:solidFill>
                  <a:latin typeface="Arial" panose="020B0604020202020204" pitchFamily="7" charset="0"/>
                  <a:ea typeface="+mn-ea"/>
                  <a:cs typeface="Arial" panose="020B0604020202020204" pitchFamily="7" charset="0"/>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en-US" sz="800" b="0" i="0" u="none" strike="noStrike" kern="1200" baseline="0">
                <a:solidFill>
                  <a:schemeClr val="tx1">
                    <a:lumMod val="65000"/>
                    <a:lumOff val="35000"/>
                  </a:schemeClr>
                </a:solidFill>
                <a:latin typeface="Arial" panose="020B0604020202020204" pitchFamily="7" charset="0"/>
                <a:ea typeface="+mn-ea"/>
                <a:cs typeface="Arial" panose="020B0604020202020204" pitchFamily="7" charset="0"/>
              </a:defRPr>
            </a:pPr>
            <a:endParaRPr lang="en-US"/>
          </a:p>
        </c:txPr>
        <c:crossAx val="477949520"/>
        <c:crosses val="autoZero"/>
        <c:crossBetween val="midCat"/>
      </c:valAx>
      <c:spPr>
        <a:noFill/>
        <a:ln>
          <a:noFill/>
        </a:ln>
        <a:effectLst/>
      </c:spPr>
    </c:plotArea>
    <c:plotVisOnly val="1"/>
    <c:dispBlanksAs val="gap"/>
    <c:showDLblsOverMax val="0"/>
    <c:extLst>
      <c:ext uri="{0b15fc19-7d7d-44ad-8c2d-2c3a37ce22c3}">
        <chartProps xmlns="https://web.wps.cn/et/2018/main" chartId="{267c5035-ffdb-47fc-8e53-b87645416062}"/>
      </c:ext>
    </c:extLst>
  </c:chart>
  <c:spPr>
    <a:solidFill>
      <a:schemeClr val="bg1"/>
    </a:solidFill>
    <a:ln w="9525" cap="flat" cmpd="sng" algn="ctr">
      <a:solidFill>
        <a:schemeClr val="tx1">
          <a:lumMod val="15000"/>
          <a:lumOff val="85000"/>
        </a:schemeClr>
      </a:solidFill>
      <a:round/>
    </a:ln>
    <a:effectLst/>
  </c:spPr>
  <c:txPr>
    <a:bodyPr/>
    <a:lstStyle/>
    <a:p>
      <a:pPr>
        <a:defRPr lang="en-US" sz="800">
          <a:latin typeface="Arial" panose="020B0604020202020204" pitchFamily="7" charset="0"/>
          <a:cs typeface="Arial" panose="020B0604020202020204" pitchFamily="7"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5" Type="http://schemas.openxmlformats.org/officeDocument/2006/relationships/chart" Target="../charts/chart3.xm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image" Target="../media/image14.png"/></Relationships>
</file>

<file path=xl/drawings/_rels/drawing5.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png"/><Relationship Id="rId1" Type="http://schemas.openxmlformats.org/officeDocument/2006/relationships/image" Target="../media/image15.png"/></Relationships>
</file>

<file path=xl/drawings/_rels/drawing6.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image" Target="../media/image24.png"/><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28.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8.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1.png"/><Relationship Id="rId1" Type="http://schemas.openxmlformats.org/officeDocument/2006/relationships/image" Target="../media/image28.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1.png"/><Relationship Id="rId1" Type="http://schemas.openxmlformats.org/officeDocument/2006/relationships/image" Target="../media/image28.png"/></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5" Type="http://schemas.openxmlformats.org/officeDocument/2006/relationships/image" Target="../media/image7.png"/><Relationship Id="rId10" Type="http://schemas.openxmlformats.org/officeDocument/2006/relationships/image" Target="../media/image12.png"/><Relationship Id="rId4" Type="http://schemas.openxmlformats.org/officeDocument/2006/relationships/image" Target="../media/image6.png"/><Relationship Id="rId9" Type="http://schemas.openxmlformats.org/officeDocument/2006/relationships/image" Target="../media/image11.png"/></Relationships>
</file>

<file path=xl/drawings/_rels/vmlDrawing5.vml.rels><?xml version="1.0" encoding="UTF-8" standalone="yes"?>
<Relationships xmlns="http://schemas.openxmlformats.org/package/2006/relationships"><Relationship Id="rId3" Type="http://schemas.openxmlformats.org/officeDocument/2006/relationships/image" Target="../media/image27.png"/><Relationship Id="rId2" Type="http://schemas.openxmlformats.org/officeDocument/2006/relationships/image" Target="../media/image26.png"/><Relationship Id="rId1" Type="http://schemas.openxmlformats.org/officeDocument/2006/relationships/image" Target="../media/image25.png"/></Relationships>
</file>

<file path=xl/drawings/_rels/vmlDrawing8.v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30.png"/><Relationship Id="rId1" Type="http://schemas.openxmlformats.org/officeDocument/2006/relationships/image" Target="../media/image29.png"/><Relationship Id="rId4" Type="http://schemas.openxmlformats.org/officeDocument/2006/relationships/image" Target="../media/image27.png"/></Relationships>
</file>

<file path=xl/drawings/_rels/vmlDrawing9.vml.rels><?xml version="1.0" encoding="UTF-8" standalone="yes"?>
<Relationships xmlns="http://schemas.openxmlformats.org/package/2006/relationships"><Relationship Id="rId2" Type="http://schemas.openxmlformats.org/officeDocument/2006/relationships/image" Target="../media/image33.png"/><Relationship Id="rId1" Type="http://schemas.openxmlformats.org/officeDocument/2006/relationships/image" Target="../media/image32.png"/></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5.png"/><Relationship Id="rId7" Type="http://schemas.openxmlformats.org/officeDocument/2006/relationships/image" Target="../media/image27.png"/><Relationship Id="rId2" Type="http://schemas.openxmlformats.org/officeDocument/2006/relationships/image" Target="../media/image33.png"/><Relationship Id="rId1" Type="http://schemas.openxmlformats.org/officeDocument/2006/relationships/image" Target="../media/image32.png"/><Relationship Id="rId6" Type="http://schemas.openxmlformats.org/officeDocument/2006/relationships/image" Target="../media/image34.png"/><Relationship Id="rId5" Type="http://schemas.openxmlformats.org/officeDocument/2006/relationships/image" Target="../media/image30.png"/><Relationship Id="rId4" Type="http://schemas.openxmlformats.org/officeDocument/2006/relationships/image" Target="../media/image29.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4"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editAs="oneCell">
    <xdr:from>
      <xdr:col>2</xdr:col>
      <xdr:colOff>43704</xdr:colOff>
      <xdr:row>26</xdr:row>
      <xdr:rowOff>11206</xdr:rowOff>
    </xdr:from>
    <xdr:to>
      <xdr:col>6</xdr:col>
      <xdr:colOff>814452</xdr:colOff>
      <xdr:row>40</xdr:row>
      <xdr:rowOff>112059</xdr:rowOff>
    </xdr:to>
    <xdr:pic>
      <xdr:nvPicPr>
        <xdr:cNvPr id="2" name="Picture 1"/>
        <xdr:cNvPicPr>
          <a:picLocks noChangeAspect="1"/>
        </xdr:cNvPicPr>
      </xdr:nvPicPr>
      <xdr:blipFill>
        <a:blip xmlns:r="http://schemas.openxmlformats.org/officeDocument/2006/relationships" r:embed="rId1"/>
        <a:srcRect l="9045" t="24054" r="60140" b="8697"/>
        <a:stretch>
          <a:fillRect/>
        </a:stretch>
      </xdr:blipFill>
      <xdr:spPr>
        <a:xfrm>
          <a:off x="1814830" y="4725670"/>
          <a:ext cx="4114165" cy="2691765"/>
        </a:xfrm>
        <a:prstGeom prst="rect">
          <a:avLst/>
        </a:prstGeom>
      </xdr:spPr>
    </xdr:pic>
    <xdr:clientData/>
  </xdr:twoCellAnchor>
  <xdr:twoCellAnchor>
    <xdr:from>
      <xdr:col>0</xdr:col>
      <xdr:colOff>0</xdr:colOff>
      <xdr:row>32</xdr:row>
      <xdr:rowOff>28576</xdr:rowOff>
    </xdr:from>
    <xdr:to>
      <xdr:col>2</xdr:col>
      <xdr:colOff>9525</xdr:colOff>
      <xdr:row>36</xdr:row>
      <xdr:rowOff>161925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19050</xdr:colOff>
      <xdr:row>37</xdr:row>
      <xdr:rowOff>9525</xdr:rowOff>
    </xdr:from>
    <xdr:to>
      <xdr:col>2</xdr:col>
      <xdr:colOff>38100</xdr:colOff>
      <xdr:row>41</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271182</xdr:colOff>
      <xdr:row>25</xdr:row>
      <xdr:rowOff>120464</xdr:rowOff>
    </xdr:from>
    <xdr:to>
      <xdr:col>8</xdr:col>
      <xdr:colOff>629204</xdr:colOff>
      <xdr:row>36</xdr:row>
      <xdr:rowOff>171851</xdr:rowOff>
    </xdr:to>
    <xdr:pic>
      <xdr:nvPicPr>
        <xdr:cNvPr id="5" name="Picture 4"/>
        <xdr:cNvPicPr>
          <a:picLocks noChangeAspect="1"/>
        </xdr:cNvPicPr>
      </xdr:nvPicPr>
      <xdr:blipFill>
        <a:blip xmlns:r="http://schemas.openxmlformats.org/officeDocument/2006/relationships" r:embed="rId4"/>
        <a:srcRect l="20353" t="25601" r="69180" b="7636"/>
        <a:stretch>
          <a:fillRect/>
        </a:stretch>
      </xdr:blipFill>
      <xdr:spPr>
        <a:xfrm>
          <a:off x="6205220" y="4644390"/>
          <a:ext cx="1176655" cy="2108835"/>
        </a:xfrm>
        <a:prstGeom prst="rect">
          <a:avLst/>
        </a:prstGeom>
      </xdr:spPr>
    </xdr:pic>
    <xdr:clientData/>
  </xdr:twoCellAnchor>
  <xdr:twoCellAnchor>
    <xdr:from>
      <xdr:col>2</xdr:col>
      <xdr:colOff>47625</xdr:colOff>
      <xdr:row>53</xdr:row>
      <xdr:rowOff>100012</xdr:rowOff>
    </xdr:from>
    <xdr:to>
      <xdr:col>7</xdr:col>
      <xdr:colOff>694764</xdr:colOff>
      <xdr:row>71</xdr:row>
      <xdr:rowOff>11206</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22</xdr:col>
      <xdr:colOff>114297</xdr:colOff>
      <xdr:row>15</xdr:row>
      <xdr:rowOff>152400</xdr:rowOff>
    </xdr:from>
    <xdr:to>
      <xdr:col>31</xdr:col>
      <xdr:colOff>47625</xdr:colOff>
      <xdr:row>43</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0</xdr:colOff>
          <xdr:row>3</xdr:row>
          <xdr:rowOff>0</xdr:rowOff>
        </xdr:from>
        <xdr:to>
          <xdr:col>25</xdr:col>
          <xdr:colOff>400050</xdr:colOff>
          <xdr:row>4</xdr:row>
          <xdr:rowOff>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Load access Pierforces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7</xdr:col>
      <xdr:colOff>69318</xdr:colOff>
      <xdr:row>6</xdr:row>
      <xdr:rowOff>19050</xdr:rowOff>
    </xdr:from>
    <xdr:to>
      <xdr:col>8</xdr:col>
      <xdr:colOff>600075</xdr:colOff>
      <xdr:row>7</xdr:row>
      <xdr:rowOff>173873</xdr:rowOff>
    </xdr:to>
    <xdr:pic>
      <xdr:nvPicPr>
        <xdr:cNvPr id="2" name="Picture 1"/>
        <xdr:cNvPicPr>
          <a:picLocks noChangeAspect="1"/>
        </xdr:cNvPicPr>
      </xdr:nvPicPr>
      <xdr:blipFill>
        <a:blip xmlns:r="http://schemas.openxmlformats.org/officeDocument/2006/relationships" r:embed="rId1"/>
        <a:stretch>
          <a:fillRect/>
        </a:stretch>
      </xdr:blipFill>
      <xdr:spPr>
        <a:xfrm>
          <a:off x="4241165" y="1304925"/>
          <a:ext cx="1007110" cy="344805"/>
        </a:xfrm>
        <a:prstGeom prst="rect">
          <a:avLst/>
        </a:prstGeom>
      </xdr:spPr>
    </xdr:pic>
    <xdr:clientData/>
  </xdr:twoCellAnchor>
  <xdr:twoCellAnchor>
    <xdr:from>
      <xdr:col>21</xdr:col>
      <xdr:colOff>22413</xdr:colOff>
      <xdr:row>0</xdr:row>
      <xdr:rowOff>0</xdr:rowOff>
    </xdr:from>
    <xdr:to>
      <xdr:col>35</xdr:col>
      <xdr:colOff>571500</xdr:colOff>
      <xdr:row>31</xdr:row>
      <xdr:rowOff>101972</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10</xdr:col>
      <xdr:colOff>104775</xdr:colOff>
      <xdr:row>11</xdr:row>
      <xdr:rowOff>123825</xdr:rowOff>
    </xdr:from>
    <xdr:to>
      <xdr:col>20</xdr:col>
      <xdr:colOff>84965</xdr:colOff>
      <xdr:row>41</xdr:row>
      <xdr:rowOff>132634</xdr:rowOff>
    </xdr:to>
    <xdr:pic>
      <xdr:nvPicPr>
        <xdr:cNvPr id="2" name="Picture 1"/>
        <xdr:cNvPicPr>
          <a:picLocks noChangeAspect="1"/>
        </xdr:cNvPicPr>
      </xdr:nvPicPr>
      <xdr:blipFill>
        <a:blip xmlns:r="http://schemas.openxmlformats.org/officeDocument/2006/relationships" r:embed="rId1"/>
        <a:stretch>
          <a:fillRect/>
        </a:stretch>
      </xdr:blipFill>
      <xdr:spPr>
        <a:xfrm>
          <a:off x="6105525" y="2219325"/>
          <a:ext cx="5980430" cy="5723255"/>
        </a:xfrm>
        <a:prstGeom prst="rect">
          <a:avLst/>
        </a:prstGeom>
      </xdr:spPr>
    </xdr:pic>
    <xdr:clientData/>
  </xdr:twoCellAnchor>
  <xdr:twoCellAnchor editAs="oneCell">
    <xdr:from>
      <xdr:col>9</xdr:col>
      <xdr:colOff>571500</xdr:colOff>
      <xdr:row>0</xdr:row>
      <xdr:rowOff>0</xdr:rowOff>
    </xdr:from>
    <xdr:to>
      <xdr:col>20</xdr:col>
      <xdr:colOff>542090</xdr:colOff>
      <xdr:row>13</xdr:row>
      <xdr:rowOff>94929</xdr:rowOff>
    </xdr:to>
    <xdr:pic>
      <xdr:nvPicPr>
        <xdr:cNvPr id="3" name="Picture 2"/>
        <xdr:cNvPicPr>
          <a:picLocks noChangeAspect="1"/>
        </xdr:cNvPicPr>
      </xdr:nvPicPr>
      <xdr:blipFill>
        <a:blip xmlns:r="http://schemas.openxmlformats.org/officeDocument/2006/relationships" r:embed="rId2"/>
        <a:stretch>
          <a:fillRect/>
        </a:stretch>
      </xdr:blipFill>
      <xdr:spPr>
        <a:xfrm>
          <a:off x="5972175" y="0"/>
          <a:ext cx="6570980" cy="2571115"/>
        </a:xfrm>
        <a:prstGeom prst="rect">
          <a:avLst/>
        </a:prstGeom>
      </xdr:spPr>
    </xdr:pic>
    <xdr:clientData/>
  </xdr:twoCellAnchor>
  <xdr:twoCellAnchor editAs="oneCell">
    <xdr:from>
      <xdr:col>0</xdr:col>
      <xdr:colOff>0</xdr:colOff>
      <xdr:row>0</xdr:row>
      <xdr:rowOff>0</xdr:rowOff>
    </xdr:from>
    <xdr:to>
      <xdr:col>9</xdr:col>
      <xdr:colOff>418362</xdr:colOff>
      <xdr:row>40</xdr:row>
      <xdr:rowOff>103809</xdr:rowOff>
    </xdr:to>
    <xdr:pic>
      <xdr:nvPicPr>
        <xdr:cNvPr id="4" name="Picture 3"/>
        <xdr:cNvPicPr>
          <a:picLocks noChangeAspect="1"/>
        </xdr:cNvPicPr>
      </xdr:nvPicPr>
      <xdr:blipFill>
        <a:blip xmlns:r="http://schemas.openxmlformats.org/officeDocument/2006/relationships" r:embed="rId3"/>
        <a:stretch>
          <a:fillRect/>
        </a:stretch>
      </xdr:blipFill>
      <xdr:spPr>
        <a:xfrm>
          <a:off x="0" y="0"/>
          <a:ext cx="5818505" cy="772350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8283</xdr:colOff>
      <xdr:row>0</xdr:row>
      <xdr:rowOff>0</xdr:rowOff>
    </xdr:from>
    <xdr:to>
      <xdr:col>9</xdr:col>
      <xdr:colOff>235345</xdr:colOff>
      <xdr:row>39</xdr:row>
      <xdr:rowOff>47941</xdr:rowOff>
    </xdr:to>
    <xdr:pic>
      <xdr:nvPicPr>
        <xdr:cNvPr id="2" name="Picture 1"/>
        <xdr:cNvPicPr>
          <a:picLocks noChangeAspect="1"/>
        </xdr:cNvPicPr>
      </xdr:nvPicPr>
      <xdr:blipFill>
        <a:blip xmlns:r="http://schemas.openxmlformats.org/officeDocument/2006/relationships" r:embed="rId1"/>
        <a:stretch>
          <a:fillRect/>
        </a:stretch>
      </xdr:blipFill>
      <xdr:spPr>
        <a:xfrm>
          <a:off x="8255" y="0"/>
          <a:ext cx="5627370" cy="7477125"/>
        </a:xfrm>
        <a:prstGeom prst="rect">
          <a:avLst/>
        </a:prstGeom>
      </xdr:spPr>
    </xdr:pic>
    <xdr:clientData/>
  </xdr:twoCellAnchor>
  <xdr:twoCellAnchor editAs="oneCell">
    <xdr:from>
      <xdr:col>0</xdr:col>
      <xdr:colOff>0</xdr:colOff>
      <xdr:row>39</xdr:row>
      <xdr:rowOff>4142</xdr:rowOff>
    </xdr:from>
    <xdr:to>
      <xdr:col>9</xdr:col>
      <xdr:colOff>211444</xdr:colOff>
      <xdr:row>74</xdr:row>
      <xdr:rowOff>165519</xdr:rowOff>
    </xdr:to>
    <xdr:pic>
      <xdr:nvPicPr>
        <xdr:cNvPr id="3" name="Picture 2"/>
        <xdr:cNvPicPr>
          <a:picLocks noChangeAspect="1"/>
        </xdr:cNvPicPr>
      </xdr:nvPicPr>
      <xdr:blipFill>
        <a:blip xmlns:r="http://schemas.openxmlformats.org/officeDocument/2006/relationships" r:embed="rId2"/>
        <a:srcRect t="6320"/>
        <a:stretch>
          <a:fillRect/>
        </a:stretch>
      </xdr:blipFill>
      <xdr:spPr>
        <a:xfrm>
          <a:off x="0" y="7433310"/>
          <a:ext cx="5611495" cy="6828790"/>
        </a:xfrm>
        <a:prstGeom prst="rect">
          <a:avLst/>
        </a:prstGeom>
      </xdr:spPr>
    </xdr:pic>
    <xdr:clientData/>
  </xdr:twoCellAnchor>
  <xdr:twoCellAnchor editAs="oneCell">
    <xdr:from>
      <xdr:col>19</xdr:col>
      <xdr:colOff>409575</xdr:colOff>
      <xdr:row>0</xdr:row>
      <xdr:rowOff>0</xdr:rowOff>
    </xdr:from>
    <xdr:to>
      <xdr:col>32</xdr:col>
      <xdr:colOff>46680</xdr:colOff>
      <xdr:row>31</xdr:row>
      <xdr:rowOff>56405</xdr:rowOff>
    </xdr:to>
    <xdr:pic>
      <xdr:nvPicPr>
        <xdr:cNvPr id="4" name="Picture 3"/>
        <xdr:cNvPicPr>
          <a:picLocks noChangeAspect="1"/>
        </xdr:cNvPicPr>
      </xdr:nvPicPr>
      <xdr:blipFill>
        <a:blip xmlns:r="http://schemas.openxmlformats.org/officeDocument/2006/relationships" r:embed="rId3"/>
        <a:stretch>
          <a:fillRect/>
        </a:stretch>
      </xdr:blipFill>
      <xdr:spPr>
        <a:xfrm>
          <a:off x="11811000" y="0"/>
          <a:ext cx="7437755" cy="5961380"/>
        </a:xfrm>
        <a:prstGeom prst="rect">
          <a:avLst/>
        </a:prstGeom>
      </xdr:spPr>
    </xdr:pic>
    <xdr:clientData/>
  </xdr:twoCellAnchor>
  <xdr:twoCellAnchor editAs="oneCell">
    <xdr:from>
      <xdr:col>19</xdr:col>
      <xdr:colOff>485775</xdr:colOff>
      <xdr:row>32</xdr:row>
      <xdr:rowOff>19050</xdr:rowOff>
    </xdr:from>
    <xdr:to>
      <xdr:col>31</xdr:col>
      <xdr:colOff>485775</xdr:colOff>
      <xdr:row>37</xdr:row>
      <xdr:rowOff>155848</xdr:rowOff>
    </xdr:to>
    <xdr:pic>
      <xdr:nvPicPr>
        <xdr:cNvPr id="5" name="Picture 4"/>
        <xdr:cNvPicPr>
          <a:picLocks noChangeAspect="1"/>
        </xdr:cNvPicPr>
      </xdr:nvPicPr>
      <xdr:blipFill>
        <a:blip xmlns:r="http://schemas.openxmlformats.org/officeDocument/2006/relationships" r:embed="rId4"/>
        <a:stretch>
          <a:fillRect/>
        </a:stretch>
      </xdr:blipFill>
      <xdr:spPr>
        <a:xfrm>
          <a:off x="11887200" y="6115050"/>
          <a:ext cx="7200900" cy="1089025"/>
        </a:xfrm>
        <a:prstGeom prst="rect">
          <a:avLst/>
        </a:prstGeom>
      </xdr:spPr>
    </xdr:pic>
    <xdr:clientData/>
  </xdr:twoCellAnchor>
  <xdr:twoCellAnchor editAs="oneCell">
    <xdr:from>
      <xdr:col>19</xdr:col>
      <xdr:colOff>476250</xdr:colOff>
      <xdr:row>36</xdr:row>
      <xdr:rowOff>180975</xdr:rowOff>
    </xdr:from>
    <xdr:to>
      <xdr:col>31</xdr:col>
      <xdr:colOff>322955</xdr:colOff>
      <xdr:row>76</xdr:row>
      <xdr:rowOff>141927</xdr:rowOff>
    </xdr:to>
    <xdr:pic>
      <xdr:nvPicPr>
        <xdr:cNvPr id="6" name="Picture 5"/>
        <xdr:cNvPicPr>
          <a:picLocks noChangeAspect="1"/>
        </xdr:cNvPicPr>
      </xdr:nvPicPr>
      <xdr:blipFill>
        <a:blip xmlns:r="http://schemas.openxmlformats.org/officeDocument/2006/relationships" r:embed="rId5"/>
        <a:stretch>
          <a:fillRect/>
        </a:stretch>
      </xdr:blipFill>
      <xdr:spPr>
        <a:xfrm>
          <a:off x="11877675" y="7038975"/>
          <a:ext cx="7047230" cy="7580630"/>
        </a:xfrm>
        <a:prstGeom prst="rect">
          <a:avLst/>
        </a:prstGeom>
      </xdr:spPr>
    </xdr:pic>
    <xdr:clientData/>
  </xdr:twoCellAnchor>
  <xdr:twoCellAnchor editAs="oneCell">
    <xdr:from>
      <xdr:col>9</xdr:col>
      <xdr:colOff>161925</xdr:colOff>
      <xdr:row>37</xdr:row>
      <xdr:rowOff>9525</xdr:rowOff>
    </xdr:from>
    <xdr:to>
      <xdr:col>20</xdr:col>
      <xdr:colOff>37277</xdr:colOff>
      <xdr:row>77</xdr:row>
      <xdr:rowOff>94287</xdr:rowOff>
    </xdr:to>
    <xdr:pic>
      <xdr:nvPicPr>
        <xdr:cNvPr id="7" name="Picture 6"/>
        <xdr:cNvPicPr>
          <a:picLocks noChangeAspect="1"/>
        </xdr:cNvPicPr>
      </xdr:nvPicPr>
      <xdr:blipFill>
        <a:blip xmlns:r="http://schemas.openxmlformats.org/officeDocument/2006/relationships" r:embed="rId6"/>
        <a:stretch>
          <a:fillRect/>
        </a:stretch>
      </xdr:blipFill>
      <xdr:spPr>
        <a:xfrm>
          <a:off x="5562600" y="7058025"/>
          <a:ext cx="6475730" cy="7704455"/>
        </a:xfrm>
        <a:prstGeom prst="rect">
          <a:avLst/>
        </a:prstGeom>
      </xdr:spPr>
    </xdr:pic>
    <xdr:clientData/>
  </xdr:twoCellAnchor>
  <xdr:twoCellAnchor editAs="oneCell">
    <xdr:from>
      <xdr:col>9</xdr:col>
      <xdr:colOff>142875</xdr:colOff>
      <xdr:row>0</xdr:row>
      <xdr:rowOff>0</xdr:rowOff>
    </xdr:from>
    <xdr:to>
      <xdr:col>20</xdr:col>
      <xdr:colOff>65846</xdr:colOff>
      <xdr:row>27</xdr:row>
      <xdr:rowOff>161262</xdr:rowOff>
    </xdr:to>
    <xdr:pic>
      <xdr:nvPicPr>
        <xdr:cNvPr id="8" name="Picture 7"/>
        <xdr:cNvPicPr>
          <a:picLocks noChangeAspect="1"/>
        </xdr:cNvPicPr>
      </xdr:nvPicPr>
      <xdr:blipFill>
        <a:blip xmlns:r="http://schemas.openxmlformats.org/officeDocument/2006/relationships" r:embed="rId7"/>
        <a:stretch>
          <a:fillRect/>
        </a:stretch>
      </xdr:blipFill>
      <xdr:spPr>
        <a:xfrm>
          <a:off x="5543550" y="0"/>
          <a:ext cx="6523355" cy="530415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7</xdr:row>
          <xdr:rowOff>19050</xdr:rowOff>
        </xdr:from>
        <xdr:to>
          <xdr:col>3</xdr:col>
          <xdr:colOff>685800</xdr:colOff>
          <xdr:row>7</xdr:row>
          <xdr:rowOff>200025</xdr:rowOff>
        </xdr:to>
        <xdr:sp macro="" textlink="">
          <xdr:nvSpPr>
            <xdr:cNvPr id="24582" name="Button 6" hidden="1">
              <a:extLst>
                <a:ext uri="{63B3BB69-23CF-44E3-9099-C40C66FF867C}">
                  <a14:compatExt spid="_x0000_s2458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Đổi dữ liệu hố khoan</a:t>
              </a:r>
            </a:p>
          </xdr:txBody>
        </xdr:sp>
        <xdr:clientData fPrintsWithSheet="0"/>
      </xdr:twoCellAnchor>
    </mc:Choice>
    <mc:Fallback/>
  </mc:AlternateContent>
  <xdr:twoCellAnchor>
    <xdr:from>
      <xdr:col>9</xdr:col>
      <xdr:colOff>24849</xdr:colOff>
      <xdr:row>7</xdr:row>
      <xdr:rowOff>198782</xdr:rowOff>
    </xdr:from>
    <xdr:to>
      <xdr:col>12</xdr:col>
      <xdr:colOff>604631</xdr:colOff>
      <xdr:row>27</xdr:row>
      <xdr:rowOff>1</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16</xdr:col>
          <xdr:colOff>542925</xdr:colOff>
          <xdr:row>16</xdr:row>
          <xdr:rowOff>0</xdr:rowOff>
        </xdr:from>
        <xdr:to>
          <xdr:col>18</xdr:col>
          <xdr:colOff>542925</xdr:colOff>
          <xdr:row>18</xdr:row>
          <xdr:rowOff>0</xdr:rowOff>
        </xdr:to>
        <xdr:sp macro="" textlink="">
          <xdr:nvSpPr>
            <xdr:cNvPr id="24591" name="Button 15" hidden="1">
              <a:extLst>
                <a:ext uri="{63B3BB69-23CF-44E3-9099-C40C66FF867C}">
                  <a14:compatExt spid="_x0000_s2459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 TM các hố khoan sau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0</xdr:row>
          <xdr:rowOff>19050</xdr:rowOff>
        </xdr:from>
        <xdr:to>
          <xdr:col>19</xdr:col>
          <xdr:colOff>485775</xdr:colOff>
          <xdr:row>4</xdr:row>
          <xdr:rowOff>28575</xdr:rowOff>
        </xdr:to>
        <xdr:sp macro="" textlink="">
          <xdr:nvSpPr>
            <xdr:cNvPr id="24600" name="Button 24" hidden="1">
              <a:extLst>
                <a:ext uri="{63B3BB69-23CF-44E3-9099-C40C66FF867C}">
                  <a14:compatExt spid="_x0000_s246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Copy toàn bộ thông số các hố khoan bên phải sang sheet SPT 10304-2025 EQ</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7</xdr:row>
          <xdr:rowOff>19050</xdr:rowOff>
        </xdr:from>
        <xdr:to>
          <xdr:col>3</xdr:col>
          <xdr:colOff>685800</xdr:colOff>
          <xdr:row>7</xdr:row>
          <xdr:rowOff>200025</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Đổi dữ liệu hố khoan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542925</xdr:colOff>
          <xdr:row>16</xdr:row>
          <xdr:rowOff>0</xdr:rowOff>
        </xdr:from>
        <xdr:to>
          <xdr:col>21</xdr:col>
          <xdr:colOff>542925</xdr:colOff>
          <xdr:row>18</xdr:row>
          <xdr:rowOff>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 TM các hố khoan sau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13</xdr:col>
      <xdr:colOff>223630</xdr:colOff>
      <xdr:row>9</xdr:row>
      <xdr:rowOff>99391</xdr:rowOff>
    </xdr:from>
    <xdr:to>
      <xdr:col>22</xdr:col>
      <xdr:colOff>522809</xdr:colOff>
      <xdr:row>21</xdr:row>
      <xdr:rowOff>80058</xdr:rowOff>
    </xdr:to>
    <xdr:pic>
      <xdr:nvPicPr>
        <xdr:cNvPr id="2" name="Picture 1"/>
        <xdr:cNvPicPr>
          <a:picLocks noChangeAspect="1"/>
        </xdr:cNvPicPr>
      </xdr:nvPicPr>
      <xdr:blipFill>
        <a:blip xmlns:r="http://schemas.openxmlformats.org/officeDocument/2006/relationships" r:embed="rId1"/>
        <a:stretch>
          <a:fillRect/>
        </a:stretch>
      </xdr:blipFill>
      <xdr:spPr>
        <a:xfrm>
          <a:off x="9519920" y="2127885"/>
          <a:ext cx="5185410" cy="233489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16</xdr:col>
      <xdr:colOff>530087</xdr:colOff>
      <xdr:row>9</xdr:row>
      <xdr:rowOff>24848</xdr:rowOff>
    </xdr:from>
    <xdr:to>
      <xdr:col>26</xdr:col>
      <xdr:colOff>282613</xdr:colOff>
      <xdr:row>21</xdr:row>
      <xdr:rowOff>5515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1540490" y="2053590"/>
          <a:ext cx="5182235" cy="233426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15</xdr:col>
      <xdr:colOff>91109</xdr:colOff>
      <xdr:row>0</xdr:row>
      <xdr:rowOff>0</xdr:rowOff>
    </xdr:from>
    <xdr:to>
      <xdr:col>24</xdr:col>
      <xdr:colOff>390287</xdr:colOff>
      <xdr:row>10</xdr:row>
      <xdr:rowOff>38645</xdr:rowOff>
    </xdr:to>
    <xdr:pic>
      <xdr:nvPicPr>
        <xdr:cNvPr id="2" name="Picture 1"/>
        <xdr:cNvPicPr>
          <a:picLocks noChangeAspect="1"/>
        </xdr:cNvPicPr>
      </xdr:nvPicPr>
      <xdr:blipFill>
        <a:blip xmlns:r="http://schemas.openxmlformats.org/officeDocument/2006/relationships" r:embed="rId1"/>
        <a:stretch>
          <a:fillRect/>
        </a:stretch>
      </xdr:blipFill>
      <xdr:spPr>
        <a:xfrm>
          <a:off x="10387330" y="0"/>
          <a:ext cx="5185410" cy="2276475"/>
        </a:xfrm>
        <a:prstGeom prst="rect">
          <a:avLst/>
        </a:prstGeom>
      </xdr:spPr>
    </xdr:pic>
    <xdr:clientData/>
  </xdr:twoCellAnchor>
  <xdr:twoCellAnchor editAs="oneCell">
    <xdr:from>
      <xdr:col>15</xdr:col>
      <xdr:colOff>223630</xdr:colOff>
      <xdr:row>14</xdr:row>
      <xdr:rowOff>74543</xdr:rowOff>
    </xdr:from>
    <xdr:to>
      <xdr:col>27</xdr:col>
      <xdr:colOff>330471</xdr:colOff>
      <xdr:row>47</xdr:row>
      <xdr:rowOff>5014</xdr:rowOff>
    </xdr:to>
    <xdr:pic>
      <xdr:nvPicPr>
        <xdr:cNvPr id="3" name="Picture 2"/>
        <xdr:cNvPicPr>
          <a:picLocks noChangeAspect="1"/>
        </xdr:cNvPicPr>
      </xdr:nvPicPr>
      <xdr:blipFill>
        <a:blip xmlns:r="http://schemas.openxmlformats.org/officeDocument/2006/relationships" r:embed="rId2"/>
        <a:stretch>
          <a:fillRect/>
        </a:stretch>
      </xdr:blipFill>
      <xdr:spPr>
        <a:xfrm>
          <a:off x="10520045" y="3074035"/>
          <a:ext cx="6621780" cy="639953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19</xdr:col>
      <xdr:colOff>33130</xdr:colOff>
      <xdr:row>1</xdr:row>
      <xdr:rowOff>57979</xdr:rowOff>
    </xdr:from>
    <xdr:to>
      <xdr:col>28</xdr:col>
      <xdr:colOff>332308</xdr:colOff>
      <xdr:row>12</xdr:row>
      <xdr:rowOff>121472</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29795" y="438785"/>
          <a:ext cx="5185410" cy="2286000"/>
        </a:xfrm>
        <a:prstGeom prst="rect">
          <a:avLst/>
        </a:prstGeom>
      </xdr:spPr>
    </xdr:pic>
    <xdr:clientData/>
  </xdr:twoCellAnchor>
  <xdr:twoCellAnchor editAs="oneCell">
    <xdr:from>
      <xdr:col>19</xdr:col>
      <xdr:colOff>33130</xdr:colOff>
      <xdr:row>21</xdr:row>
      <xdr:rowOff>182217</xdr:rowOff>
    </xdr:from>
    <xdr:to>
      <xdr:col>31</xdr:col>
      <xdr:colOff>139971</xdr:colOff>
      <xdr:row>54</xdr:row>
      <xdr:rowOff>71276</xdr:rowOff>
    </xdr:to>
    <xdr:pic>
      <xdr:nvPicPr>
        <xdr:cNvPr id="3" name="Picture 2"/>
        <xdr:cNvPicPr>
          <a:picLocks noChangeAspect="1"/>
        </xdr:cNvPicPr>
      </xdr:nvPicPr>
      <xdr:blipFill>
        <a:blip xmlns:r="http://schemas.openxmlformats.org/officeDocument/2006/relationships" r:embed="rId2"/>
        <a:stretch>
          <a:fillRect/>
        </a:stretch>
      </xdr:blipFill>
      <xdr:spPr>
        <a:xfrm>
          <a:off x="12329795" y="4564380"/>
          <a:ext cx="6621780" cy="636651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3.x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pageSetUpPr fitToPage="1"/>
  </sheetPr>
  <dimension ref="A1:M117"/>
  <sheetViews>
    <sheetView topLeftCell="A19" workbookViewId="0">
      <selection activeCell="C113" sqref="C113"/>
    </sheetView>
  </sheetViews>
  <sheetFormatPr defaultColWidth="9.140625" defaultRowHeight="14.25"/>
  <cols>
    <col min="1" max="1" width="8.7109375" style="284" customWidth="1"/>
    <col min="2" max="4" width="9.140625" style="284"/>
    <col min="5" max="5" width="12.5703125" style="284" customWidth="1"/>
    <col min="6" max="16384" width="9.140625" style="284"/>
  </cols>
  <sheetData>
    <row r="1" spans="1:13" ht="15">
      <c r="A1" s="392" t="s">
        <v>0</v>
      </c>
      <c r="B1" s="392"/>
      <c r="C1" s="392"/>
      <c r="D1" s="392"/>
      <c r="E1" s="392"/>
      <c r="F1" s="392"/>
      <c r="G1" s="392"/>
      <c r="H1" s="392"/>
      <c r="I1" s="392"/>
      <c r="J1" s="392"/>
      <c r="K1" s="392"/>
      <c r="L1" s="392"/>
      <c r="M1" s="392"/>
    </row>
    <row r="3" spans="1:13">
      <c r="A3" s="285" t="s">
        <v>1</v>
      </c>
      <c r="B3" s="393" t="s">
        <v>2</v>
      </c>
      <c r="C3" s="393"/>
      <c r="D3" s="393"/>
      <c r="E3" s="393"/>
      <c r="F3" s="393"/>
      <c r="G3" s="393"/>
      <c r="H3" s="393"/>
      <c r="I3" s="393"/>
      <c r="J3" s="393"/>
      <c r="K3" s="393"/>
      <c r="L3" s="393"/>
      <c r="M3" s="393"/>
    </row>
    <row r="4" spans="1:13">
      <c r="A4" s="285" t="s">
        <v>3</v>
      </c>
      <c r="B4" s="393" t="s">
        <v>4</v>
      </c>
      <c r="C4" s="393"/>
      <c r="D4" s="393"/>
      <c r="E4" s="393"/>
      <c r="F4" s="393"/>
      <c r="G4" s="393"/>
      <c r="H4" s="393"/>
      <c r="I4" s="393"/>
      <c r="J4" s="393"/>
      <c r="K4" s="393"/>
      <c r="L4" s="393"/>
      <c r="M4" s="393"/>
    </row>
    <row r="6" spans="1:13" ht="15">
      <c r="A6" s="286" t="s">
        <v>5</v>
      </c>
      <c r="B6" s="287"/>
      <c r="C6" s="288"/>
      <c r="D6" s="289"/>
      <c r="E6" s="289"/>
      <c r="F6" s="290"/>
      <c r="G6" s="291"/>
      <c r="H6" s="292"/>
      <c r="I6" s="290"/>
      <c r="J6" s="290"/>
      <c r="K6" s="290"/>
    </row>
    <row r="7" spans="1:13" ht="17.25">
      <c r="A7" s="286"/>
      <c r="B7" s="287"/>
      <c r="C7" s="293" t="s">
        <v>6</v>
      </c>
      <c r="D7" s="289"/>
      <c r="E7" s="289"/>
      <c r="F7" s="290"/>
      <c r="G7" s="291"/>
      <c r="H7" s="292"/>
      <c r="I7" s="290"/>
      <c r="J7" s="290"/>
      <c r="K7" s="290"/>
    </row>
    <row r="8" spans="1:13" ht="15">
      <c r="A8" s="294" t="s">
        <v>7</v>
      </c>
      <c r="B8" s="287"/>
      <c r="C8" s="293"/>
      <c r="D8" s="289"/>
      <c r="E8" s="289"/>
      <c r="F8" s="290"/>
      <c r="G8" s="291"/>
      <c r="H8" s="292"/>
      <c r="I8" s="290"/>
      <c r="J8" s="290"/>
      <c r="K8" s="290"/>
    </row>
    <row r="9" spans="1:13" ht="18.75">
      <c r="A9" s="361" t="s">
        <v>8</v>
      </c>
      <c r="B9" s="296"/>
      <c r="C9" s="288"/>
      <c r="D9" s="289"/>
      <c r="E9" s="289"/>
      <c r="F9" s="297"/>
      <c r="G9" s="298"/>
      <c r="H9" s="291"/>
      <c r="I9" s="290"/>
      <c r="J9" s="290"/>
      <c r="K9" s="290"/>
    </row>
    <row r="10" spans="1:13" ht="18.75">
      <c r="A10" s="361" t="s">
        <v>9</v>
      </c>
      <c r="B10" s="296"/>
      <c r="C10" s="288"/>
      <c r="D10" s="289"/>
      <c r="E10" s="289"/>
      <c r="F10" s="297"/>
      <c r="G10" s="299"/>
      <c r="H10" s="297"/>
      <c r="I10" s="290"/>
      <c r="J10" s="290"/>
      <c r="K10" s="290"/>
    </row>
    <row r="11" spans="1:13" ht="18.75">
      <c r="A11" s="362" t="s">
        <v>10</v>
      </c>
      <c r="B11" s="296"/>
      <c r="C11" s="288"/>
      <c r="D11" s="289"/>
      <c r="E11" s="289"/>
      <c r="F11" s="297"/>
      <c r="G11" s="299"/>
      <c r="H11" s="297"/>
      <c r="I11" s="290"/>
      <c r="J11" s="290"/>
      <c r="K11" s="290"/>
    </row>
    <row r="12" spans="1:13" ht="18.75">
      <c r="A12" s="362" t="s">
        <v>11</v>
      </c>
      <c r="B12" s="297"/>
      <c r="C12" s="301"/>
      <c r="D12" s="298"/>
      <c r="E12" s="302"/>
      <c r="F12" s="297"/>
      <c r="G12" s="303"/>
      <c r="H12" s="297"/>
      <c r="I12" s="304"/>
      <c r="J12" s="305"/>
      <c r="K12" s="305"/>
    </row>
    <row r="13" spans="1:13" ht="18.75">
      <c r="A13" s="306" t="s">
        <v>12</v>
      </c>
      <c r="B13" s="297"/>
      <c r="C13" s="301"/>
      <c r="D13" s="307"/>
      <c r="E13" s="302"/>
      <c r="F13" s="304"/>
      <c r="G13" s="308"/>
      <c r="H13" s="307"/>
      <c r="I13" s="309"/>
      <c r="J13" s="305"/>
      <c r="K13" s="305"/>
    </row>
    <row r="14" spans="1:13" ht="18.75">
      <c r="A14" s="363" t="s">
        <v>13</v>
      </c>
      <c r="B14" s="297"/>
      <c r="C14" s="301"/>
      <c r="D14" s="307"/>
      <c r="E14" s="302"/>
      <c r="F14" s="304"/>
      <c r="G14" s="308"/>
      <c r="H14" s="307"/>
      <c r="I14" s="309"/>
      <c r="J14" s="305"/>
      <c r="K14" s="305"/>
    </row>
    <row r="15" spans="1:13" ht="15">
      <c r="A15" s="363" t="s">
        <v>14</v>
      </c>
      <c r="B15" s="297"/>
      <c r="C15" s="301"/>
      <c r="D15" s="307"/>
      <c r="E15" s="302"/>
      <c r="F15" s="304"/>
      <c r="G15" s="308"/>
      <c r="H15" s="307"/>
      <c r="I15" s="309"/>
      <c r="J15" s="305"/>
      <c r="K15" s="305"/>
    </row>
    <row r="16" spans="1:13" ht="15.75">
      <c r="A16" s="297"/>
      <c r="B16" s="310" t="s">
        <v>15</v>
      </c>
      <c r="C16" s="301"/>
      <c r="D16" s="307"/>
      <c r="E16" s="302"/>
      <c r="F16" s="304"/>
      <c r="G16" s="308"/>
      <c r="H16" s="307"/>
      <c r="I16" s="309"/>
      <c r="J16" s="305"/>
      <c r="K16" s="305"/>
    </row>
    <row r="17" spans="1:11" ht="17.25">
      <c r="A17" s="306"/>
      <c r="B17" s="310" t="s">
        <v>16</v>
      </c>
      <c r="C17" s="301"/>
      <c r="D17" s="307"/>
      <c r="E17" s="302"/>
      <c r="F17" s="304"/>
      <c r="G17" s="308"/>
      <c r="H17" s="307"/>
      <c r="I17" s="309"/>
      <c r="J17" s="305"/>
      <c r="K17" s="305"/>
    </row>
    <row r="18" spans="1:11" ht="19.5">
      <c r="A18" s="306"/>
      <c r="B18" s="311" t="s">
        <v>17</v>
      </c>
      <c r="C18" s="301"/>
      <c r="D18" s="307"/>
      <c r="E18" s="302"/>
      <c r="F18" s="304"/>
      <c r="G18" s="308"/>
      <c r="H18" s="307"/>
      <c r="I18" s="309"/>
      <c r="J18" s="305"/>
      <c r="K18" s="305"/>
    </row>
    <row r="19" spans="1:11" ht="15">
      <c r="A19" s="363" t="s">
        <v>18</v>
      </c>
      <c r="B19" s="310"/>
      <c r="C19" s="301"/>
      <c r="D19" s="307"/>
      <c r="E19" s="302"/>
      <c r="F19" s="304"/>
      <c r="G19" s="308"/>
      <c r="H19" s="307"/>
      <c r="I19" s="309"/>
      <c r="J19" s="305"/>
      <c r="K19" s="305"/>
    </row>
    <row r="20" spans="1:11" ht="15">
      <c r="A20" s="363" t="s">
        <v>19</v>
      </c>
      <c r="B20" s="310"/>
      <c r="C20" s="301"/>
      <c r="D20" s="307"/>
      <c r="E20" s="302"/>
      <c r="F20" s="304"/>
      <c r="G20" s="308"/>
      <c r="H20" s="307"/>
      <c r="I20" s="309"/>
      <c r="J20" s="305"/>
      <c r="K20" s="305"/>
    </row>
    <row r="21" spans="1:11" ht="18.75">
      <c r="A21" s="295" t="s">
        <v>20</v>
      </c>
      <c r="B21" s="310"/>
      <c r="C21" s="301"/>
      <c r="D21" s="307"/>
      <c r="E21" s="302"/>
      <c r="F21" s="304"/>
      <c r="G21" s="308"/>
      <c r="H21" s="307"/>
      <c r="I21" s="309"/>
      <c r="J21" s="305"/>
      <c r="K21" s="305"/>
    </row>
    <row r="22" spans="1:11" ht="16.5">
      <c r="A22" s="306"/>
      <c r="B22" s="312" t="s">
        <v>21</v>
      </c>
      <c r="C22" s="301"/>
      <c r="D22" s="307"/>
      <c r="E22" s="302"/>
      <c r="F22" s="304"/>
      <c r="G22" s="308"/>
      <c r="H22" s="307"/>
      <c r="I22" s="309"/>
      <c r="J22" s="305"/>
      <c r="K22" s="305"/>
    </row>
    <row r="23" spans="1:11" ht="16.5">
      <c r="A23" s="295" t="s">
        <v>22</v>
      </c>
      <c r="B23" s="312"/>
      <c r="C23" s="301"/>
      <c r="D23" s="307"/>
      <c r="E23" s="302"/>
      <c r="F23" s="304"/>
      <c r="G23" s="308"/>
      <c r="H23" s="307"/>
      <c r="I23" s="309"/>
      <c r="J23" s="305"/>
      <c r="K23" s="305"/>
    </row>
    <row r="24" spans="1:11" ht="18.75">
      <c r="A24" s="295"/>
      <c r="B24" s="313" t="s">
        <v>23</v>
      </c>
      <c r="C24" s="301"/>
      <c r="D24" s="307"/>
      <c r="E24" s="302"/>
      <c r="F24" s="304"/>
      <c r="G24" s="308"/>
      <c r="H24" s="307"/>
      <c r="I24" s="309"/>
      <c r="J24" s="305"/>
      <c r="K24" s="305"/>
    </row>
    <row r="25" spans="1:11" ht="18.75">
      <c r="A25" s="295" t="s">
        <v>24</v>
      </c>
      <c r="B25" s="313"/>
      <c r="C25" s="301"/>
      <c r="D25" s="307"/>
      <c r="E25" s="302"/>
      <c r="F25" s="304"/>
      <c r="G25" s="308"/>
      <c r="H25" s="307"/>
      <c r="I25" s="309"/>
      <c r="J25" s="305"/>
      <c r="K25" s="305"/>
    </row>
    <row r="26" spans="1:11" ht="18.75">
      <c r="A26" s="295"/>
      <c r="B26" s="295" t="s">
        <v>25</v>
      </c>
      <c r="C26" s="301"/>
      <c r="D26" s="307"/>
      <c r="E26" s="302"/>
      <c r="F26" s="304"/>
      <c r="G26" s="308"/>
      <c r="H26" s="307"/>
      <c r="I26" s="309"/>
      <c r="J26" s="305"/>
      <c r="K26" s="305"/>
    </row>
    <row r="27" spans="1:11" ht="18.75">
      <c r="A27" s="295"/>
      <c r="B27" s="295" t="s">
        <v>26</v>
      </c>
      <c r="C27" s="301"/>
      <c r="D27" s="307"/>
      <c r="E27" s="302"/>
      <c r="F27" s="304"/>
      <c r="G27" s="308"/>
      <c r="H27" s="307"/>
      <c r="I27" s="309"/>
      <c r="J27" s="305"/>
      <c r="K27" s="305"/>
    </row>
    <row r="28" spans="1:11">
      <c r="A28" s="295"/>
      <c r="B28" s="295" t="s">
        <v>27</v>
      </c>
      <c r="C28" s="301"/>
      <c r="D28" s="307"/>
      <c r="E28" s="302"/>
      <c r="F28" s="304"/>
      <c r="G28" s="308"/>
      <c r="H28" s="307"/>
      <c r="I28" s="309"/>
      <c r="J28" s="305"/>
      <c r="K28" s="305"/>
    </row>
    <row r="29" spans="1:11">
      <c r="A29" s="295" t="s">
        <v>28</v>
      </c>
      <c r="B29" s="295"/>
      <c r="C29" s="301"/>
      <c r="D29" s="307"/>
      <c r="E29" s="302"/>
      <c r="F29" s="304"/>
      <c r="G29" s="308"/>
      <c r="H29" s="307"/>
      <c r="I29" s="309"/>
      <c r="J29" s="305"/>
      <c r="K29" s="305"/>
    </row>
    <row r="30" spans="1:11" ht="18.75">
      <c r="A30" s="295" t="s">
        <v>29</v>
      </c>
      <c r="B30" s="312"/>
      <c r="C30" s="301"/>
      <c r="D30" s="307"/>
      <c r="E30" s="302"/>
      <c r="F30" s="304"/>
      <c r="G30" s="308"/>
      <c r="H30" s="307"/>
      <c r="I30" s="309"/>
      <c r="J30" s="305"/>
      <c r="K30" s="305"/>
    </row>
    <row r="31" spans="1:11" ht="15">
      <c r="A31" s="361" t="s">
        <v>30</v>
      </c>
      <c r="B31" s="312"/>
      <c r="C31" s="301"/>
      <c r="D31" s="307"/>
      <c r="E31" s="302"/>
      <c r="F31" s="304"/>
      <c r="G31" s="308"/>
      <c r="H31" s="307"/>
      <c r="I31" s="309"/>
      <c r="J31" s="305"/>
      <c r="K31" s="305"/>
    </row>
    <row r="32" spans="1:11">
      <c r="A32" s="314"/>
      <c r="B32" s="314"/>
      <c r="C32" s="315"/>
      <c r="D32" s="316"/>
      <c r="E32" s="316"/>
      <c r="F32" s="316"/>
      <c r="G32" s="316"/>
      <c r="H32" s="317"/>
      <c r="I32" s="318"/>
      <c r="J32" s="318"/>
      <c r="K32" s="318"/>
    </row>
    <row r="33" spans="1:11" ht="15">
      <c r="A33" s="319" t="s">
        <v>31</v>
      </c>
      <c r="B33" s="319"/>
      <c r="C33" s="315"/>
      <c r="D33" s="316"/>
      <c r="E33" s="316"/>
      <c r="F33" s="316"/>
      <c r="G33" s="316"/>
      <c r="H33" s="317"/>
      <c r="I33" s="318"/>
      <c r="J33" s="318"/>
      <c r="K33" s="318"/>
    </row>
    <row r="34" spans="1:11" ht="15">
      <c r="A34" s="320" t="s">
        <v>32</v>
      </c>
      <c r="B34" s="320"/>
      <c r="C34" s="316"/>
      <c r="D34" s="316"/>
      <c r="E34" s="316"/>
      <c r="F34" s="316"/>
      <c r="G34" s="316"/>
      <c r="H34" s="317"/>
      <c r="I34" s="318"/>
      <c r="J34" s="318"/>
      <c r="K34" s="318"/>
    </row>
    <row r="35" spans="1:11" ht="17.25">
      <c r="A35" s="314"/>
      <c r="B35" s="314"/>
      <c r="C35" s="321" t="s">
        <v>33</v>
      </c>
      <c r="D35" s="322"/>
      <c r="E35" s="322"/>
      <c r="F35" s="322"/>
      <c r="G35" s="316"/>
      <c r="H35" s="317"/>
      <c r="I35" s="318"/>
      <c r="J35" s="318"/>
      <c r="K35" s="318"/>
    </row>
    <row r="36" spans="1:11">
      <c r="A36" s="323" t="s">
        <v>7</v>
      </c>
      <c r="B36" s="297"/>
      <c r="C36" s="316"/>
      <c r="D36" s="322"/>
      <c r="E36" s="322"/>
      <c r="F36" s="322"/>
      <c r="G36" s="316"/>
      <c r="H36" s="317"/>
      <c r="I36" s="318"/>
      <c r="J36" s="318"/>
      <c r="K36" s="318"/>
    </row>
    <row r="37" spans="1:11" ht="18.75">
      <c r="A37" s="297"/>
      <c r="B37" s="297"/>
      <c r="C37" s="361" t="s">
        <v>34</v>
      </c>
      <c r="D37" s="322"/>
      <c r="E37" s="322"/>
      <c r="F37" s="322"/>
      <c r="G37" s="324"/>
      <c r="H37" s="325"/>
      <c r="I37" s="318"/>
      <c r="J37" s="318"/>
      <c r="K37" s="318"/>
    </row>
    <row r="38" spans="1:11" ht="18.75">
      <c r="A38" s="297"/>
      <c r="B38" s="297"/>
      <c r="C38" s="295" t="s">
        <v>35</v>
      </c>
      <c r="D38" s="326"/>
      <c r="E38" s="326"/>
      <c r="F38" s="322"/>
      <c r="G38" s="327"/>
      <c r="H38" s="325"/>
      <c r="I38" s="318"/>
      <c r="J38" s="318"/>
      <c r="K38" s="318"/>
    </row>
    <row r="39" spans="1:11" ht="18.75">
      <c r="A39" s="297"/>
      <c r="B39" s="297"/>
      <c r="C39" s="295" t="s">
        <v>36</v>
      </c>
      <c r="D39" s="295"/>
      <c r="E39" s="297"/>
      <c r="F39" s="327"/>
      <c r="G39" s="326"/>
      <c r="H39" s="325"/>
      <c r="I39" s="318"/>
      <c r="J39" s="318"/>
      <c r="K39" s="318"/>
    </row>
    <row r="40" spans="1:11" ht="18.75">
      <c r="A40" s="297"/>
      <c r="B40" s="297"/>
      <c r="C40" s="295" t="s">
        <v>37</v>
      </c>
      <c r="D40" s="322"/>
      <c r="E40" s="322"/>
      <c r="F40" s="322"/>
      <c r="G40" s="316"/>
      <c r="H40" s="317"/>
      <c r="I40" s="318"/>
      <c r="J40" s="318"/>
      <c r="K40" s="318"/>
    </row>
    <row r="41" spans="1:11" ht="18.75">
      <c r="A41" s="297"/>
      <c r="B41" s="297"/>
      <c r="C41" s="295" t="s">
        <v>38</v>
      </c>
      <c r="D41" s="322"/>
      <c r="E41" s="322"/>
      <c r="F41" s="322"/>
      <c r="G41" s="316"/>
      <c r="H41" s="317"/>
      <c r="I41" s="318"/>
      <c r="J41" s="318"/>
      <c r="K41" s="318"/>
    </row>
    <row r="42" spans="1:11" ht="18.75">
      <c r="A42" s="297"/>
      <c r="B42" s="297"/>
      <c r="C42" s="297"/>
      <c r="D42" s="295" t="s">
        <v>39</v>
      </c>
      <c r="E42" s="322"/>
      <c r="F42" s="328"/>
      <c r="G42" s="316"/>
      <c r="H42" s="317"/>
      <c r="I42" s="318"/>
      <c r="J42" s="318"/>
      <c r="K42" s="318"/>
    </row>
    <row r="43" spans="1:11" ht="18.75">
      <c r="A43" s="297"/>
      <c r="B43" s="297"/>
      <c r="C43" s="361" t="s">
        <v>40</v>
      </c>
      <c r="D43" s="322"/>
      <c r="E43" s="322"/>
      <c r="F43" s="322"/>
      <c r="G43" s="316"/>
      <c r="H43" s="317"/>
      <c r="I43" s="318"/>
      <c r="J43" s="318"/>
      <c r="K43" s="318"/>
    </row>
    <row r="44" spans="1:11" ht="18.75">
      <c r="A44" s="297"/>
      <c r="B44" s="297"/>
      <c r="C44" s="297"/>
      <c r="D44" s="295" t="s">
        <v>41</v>
      </c>
      <c r="E44" s="297"/>
      <c r="F44" s="315"/>
      <c r="G44" s="315"/>
      <c r="H44" s="329"/>
      <c r="I44" s="314"/>
      <c r="J44" s="314"/>
      <c r="K44" s="314"/>
    </row>
    <row r="45" spans="1:11" ht="18.75">
      <c r="A45" s="297"/>
      <c r="B45" s="297"/>
      <c r="C45" s="361" t="s">
        <v>42</v>
      </c>
      <c r="D45" s="330"/>
      <c r="E45" s="330"/>
      <c r="F45" s="331"/>
      <c r="G45" s="329"/>
      <c r="H45" s="315"/>
      <c r="I45" s="314"/>
      <c r="J45" s="314"/>
      <c r="K45" s="314"/>
    </row>
    <row r="46" spans="1:11" ht="18.75">
      <c r="A46" s="297"/>
      <c r="B46" s="297"/>
      <c r="C46" s="295" t="s">
        <v>43</v>
      </c>
      <c r="D46" s="330"/>
      <c r="E46" s="330"/>
      <c r="F46" s="330"/>
      <c r="G46" s="330"/>
      <c r="H46" s="314"/>
      <c r="I46" s="314"/>
      <c r="J46" s="314"/>
      <c r="K46" s="314"/>
    </row>
    <row r="47" spans="1:11" ht="18.75">
      <c r="A47" s="297"/>
      <c r="B47" s="297"/>
      <c r="C47" s="295" t="s">
        <v>44</v>
      </c>
      <c r="D47" s="330"/>
      <c r="E47" s="330"/>
      <c r="F47" s="330"/>
      <c r="G47" s="330"/>
      <c r="H47" s="314"/>
      <c r="I47" s="314"/>
      <c r="J47" s="314"/>
      <c r="K47" s="314"/>
    </row>
    <row r="48" spans="1:11" ht="18.75">
      <c r="A48" s="297"/>
      <c r="B48" s="297"/>
      <c r="C48" s="295" t="s">
        <v>45</v>
      </c>
      <c r="D48" s="330"/>
      <c r="E48" s="330"/>
      <c r="F48" s="330"/>
      <c r="G48" s="330"/>
      <c r="H48" s="314"/>
      <c r="I48" s="314"/>
      <c r="J48" s="314"/>
      <c r="K48" s="314"/>
    </row>
    <row r="49" spans="1:11" ht="18.75">
      <c r="A49" s="297"/>
      <c r="B49" s="297"/>
      <c r="C49" s="361" t="s">
        <v>46</v>
      </c>
      <c r="D49" s="330"/>
      <c r="E49" s="330"/>
      <c r="F49" s="330"/>
      <c r="G49" s="330"/>
      <c r="H49" s="314"/>
      <c r="I49" s="314"/>
      <c r="J49" s="314"/>
      <c r="K49" s="314"/>
    </row>
    <row r="50" spans="1:11" ht="18.75">
      <c r="A50" s="297"/>
      <c r="B50" s="297"/>
      <c r="C50" s="364" t="s">
        <v>47</v>
      </c>
      <c r="D50" s="316"/>
      <c r="E50" s="316"/>
      <c r="F50" s="316"/>
      <c r="G50" s="316"/>
      <c r="H50" s="332"/>
      <c r="I50" s="314"/>
      <c r="J50" s="314"/>
      <c r="K50" s="314"/>
    </row>
    <row r="51" spans="1:11">
      <c r="A51" s="297"/>
      <c r="B51" s="297"/>
      <c r="C51" s="364" t="s">
        <v>48</v>
      </c>
      <c r="D51" s="316"/>
      <c r="E51" s="316"/>
      <c r="F51" s="316"/>
      <c r="G51" s="316"/>
      <c r="H51" s="332"/>
      <c r="I51" s="314"/>
      <c r="J51" s="314"/>
      <c r="K51" s="314"/>
    </row>
    <row r="52" spans="1:11">
      <c r="A52" s="314"/>
      <c r="B52" s="314"/>
      <c r="C52" s="322"/>
      <c r="D52" s="322"/>
      <c r="E52" s="322"/>
      <c r="F52" s="322"/>
      <c r="G52" s="315"/>
      <c r="H52" s="315"/>
      <c r="I52" s="314"/>
      <c r="J52" s="314"/>
      <c r="K52" s="314"/>
    </row>
    <row r="53" spans="1:11" ht="15">
      <c r="A53" s="320" t="s">
        <v>49</v>
      </c>
      <c r="B53" s="320"/>
      <c r="C53" s="316"/>
      <c r="D53" s="316"/>
      <c r="E53" s="316"/>
      <c r="F53" s="317"/>
      <c r="G53" s="317"/>
      <c r="H53" s="315"/>
      <c r="I53" s="314"/>
      <c r="J53" s="314"/>
      <c r="K53" s="314"/>
    </row>
    <row r="54" spans="1:11" ht="17.25">
      <c r="A54" s="297"/>
      <c r="B54" s="297"/>
      <c r="C54" s="321" t="s">
        <v>50</v>
      </c>
      <c r="D54" s="316"/>
      <c r="E54" s="316"/>
      <c r="F54" s="317"/>
      <c r="G54" s="317"/>
      <c r="H54" s="315"/>
      <c r="I54" s="314"/>
      <c r="J54" s="314"/>
      <c r="K54" s="314"/>
    </row>
    <row r="55" spans="1:11" ht="15">
      <c r="A55" s="333" t="s">
        <v>51</v>
      </c>
      <c r="B55" s="333"/>
      <c r="C55" s="334"/>
      <c r="D55" s="316"/>
      <c r="E55" s="316"/>
      <c r="F55" s="317"/>
      <c r="G55" s="317"/>
      <c r="H55" s="315"/>
      <c r="I55" s="314"/>
      <c r="J55" s="314"/>
      <c r="K55" s="314"/>
    </row>
    <row r="56" spans="1:11" ht="18.75">
      <c r="A56" s="333"/>
      <c r="B56" s="297"/>
      <c r="C56" s="361" t="s">
        <v>52</v>
      </c>
      <c r="D56" s="316"/>
      <c r="E56" s="316"/>
      <c r="F56" s="317"/>
      <c r="G56" s="317"/>
      <c r="H56" s="315"/>
      <c r="I56" s="314"/>
      <c r="J56" s="314"/>
      <c r="K56" s="314"/>
    </row>
    <row r="57" spans="1:11" ht="18.75">
      <c r="A57" s="333"/>
      <c r="B57" s="297"/>
      <c r="C57" s="297"/>
      <c r="D57" s="297" t="s">
        <v>53</v>
      </c>
      <c r="E57" s="316"/>
      <c r="F57" s="297"/>
      <c r="G57" s="317"/>
      <c r="H57" s="315"/>
      <c r="I57" s="314"/>
      <c r="J57" s="314"/>
      <c r="K57" s="314"/>
    </row>
    <row r="58" spans="1:11" ht="18.75">
      <c r="A58" s="297"/>
      <c r="B58" s="297"/>
      <c r="C58" s="361" t="s">
        <v>54</v>
      </c>
      <c r="D58" s="316"/>
      <c r="E58" s="316"/>
      <c r="F58" s="317"/>
      <c r="G58" s="317"/>
      <c r="H58" s="315"/>
      <c r="I58" s="335"/>
      <c r="J58" s="335"/>
      <c r="K58" s="335"/>
    </row>
    <row r="59" spans="1:11" ht="18.75">
      <c r="A59" s="297"/>
      <c r="B59" s="297"/>
      <c r="C59" s="295" t="s">
        <v>37</v>
      </c>
      <c r="D59" s="316"/>
      <c r="E59" s="316"/>
      <c r="F59" s="317"/>
      <c r="G59" s="317"/>
      <c r="H59" s="315"/>
      <c r="I59" s="335"/>
      <c r="J59" s="335"/>
      <c r="K59" s="335"/>
    </row>
    <row r="60" spans="1:11" ht="18.75">
      <c r="A60" s="297"/>
      <c r="B60" s="297"/>
      <c r="C60" s="295" t="s">
        <v>38</v>
      </c>
      <c r="D60" s="316"/>
      <c r="E60" s="316"/>
      <c r="F60" s="317"/>
      <c r="G60" s="317"/>
      <c r="H60" s="315"/>
      <c r="I60" s="335"/>
      <c r="J60" s="335"/>
      <c r="K60" s="335"/>
    </row>
    <row r="61" spans="1:11" ht="18.75">
      <c r="A61" s="297"/>
      <c r="B61" s="297"/>
      <c r="C61" s="297"/>
      <c r="D61" s="297" t="s">
        <v>55</v>
      </c>
      <c r="E61" s="316"/>
      <c r="F61" s="297"/>
      <c r="G61" s="317"/>
      <c r="H61" s="315"/>
      <c r="I61" s="335"/>
      <c r="J61" s="335"/>
      <c r="K61" s="335"/>
    </row>
    <row r="62" spans="1:11" ht="18.75">
      <c r="A62" s="297"/>
      <c r="B62" s="297"/>
      <c r="C62" s="361" t="s">
        <v>56</v>
      </c>
      <c r="D62" s="316"/>
      <c r="E62" s="316"/>
      <c r="F62" s="317"/>
      <c r="G62" s="317"/>
      <c r="H62" s="315"/>
      <c r="I62" s="335"/>
      <c r="J62" s="335"/>
      <c r="K62" s="335"/>
    </row>
    <row r="63" spans="1:11" ht="18.75">
      <c r="A63" s="295"/>
      <c r="B63" s="297"/>
      <c r="C63" s="361" t="s">
        <v>40</v>
      </c>
      <c r="D63" s="295"/>
      <c r="E63" s="297"/>
      <c r="F63" s="297"/>
      <c r="G63" s="297"/>
      <c r="H63" s="297"/>
      <c r="I63" s="297"/>
      <c r="J63" s="297"/>
      <c r="K63" s="297"/>
    </row>
    <row r="64" spans="1:11" ht="18.75">
      <c r="A64" s="295"/>
      <c r="B64" s="297"/>
      <c r="C64" s="297"/>
      <c r="D64" s="297" t="s">
        <v>57</v>
      </c>
      <c r="E64" s="297"/>
      <c r="F64" s="297"/>
      <c r="G64" s="297"/>
      <c r="H64" s="297"/>
      <c r="I64" s="297"/>
      <c r="J64" s="297"/>
      <c r="K64" s="297"/>
    </row>
    <row r="65" spans="1:11" ht="18.75">
      <c r="A65" s="297"/>
      <c r="B65" s="297"/>
      <c r="C65" s="361" t="s">
        <v>42</v>
      </c>
      <c r="D65" s="316"/>
      <c r="E65" s="316"/>
      <c r="F65" s="317"/>
      <c r="G65" s="317"/>
      <c r="H65" s="315"/>
      <c r="I65" s="335"/>
      <c r="J65" s="335"/>
      <c r="K65" s="335"/>
    </row>
    <row r="66" spans="1:11" ht="18.75">
      <c r="A66" s="297"/>
      <c r="B66" s="297"/>
      <c r="C66" s="295" t="s">
        <v>43</v>
      </c>
      <c r="D66" s="316"/>
      <c r="E66" s="316"/>
      <c r="F66" s="317"/>
      <c r="G66" s="317"/>
      <c r="H66" s="315"/>
      <c r="I66" s="314"/>
      <c r="J66" s="314"/>
      <c r="K66" s="314"/>
    </row>
    <row r="67" spans="1:11" ht="18.75">
      <c r="A67" s="297"/>
      <c r="B67" s="297"/>
      <c r="C67" s="295" t="s">
        <v>44</v>
      </c>
      <c r="D67" s="316"/>
      <c r="E67" s="316"/>
      <c r="F67" s="317"/>
      <c r="G67" s="317"/>
      <c r="H67" s="315"/>
      <c r="I67" s="314"/>
      <c r="J67" s="314"/>
      <c r="K67" s="314"/>
    </row>
    <row r="68" spans="1:11" ht="18.75">
      <c r="A68" s="315"/>
      <c r="B68" s="297"/>
      <c r="C68" s="295" t="s">
        <v>45</v>
      </c>
      <c r="D68" s="316"/>
      <c r="E68" s="316"/>
      <c r="F68" s="317"/>
      <c r="G68" s="317"/>
      <c r="H68" s="315"/>
      <c r="I68" s="314"/>
      <c r="J68" s="314"/>
      <c r="K68" s="314"/>
    </row>
    <row r="69" spans="1:11" ht="18.75">
      <c r="A69" s="297"/>
      <c r="B69" s="315"/>
      <c r="C69" s="361" t="s">
        <v>46</v>
      </c>
      <c r="D69" s="316"/>
      <c r="E69" s="316"/>
      <c r="F69" s="317"/>
      <c r="G69" s="317"/>
      <c r="H69" s="315"/>
      <c r="I69" s="314"/>
      <c r="J69" s="314"/>
      <c r="K69" s="314"/>
    </row>
    <row r="70" spans="1:11" ht="18.75">
      <c r="A70" s="297"/>
      <c r="B70" s="297"/>
      <c r="C70" s="364" t="s">
        <v>47</v>
      </c>
      <c r="D70" s="316"/>
      <c r="E70" s="316"/>
      <c r="F70" s="317"/>
      <c r="G70" s="317"/>
      <c r="H70" s="315"/>
      <c r="I70" s="314"/>
      <c r="J70" s="314"/>
      <c r="K70" s="314"/>
    </row>
    <row r="71" spans="1:11">
      <c r="A71" s="316"/>
      <c r="B71" s="297"/>
      <c r="C71" s="364" t="s">
        <v>48</v>
      </c>
      <c r="D71" s="297"/>
      <c r="E71" s="297"/>
      <c r="F71" s="297"/>
      <c r="G71" s="317"/>
      <c r="H71" s="315"/>
      <c r="I71" s="314"/>
      <c r="J71" s="314"/>
      <c r="K71" s="314"/>
    </row>
    <row r="72" spans="1:11" ht="15">
      <c r="A72" s="330"/>
      <c r="B72" s="315"/>
      <c r="C72" s="336"/>
      <c r="D72" s="322"/>
      <c r="E72" s="322"/>
      <c r="F72" s="322"/>
      <c r="G72" s="337"/>
      <c r="H72" s="338"/>
      <c r="I72" s="318"/>
      <c r="J72" s="339"/>
      <c r="K72" s="339"/>
    </row>
    <row r="73" spans="1:11" ht="15">
      <c r="A73" s="320" t="s">
        <v>58</v>
      </c>
      <c r="B73" s="320"/>
      <c r="C73" s="340"/>
      <c r="D73" s="341"/>
      <c r="E73" s="341"/>
      <c r="F73" s="342"/>
      <c r="G73" s="343"/>
      <c r="H73" s="330"/>
      <c r="I73" s="344"/>
      <c r="J73" s="290"/>
      <c r="K73" s="290"/>
    </row>
    <row r="74" spans="1:11" ht="17.25">
      <c r="A74" s="345"/>
      <c r="B74" s="345"/>
      <c r="C74" s="321" t="s">
        <v>59</v>
      </c>
      <c r="D74" s="346"/>
      <c r="E74" s="346"/>
      <c r="F74" s="347"/>
      <c r="G74" s="348"/>
      <c r="H74" s="348"/>
      <c r="I74" s="349"/>
      <c r="J74" s="298"/>
      <c r="K74" s="298"/>
    </row>
    <row r="75" spans="1:11">
      <c r="A75" s="350" t="s">
        <v>60</v>
      </c>
      <c r="B75" s="350"/>
      <c r="C75" s="297"/>
      <c r="D75" s="351"/>
      <c r="E75" s="351"/>
      <c r="F75" s="342"/>
      <c r="G75" s="343"/>
      <c r="H75" s="330"/>
      <c r="I75" s="344"/>
      <c r="J75" s="290"/>
      <c r="K75" s="290"/>
    </row>
    <row r="76" spans="1:11" ht="18.75">
      <c r="A76" s="350"/>
      <c r="B76" s="350"/>
      <c r="C76" s="361" t="s">
        <v>34</v>
      </c>
      <c r="D76" s="351"/>
      <c r="E76" s="351"/>
      <c r="F76" s="342"/>
      <c r="G76" s="343"/>
      <c r="H76" s="330"/>
      <c r="I76" s="344"/>
      <c r="J76" s="290"/>
      <c r="K76" s="290"/>
    </row>
    <row r="77" spans="1:11" ht="18.75">
      <c r="A77" s="350"/>
      <c r="B77" s="350"/>
      <c r="C77" s="364" t="s">
        <v>47</v>
      </c>
      <c r="D77" s="351"/>
      <c r="E77" s="351"/>
      <c r="F77" s="342"/>
      <c r="G77" s="343"/>
      <c r="H77" s="330"/>
      <c r="I77" s="344"/>
      <c r="J77" s="290"/>
      <c r="K77" s="290"/>
    </row>
    <row r="78" spans="1:11">
      <c r="A78" s="350"/>
      <c r="B78" s="350"/>
      <c r="C78" s="364" t="s">
        <v>48</v>
      </c>
      <c r="D78" s="351"/>
      <c r="E78" s="351"/>
      <c r="F78" s="342"/>
      <c r="G78" s="343"/>
      <c r="H78" s="330"/>
      <c r="I78" s="344"/>
      <c r="J78" s="290"/>
      <c r="K78" s="290"/>
    </row>
    <row r="79" spans="1:11" ht="18.75">
      <c r="A79" s="297"/>
      <c r="B79" s="297"/>
      <c r="C79" s="361" t="s">
        <v>61</v>
      </c>
      <c r="D79" s="351"/>
      <c r="E79" s="351"/>
      <c r="F79" s="342"/>
      <c r="G79" s="343"/>
      <c r="H79" s="330"/>
      <c r="I79" s="344"/>
      <c r="J79" s="290"/>
      <c r="K79" s="290"/>
    </row>
    <row r="80" spans="1:11" ht="18.75">
      <c r="A80" s="297"/>
      <c r="B80" s="297"/>
      <c r="C80" s="361" t="s">
        <v>62</v>
      </c>
      <c r="D80" s="341"/>
      <c r="E80" s="341"/>
      <c r="F80" s="342"/>
      <c r="G80" s="343"/>
      <c r="H80" s="330"/>
      <c r="I80" s="344"/>
      <c r="J80" s="290"/>
      <c r="K80" s="290"/>
    </row>
    <row r="81" spans="1:11">
      <c r="A81" s="352" t="s">
        <v>63</v>
      </c>
      <c r="B81" s="352"/>
      <c r="C81" s="340"/>
      <c r="D81" s="341"/>
      <c r="E81" s="341"/>
      <c r="F81" s="342"/>
      <c r="G81" s="343"/>
      <c r="H81" s="330"/>
      <c r="I81" s="344"/>
      <c r="J81" s="290"/>
      <c r="K81" s="290"/>
    </row>
    <row r="82" spans="1:11">
      <c r="A82" s="353" t="s">
        <v>64</v>
      </c>
      <c r="B82" s="297"/>
      <c r="C82" s="297"/>
      <c r="D82" s="297"/>
      <c r="E82" s="297"/>
      <c r="F82" s="297"/>
      <c r="G82" s="297"/>
      <c r="H82" s="297"/>
      <c r="I82" s="290"/>
      <c r="J82" s="290"/>
      <c r="K82" s="290"/>
    </row>
    <row r="83" spans="1:11" ht="18.75">
      <c r="A83" s="297"/>
      <c r="B83" s="297"/>
      <c r="C83" s="297"/>
      <c r="D83" s="354" t="s">
        <v>65</v>
      </c>
      <c r="E83" s="297"/>
      <c r="F83" s="297"/>
      <c r="G83" s="297"/>
      <c r="H83" s="297"/>
      <c r="I83" s="290"/>
      <c r="J83" s="290"/>
      <c r="K83" s="290"/>
    </row>
    <row r="84" spans="1:11">
      <c r="A84" s="333" t="s">
        <v>7</v>
      </c>
      <c r="B84" s="297"/>
      <c r="C84" s="297"/>
      <c r="D84" s="354"/>
      <c r="E84" s="297"/>
      <c r="F84" s="297"/>
      <c r="G84" s="297"/>
      <c r="H84" s="297"/>
      <c r="I84" s="290"/>
      <c r="J84" s="290"/>
      <c r="K84" s="290"/>
    </row>
    <row r="85" spans="1:11" ht="18.75">
      <c r="A85" s="297"/>
      <c r="B85" s="297"/>
      <c r="C85" s="361" t="s">
        <v>66</v>
      </c>
      <c r="D85" s="297"/>
      <c r="E85" s="297"/>
      <c r="F85" s="297"/>
      <c r="G85" s="297"/>
      <c r="H85" s="297"/>
      <c r="I85" s="290"/>
      <c r="J85" s="290"/>
      <c r="K85" s="290"/>
    </row>
    <row r="86" spans="1:11" ht="18.75">
      <c r="A86" s="297"/>
      <c r="B86" s="297"/>
      <c r="C86" s="361" t="s">
        <v>67</v>
      </c>
      <c r="D86" s="297"/>
      <c r="E86" s="297"/>
      <c r="F86" s="297"/>
      <c r="G86" s="297"/>
      <c r="H86" s="297"/>
      <c r="I86" s="290"/>
      <c r="J86" s="290"/>
      <c r="K86" s="290"/>
    </row>
    <row r="87" spans="1:11">
      <c r="A87" s="353" t="s">
        <v>68</v>
      </c>
      <c r="B87" s="297"/>
      <c r="C87" s="295"/>
      <c r="D87" s="297"/>
      <c r="E87" s="297"/>
      <c r="F87" s="297"/>
      <c r="G87" s="297"/>
      <c r="H87" s="297"/>
      <c r="I87" s="290"/>
      <c r="J87" s="290"/>
      <c r="K87" s="290"/>
    </row>
    <row r="88" spans="1:11" ht="18.75">
      <c r="A88" s="297"/>
      <c r="B88" s="297"/>
      <c r="C88" s="297"/>
      <c r="D88" s="295" t="s">
        <v>69</v>
      </c>
      <c r="E88" s="297"/>
      <c r="F88" s="297"/>
      <c r="G88" s="297"/>
      <c r="H88" s="297"/>
      <c r="I88" s="290"/>
      <c r="J88" s="290"/>
      <c r="K88" s="290"/>
    </row>
    <row r="89" spans="1:11">
      <c r="A89" s="333" t="s">
        <v>7</v>
      </c>
      <c r="B89" s="297"/>
      <c r="C89" s="297"/>
      <c r="D89" s="297"/>
      <c r="E89" s="297"/>
      <c r="F89" s="297"/>
      <c r="G89" s="297"/>
      <c r="H89" s="297"/>
      <c r="I89" s="290"/>
      <c r="J89" s="290"/>
      <c r="K89" s="290"/>
    </row>
    <row r="90" spans="1:11" ht="18.75">
      <c r="A90" s="297"/>
      <c r="B90" s="297"/>
      <c r="C90" s="361" t="s">
        <v>70</v>
      </c>
      <c r="D90" s="297"/>
      <c r="E90" s="297"/>
      <c r="F90" s="297"/>
      <c r="G90" s="297"/>
      <c r="H90" s="297"/>
      <c r="I90" s="290"/>
      <c r="J90" s="290"/>
      <c r="K90" s="290"/>
    </row>
    <row r="91" spans="1:11" ht="18.75">
      <c r="A91" s="297"/>
      <c r="B91" s="297"/>
      <c r="C91" s="361" t="s">
        <v>71</v>
      </c>
      <c r="D91" s="297"/>
      <c r="E91" s="297"/>
      <c r="F91" s="297"/>
      <c r="G91" s="297"/>
      <c r="H91" s="297"/>
      <c r="I91" s="298"/>
      <c r="J91" s="290"/>
      <c r="K91" s="290"/>
    </row>
    <row r="92" spans="1:11">
      <c r="A92" s="352" t="s">
        <v>72</v>
      </c>
      <c r="B92" s="297"/>
      <c r="C92" s="297"/>
      <c r="D92" s="297"/>
      <c r="E92" s="297"/>
      <c r="F92" s="297"/>
      <c r="G92" s="297"/>
      <c r="H92" s="297"/>
      <c r="I92" s="290"/>
      <c r="J92" s="290"/>
      <c r="K92" s="290"/>
    </row>
    <row r="93" spans="1:11">
      <c r="A93" s="353" t="s">
        <v>73</v>
      </c>
      <c r="B93" s="297"/>
      <c r="C93" s="297"/>
      <c r="D93" s="297"/>
      <c r="E93" s="297"/>
      <c r="F93" s="297"/>
      <c r="G93" s="297"/>
      <c r="H93" s="297"/>
      <c r="I93" s="290"/>
      <c r="J93" s="290"/>
      <c r="K93" s="290"/>
    </row>
    <row r="94" spans="1:11" ht="18.75">
      <c r="A94" s="297"/>
      <c r="B94" s="297"/>
      <c r="C94" s="297"/>
      <c r="D94" s="355" t="s">
        <v>74</v>
      </c>
      <c r="E94" s="297"/>
      <c r="F94" s="297"/>
      <c r="G94" s="297"/>
      <c r="H94" s="297"/>
      <c r="I94" s="290"/>
      <c r="J94" s="290"/>
      <c r="K94" s="290"/>
    </row>
    <row r="95" spans="1:11">
      <c r="A95" s="333" t="s">
        <v>7</v>
      </c>
      <c r="B95" s="297"/>
      <c r="C95" s="297"/>
      <c r="D95" s="297"/>
      <c r="E95" s="297"/>
      <c r="F95" s="297"/>
      <c r="G95" s="297"/>
      <c r="H95" s="297"/>
      <c r="I95" s="290"/>
      <c r="J95" s="290"/>
      <c r="K95" s="290"/>
    </row>
    <row r="96" spans="1:11" ht="15">
      <c r="A96" s="297"/>
      <c r="B96" s="297"/>
      <c r="C96" s="361" t="s">
        <v>75</v>
      </c>
      <c r="D96" s="297"/>
      <c r="E96" s="297"/>
      <c r="F96" s="297"/>
      <c r="G96" s="297"/>
      <c r="H96" s="297"/>
      <c r="I96" s="290"/>
      <c r="J96" s="290"/>
      <c r="K96" s="290"/>
    </row>
    <row r="97" spans="1:11" ht="18.75">
      <c r="A97" s="297"/>
      <c r="B97" s="297"/>
      <c r="C97" s="361" t="s">
        <v>43</v>
      </c>
      <c r="D97" s="297"/>
      <c r="E97" s="297"/>
      <c r="F97" s="297"/>
      <c r="G97" s="297"/>
      <c r="H97" s="297"/>
      <c r="I97" s="290"/>
      <c r="J97" s="290"/>
      <c r="K97" s="290"/>
    </row>
    <row r="98" spans="1:11">
      <c r="A98" s="353" t="s">
        <v>76</v>
      </c>
      <c r="B98" s="297"/>
      <c r="C98" s="297"/>
      <c r="D98" s="297"/>
      <c r="E98" s="297"/>
      <c r="F98" s="297"/>
      <c r="G98" s="297"/>
      <c r="H98" s="297"/>
      <c r="I98" s="290"/>
      <c r="J98" s="290"/>
      <c r="K98" s="290"/>
    </row>
    <row r="99" spans="1:11" ht="18.75">
      <c r="A99" s="295" t="s">
        <v>77</v>
      </c>
      <c r="B99" s="297"/>
      <c r="C99" s="297"/>
      <c r="D99" s="355" t="s">
        <v>78</v>
      </c>
      <c r="E99" s="297"/>
      <c r="F99" s="297"/>
      <c r="G99" s="297"/>
      <c r="H99" s="297"/>
      <c r="I99" s="290"/>
      <c r="J99" s="290"/>
      <c r="K99" s="290"/>
    </row>
    <row r="100" spans="1:11" ht="18.75">
      <c r="A100" s="295" t="s">
        <v>79</v>
      </c>
      <c r="B100" s="297"/>
      <c r="C100" s="297"/>
      <c r="D100" s="355" t="s">
        <v>80</v>
      </c>
      <c r="E100" s="297"/>
      <c r="F100" s="297"/>
      <c r="G100" s="297"/>
      <c r="H100" s="297"/>
      <c r="I100" s="290"/>
      <c r="J100" s="290"/>
      <c r="K100" s="290"/>
    </row>
    <row r="101" spans="1:11">
      <c r="A101" s="333" t="s">
        <v>7</v>
      </c>
      <c r="B101" s="297"/>
      <c r="C101" s="297"/>
      <c r="D101" s="297"/>
      <c r="E101" s="297"/>
      <c r="F101" s="297"/>
      <c r="G101" s="297"/>
      <c r="H101" s="297"/>
      <c r="I101" s="290"/>
      <c r="J101" s="290"/>
      <c r="K101" s="290"/>
    </row>
    <row r="102" spans="1:11">
      <c r="A102" s="297"/>
      <c r="B102" s="297"/>
      <c r="C102" s="361" t="s">
        <v>81</v>
      </c>
      <c r="D102" s="297"/>
      <c r="E102" s="297"/>
      <c r="F102" s="297"/>
      <c r="G102" s="297"/>
      <c r="H102" s="298"/>
      <c r="I102" s="290"/>
      <c r="J102" s="290"/>
      <c r="K102" s="290"/>
    </row>
    <row r="103" spans="1:11" ht="18.75">
      <c r="A103" s="297"/>
      <c r="B103" s="297"/>
      <c r="C103" s="361" t="s">
        <v>82</v>
      </c>
      <c r="D103" s="297"/>
      <c r="E103" s="297"/>
      <c r="F103" s="297"/>
      <c r="G103" s="297"/>
      <c r="H103" s="297"/>
      <c r="I103" s="290"/>
      <c r="J103" s="290"/>
      <c r="K103" s="290"/>
    </row>
    <row r="104" spans="1:11">
      <c r="A104" s="330"/>
      <c r="B104" s="297"/>
      <c r="C104" s="297"/>
      <c r="D104" s="297"/>
      <c r="E104" s="297"/>
      <c r="F104" s="297"/>
      <c r="G104" s="297"/>
      <c r="H104" s="297"/>
      <c r="I104" s="290"/>
      <c r="J104" s="290"/>
      <c r="K104" s="290"/>
    </row>
    <row r="105" spans="1:11">
      <c r="A105" s="333" t="s">
        <v>83</v>
      </c>
      <c r="B105" s="297"/>
      <c r="C105" s="297"/>
      <c r="D105" s="297"/>
      <c r="E105" s="297"/>
      <c r="F105" s="297"/>
      <c r="G105" s="297"/>
      <c r="H105" s="297"/>
      <c r="I105" s="290"/>
      <c r="J105" s="290"/>
      <c r="K105" s="290"/>
    </row>
    <row r="106" spans="1:11" ht="18.75">
      <c r="A106" s="361" t="s">
        <v>84</v>
      </c>
      <c r="B106" s="297"/>
      <c r="C106" s="297"/>
      <c r="D106" s="297"/>
      <c r="E106" s="297"/>
      <c r="F106" s="297"/>
      <c r="G106" s="297"/>
      <c r="H106" s="297"/>
      <c r="I106" s="356"/>
      <c r="J106" s="290"/>
      <c r="K106" s="290"/>
    </row>
    <row r="107" spans="1:11">
      <c r="A107" s="361" t="s">
        <v>85</v>
      </c>
      <c r="B107" s="297"/>
      <c r="C107" s="297"/>
      <c r="D107" s="297"/>
      <c r="E107" s="297"/>
      <c r="F107" s="297"/>
      <c r="G107" s="297"/>
      <c r="H107" s="297"/>
      <c r="I107" s="290"/>
      <c r="J107" s="290"/>
      <c r="K107" s="290"/>
    </row>
    <row r="108" spans="1:11" ht="18.75">
      <c r="A108" s="330"/>
      <c r="B108" s="297"/>
      <c r="C108" s="295" t="s">
        <v>86</v>
      </c>
      <c r="D108" s="357"/>
      <c r="E108" s="297"/>
      <c r="F108" s="297"/>
      <c r="G108" s="297"/>
      <c r="H108" s="297"/>
      <c r="I108" s="290"/>
      <c r="J108" s="290"/>
      <c r="K108" s="290"/>
    </row>
    <row r="109" spans="1:11" ht="18.75">
      <c r="A109" s="330"/>
      <c r="B109" s="297"/>
      <c r="C109" s="295" t="s">
        <v>87</v>
      </c>
      <c r="D109" s="357"/>
      <c r="E109" s="297"/>
      <c r="F109" s="297"/>
      <c r="G109" s="297"/>
      <c r="H109" s="297"/>
      <c r="I109" s="290"/>
      <c r="J109" s="290"/>
      <c r="K109" s="290"/>
    </row>
    <row r="110" spans="1:11" ht="18.75">
      <c r="A110" s="361" t="s">
        <v>88</v>
      </c>
      <c r="B110" s="297"/>
      <c r="C110" s="297"/>
      <c r="D110" s="297"/>
      <c r="E110" s="297"/>
      <c r="F110" s="297"/>
      <c r="G110" s="297"/>
      <c r="H110" s="297"/>
      <c r="I110" s="290"/>
      <c r="J110" s="290"/>
      <c r="K110" s="290"/>
    </row>
    <row r="111" spans="1:11" ht="18.75">
      <c r="A111" s="361" t="s">
        <v>89</v>
      </c>
      <c r="B111" s="297"/>
      <c r="C111" s="297"/>
      <c r="D111" s="297"/>
      <c r="E111" s="297"/>
      <c r="F111" s="297"/>
      <c r="G111" s="297"/>
      <c r="H111" s="300"/>
      <c r="I111" s="290"/>
      <c r="J111" s="290"/>
      <c r="K111" s="290"/>
    </row>
    <row r="112" spans="1:11">
      <c r="A112" s="295" t="s">
        <v>90</v>
      </c>
      <c r="B112" s="297"/>
      <c r="C112" s="297"/>
      <c r="D112" s="297"/>
      <c r="E112" s="297"/>
      <c r="F112" s="297"/>
      <c r="G112" s="297"/>
      <c r="H112" s="300"/>
      <c r="I112" s="290"/>
      <c r="J112" s="290"/>
      <c r="K112" s="290"/>
    </row>
    <row r="113" spans="1:11" ht="18.75">
      <c r="A113" s="361" t="s">
        <v>91</v>
      </c>
      <c r="B113" s="297"/>
      <c r="C113" s="297"/>
      <c r="D113" s="297"/>
      <c r="E113" s="297"/>
      <c r="F113" s="297"/>
      <c r="G113" s="297"/>
      <c r="H113" s="300"/>
      <c r="I113" s="290"/>
      <c r="J113" s="290"/>
      <c r="K113" s="290"/>
    </row>
    <row r="114" spans="1:11" ht="15">
      <c r="A114" s="297"/>
      <c r="B114" s="297"/>
      <c r="C114" s="358"/>
      <c r="D114" s="359"/>
      <c r="E114" s="297"/>
      <c r="F114" s="297"/>
      <c r="G114" s="297"/>
      <c r="H114" s="297"/>
      <c r="I114" s="290"/>
      <c r="J114" s="290"/>
      <c r="K114" s="290"/>
    </row>
    <row r="115" spans="1:11" ht="15">
      <c r="A115" s="360" t="s">
        <v>92</v>
      </c>
      <c r="B115" s="297"/>
      <c r="C115" s="297"/>
      <c r="D115" s="297"/>
      <c r="E115" s="297"/>
      <c r="F115" s="297"/>
      <c r="G115" s="297"/>
      <c r="H115" s="300"/>
      <c r="I115" s="290"/>
      <c r="J115" s="290"/>
      <c r="K115" s="290"/>
    </row>
    <row r="116" spans="1:11">
      <c r="A116" s="295" t="s">
        <v>93</v>
      </c>
      <c r="B116" s="297"/>
      <c r="C116" s="297"/>
      <c r="D116" s="297"/>
      <c r="E116" s="297"/>
      <c r="F116" s="297"/>
      <c r="G116" s="297"/>
      <c r="H116" s="300"/>
      <c r="I116" s="290"/>
      <c r="J116" s="290"/>
      <c r="K116" s="290"/>
    </row>
    <row r="117" spans="1:11" ht="16.5">
      <c r="A117" s="295"/>
      <c r="B117" s="297"/>
      <c r="C117" s="336" t="s">
        <v>94</v>
      </c>
      <c r="D117" s="297"/>
      <c r="E117" s="297"/>
      <c r="F117" s="394"/>
      <c r="G117" s="394"/>
      <c r="H117" s="300"/>
      <c r="I117" s="290"/>
      <c r="J117" s="290"/>
      <c r="K117" s="290"/>
    </row>
  </sheetData>
  <mergeCells count="4">
    <mergeCell ref="A1:M1"/>
    <mergeCell ref="B3:M3"/>
    <mergeCell ref="B4:M4"/>
    <mergeCell ref="F117:G117"/>
  </mergeCells>
  <pageMargins left="0.78740157480314998" right="0.59055118110236204" top="0.59055118110236204" bottom="0.59055118110236204" header="0.39370078740157499" footer="0.196850393700787"/>
  <pageSetup paperSize="9" scale="72" fitToHeight="0" orientation="portrait"/>
  <headerFooter>
    <oddHeader>&amp;LTHAM &amp; WONG</oddHead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pageSetUpPr fitToPage="1"/>
  </sheetPr>
  <dimension ref="A1:J71"/>
  <sheetViews>
    <sheetView workbookViewId="0">
      <selection activeCell="H22" sqref="H22"/>
    </sheetView>
  </sheetViews>
  <sheetFormatPr defaultColWidth="12.28515625" defaultRowHeight="14.25"/>
  <cols>
    <col min="1" max="1" width="12.28515625" style="269"/>
    <col min="2" max="2" width="14.28515625" style="269" customWidth="1"/>
    <col min="3" max="3" width="15.7109375" style="269" customWidth="1"/>
    <col min="4" max="4" width="12.28515625" style="269"/>
    <col min="5" max="5" width="9.85546875" style="269" customWidth="1"/>
    <col min="6" max="16384" width="12.28515625" style="269"/>
  </cols>
  <sheetData>
    <row r="1" spans="1:10">
      <c r="A1" s="395" t="s">
        <v>95</v>
      </c>
      <c r="B1" s="395"/>
      <c r="C1" s="395"/>
    </row>
    <row r="2" spans="1:10">
      <c r="A2" s="270" t="s">
        <v>96</v>
      </c>
      <c r="B2" s="270" t="s">
        <v>97</v>
      </c>
      <c r="C2" s="6" t="s">
        <v>98</v>
      </c>
    </row>
    <row r="3" spans="1:10">
      <c r="A3" s="271" t="s">
        <v>99</v>
      </c>
      <c r="B3" s="272">
        <v>1</v>
      </c>
      <c r="C3" s="273" t="s">
        <v>100</v>
      </c>
    </row>
    <row r="4" spans="1:10">
      <c r="A4" s="271" t="s">
        <v>101</v>
      </c>
      <c r="B4" s="272">
        <v>2</v>
      </c>
      <c r="C4" s="273" t="s">
        <v>102</v>
      </c>
    </row>
    <row r="5" spans="1:10">
      <c r="A5" s="271" t="s">
        <v>103</v>
      </c>
      <c r="B5" s="272">
        <v>3</v>
      </c>
      <c r="C5" s="273" t="s">
        <v>104</v>
      </c>
    </row>
    <row r="9" spans="1:10">
      <c r="A9" s="396" t="s">
        <v>105</v>
      </c>
      <c r="B9" s="396"/>
      <c r="C9" s="396"/>
      <c r="D9" s="396"/>
      <c r="E9" s="396"/>
      <c r="G9" s="396" t="s">
        <v>105</v>
      </c>
      <c r="H9" s="396"/>
      <c r="I9" s="396"/>
      <c r="J9" s="396"/>
    </row>
    <row r="10" spans="1:10">
      <c r="A10" s="397" t="s">
        <v>106</v>
      </c>
      <c r="B10" s="398"/>
      <c r="C10" s="398"/>
      <c r="D10" s="398"/>
      <c r="E10" s="399"/>
      <c r="G10" s="396" t="s">
        <v>107</v>
      </c>
      <c r="H10" s="396"/>
      <c r="I10" s="396"/>
      <c r="J10" s="396"/>
    </row>
    <row r="11" spans="1:10">
      <c r="A11" s="6" t="s">
        <v>108</v>
      </c>
      <c r="B11" s="6" t="s">
        <v>109</v>
      </c>
      <c r="C11" s="6" t="s">
        <v>110</v>
      </c>
      <c r="D11" s="6" t="s">
        <v>111</v>
      </c>
      <c r="E11" s="6" t="s">
        <v>112</v>
      </c>
      <c r="G11" s="6" t="s">
        <v>113</v>
      </c>
      <c r="H11" s="6" t="s">
        <v>114</v>
      </c>
      <c r="I11" s="6" t="s">
        <v>115</v>
      </c>
      <c r="J11" s="6" t="s">
        <v>116</v>
      </c>
    </row>
    <row r="12" spans="1:10">
      <c r="A12" s="272">
        <v>10</v>
      </c>
      <c r="B12" s="274">
        <v>150</v>
      </c>
      <c r="C12" s="274">
        <v>6</v>
      </c>
      <c r="D12" s="274">
        <v>0.56999999999999995</v>
      </c>
      <c r="E12" s="274">
        <v>18000</v>
      </c>
      <c r="G12" s="6" t="s">
        <v>117</v>
      </c>
      <c r="H12" s="275">
        <v>225</v>
      </c>
      <c r="I12" s="275">
        <v>225</v>
      </c>
      <c r="J12" s="275">
        <v>235</v>
      </c>
    </row>
    <row r="13" spans="1:10">
      <c r="A13" s="272">
        <v>12.5</v>
      </c>
      <c r="B13" s="274">
        <v>150</v>
      </c>
      <c r="C13" s="274">
        <v>7.5</v>
      </c>
      <c r="D13" s="274">
        <v>0.66</v>
      </c>
      <c r="E13" s="274">
        <v>21000</v>
      </c>
      <c r="G13" s="6" t="s">
        <v>118</v>
      </c>
      <c r="H13" s="275">
        <v>280</v>
      </c>
      <c r="I13" s="275">
        <v>280</v>
      </c>
      <c r="J13" s="275">
        <v>295</v>
      </c>
    </row>
    <row r="14" spans="1:10">
      <c r="A14" s="272">
        <v>15</v>
      </c>
      <c r="B14" s="274">
        <v>200</v>
      </c>
      <c r="C14" s="274">
        <v>8.5</v>
      </c>
      <c r="D14" s="274">
        <v>0.75</v>
      </c>
      <c r="E14" s="274">
        <v>23000</v>
      </c>
      <c r="G14" s="6" t="s">
        <v>119</v>
      </c>
      <c r="H14" s="275">
        <v>365</v>
      </c>
      <c r="I14" s="275">
        <v>365</v>
      </c>
      <c r="J14" s="275">
        <v>390</v>
      </c>
    </row>
    <row r="15" spans="1:10">
      <c r="A15" s="272">
        <v>20</v>
      </c>
      <c r="B15" s="274">
        <v>250</v>
      </c>
      <c r="C15" s="274">
        <v>11.5</v>
      </c>
      <c r="D15" s="274">
        <v>0.9</v>
      </c>
      <c r="E15" s="274">
        <v>27000</v>
      </c>
      <c r="G15" s="6" t="s">
        <v>120</v>
      </c>
      <c r="H15" s="275">
        <v>225</v>
      </c>
      <c r="I15" s="275">
        <v>225</v>
      </c>
      <c r="J15" s="275">
        <v>235</v>
      </c>
    </row>
    <row r="16" spans="1:10">
      <c r="A16" s="272">
        <v>22.5</v>
      </c>
      <c r="B16" s="274">
        <v>300</v>
      </c>
      <c r="C16" s="274">
        <v>13</v>
      </c>
      <c r="D16" s="274">
        <v>1</v>
      </c>
      <c r="E16" s="274">
        <v>29000</v>
      </c>
      <c r="G16" s="6" t="s">
        <v>121</v>
      </c>
      <c r="H16" s="275">
        <v>280</v>
      </c>
      <c r="I16" s="275">
        <v>280</v>
      </c>
      <c r="J16" s="275">
        <v>295</v>
      </c>
    </row>
    <row r="17" spans="1:10">
      <c r="A17" s="272">
        <v>25</v>
      </c>
      <c r="B17" s="274">
        <v>350</v>
      </c>
      <c r="C17" s="274">
        <v>14.5</v>
      </c>
      <c r="D17" s="274">
        <v>1.05</v>
      </c>
      <c r="E17" s="274">
        <v>30000</v>
      </c>
      <c r="G17" s="6" t="s">
        <v>122</v>
      </c>
      <c r="H17" s="6">
        <v>365</v>
      </c>
      <c r="I17" s="6">
        <v>365</v>
      </c>
      <c r="J17" s="6">
        <v>390</v>
      </c>
    </row>
    <row r="18" spans="1:10">
      <c r="A18" s="272">
        <v>30</v>
      </c>
      <c r="B18" s="274">
        <v>400</v>
      </c>
      <c r="C18" s="274">
        <v>17</v>
      </c>
      <c r="D18" s="274">
        <v>1.2</v>
      </c>
      <c r="E18" s="274">
        <v>32500</v>
      </c>
      <c r="G18" s="6" t="s">
        <v>123</v>
      </c>
      <c r="H18" s="6">
        <v>210</v>
      </c>
      <c r="I18" s="6">
        <v>210</v>
      </c>
      <c r="J18" s="6">
        <v>240</v>
      </c>
    </row>
    <row r="19" spans="1:10">
      <c r="A19" s="272">
        <v>35</v>
      </c>
      <c r="B19" s="274">
        <v>450</v>
      </c>
      <c r="C19" s="274">
        <v>19.5</v>
      </c>
      <c r="D19" s="274">
        <v>1.3</v>
      </c>
      <c r="E19" s="274">
        <v>34500</v>
      </c>
      <c r="G19" s="6" t="s">
        <v>124</v>
      </c>
      <c r="H19" s="6">
        <v>260</v>
      </c>
      <c r="I19" s="6">
        <v>260</v>
      </c>
      <c r="J19" s="6">
        <v>300</v>
      </c>
    </row>
    <row r="20" spans="1:10">
      <c r="A20" s="272">
        <v>40</v>
      </c>
      <c r="B20" s="274">
        <v>500</v>
      </c>
      <c r="C20" s="274">
        <v>22</v>
      </c>
      <c r="D20" s="274">
        <v>1.4</v>
      </c>
      <c r="E20" s="274">
        <v>36000</v>
      </c>
      <c r="G20" s="6" t="s">
        <v>125</v>
      </c>
      <c r="H20" s="6">
        <v>280</v>
      </c>
      <c r="I20" s="6">
        <v>280</v>
      </c>
      <c r="J20" s="6">
        <v>300</v>
      </c>
    </row>
    <row r="21" spans="1:10">
      <c r="A21" s="272">
        <v>45</v>
      </c>
      <c r="B21" s="274">
        <v>600</v>
      </c>
      <c r="C21" s="274">
        <v>25</v>
      </c>
      <c r="D21" s="274">
        <v>1.45</v>
      </c>
      <c r="E21" s="274">
        <v>37500</v>
      </c>
      <c r="G21" s="6" t="s">
        <v>126</v>
      </c>
      <c r="H21" s="6">
        <v>350</v>
      </c>
      <c r="I21" s="6">
        <v>365</v>
      </c>
      <c r="J21" s="6">
        <v>400</v>
      </c>
    </row>
    <row r="22" spans="1:10">
      <c r="A22" s="272">
        <v>50</v>
      </c>
      <c r="B22" s="274">
        <v>700</v>
      </c>
      <c r="C22" s="274">
        <v>27.5</v>
      </c>
      <c r="D22" s="274">
        <v>1.55</v>
      </c>
      <c r="E22" s="274">
        <v>39000</v>
      </c>
      <c r="G22" s="6" t="s">
        <v>127</v>
      </c>
      <c r="H22" s="6">
        <v>434</v>
      </c>
      <c r="I22" s="6">
        <v>426</v>
      </c>
      <c r="J22" s="6">
        <v>500</v>
      </c>
    </row>
    <row r="23" spans="1:10">
      <c r="A23" s="272">
        <v>55</v>
      </c>
      <c r="B23" s="274">
        <v>700</v>
      </c>
      <c r="C23" s="274">
        <v>30</v>
      </c>
      <c r="D23" s="274">
        <v>1.6</v>
      </c>
      <c r="E23" s="274">
        <v>39500</v>
      </c>
      <c r="G23" s="6" t="s">
        <v>128</v>
      </c>
      <c r="H23" s="6">
        <v>280</v>
      </c>
      <c r="I23" s="6">
        <v>280</v>
      </c>
      <c r="J23" s="6">
        <v>295</v>
      </c>
    </row>
    <row r="24" spans="1:10">
      <c r="A24" s="272">
        <v>60</v>
      </c>
      <c r="B24" s="274">
        <v>800</v>
      </c>
      <c r="C24" s="274">
        <v>33</v>
      </c>
      <c r="D24" s="274">
        <v>1.65</v>
      </c>
      <c r="E24" s="274">
        <v>40000</v>
      </c>
      <c r="G24" s="6" t="s">
        <v>129</v>
      </c>
      <c r="H24" s="6">
        <v>365</v>
      </c>
      <c r="I24" s="6">
        <v>365</v>
      </c>
      <c r="J24" s="6">
        <v>390</v>
      </c>
    </row>
    <row r="25" spans="1:10">
      <c r="G25" s="6" t="s">
        <v>130</v>
      </c>
      <c r="H25" s="6">
        <v>426</v>
      </c>
      <c r="I25" s="6">
        <v>426</v>
      </c>
      <c r="J25" s="6">
        <v>490</v>
      </c>
    </row>
    <row r="26" spans="1:10" ht="15">
      <c r="A26" s="400" t="s">
        <v>131</v>
      </c>
      <c r="B26" s="401"/>
      <c r="C26" s="401"/>
      <c r="D26" s="401"/>
      <c r="E26" s="401"/>
      <c r="F26" s="401"/>
      <c r="G26" s="401"/>
    </row>
    <row r="27" spans="1:10" ht="16.5">
      <c r="A27" s="276" t="s">
        <v>132</v>
      </c>
      <c r="B27" s="277" t="s">
        <v>133</v>
      </c>
    </row>
    <row r="28" spans="1:10">
      <c r="A28" s="6">
        <v>0.35</v>
      </c>
      <c r="B28" s="6">
        <v>1</v>
      </c>
    </row>
    <row r="29" spans="1:10">
      <c r="A29" s="6">
        <v>0.8</v>
      </c>
      <c r="B29" s="6">
        <v>0.5</v>
      </c>
    </row>
    <row r="30" spans="1:10">
      <c r="A30" s="278" t="s">
        <v>134</v>
      </c>
      <c r="B30" s="278" t="s">
        <v>135</v>
      </c>
    </row>
    <row r="31" spans="1:10">
      <c r="A31" s="6">
        <v>50</v>
      </c>
      <c r="B31" s="6">
        <v>1</v>
      </c>
    </row>
    <row r="32" spans="1:10">
      <c r="A32" s="6">
        <v>120</v>
      </c>
      <c r="B32" s="6">
        <v>0.7</v>
      </c>
    </row>
    <row r="33" spans="1:7">
      <c r="A33" s="279"/>
      <c r="B33" s="279"/>
    </row>
    <row r="44" spans="1:7" ht="15">
      <c r="A44" s="402" t="s">
        <v>136</v>
      </c>
      <c r="B44" s="402"/>
      <c r="C44" s="402"/>
      <c r="D44" s="402"/>
      <c r="E44" s="402"/>
      <c r="F44" s="402"/>
      <c r="G44" s="402"/>
    </row>
    <row r="45" spans="1:7" ht="15">
      <c r="A45" s="405" t="s">
        <v>137</v>
      </c>
      <c r="B45" s="407" t="s">
        <v>138</v>
      </c>
      <c r="C45" s="405" t="s">
        <v>139</v>
      </c>
      <c r="D45" s="403" t="s">
        <v>140</v>
      </c>
      <c r="E45" s="403"/>
      <c r="F45" s="403" t="s">
        <v>141</v>
      </c>
      <c r="G45" s="403"/>
    </row>
    <row r="46" spans="1:7" ht="38.25">
      <c r="A46" s="406"/>
      <c r="B46" s="406"/>
      <c r="C46" s="406"/>
      <c r="D46" s="268" t="s">
        <v>142</v>
      </c>
      <c r="E46" s="280" t="s">
        <v>143</v>
      </c>
      <c r="F46" s="268" t="s">
        <v>142</v>
      </c>
      <c r="G46" s="280" t="s">
        <v>143</v>
      </c>
    </row>
    <row r="47" spans="1:7" ht="15">
      <c r="A47" s="281" t="s">
        <v>144</v>
      </c>
      <c r="B47" s="281" t="s">
        <v>145</v>
      </c>
      <c r="C47" s="281">
        <v>6</v>
      </c>
      <c r="D47" s="281">
        <v>0.8</v>
      </c>
      <c r="E47" s="281">
        <v>0.3</v>
      </c>
      <c r="F47" s="281">
        <v>60</v>
      </c>
      <c r="G47" s="281">
        <v>25</v>
      </c>
    </row>
    <row r="48" spans="1:7" ht="15">
      <c r="A48" s="281" t="s">
        <v>146</v>
      </c>
      <c r="B48" s="281" t="s">
        <v>147</v>
      </c>
      <c r="C48" s="281">
        <v>8</v>
      </c>
      <c r="D48" s="281">
        <v>1</v>
      </c>
      <c r="E48" s="281">
        <v>0.5</v>
      </c>
      <c r="F48" s="281">
        <v>100</v>
      </c>
      <c r="G48" s="281">
        <v>60</v>
      </c>
    </row>
    <row r="49" spans="1:8" ht="15">
      <c r="A49" s="281" t="s">
        <v>148</v>
      </c>
      <c r="B49" s="281" t="s">
        <v>149</v>
      </c>
      <c r="C49" s="281">
        <v>15</v>
      </c>
      <c r="D49" s="281">
        <v>1.5</v>
      </c>
      <c r="E49" s="281">
        <v>0.8</v>
      </c>
      <c r="F49" s="281">
        <v>180</v>
      </c>
      <c r="G49" s="281">
        <v>100</v>
      </c>
    </row>
    <row r="53" spans="1:8" ht="15" customHeight="1">
      <c r="A53" s="404" t="s">
        <v>150</v>
      </c>
      <c r="B53" s="404"/>
      <c r="C53" s="404"/>
      <c r="D53" s="404"/>
      <c r="E53" s="404"/>
      <c r="F53" s="404"/>
      <c r="G53" s="404"/>
      <c r="H53" s="404"/>
    </row>
    <row r="54" spans="1:8" ht="15">
      <c r="A54" s="282" t="s">
        <v>151</v>
      </c>
      <c r="B54" s="283" t="s">
        <v>152</v>
      </c>
    </row>
    <row r="55" spans="1:8" ht="15">
      <c r="A55" s="268">
        <v>40</v>
      </c>
      <c r="B55" s="268">
        <v>1</v>
      </c>
    </row>
    <row r="56" spans="1:8" ht="15">
      <c r="A56" s="268">
        <v>50</v>
      </c>
      <c r="B56" s="268">
        <v>0.9</v>
      </c>
    </row>
    <row r="57" spans="1:8" ht="15">
      <c r="A57" s="268">
        <v>60</v>
      </c>
      <c r="B57" s="268">
        <v>0.79</v>
      </c>
    </row>
    <row r="58" spans="1:8" ht="15">
      <c r="A58" s="268">
        <v>70</v>
      </c>
      <c r="B58" s="268">
        <v>0.7</v>
      </c>
    </row>
    <row r="59" spans="1:8" ht="15">
      <c r="A59" s="268">
        <v>80</v>
      </c>
      <c r="B59" s="268">
        <v>0.63</v>
      </c>
    </row>
    <row r="60" spans="1:8" ht="15">
      <c r="A60" s="268">
        <v>90</v>
      </c>
      <c r="B60" s="268">
        <v>0.57999999999999996</v>
      </c>
    </row>
    <row r="61" spans="1:8" ht="15">
      <c r="A61" s="268">
        <v>100</v>
      </c>
      <c r="B61" s="268">
        <v>0.52</v>
      </c>
    </row>
    <row r="62" spans="1:8" ht="15">
      <c r="A62" s="268">
        <v>110</v>
      </c>
      <c r="B62" s="268">
        <v>0.48</v>
      </c>
    </row>
    <row r="63" spans="1:8" ht="15">
      <c r="A63" s="268">
        <v>120</v>
      </c>
      <c r="B63" s="268">
        <v>0.45</v>
      </c>
    </row>
    <row r="64" spans="1:8" ht="15">
      <c r="A64" s="268">
        <v>130</v>
      </c>
      <c r="B64" s="268">
        <v>0.41</v>
      </c>
    </row>
    <row r="65" spans="1:2" ht="15">
      <c r="A65" s="268">
        <v>140</v>
      </c>
      <c r="B65" s="268">
        <v>0.39</v>
      </c>
    </row>
    <row r="66" spans="1:2" ht="15">
      <c r="A66" s="268">
        <v>150</v>
      </c>
      <c r="B66" s="268">
        <v>0.37</v>
      </c>
    </row>
    <row r="67" spans="1:2" ht="15">
      <c r="A67" s="268">
        <v>160</v>
      </c>
      <c r="B67" s="268">
        <v>0.36</v>
      </c>
    </row>
    <row r="68" spans="1:2" ht="15">
      <c r="A68" s="268">
        <v>170</v>
      </c>
      <c r="B68" s="268">
        <v>0.35</v>
      </c>
    </row>
    <row r="69" spans="1:2" ht="15">
      <c r="A69" s="268">
        <v>180</v>
      </c>
      <c r="B69" s="268">
        <v>0.34</v>
      </c>
    </row>
    <row r="70" spans="1:2" ht="15">
      <c r="A70" s="268">
        <v>190</v>
      </c>
      <c r="B70" s="268">
        <v>0.33</v>
      </c>
    </row>
    <row r="71" spans="1:2" ht="15">
      <c r="A71" s="268">
        <v>200</v>
      </c>
      <c r="B71" s="268">
        <v>0.32</v>
      </c>
    </row>
  </sheetData>
  <mergeCells count="13">
    <mergeCell ref="A26:G26"/>
    <mergeCell ref="A44:G44"/>
    <mergeCell ref="D45:E45"/>
    <mergeCell ref="F45:G45"/>
    <mergeCell ref="A53:H53"/>
    <mergeCell ref="A45:A46"/>
    <mergeCell ref="B45:B46"/>
    <mergeCell ref="C45:C46"/>
    <mergeCell ref="A1:C1"/>
    <mergeCell ref="A9:E9"/>
    <mergeCell ref="G9:J9"/>
    <mergeCell ref="A10:E10"/>
    <mergeCell ref="G10:J10"/>
  </mergeCells>
  <pageMargins left="0.78740157480314998" right="0.59055118110236204" top="0.59055118110236204" bottom="0.59055118110236204" header="0.39370078740157499" footer="0.196850393700787"/>
  <pageSetup paperSize="9" scale="63" fitToHeight="0" orientation="portrait"/>
  <headerFooter>
    <oddHeader>&amp;LTHAM &amp; WONG</oddHeader>
  </headerFooter>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C000"/>
  </sheetPr>
  <dimension ref="A1:J235"/>
  <sheetViews>
    <sheetView workbookViewId="0">
      <selection activeCell="A2" sqref="A2:J2226"/>
    </sheetView>
  </sheetViews>
  <sheetFormatPr defaultColWidth="9" defaultRowHeight="15"/>
  <cols>
    <col min="1" max="1" width="7.42578125" style="268" customWidth="1"/>
    <col min="2" max="2" width="4.5703125" style="268" customWidth="1"/>
    <col min="3" max="3" width="11.42578125" style="268" customWidth="1"/>
    <col min="4" max="4" width="8.42578125" style="268" customWidth="1"/>
    <col min="5" max="10" width="12.7109375" style="268" customWidth="1"/>
  </cols>
  <sheetData>
    <row r="1" spans="1:10">
      <c r="A1" s="268" t="s">
        <v>153</v>
      </c>
      <c r="B1" s="268" t="s">
        <v>154</v>
      </c>
      <c r="C1" s="268" t="s">
        <v>155</v>
      </c>
      <c r="D1" s="268" t="s">
        <v>156</v>
      </c>
      <c r="E1" s="268" t="s">
        <v>157</v>
      </c>
      <c r="F1" s="268" t="s">
        <v>158</v>
      </c>
      <c r="G1" s="268" t="s">
        <v>159</v>
      </c>
      <c r="H1" s="268" t="s">
        <v>160</v>
      </c>
      <c r="I1" s="268" t="s">
        <v>161</v>
      </c>
      <c r="J1" s="268" t="s">
        <v>162</v>
      </c>
    </row>
    <row r="2" spans="1:10">
      <c r="A2" s="268" t="s">
        <v>163</v>
      </c>
      <c r="B2" s="268" t="s">
        <v>164</v>
      </c>
      <c r="C2" s="268" t="s">
        <v>165</v>
      </c>
      <c r="D2" s="268">
        <v>0</v>
      </c>
      <c r="E2" s="268">
        <v>-2298.46311743876</v>
      </c>
      <c r="F2" s="268">
        <v>39.211216402767597</v>
      </c>
      <c r="G2" s="268">
        <v>56.771302536627601</v>
      </c>
      <c r="H2" s="268">
        <v>0.48302194881150901</v>
      </c>
      <c r="I2" s="268">
        <v>146.26437594037</v>
      </c>
      <c r="J2" s="268">
        <v>82.889449665174993</v>
      </c>
    </row>
    <row r="3" spans="1:10">
      <c r="A3" s="268" t="s">
        <v>163</v>
      </c>
      <c r="B3" s="268" t="s">
        <v>164</v>
      </c>
      <c r="C3" s="268" t="s">
        <v>165</v>
      </c>
      <c r="D3" s="268">
        <v>2.25</v>
      </c>
      <c r="E3" s="268">
        <v>-2286.3273855887601</v>
      </c>
      <c r="F3" s="268">
        <v>39.211216402767597</v>
      </c>
      <c r="G3" s="268">
        <v>56.771302536627601</v>
      </c>
      <c r="H3" s="268">
        <v>0.48302194881150901</v>
      </c>
      <c r="I3" s="268">
        <v>18.5289452329576</v>
      </c>
      <c r="J3" s="268">
        <v>-1.3637619930364999</v>
      </c>
    </row>
    <row r="4" spans="1:10">
      <c r="A4" s="268" t="s">
        <v>163</v>
      </c>
      <c r="B4" s="268" t="s">
        <v>164</v>
      </c>
      <c r="C4" s="268" t="s">
        <v>165</v>
      </c>
      <c r="D4" s="268">
        <v>4.5</v>
      </c>
      <c r="E4" s="268">
        <v>-2274.1916537387601</v>
      </c>
      <c r="F4" s="268">
        <v>39.211216402767597</v>
      </c>
      <c r="G4" s="268">
        <v>56.771302536627601</v>
      </c>
      <c r="H4" s="268">
        <v>0.48302194881150901</v>
      </c>
      <c r="I4" s="268">
        <v>117.00106642782001</v>
      </c>
      <c r="J4" s="268">
        <v>6.8172657252364699</v>
      </c>
    </row>
    <row r="5" spans="1:10">
      <c r="A5" s="268" t="s">
        <v>163</v>
      </c>
      <c r="B5" s="268" t="s">
        <v>164</v>
      </c>
      <c r="C5" s="268" t="s">
        <v>166</v>
      </c>
      <c r="D5" s="268">
        <v>0</v>
      </c>
      <c r="E5" s="268">
        <v>-2809.1355078862798</v>
      </c>
      <c r="F5" s="268">
        <v>-10.031253649395</v>
      </c>
      <c r="G5" s="268">
        <v>-58.087511480486199</v>
      </c>
      <c r="H5" s="268">
        <v>-0.58984465257266905</v>
      </c>
      <c r="I5" s="268">
        <v>-144.39273523436799</v>
      </c>
      <c r="J5" s="268">
        <v>-38.323375697040902</v>
      </c>
    </row>
    <row r="6" spans="1:10">
      <c r="A6" s="268" t="s">
        <v>163</v>
      </c>
      <c r="B6" s="268" t="s">
        <v>164</v>
      </c>
      <c r="C6" s="268" t="s">
        <v>166</v>
      </c>
      <c r="D6" s="268">
        <v>2.25</v>
      </c>
      <c r="E6" s="268">
        <v>-2796.9997760362799</v>
      </c>
      <c r="F6" s="268">
        <v>-10.031253649395</v>
      </c>
      <c r="G6" s="268">
        <v>-58.087511480486199</v>
      </c>
      <c r="H6" s="268">
        <v>-0.58984465257266905</v>
      </c>
      <c r="I6" s="268">
        <v>-13.695834403274</v>
      </c>
      <c r="J6" s="268">
        <v>-18.286150934631301</v>
      </c>
    </row>
    <row r="7" spans="1:10">
      <c r="A7" s="268" t="s">
        <v>163</v>
      </c>
      <c r="B7" s="268" t="s">
        <v>164</v>
      </c>
      <c r="C7" s="268" t="s">
        <v>166</v>
      </c>
      <c r="D7" s="268">
        <v>4.5</v>
      </c>
      <c r="E7" s="268">
        <v>-2784.8640441862799</v>
      </c>
      <c r="F7" s="268">
        <v>-10.031253649395</v>
      </c>
      <c r="G7" s="268">
        <v>-58.087511480486199</v>
      </c>
      <c r="H7" s="268">
        <v>-0.58984465257266905</v>
      </c>
      <c r="I7" s="268">
        <v>-109.206485474454</v>
      </c>
      <c r="J7" s="268">
        <v>-93.561024147279397</v>
      </c>
    </row>
    <row r="8" spans="1:10">
      <c r="A8" s="268" t="s">
        <v>163</v>
      </c>
      <c r="B8" s="268" t="s">
        <v>167</v>
      </c>
      <c r="C8" s="268" t="s">
        <v>165</v>
      </c>
      <c r="D8" s="268">
        <v>0</v>
      </c>
      <c r="E8" s="268">
        <v>-712.85928897090196</v>
      </c>
      <c r="F8" s="268">
        <v>12.3765576578263</v>
      </c>
      <c r="G8" s="268">
        <v>44.480919275672797</v>
      </c>
      <c r="H8" s="268">
        <v>0.48302194881150901</v>
      </c>
      <c r="I8" s="268">
        <v>147.973071288916</v>
      </c>
      <c r="J8" s="268">
        <v>47.289231689914203</v>
      </c>
    </row>
    <row r="9" spans="1:10">
      <c r="A9" s="268" t="s">
        <v>163</v>
      </c>
      <c r="B9" s="268" t="s">
        <v>167</v>
      </c>
      <c r="C9" s="268" t="s">
        <v>165</v>
      </c>
      <c r="D9" s="268">
        <v>2.125</v>
      </c>
      <c r="E9" s="268">
        <v>-701.39776444590098</v>
      </c>
      <c r="F9" s="268">
        <v>12.3765576578263</v>
      </c>
      <c r="G9" s="268">
        <v>44.480919275672797</v>
      </c>
      <c r="H9" s="268">
        <v>0.48302194881150901</v>
      </c>
      <c r="I9" s="268">
        <v>53.451117828111101</v>
      </c>
      <c r="J9" s="268">
        <v>20.989046667033399</v>
      </c>
    </row>
    <row r="10" spans="1:10">
      <c r="A10" s="268" t="s">
        <v>163</v>
      </c>
      <c r="B10" s="268" t="s">
        <v>167</v>
      </c>
      <c r="C10" s="268" t="s">
        <v>165</v>
      </c>
      <c r="D10" s="268">
        <v>4.25</v>
      </c>
      <c r="E10" s="268">
        <v>-689.93623992090102</v>
      </c>
      <c r="F10" s="268">
        <v>12.3765576578263</v>
      </c>
      <c r="G10" s="268">
        <v>44.480919275672797</v>
      </c>
      <c r="H10" s="268">
        <v>0.48302194881150901</v>
      </c>
      <c r="I10" s="268">
        <v>-0.45666144844495399</v>
      </c>
      <c r="J10" s="268">
        <v>32.396365904646601</v>
      </c>
    </row>
    <row r="11" spans="1:10">
      <c r="A11" s="268" t="s">
        <v>163</v>
      </c>
      <c r="B11" s="268" t="s">
        <v>167</v>
      </c>
      <c r="C11" s="268" t="s">
        <v>166</v>
      </c>
      <c r="D11" s="268">
        <v>0</v>
      </c>
      <c r="E11" s="268">
        <v>-960.68068685583</v>
      </c>
      <c r="F11" s="268">
        <v>-20.619146427991701</v>
      </c>
      <c r="G11" s="268">
        <v>-26.8600836488231</v>
      </c>
      <c r="H11" s="268">
        <v>-0.58984465257266805</v>
      </c>
      <c r="I11" s="268">
        <v>-114.61201695594301</v>
      </c>
      <c r="J11" s="268">
        <v>-55.565523824127602</v>
      </c>
    </row>
    <row r="12" spans="1:10">
      <c r="A12" s="268" t="s">
        <v>163</v>
      </c>
      <c r="B12" s="268" t="s">
        <v>167</v>
      </c>
      <c r="C12" s="268" t="s">
        <v>166</v>
      </c>
      <c r="D12" s="268">
        <v>2.125</v>
      </c>
      <c r="E12" s="268">
        <v>-949.21916233083004</v>
      </c>
      <c r="F12" s="268">
        <v>-20.619146427991701</v>
      </c>
      <c r="G12" s="268">
        <v>-26.8600836488231</v>
      </c>
      <c r="H12" s="268">
        <v>-0.58984465257266805</v>
      </c>
      <c r="I12" s="268">
        <v>-57.534339202193998</v>
      </c>
      <c r="J12" s="268">
        <v>-11.7498376646453</v>
      </c>
    </row>
    <row r="13" spans="1:10">
      <c r="A13" s="268" t="s">
        <v>163</v>
      </c>
      <c r="B13" s="268" t="s">
        <v>167</v>
      </c>
      <c r="C13" s="268" t="s">
        <v>166</v>
      </c>
      <c r="D13" s="268">
        <v>4.25</v>
      </c>
      <c r="E13" s="268">
        <v>-937.75763780582997</v>
      </c>
      <c r="F13" s="268">
        <v>-20.619146427991701</v>
      </c>
      <c r="G13" s="268">
        <v>-26.8600836488231</v>
      </c>
      <c r="H13" s="268">
        <v>-0.58984465257266805</v>
      </c>
      <c r="I13" s="268">
        <v>-43.026172337708601</v>
      </c>
      <c r="J13" s="268">
        <v>-5.31113835584752</v>
      </c>
    </row>
    <row r="14" spans="1:10">
      <c r="A14" s="268" t="s">
        <v>163</v>
      </c>
      <c r="B14" s="268" t="s">
        <v>168</v>
      </c>
      <c r="C14" s="268" t="s">
        <v>165</v>
      </c>
      <c r="D14" s="268">
        <v>0</v>
      </c>
      <c r="E14" s="268">
        <v>-319.51702368193202</v>
      </c>
      <c r="F14" s="268">
        <v>2.9438786637680501</v>
      </c>
      <c r="G14" s="268">
        <v>3.2967661132133199</v>
      </c>
      <c r="H14" s="268">
        <v>2.91101851951827E-2</v>
      </c>
      <c r="I14" s="268">
        <v>7.7700230130403902</v>
      </c>
      <c r="J14" s="268">
        <v>6.3512487860885098</v>
      </c>
    </row>
    <row r="15" spans="1:10">
      <c r="A15" s="268" t="s">
        <v>163</v>
      </c>
      <c r="B15" s="268" t="s">
        <v>168</v>
      </c>
      <c r="C15" s="268" t="s">
        <v>165</v>
      </c>
      <c r="D15" s="268">
        <v>2.085</v>
      </c>
      <c r="E15" s="268">
        <v>-316.79554536212999</v>
      </c>
      <c r="F15" s="268">
        <v>2.9438786637680501</v>
      </c>
      <c r="G15" s="268">
        <v>3.2967661132133199</v>
      </c>
      <c r="H15" s="268">
        <v>2.91101851951827E-2</v>
      </c>
      <c r="I15" s="268">
        <v>0.89626566699062105</v>
      </c>
      <c r="J15" s="268">
        <v>0.21326177213213501</v>
      </c>
    </row>
    <row r="16" spans="1:10">
      <c r="A16" s="268" t="s">
        <v>163</v>
      </c>
      <c r="B16" s="268" t="s">
        <v>168</v>
      </c>
      <c r="C16" s="268" t="s">
        <v>165</v>
      </c>
      <c r="D16" s="268">
        <v>4.17</v>
      </c>
      <c r="E16" s="268">
        <v>-314.07406704232801</v>
      </c>
      <c r="F16" s="268">
        <v>2.9438786637680501</v>
      </c>
      <c r="G16" s="268">
        <v>3.2967661132133199</v>
      </c>
      <c r="H16" s="268">
        <v>2.91101851951827E-2</v>
      </c>
      <c r="I16" s="268">
        <v>7.0445712368887303</v>
      </c>
      <c r="J16" s="268">
        <v>3.8539382120728898</v>
      </c>
    </row>
    <row r="17" spans="1:10">
      <c r="A17" s="268" t="s">
        <v>163</v>
      </c>
      <c r="B17" s="268" t="s">
        <v>168</v>
      </c>
      <c r="C17" s="268" t="s">
        <v>166</v>
      </c>
      <c r="D17" s="268">
        <v>0</v>
      </c>
      <c r="E17" s="268">
        <v>-385.14980690100202</v>
      </c>
      <c r="F17" s="268">
        <v>-2.0805521666838902</v>
      </c>
      <c r="G17" s="268">
        <v>-3.6351366142964001</v>
      </c>
      <c r="H17" s="268">
        <v>-3.5548047278238903E-2</v>
      </c>
      <c r="I17" s="268">
        <v>-8.1139484447272494</v>
      </c>
      <c r="J17" s="268">
        <v>-4.8219643229989497</v>
      </c>
    </row>
    <row r="18" spans="1:10">
      <c r="A18" s="268" t="s">
        <v>163</v>
      </c>
      <c r="B18" s="268" t="s">
        <v>168</v>
      </c>
      <c r="C18" s="268" t="s">
        <v>166</v>
      </c>
      <c r="D18" s="268">
        <v>2.085</v>
      </c>
      <c r="E18" s="268">
        <v>-382.42832858119999</v>
      </c>
      <c r="F18" s="268">
        <v>-2.0805521666838902</v>
      </c>
      <c r="G18" s="268">
        <v>-3.6351366142964001</v>
      </c>
      <c r="H18" s="268">
        <v>-3.5548047278238903E-2</v>
      </c>
      <c r="I18" s="268">
        <v>-0.53468860391925799</v>
      </c>
      <c r="J18" s="268">
        <v>-0.48401305546302897</v>
      </c>
    </row>
    <row r="19" spans="1:10">
      <c r="A19" s="268" t="s">
        <v>163</v>
      </c>
      <c r="B19" s="268" t="s">
        <v>168</v>
      </c>
      <c r="C19" s="268" t="s">
        <v>166</v>
      </c>
      <c r="D19" s="268">
        <v>4.17</v>
      </c>
      <c r="E19" s="268">
        <v>-379.70685026139802</v>
      </c>
      <c r="F19" s="268">
        <v>-2.0805521666838902</v>
      </c>
      <c r="G19" s="268">
        <v>-3.6351366142964001</v>
      </c>
      <c r="H19" s="268">
        <v>-3.5548047278238903E-2</v>
      </c>
      <c r="I19" s="268">
        <v>-5.9774916790591499</v>
      </c>
      <c r="J19" s="268">
        <v>-5.9247252418242402</v>
      </c>
    </row>
    <row r="20" spans="1:10">
      <c r="A20" s="268" t="s">
        <v>163</v>
      </c>
      <c r="B20" s="268" t="s">
        <v>169</v>
      </c>
      <c r="C20" s="268" t="s">
        <v>165</v>
      </c>
      <c r="D20" s="268">
        <v>0</v>
      </c>
      <c r="E20" s="268">
        <v>-871.28231149200701</v>
      </c>
      <c r="F20" s="268">
        <v>11.5562182009318</v>
      </c>
      <c r="G20" s="268">
        <v>48.3295602714892</v>
      </c>
      <c r="H20" s="268">
        <v>0.32716892059608199</v>
      </c>
      <c r="I20" s="268">
        <v>147.94773233483701</v>
      </c>
      <c r="J20" s="268">
        <v>30.712984749954899</v>
      </c>
    </row>
    <row r="21" spans="1:10">
      <c r="A21" s="268" t="s">
        <v>163</v>
      </c>
      <c r="B21" s="268" t="s">
        <v>169</v>
      </c>
      <c r="C21" s="268" t="s">
        <v>165</v>
      </c>
      <c r="D21" s="268">
        <v>2.085</v>
      </c>
      <c r="E21" s="268">
        <v>-861.16111112910698</v>
      </c>
      <c r="F21" s="268">
        <v>11.5562182009318</v>
      </c>
      <c r="G21" s="268">
        <v>48.3295602714892</v>
      </c>
      <c r="H21" s="268">
        <v>0.32716892059608199</v>
      </c>
      <c r="I21" s="268">
        <v>47.1805991687824</v>
      </c>
      <c r="J21" s="268">
        <v>6.6182698010120999</v>
      </c>
    </row>
    <row r="22" spans="1:10">
      <c r="A22" s="268" t="s">
        <v>163</v>
      </c>
      <c r="B22" s="268" t="s">
        <v>169</v>
      </c>
      <c r="C22" s="268" t="s">
        <v>165</v>
      </c>
      <c r="D22" s="268">
        <v>4.17</v>
      </c>
      <c r="E22" s="268">
        <v>-851.03991076620696</v>
      </c>
      <c r="F22" s="268">
        <v>11.5562182009318</v>
      </c>
      <c r="G22" s="268">
        <v>48.3295602714892</v>
      </c>
      <c r="H22" s="268">
        <v>0.32716892059608199</v>
      </c>
      <c r="I22" s="268">
        <v>91.376193332710798</v>
      </c>
      <c r="J22" s="268">
        <v>19.604037258905201</v>
      </c>
    </row>
    <row r="23" spans="1:10">
      <c r="A23" s="268" t="s">
        <v>163</v>
      </c>
      <c r="B23" s="268" t="s">
        <v>169</v>
      </c>
      <c r="C23" s="268" t="s">
        <v>166</v>
      </c>
      <c r="D23" s="268">
        <v>0</v>
      </c>
      <c r="E23" s="268">
        <v>-1204.2296676481201</v>
      </c>
      <c r="F23" s="268">
        <v>-11.7340437939094</v>
      </c>
      <c r="G23" s="268">
        <v>-60.716088692894601</v>
      </c>
      <c r="H23" s="268">
        <v>-0.39952395284810899</v>
      </c>
      <c r="I23" s="268">
        <v>-161.80989651665899</v>
      </c>
      <c r="J23" s="268">
        <v>-29.326925361697</v>
      </c>
    </row>
    <row r="24" spans="1:10">
      <c r="A24" s="268" t="s">
        <v>163</v>
      </c>
      <c r="B24" s="268" t="s">
        <v>169</v>
      </c>
      <c r="C24" s="268" t="s">
        <v>166</v>
      </c>
      <c r="D24" s="268">
        <v>2.085</v>
      </c>
      <c r="E24" s="268">
        <v>-1194.1084672852201</v>
      </c>
      <c r="F24" s="268">
        <v>-11.7340437939094</v>
      </c>
      <c r="G24" s="268">
        <v>-60.716088692894601</v>
      </c>
      <c r="H24" s="268">
        <v>-0.39952395284810899</v>
      </c>
      <c r="I24" s="268">
        <v>-35.216851591974297</v>
      </c>
      <c r="J24" s="268">
        <v>-4.8614440513958899</v>
      </c>
    </row>
    <row r="25" spans="1:10">
      <c r="A25" s="268" t="s">
        <v>163</v>
      </c>
      <c r="B25" s="268" t="s">
        <v>169</v>
      </c>
      <c r="C25" s="268" t="s">
        <v>166</v>
      </c>
      <c r="D25" s="268">
        <v>4.17</v>
      </c>
      <c r="E25" s="268">
        <v>-1183.98726692232</v>
      </c>
      <c r="F25" s="268">
        <v>-11.7340437939094</v>
      </c>
      <c r="G25" s="268">
        <v>-60.716088692894601</v>
      </c>
      <c r="H25" s="268">
        <v>-0.39952395284810899</v>
      </c>
      <c r="I25" s="268">
        <v>-53.586533997272703</v>
      </c>
      <c r="J25" s="268">
        <v>-17.476445147930701</v>
      </c>
    </row>
    <row r="26" spans="1:10">
      <c r="A26" s="268" t="s">
        <v>163</v>
      </c>
      <c r="B26" s="268" t="s">
        <v>170</v>
      </c>
      <c r="C26" s="268" t="s">
        <v>165</v>
      </c>
      <c r="D26" s="268">
        <v>0</v>
      </c>
      <c r="E26" s="268">
        <v>-185.11697022008599</v>
      </c>
      <c r="F26" s="268">
        <v>1.7692316924292999</v>
      </c>
      <c r="G26" s="268">
        <v>6.8170178482452002</v>
      </c>
      <c r="H26" s="268">
        <v>5.1593557160422403E-2</v>
      </c>
      <c r="I26" s="268">
        <v>20.144289222316701</v>
      </c>
      <c r="J26" s="268">
        <v>5.3999684621068296</v>
      </c>
    </row>
    <row r="27" spans="1:10">
      <c r="A27" s="268" t="s">
        <v>163</v>
      </c>
      <c r="B27" s="268" t="s">
        <v>170</v>
      </c>
      <c r="C27" s="268" t="s">
        <v>165</v>
      </c>
      <c r="D27" s="268">
        <v>2.125</v>
      </c>
      <c r="E27" s="268">
        <v>-181.334667126836</v>
      </c>
      <c r="F27" s="268">
        <v>1.7692316924292999</v>
      </c>
      <c r="G27" s="268">
        <v>6.8170178482452002</v>
      </c>
      <c r="H27" s="268">
        <v>5.1593557160422403E-2</v>
      </c>
      <c r="I27" s="268">
        <v>5.6581262947956299</v>
      </c>
      <c r="J27" s="268">
        <v>1.72391945318603</v>
      </c>
    </row>
    <row r="28" spans="1:10">
      <c r="A28" s="268" t="s">
        <v>163</v>
      </c>
      <c r="B28" s="268" t="s">
        <v>170</v>
      </c>
      <c r="C28" s="268" t="s">
        <v>165</v>
      </c>
      <c r="D28" s="268">
        <v>4.25</v>
      </c>
      <c r="E28" s="268">
        <v>-177.552364033586</v>
      </c>
      <c r="F28" s="268">
        <v>1.7692316924292999</v>
      </c>
      <c r="G28" s="268">
        <v>6.8170178482452002</v>
      </c>
      <c r="H28" s="268">
        <v>5.1593557160422403E-2</v>
      </c>
      <c r="I28" s="268">
        <v>5.3114467305871003</v>
      </c>
      <c r="J28" s="268">
        <v>5.5655089011310999</v>
      </c>
    </row>
    <row r="29" spans="1:10">
      <c r="A29" s="268" t="s">
        <v>163</v>
      </c>
      <c r="B29" s="268" t="s">
        <v>170</v>
      </c>
      <c r="C29" s="268" t="s">
        <v>166</v>
      </c>
      <c r="D29" s="268">
        <v>0</v>
      </c>
      <c r="E29" s="268">
        <v>-350.40353494759199</v>
      </c>
      <c r="F29" s="268">
        <v>-2.7780911122152201</v>
      </c>
      <c r="G29" s="268">
        <v>-5.2116441130547599</v>
      </c>
      <c r="H29" s="268">
        <v>-6.3003728656962299E-2</v>
      </c>
      <c r="I29" s="268">
        <v>-16.838040749895701</v>
      </c>
      <c r="J29" s="268">
        <v>-6.5537085260106203</v>
      </c>
    </row>
    <row r="30" spans="1:10">
      <c r="A30" s="268" t="s">
        <v>163</v>
      </c>
      <c r="B30" s="268" t="s">
        <v>170</v>
      </c>
      <c r="C30" s="268" t="s">
        <v>166</v>
      </c>
      <c r="D30" s="268">
        <v>2.125</v>
      </c>
      <c r="E30" s="268">
        <v>-346.621231854342</v>
      </c>
      <c r="F30" s="268">
        <v>-2.7780911122152201</v>
      </c>
      <c r="G30" s="268">
        <v>-5.2116441130547599</v>
      </c>
      <c r="H30" s="268">
        <v>-6.3003728656962299E-2</v>
      </c>
      <c r="I30" s="268">
        <v>-5.7632970096542797</v>
      </c>
      <c r="J30" s="268">
        <v>-0.65059795709683899</v>
      </c>
    </row>
    <row r="31" spans="1:10">
      <c r="A31" s="268" t="s">
        <v>163</v>
      </c>
      <c r="B31" s="268" t="s">
        <v>170</v>
      </c>
      <c r="C31" s="268" t="s">
        <v>166</v>
      </c>
      <c r="D31" s="268">
        <v>4.25</v>
      </c>
      <c r="E31" s="268">
        <v>-342.83892876109201</v>
      </c>
      <c r="F31" s="268">
        <v>-2.7780911122152201</v>
      </c>
      <c r="G31" s="268">
        <v>-5.2116441130547599</v>
      </c>
      <c r="H31" s="268">
        <v>-6.3003728656962299E-2</v>
      </c>
      <c r="I31" s="268">
        <v>-8.9210754147715292</v>
      </c>
      <c r="J31" s="268">
        <v>-2.1192662307176899</v>
      </c>
    </row>
    <row r="32" spans="1:10">
      <c r="A32" s="268" t="s">
        <v>163</v>
      </c>
      <c r="B32" s="268" t="s">
        <v>171</v>
      </c>
      <c r="C32" s="268" t="s">
        <v>165</v>
      </c>
      <c r="D32" s="268">
        <v>0</v>
      </c>
      <c r="E32" s="268">
        <v>-901.41195778176495</v>
      </c>
      <c r="F32" s="268">
        <v>17.2168563726628</v>
      </c>
      <c r="G32" s="268">
        <v>31.074331064610401</v>
      </c>
      <c r="H32" s="268">
        <v>0.48302194881150901</v>
      </c>
      <c r="I32" s="268">
        <v>98.841385521344193</v>
      </c>
      <c r="J32" s="268">
        <v>67.548192349070405</v>
      </c>
    </row>
    <row r="33" spans="1:10">
      <c r="A33" s="268" t="s">
        <v>163</v>
      </c>
      <c r="B33" s="268" t="s">
        <v>171</v>
      </c>
      <c r="C33" s="268" t="s">
        <v>165</v>
      </c>
      <c r="D33" s="268">
        <v>2.125</v>
      </c>
      <c r="E33" s="268">
        <v>-889.950433256765</v>
      </c>
      <c r="F33" s="268">
        <v>17.2168563726628</v>
      </c>
      <c r="G33" s="268">
        <v>31.074331064610401</v>
      </c>
      <c r="H33" s="268">
        <v>0.48302194881150901</v>
      </c>
      <c r="I33" s="268">
        <v>32.808432009047102</v>
      </c>
      <c r="J33" s="268">
        <v>31.019012079426599</v>
      </c>
    </row>
    <row r="34" spans="1:10">
      <c r="A34" s="268" t="s">
        <v>163</v>
      </c>
      <c r="B34" s="268" t="s">
        <v>171</v>
      </c>
      <c r="C34" s="268" t="s">
        <v>165</v>
      </c>
      <c r="D34" s="268">
        <v>4.25</v>
      </c>
      <c r="E34" s="268">
        <v>-878.48890873176504</v>
      </c>
      <c r="F34" s="268">
        <v>17.2168563726628</v>
      </c>
      <c r="G34" s="268">
        <v>31.074331064610401</v>
      </c>
      <c r="H34" s="268">
        <v>0.48302194881150901</v>
      </c>
      <c r="I34" s="268">
        <v>21.859927250233401</v>
      </c>
      <c r="J34" s="268">
        <v>50.432719961558</v>
      </c>
    </row>
    <row r="35" spans="1:10">
      <c r="A35" s="268" t="s">
        <v>163</v>
      </c>
      <c r="B35" s="268" t="s">
        <v>171</v>
      </c>
      <c r="C35" s="268" t="s">
        <v>166</v>
      </c>
      <c r="D35" s="268">
        <v>0</v>
      </c>
      <c r="E35" s="268">
        <v>-1404.24372401458</v>
      </c>
      <c r="F35" s="268">
        <v>-29.740432359167801</v>
      </c>
      <c r="G35" s="268">
        <v>-25.255752143282901</v>
      </c>
      <c r="H35" s="268">
        <v>-0.58984465257266805</v>
      </c>
      <c r="I35" s="268">
        <v>-85.477019358718906</v>
      </c>
      <c r="J35" s="268">
        <v>-80.4096158294888</v>
      </c>
    </row>
    <row r="36" spans="1:10">
      <c r="A36" s="268" t="s">
        <v>163</v>
      </c>
      <c r="B36" s="268" t="s">
        <v>171</v>
      </c>
      <c r="C36" s="268" t="s">
        <v>166</v>
      </c>
      <c r="D36" s="268">
        <v>2.125</v>
      </c>
      <c r="E36" s="268">
        <v>-1392.7821994895801</v>
      </c>
      <c r="F36" s="268">
        <v>-29.740432359167801</v>
      </c>
      <c r="G36" s="268">
        <v>-25.255752143282901</v>
      </c>
      <c r="H36" s="268">
        <v>-0.58984465257266805</v>
      </c>
      <c r="I36" s="268">
        <v>-31.8085460542428</v>
      </c>
      <c r="J36" s="268">
        <v>-17.6873061996159</v>
      </c>
    </row>
    <row r="37" spans="1:10">
      <c r="A37" s="268" t="s">
        <v>163</v>
      </c>
      <c r="B37" s="268" t="s">
        <v>171</v>
      </c>
      <c r="C37" s="268" t="s">
        <v>166</v>
      </c>
      <c r="D37" s="268">
        <v>4.25</v>
      </c>
      <c r="E37" s="268">
        <v>-1381.3206749645799</v>
      </c>
      <c r="F37" s="268">
        <v>-29.740432359167801</v>
      </c>
      <c r="G37" s="268">
        <v>-25.255752143282901</v>
      </c>
      <c r="H37" s="268">
        <v>-0.58984465257266805</v>
      </c>
      <c r="I37" s="268">
        <v>-33.224521503250003</v>
      </c>
      <c r="J37" s="268">
        <v>-5.6234472347465196</v>
      </c>
    </row>
    <row r="38" spans="1:10">
      <c r="A38" s="268" t="s">
        <v>163</v>
      </c>
      <c r="B38" s="268" t="s">
        <v>172</v>
      </c>
      <c r="C38" s="268" t="s">
        <v>165</v>
      </c>
      <c r="D38" s="268">
        <v>0</v>
      </c>
      <c r="E38" s="268">
        <v>-145.64019312213699</v>
      </c>
      <c r="F38" s="268">
        <v>1.7389069875518799</v>
      </c>
      <c r="G38" s="268">
        <v>5.5340456313214901</v>
      </c>
      <c r="H38" s="268">
        <v>5.1593557160422403E-2</v>
      </c>
      <c r="I38" s="268">
        <v>18.2321474319379</v>
      </c>
      <c r="J38" s="268">
        <v>5.2943082337937701</v>
      </c>
    </row>
    <row r="39" spans="1:10">
      <c r="A39" s="268" t="s">
        <v>163</v>
      </c>
      <c r="B39" s="268" t="s">
        <v>172</v>
      </c>
      <c r="C39" s="268" t="s">
        <v>165</v>
      </c>
      <c r="D39" s="268">
        <v>2.125</v>
      </c>
      <c r="E39" s="268">
        <v>-141.857890028887</v>
      </c>
      <c r="F39" s="268">
        <v>1.7389069875518799</v>
      </c>
      <c r="G39" s="268">
        <v>5.5340456313214901</v>
      </c>
      <c r="H39" s="268">
        <v>5.1593557160422403E-2</v>
      </c>
      <c r="I39" s="268">
        <v>6.47230046537973</v>
      </c>
      <c r="J39" s="268">
        <v>1.6844515602295</v>
      </c>
    </row>
    <row r="40" spans="1:10">
      <c r="A40" s="268" t="s">
        <v>163</v>
      </c>
      <c r="B40" s="268" t="s">
        <v>172</v>
      </c>
      <c r="C40" s="268" t="s">
        <v>165</v>
      </c>
      <c r="D40" s="268">
        <v>4.25</v>
      </c>
      <c r="E40" s="268">
        <v>-138.07558693563701</v>
      </c>
      <c r="F40" s="268">
        <v>1.7389069875518799</v>
      </c>
      <c r="G40" s="268">
        <v>5.5340456313214901</v>
      </c>
      <c r="H40" s="268">
        <v>5.1593557160422403E-2</v>
      </c>
      <c r="I40" s="268">
        <v>9.1240296253854503</v>
      </c>
      <c r="J40" s="268">
        <v>5.5484461318138996</v>
      </c>
    </row>
    <row r="41" spans="1:10">
      <c r="A41" s="268" t="s">
        <v>163</v>
      </c>
      <c r="B41" s="268" t="s">
        <v>172</v>
      </c>
      <c r="C41" s="268" t="s">
        <v>166</v>
      </c>
      <c r="D41" s="268">
        <v>0</v>
      </c>
      <c r="E41" s="268">
        <v>-316.080950247879</v>
      </c>
      <c r="F41" s="268">
        <v>-2.7592653014042301</v>
      </c>
      <c r="G41" s="268">
        <v>-6.5605280297072097</v>
      </c>
      <c r="H41" s="268">
        <v>-6.3003728656962299E-2</v>
      </c>
      <c r="I41" s="268">
        <v>-18.848417337461601</v>
      </c>
      <c r="J41" s="268">
        <v>-6.47789502864073</v>
      </c>
    </row>
    <row r="42" spans="1:10">
      <c r="A42" s="268" t="s">
        <v>163</v>
      </c>
      <c r="B42" s="268" t="s">
        <v>172</v>
      </c>
      <c r="C42" s="268" t="s">
        <v>166</v>
      </c>
      <c r="D42" s="268">
        <v>2.125</v>
      </c>
      <c r="E42" s="268">
        <v>-312.29864715462901</v>
      </c>
      <c r="F42" s="268">
        <v>-2.7592653014042301</v>
      </c>
      <c r="G42" s="268">
        <v>-6.5605280297072097</v>
      </c>
      <c r="H42" s="268">
        <v>-6.3003728656962299E-2</v>
      </c>
      <c r="I42" s="268">
        <v>-4.9072952743337304</v>
      </c>
      <c r="J42" s="268">
        <v>-0.62247377464241005</v>
      </c>
    </row>
    <row r="43" spans="1:10">
      <c r="A43" s="268" t="s">
        <v>163</v>
      </c>
      <c r="B43" s="268" t="s">
        <v>172</v>
      </c>
      <c r="C43" s="268" t="s">
        <v>166</v>
      </c>
      <c r="D43" s="268">
        <v>4.25</v>
      </c>
      <c r="E43" s="268">
        <v>-308.51634406137902</v>
      </c>
      <c r="F43" s="268">
        <v>-2.7592653014042301</v>
      </c>
      <c r="G43" s="268">
        <v>-6.5605280297072097</v>
      </c>
      <c r="H43" s="268">
        <v>-6.3003728656962299E-2</v>
      </c>
      <c r="I43" s="268">
        <v>-5.2875465011784497</v>
      </c>
      <c r="J43" s="268">
        <v>-2.0960464633017302</v>
      </c>
    </row>
    <row r="44" spans="1:10">
      <c r="A44" s="268" t="s">
        <v>163</v>
      </c>
      <c r="B44" s="268" t="s">
        <v>173</v>
      </c>
      <c r="C44" s="268" t="s">
        <v>165</v>
      </c>
      <c r="D44" s="268">
        <v>0</v>
      </c>
      <c r="E44" s="268">
        <v>-663.55109333206701</v>
      </c>
      <c r="F44" s="268">
        <v>8.5868871167640197</v>
      </c>
      <c r="G44" s="268">
        <v>18.518150155817999</v>
      </c>
      <c r="H44" s="268">
        <v>0.32716892059608199</v>
      </c>
      <c r="I44" s="268">
        <v>72.059970478063804</v>
      </c>
      <c r="J44" s="268">
        <v>34.863399261133601</v>
      </c>
    </row>
    <row r="45" spans="1:10">
      <c r="A45" s="268" t="s">
        <v>163</v>
      </c>
      <c r="B45" s="268" t="s">
        <v>173</v>
      </c>
      <c r="C45" s="268" t="s">
        <v>165</v>
      </c>
      <c r="D45" s="268">
        <v>2.25</v>
      </c>
      <c r="E45" s="268">
        <v>-652.62893466706703</v>
      </c>
      <c r="F45" s="268">
        <v>8.5868871167640197</v>
      </c>
      <c r="G45" s="268">
        <v>18.518150155817999</v>
      </c>
      <c r="H45" s="268">
        <v>0.32716892059608199</v>
      </c>
      <c r="I45" s="268">
        <v>30.394132627473201</v>
      </c>
      <c r="J45" s="268">
        <v>15.9137463907488</v>
      </c>
    </row>
    <row r="46" spans="1:10">
      <c r="A46" s="268" t="s">
        <v>163</v>
      </c>
      <c r="B46" s="268" t="s">
        <v>173</v>
      </c>
      <c r="C46" s="268" t="s">
        <v>165</v>
      </c>
      <c r="D46" s="268">
        <v>4.5</v>
      </c>
      <c r="E46" s="268">
        <v>-641.70677600206704</v>
      </c>
      <c r="F46" s="268">
        <v>8.5868871167640197</v>
      </c>
      <c r="G46" s="268">
        <v>18.518150155817999</v>
      </c>
      <c r="H46" s="268">
        <v>0.32716892059608199</v>
      </c>
      <c r="I46" s="268">
        <v>62.061782949397603</v>
      </c>
      <c r="J46" s="268">
        <v>43.000107599541302</v>
      </c>
    </row>
    <row r="47" spans="1:10">
      <c r="A47" s="268" t="s">
        <v>163</v>
      </c>
      <c r="B47" s="268" t="s">
        <v>173</v>
      </c>
      <c r="C47" s="268" t="s">
        <v>166</v>
      </c>
      <c r="D47" s="268">
        <v>0</v>
      </c>
      <c r="E47" s="268">
        <v>-1003.89411499329</v>
      </c>
      <c r="F47" s="268">
        <v>-20.1886218052733</v>
      </c>
      <c r="G47" s="268">
        <v>-35.492861617674201</v>
      </c>
      <c r="H47" s="268">
        <v>-0.39952395284810899</v>
      </c>
      <c r="I47" s="268">
        <v>-100.99750448330499</v>
      </c>
      <c r="J47" s="268">
        <v>-50.113304392661703</v>
      </c>
    </row>
    <row r="48" spans="1:10">
      <c r="A48" s="268" t="s">
        <v>163</v>
      </c>
      <c r="B48" s="268" t="s">
        <v>173</v>
      </c>
      <c r="C48" s="268" t="s">
        <v>166</v>
      </c>
      <c r="D48" s="268">
        <v>2.25</v>
      </c>
      <c r="E48" s="268">
        <v>-992.97195632829403</v>
      </c>
      <c r="F48" s="268">
        <v>-20.1886218052733</v>
      </c>
      <c r="G48" s="268">
        <v>-35.492861617674201</v>
      </c>
      <c r="H48" s="268">
        <v>-0.39952395284810899</v>
      </c>
      <c r="I48" s="268">
        <v>-21.138565843537801</v>
      </c>
      <c r="J48" s="268">
        <v>-4.8326943661102897</v>
      </c>
    </row>
    <row r="49" spans="1:10">
      <c r="A49" s="268" t="s">
        <v>163</v>
      </c>
      <c r="B49" s="268" t="s">
        <v>173</v>
      </c>
      <c r="C49" s="268" t="s">
        <v>166</v>
      </c>
      <c r="D49" s="268">
        <v>4.5</v>
      </c>
      <c r="E49" s="268">
        <v>-982.04979766329404</v>
      </c>
      <c r="F49" s="268">
        <v>-20.1886218052733</v>
      </c>
      <c r="G49" s="268">
        <v>-35.492861617674201</v>
      </c>
      <c r="H49" s="268">
        <v>-0.39952395284810899</v>
      </c>
      <c r="I49" s="268">
        <v>-11.271705223117401</v>
      </c>
      <c r="J49" s="268">
        <v>-3.7775927643045302</v>
      </c>
    </row>
    <row r="50" spans="1:10">
      <c r="A50" s="268" t="s">
        <v>163</v>
      </c>
      <c r="B50" s="268" t="s">
        <v>174</v>
      </c>
      <c r="C50" s="268" t="s">
        <v>165</v>
      </c>
      <c r="D50" s="268">
        <v>0</v>
      </c>
      <c r="E50" s="268">
        <v>-806.69083011809505</v>
      </c>
      <c r="F50" s="268">
        <v>26.267624954643399</v>
      </c>
      <c r="G50" s="268">
        <v>51.345242467593401</v>
      </c>
      <c r="H50" s="268">
        <v>0.48302194881150901</v>
      </c>
      <c r="I50" s="268">
        <v>135.300854036066</v>
      </c>
      <c r="J50" s="268">
        <v>64.993045670500294</v>
      </c>
    </row>
    <row r="51" spans="1:10">
      <c r="A51" s="268" t="s">
        <v>163</v>
      </c>
      <c r="B51" s="268" t="s">
        <v>174</v>
      </c>
      <c r="C51" s="268" t="s">
        <v>165</v>
      </c>
      <c r="D51" s="268">
        <v>2.085</v>
      </c>
      <c r="E51" s="268">
        <v>-795.44505193709495</v>
      </c>
      <c r="F51" s="268">
        <v>26.267624954643399</v>
      </c>
      <c r="G51" s="268">
        <v>51.345242467593401</v>
      </c>
      <c r="H51" s="268">
        <v>0.48302194881150901</v>
      </c>
      <c r="I51" s="268">
        <v>28.246023491133499</v>
      </c>
      <c r="J51" s="268">
        <v>10.225047640068899</v>
      </c>
    </row>
    <row r="52" spans="1:10">
      <c r="A52" s="268" t="s">
        <v>163</v>
      </c>
      <c r="B52" s="268" t="s">
        <v>174</v>
      </c>
      <c r="C52" s="268" t="s">
        <v>165</v>
      </c>
      <c r="D52" s="268">
        <v>4.17</v>
      </c>
      <c r="E52" s="268">
        <v>-784.19927375609495</v>
      </c>
      <c r="F52" s="268">
        <v>26.267624954643399</v>
      </c>
      <c r="G52" s="268">
        <v>51.345242467593401</v>
      </c>
      <c r="H52" s="268">
        <v>0.48302194881150901</v>
      </c>
      <c r="I52" s="268">
        <v>54.5460150184201</v>
      </c>
      <c r="J52" s="268">
        <v>14.573555191055901</v>
      </c>
    </row>
    <row r="53" spans="1:10">
      <c r="A53" s="268" t="s">
        <v>163</v>
      </c>
      <c r="B53" s="268" t="s">
        <v>174</v>
      </c>
      <c r="C53" s="268" t="s">
        <v>166</v>
      </c>
      <c r="D53" s="268">
        <v>0</v>
      </c>
      <c r="E53" s="268">
        <v>-1103.0835191162901</v>
      </c>
      <c r="F53" s="268">
        <v>-13.9682267541665</v>
      </c>
      <c r="G53" s="268">
        <v>-41.1341439117748</v>
      </c>
      <c r="H53" s="268">
        <v>-0.58984465257266905</v>
      </c>
      <c r="I53" s="268">
        <v>-116.983365093681</v>
      </c>
      <c r="J53" s="268">
        <v>-43.6739503738183</v>
      </c>
    </row>
    <row r="54" spans="1:10">
      <c r="A54" s="268" t="s">
        <v>163</v>
      </c>
      <c r="B54" s="268" t="s">
        <v>174</v>
      </c>
      <c r="C54" s="268" t="s">
        <v>166</v>
      </c>
      <c r="D54" s="268">
        <v>2.085</v>
      </c>
      <c r="E54" s="268">
        <v>-1091.83774093529</v>
      </c>
      <c r="F54" s="268">
        <v>-13.9682267541665</v>
      </c>
      <c r="G54" s="268">
        <v>-41.1341439117748</v>
      </c>
      <c r="H54" s="268">
        <v>-0.58984465257266905</v>
      </c>
      <c r="I54" s="268">
        <v>-31.218675037630302</v>
      </c>
      <c r="J54" s="268">
        <v>-14.550197591381201</v>
      </c>
    </row>
    <row r="55" spans="1:10">
      <c r="A55" s="268" t="s">
        <v>163</v>
      </c>
      <c r="B55" s="268" t="s">
        <v>174</v>
      </c>
      <c r="C55" s="268" t="s">
        <v>166</v>
      </c>
      <c r="D55" s="268">
        <v>4.17</v>
      </c>
      <c r="E55" s="268">
        <v>-1080.5919627542901</v>
      </c>
      <c r="F55" s="268">
        <v>-13.9682267541665</v>
      </c>
      <c r="G55" s="268">
        <v>-41.1341439117748</v>
      </c>
      <c r="H55" s="268">
        <v>-0.58984465257266905</v>
      </c>
      <c r="I55" s="268">
        <v>-78.808807053798802</v>
      </c>
      <c r="J55" s="268">
        <v>-44.542950390362499</v>
      </c>
    </row>
    <row r="56" spans="1:10">
      <c r="A56" s="268" t="s">
        <v>163</v>
      </c>
      <c r="B56" s="268" t="s">
        <v>175</v>
      </c>
      <c r="C56" s="268" t="s">
        <v>165</v>
      </c>
      <c r="D56" s="268">
        <v>0</v>
      </c>
      <c r="E56" s="268">
        <v>-1535.8736669892201</v>
      </c>
      <c r="F56" s="268">
        <v>19.8332995721873</v>
      </c>
      <c r="G56" s="268">
        <v>59.640463731440903</v>
      </c>
      <c r="H56" s="268">
        <v>0.48302194881150901</v>
      </c>
      <c r="I56" s="268">
        <v>165.78382469097701</v>
      </c>
      <c r="J56" s="268">
        <v>58.347082814967301</v>
      </c>
    </row>
    <row r="57" spans="1:10">
      <c r="A57" s="268" t="s">
        <v>163</v>
      </c>
      <c r="B57" s="268" t="s">
        <v>175</v>
      </c>
      <c r="C57" s="268" t="s">
        <v>165</v>
      </c>
      <c r="D57" s="268">
        <v>2.125</v>
      </c>
      <c r="E57" s="268">
        <v>-1524.4121424642201</v>
      </c>
      <c r="F57" s="268">
        <v>19.8332995721873</v>
      </c>
      <c r="G57" s="268">
        <v>59.640463731440903</v>
      </c>
      <c r="H57" s="268">
        <v>0.48302194881150901</v>
      </c>
      <c r="I57" s="268">
        <v>41.774386295389398</v>
      </c>
      <c r="J57" s="268">
        <v>16.2013212240694</v>
      </c>
    </row>
    <row r="58" spans="1:10">
      <c r="A58" s="268" t="s">
        <v>163</v>
      </c>
      <c r="B58" s="268" t="s">
        <v>175</v>
      </c>
      <c r="C58" s="268" t="s">
        <v>165</v>
      </c>
      <c r="D58" s="268">
        <v>4.25</v>
      </c>
      <c r="E58" s="268">
        <v>-1512.9506179392199</v>
      </c>
      <c r="F58" s="268">
        <v>19.8332995721873</v>
      </c>
      <c r="G58" s="268">
        <v>59.640463731440903</v>
      </c>
      <c r="H58" s="268">
        <v>0.48302194881150901</v>
      </c>
      <c r="I58" s="268">
        <v>-5.1479093726150298</v>
      </c>
      <c r="J58" s="268">
        <v>30.184002046668901</v>
      </c>
    </row>
    <row r="59" spans="1:10">
      <c r="A59" s="268" t="s">
        <v>163</v>
      </c>
      <c r="B59" s="268" t="s">
        <v>175</v>
      </c>
      <c r="C59" s="268" t="s">
        <v>166</v>
      </c>
      <c r="D59" s="268">
        <v>0</v>
      </c>
      <c r="E59" s="268">
        <v>-2155.3676021830302</v>
      </c>
      <c r="F59" s="268">
        <v>-19.886945725575099</v>
      </c>
      <c r="G59" s="268">
        <v>-24.393765754143999</v>
      </c>
      <c r="H59" s="268">
        <v>-0.58984465257266805</v>
      </c>
      <c r="I59" s="268">
        <v>-108.821413827727</v>
      </c>
      <c r="J59" s="268">
        <v>-54.4797189975734</v>
      </c>
    </row>
    <row r="60" spans="1:10">
      <c r="A60" s="268" t="s">
        <v>163</v>
      </c>
      <c r="B60" s="268" t="s">
        <v>175</v>
      </c>
      <c r="C60" s="268" t="s">
        <v>166</v>
      </c>
      <c r="D60" s="268">
        <v>2.125</v>
      </c>
      <c r="E60" s="268">
        <v>-2143.90607765803</v>
      </c>
      <c r="F60" s="268">
        <v>-19.886945725575099</v>
      </c>
      <c r="G60" s="268">
        <v>-24.393765754143999</v>
      </c>
      <c r="H60" s="268">
        <v>-0.58984465257266805</v>
      </c>
      <c r="I60" s="268">
        <v>-56.984661600171101</v>
      </c>
      <c r="J60" s="268">
        <v>-12.2199593307264</v>
      </c>
    </row>
    <row r="61" spans="1:10">
      <c r="A61" s="268" t="s">
        <v>163</v>
      </c>
      <c r="B61" s="268" t="s">
        <v>175</v>
      </c>
      <c r="C61" s="268" t="s">
        <v>166</v>
      </c>
      <c r="D61" s="268">
        <v>4.25</v>
      </c>
      <c r="E61" s="268">
        <v>-2132.4445531330298</v>
      </c>
      <c r="F61" s="268">
        <v>-19.886945725575099</v>
      </c>
      <c r="G61" s="268">
        <v>-24.393765754143999</v>
      </c>
      <c r="H61" s="268">
        <v>-0.58984465257266805</v>
      </c>
      <c r="I61" s="268">
        <v>-92.572989802212504</v>
      </c>
      <c r="J61" s="268">
        <v>-25.944440366828498</v>
      </c>
    </row>
    <row r="62" spans="1:10">
      <c r="A62" s="268" t="s">
        <v>163</v>
      </c>
      <c r="B62" s="268" t="s">
        <v>176</v>
      </c>
      <c r="C62" s="268" t="s">
        <v>165</v>
      </c>
      <c r="D62" s="268">
        <v>0</v>
      </c>
      <c r="E62" s="268">
        <v>-1789.99635356974</v>
      </c>
      <c r="F62" s="268">
        <v>20.477913971936498</v>
      </c>
      <c r="G62" s="268">
        <v>60.598021478206803</v>
      </c>
      <c r="H62" s="268">
        <v>0.48302194881150901</v>
      </c>
      <c r="I62" s="268">
        <v>162.824383734988</v>
      </c>
      <c r="J62" s="268">
        <v>59.303002993961996</v>
      </c>
    </row>
    <row r="63" spans="1:10">
      <c r="A63" s="268" t="s">
        <v>163</v>
      </c>
      <c r="B63" s="268" t="s">
        <v>176</v>
      </c>
      <c r="C63" s="268" t="s">
        <v>165</v>
      </c>
      <c r="D63" s="268">
        <v>2.25</v>
      </c>
      <c r="E63" s="268">
        <v>-1777.86062171974</v>
      </c>
      <c r="F63" s="268">
        <v>20.477913971936498</v>
      </c>
      <c r="G63" s="268">
        <v>60.598021478206803</v>
      </c>
      <c r="H63" s="268">
        <v>0.48302194881150901</v>
      </c>
      <c r="I63" s="268">
        <v>31.651748568787301</v>
      </c>
      <c r="J63" s="268">
        <v>13.2276965571047</v>
      </c>
    </row>
    <row r="64" spans="1:10">
      <c r="A64" s="268" t="s">
        <v>163</v>
      </c>
      <c r="B64" s="268" t="s">
        <v>176</v>
      </c>
      <c r="C64" s="268" t="s">
        <v>165</v>
      </c>
      <c r="D64" s="268">
        <v>4.5</v>
      </c>
      <c r="E64" s="268">
        <v>-1765.7248898697401</v>
      </c>
      <c r="F64" s="268">
        <v>20.477913971936498</v>
      </c>
      <c r="G64" s="268">
        <v>60.598021478206803</v>
      </c>
      <c r="H64" s="268">
        <v>0.48302194881150901</v>
      </c>
      <c r="I64" s="268">
        <v>14.4560687115049</v>
      </c>
      <c r="J64" s="268">
        <v>31.485320828510599</v>
      </c>
    </row>
    <row r="65" spans="1:10">
      <c r="A65" s="268" t="s">
        <v>163</v>
      </c>
      <c r="B65" s="268" t="s">
        <v>176</v>
      </c>
      <c r="C65" s="268" t="s">
        <v>166</v>
      </c>
      <c r="D65" s="268">
        <v>0</v>
      </c>
      <c r="E65" s="268">
        <v>-2467.5105539821102</v>
      </c>
      <c r="F65" s="268">
        <v>-18.718189338727601</v>
      </c>
      <c r="G65" s="268">
        <v>-28.078532444540802</v>
      </c>
      <c r="H65" s="268">
        <v>-0.58984465257266905</v>
      </c>
      <c r="I65" s="268">
        <v>-111.89732728892901</v>
      </c>
      <c r="J65" s="268">
        <v>-52.746531195763602</v>
      </c>
    </row>
    <row r="66" spans="1:10">
      <c r="A66" s="268" t="s">
        <v>163</v>
      </c>
      <c r="B66" s="268" t="s">
        <v>176</v>
      </c>
      <c r="C66" s="268" t="s">
        <v>166</v>
      </c>
      <c r="D66" s="268">
        <v>2.25</v>
      </c>
      <c r="E66" s="268">
        <v>-2455.3748221321098</v>
      </c>
      <c r="F66" s="268">
        <v>-18.718189338727601</v>
      </c>
      <c r="G66" s="268">
        <v>-28.078532444540802</v>
      </c>
      <c r="H66" s="268">
        <v>-0.58984465257266905</v>
      </c>
      <c r="I66" s="268">
        <v>-49.0500926088095</v>
      </c>
      <c r="J66" s="268">
        <v>-10.6306051836265</v>
      </c>
    </row>
    <row r="67" spans="1:10">
      <c r="A67" s="268" t="s">
        <v>163</v>
      </c>
      <c r="B67" s="268" t="s">
        <v>176</v>
      </c>
      <c r="C67" s="268" t="s">
        <v>166</v>
      </c>
      <c r="D67" s="268">
        <v>4.5</v>
      </c>
      <c r="E67" s="268">
        <v>-2443.2390902821098</v>
      </c>
      <c r="F67" s="268">
        <v>-18.718189338727601</v>
      </c>
      <c r="G67" s="268">
        <v>-28.078532444540802</v>
      </c>
      <c r="H67" s="268">
        <v>-0.58984465257266905</v>
      </c>
      <c r="I67" s="268">
        <v>-113.060500863025</v>
      </c>
      <c r="J67" s="268">
        <v>-32.847609879752497</v>
      </c>
    </row>
    <row r="68" spans="1:10">
      <c r="A68" s="268" t="s">
        <v>163</v>
      </c>
      <c r="B68" s="268" t="s">
        <v>177</v>
      </c>
      <c r="C68" s="268" t="s">
        <v>165</v>
      </c>
      <c r="D68" s="268">
        <v>0</v>
      </c>
      <c r="E68" s="268">
        <v>-1207.7181014937</v>
      </c>
      <c r="F68" s="268">
        <v>11.483288496286001</v>
      </c>
      <c r="G68" s="268">
        <v>29.3141714774547</v>
      </c>
      <c r="H68" s="268">
        <v>0.48302194881150901</v>
      </c>
      <c r="I68" s="268">
        <v>125.627396256164</v>
      </c>
      <c r="J68" s="268">
        <v>44.629801530218799</v>
      </c>
    </row>
    <row r="69" spans="1:10">
      <c r="A69" s="268" t="s">
        <v>163</v>
      </c>
      <c r="B69" s="268" t="s">
        <v>177</v>
      </c>
      <c r="C69" s="268" t="s">
        <v>165</v>
      </c>
      <c r="D69" s="268">
        <v>2.125</v>
      </c>
      <c r="E69" s="268">
        <v>-1196.2565769687001</v>
      </c>
      <c r="F69" s="268">
        <v>11.483288496286001</v>
      </c>
      <c r="G69" s="268">
        <v>29.3141714774547</v>
      </c>
      <c r="H69" s="268">
        <v>0.48302194881150901</v>
      </c>
      <c r="I69" s="268">
        <v>63.334781866572399</v>
      </c>
      <c r="J69" s="268">
        <v>20.227813475611001</v>
      </c>
    </row>
    <row r="70" spans="1:10">
      <c r="A70" s="268" t="s">
        <v>163</v>
      </c>
      <c r="B70" s="268" t="s">
        <v>177</v>
      </c>
      <c r="C70" s="268" t="s">
        <v>165</v>
      </c>
      <c r="D70" s="268">
        <v>4.25</v>
      </c>
      <c r="E70" s="268">
        <v>-1184.7950524436999</v>
      </c>
      <c r="F70" s="268">
        <v>11.483288496286001</v>
      </c>
      <c r="G70" s="268">
        <v>29.3141714774547</v>
      </c>
      <c r="H70" s="268">
        <v>0.48302194881150901</v>
      </c>
      <c r="I70" s="268">
        <v>49.257123169789402</v>
      </c>
      <c r="J70" s="268">
        <v>41.739929464613503</v>
      </c>
    </row>
    <row r="71" spans="1:10">
      <c r="A71" s="268" t="s">
        <v>163</v>
      </c>
      <c r="B71" s="268" t="s">
        <v>177</v>
      </c>
      <c r="C71" s="268" t="s">
        <v>166</v>
      </c>
      <c r="D71" s="268">
        <v>0</v>
      </c>
      <c r="E71" s="268">
        <v>-1584.3093925805799</v>
      </c>
      <c r="F71" s="268">
        <v>-22.9902934270835</v>
      </c>
      <c r="G71" s="268">
        <v>-43.979130150882199</v>
      </c>
      <c r="H71" s="268">
        <v>-0.58984465257266805</v>
      </c>
      <c r="I71" s="268">
        <v>-139.834078738399</v>
      </c>
      <c r="J71" s="268">
        <v>-58.146651166178103</v>
      </c>
    </row>
    <row r="72" spans="1:10">
      <c r="A72" s="268" t="s">
        <v>163</v>
      </c>
      <c r="B72" s="268" t="s">
        <v>177</v>
      </c>
      <c r="C72" s="268" t="s">
        <v>166</v>
      </c>
      <c r="D72" s="268">
        <v>2.125</v>
      </c>
      <c r="E72" s="268">
        <v>-1572.84786805558</v>
      </c>
      <c r="F72" s="268">
        <v>-22.9902934270835</v>
      </c>
      <c r="G72" s="268">
        <v>-43.979130150882199</v>
      </c>
      <c r="H72" s="268">
        <v>-0.58984465257266805</v>
      </c>
      <c r="I72" s="268">
        <v>-46.378427167774298</v>
      </c>
      <c r="J72" s="268">
        <v>-9.2922776336256092</v>
      </c>
    </row>
    <row r="73" spans="1:10">
      <c r="A73" s="268" t="s">
        <v>163</v>
      </c>
      <c r="B73" s="268" t="s">
        <v>177</v>
      </c>
      <c r="C73" s="268" t="s">
        <v>166</v>
      </c>
      <c r="D73" s="268">
        <v>4.25</v>
      </c>
      <c r="E73" s="268">
        <v>-1561.38634353058</v>
      </c>
      <c r="F73" s="268">
        <v>-22.9902934270835</v>
      </c>
      <c r="G73" s="268">
        <v>-43.979130150882199</v>
      </c>
      <c r="H73" s="268">
        <v>-0.58984465257266805</v>
      </c>
      <c r="I73" s="268">
        <v>1.04216747698115</v>
      </c>
      <c r="J73" s="268">
        <v>-4.1741745789967704</v>
      </c>
    </row>
    <row r="74" spans="1:10">
      <c r="A74" s="268" t="s">
        <v>163</v>
      </c>
      <c r="B74" s="268" t="s">
        <v>178</v>
      </c>
      <c r="C74" s="268" t="s">
        <v>165</v>
      </c>
      <c r="D74" s="268">
        <v>0</v>
      </c>
      <c r="E74" s="268">
        <v>-582.701991357059</v>
      </c>
      <c r="F74" s="268">
        <v>10.833624762333001</v>
      </c>
      <c r="G74" s="268">
        <v>30.058205985439798</v>
      </c>
      <c r="H74" s="268">
        <v>0.48302194881150901</v>
      </c>
      <c r="I74" s="268">
        <v>126.723607095151</v>
      </c>
      <c r="J74" s="268">
        <v>41.071004406956298</v>
      </c>
    </row>
    <row r="75" spans="1:10">
      <c r="A75" s="268" t="s">
        <v>163</v>
      </c>
      <c r="B75" s="268" t="s">
        <v>178</v>
      </c>
      <c r="C75" s="268" t="s">
        <v>165</v>
      </c>
      <c r="D75" s="268">
        <v>2.125</v>
      </c>
      <c r="E75" s="268">
        <v>-571.24046683205904</v>
      </c>
      <c r="F75" s="268">
        <v>10.833624762333001</v>
      </c>
      <c r="G75" s="268">
        <v>30.058205985439798</v>
      </c>
      <c r="H75" s="268">
        <v>0.48302194881150901</v>
      </c>
      <c r="I75" s="268">
        <v>62.849919376091101</v>
      </c>
      <c r="J75" s="268">
        <v>18.049551786998698</v>
      </c>
    </row>
    <row r="76" spans="1:10">
      <c r="A76" s="268" t="s">
        <v>163</v>
      </c>
      <c r="B76" s="268" t="s">
        <v>178</v>
      </c>
      <c r="C76" s="268" t="s">
        <v>165</v>
      </c>
      <c r="D76" s="268">
        <v>4.25</v>
      </c>
      <c r="E76" s="268">
        <v>-559.77894230705897</v>
      </c>
      <c r="F76" s="268">
        <v>10.833624762333001</v>
      </c>
      <c r="G76" s="268">
        <v>30.058205985439798</v>
      </c>
      <c r="H76" s="268">
        <v>0.48302194881150901</v>
      </c>
      <c r="I76" s="268">
        <v>43.859347751520403</v>
      </c>
      <c r="J76" s="268">
        <v>30.885886297247399</v>
      </c>
    </row>
    <row r="77" spans="1:10">
      <c r="A77" s="268" t="s">
        <v>163</v>
      </c>
      <c r="B77" s="268" t="s">
        <v>178</v>
      </c>
      <c r="C77" s="268" t="s">
        <v>166</v>
      </c>
      <c r="D77" s="268">
        <v>0</v>
      </c>
      <c r="E77" s="268">
        <v>-835.42734693654097</v>
      </c>
      <c r="F77" s="268">
        <v>-18.509216002397501</v>
      </c>
      <c r="G77" s="268">
        <v>-41.445411255431402</v>
      </c>
      <c r="H77" s="268">
        <v>-0.58984465257266805</v>
      </c>
      <c r="I77" s="268">
        <v>-136.10106624189399</v>
      </c>
      <c r="J77" s="268">
        <v>-49.683212364488597</v>
      </c>
    </row>
    <row r="78" spans="1:10">
      <c r="A78" s="268" t="s">
        <v>163</v>
      </c>
      <c r="B78" s="268" t="s">
        <v>178</v>
      </c>
      <c r="C78" s="268" t="s">
        <v>166</v>
      </c>
      <c r="D78" s="268">
        <v>2.125</v>
      </c>
      <c r="E78" s="268">
        <v>-823.96582241154101</v>
      </c>
      <c r="F78" s="268">
        <v>-18.509216002397501</v>
      </c>
      <c r="G78" s="268">
        <v>-41.445411255431402</v>
      </c>
      <c r="H78" s="268">
        <v>-0.58984465257266805</v>
      </c>
      <c r="I78" s="268">
        <v>-48.029567324102302</v>
      </c>
      <c r="J78" s="268">
        <v>-10.351128359394</v>
      </c>
    </row>
    <row r="79" spans="1:10">
      <c r="A79" s="268" t="s">
        <v>163</v>
      </c>
      <c r="B79" s="268" t="s">
        <v>178</v>
      </c>
      <c r="C79" s="268" t="s">
        <v>166</v>
      </c>
      <c r="D79" s="268">
        <v>4.25</v>
      </c>
      <c r="E79" s="268">
        <v>-812.50429788654105</v>
      </c>
      <c r="F79" s="268">
        <v>-18.509216002397501</v>
      </c>
      <c r="G79" s="268">
        <v>-41.445411255431402</v>
      </c>
      <c r="H79" s="268">
        <v>-0.58984465257266805</v>
      </c>
      <c r="I79" s="268">
        <v>-1.0237683429684901</v>
      </c>
      <c r="J79" s="268">
        <v>-4.9719008329588998</v>
      </c>
    </row>
    <row r="80" spans="1:10">
      <c r="A80" s="268" t="s">
        <v>163</v>
      </c>
      <c r="B80" s="268" t="s">
        <v>179</v>
      </c>
      <c r="C80" s="268" t="s">
        <v>165</v>
      </c>
      <c r="D80" s="268">
        <v>0</v>
      </c>
      <c r="E80" s="268">
        <v>-1147.6219243898499</v>
      </c>
      <c r="F80" s="268">
        <v>17.89017344698</v>
      </c>
      <c r="G80" s="268">
        <v>28.883435842432799</v>
      </c>
      <c r="H80" s="268">
        <v>0.48302194881150901</v>
      </c>
      <c r="I80" s="268">
        <v>122.358876321257</v>
      </c>
      <c r="J80" s="268">
        <v>51.535395652848401</v>
      </c>
    </row>
    <row r="81" spans="1:10">
      <c r="A81" s="268" t="s">
        <v>163</v>
      </c>
      <c r="B81" s="268" t="s">
        <v>179</v>
      </c>
      <c r="C81" s="268" t="s">
        <v>165</v>
      </c>
      <c r="D81" s="268">
        <v>2.125</v>
      </c>
      <c r="E81" s="268">
        <v>-1136.16039986485</v>
      </c>
      <c r="F81" s="268">
        <v>17.89017344698</v>
      </c>
      <c r="G81" s="268">
        <v>28.883435842432799</v>
      </c>
      <c r="H81" s="268">
        <v>0.48302194881150901</v>
      </c>
      <c r="I81" s="268">
        <v>60.981575156086897</v>
      </c>
      <c r="J81" s="268">
        <v>13.5187770780159</v>
      </c>
    </row>
    <row r="82" spans="1:10">
      <c r="A82" s="268" t="s">
        <v>163</v>
      </c>
      <c r="B82" s="268" t="s">
        <v>179</v>
      </c>
      <c r="C82" s="268" t="s">
        <v>165</v>
      </c>
      <c r="D82" s="268">
        <v>4.25</v>
      </c>
      <c r="E82" s="268">
        <v>-1124.69887533985</v>
      </c>
      <c r="F82" s="268">
        <v>17.89017344698</v>
      </c>
      <c r="G82" s="268">
        <v>28.883435842432799</v>
      </c>
      <c r="H82" s="268">
        <v>0.48302194881150901</v>
      </c>
      <c r="I82" s="268">
        <v>77.130151867875298</v>
      </c>
      <c r="J82" s="268">
        <v>22.947369833737</v>
      </c>
    </row>
    <row r="83" spans="1:10">
      <c r="A83" s="268" t="s">
        <v>163</v>
      </c>
      <c r="B83" s="268" t="s">
        <v>179</v>
      </c>
      <c r="C83" s="268" t="s">
        <v>166</v>
      </c>
      <c r="D83" s="268">
        <v>0</v>
      </c>
      <c r="E83" s="268">
        <v>-1663.6216698820599</v>
      </c>
      <c r="F83" s="268">
        <v>-16.3287171082303</v>
      </c>
      <c r="G83" s="268">
        <v>-51.244170405513003</v>
      </c>
      <c r="H83" s="268">
        <v>-0.58984465257266805</v>
      </c>
      <c r="I83" s="268">
        <v>-148.38100991383601</v>
      </c>
      <c r="J83" s="268">
        <v>-46.449677876241502</v>
      </c>
    </row>
    <row r="84" spans="1:10">
      <c r="A84" s="268" t="s">
        <v>163</v>
      </c>
      <c r="B84" s="268" t="s">
        <v>179</v>
      </c>
      <c r="C84" s="268" t="s">
        <v>166</v>
      </c>
      <c r="D84" s="268">
        <v>2.125</v>
      </c>
      <c r="E84" s="268">
        <v>-1652.1601453570599</v>
      </c>
      <c r="F84" s="268">
        <v>-16.3287171082303</v>
      </c>
      <c r="G84" s="268">
        <v>-51.244170405513003</v>
      </c>
      <c r="H84" s="268">
        <v>-0.58984465257266805</v>
      </c>
      <c r="I84" s="268">
        <v>-39.487147802120802</v>
      </c>
      <c r="J84" s="268">
        <v>-11.7511540212522</v>
      </c>
    </row>
    <row r="85" spans="1:10">
      <c r="A85" s="268" t="s">
        <v>163</v>
      </c>
      <c r="B85" s="268" t="s">
        <v>179</v>
      </c>
      <c r="C85" s="268" t="s">
        <v>166</v>
      </c>
      <c r="D85" s="268">
        <v>4.25</v>
      </c>
      <c r="E85" s="268">
        <v>-1640.69862083206</v>
      </c>
      <c r="F85" s="268">
        <v>-16.3287171082303</v>
      </c>
      <c r="G85" s="268">
        <v>-51.244170405513003</v>
      </c>
      <c r="H85" s="268">
        <v>-0.58984465257266805</v>
      </c>
      <c r="I85" s="268">
        <v>-0.39572600908289202</v>
      </c>
      <c r="J85" s="268">
        <v>-24.497841496816601</v>
      </c>
    </row>
    <row r="86" spans="1:10">
      <c r="A86" s="268" t="s">
        <v>163</v>
      </c>
      <c r="B86" s="268" t="s">
        <v>180</v>
      </c>
      <c r="C86" s="268" t="s">
        <v>165</v>
      </c>
      <c r="D86" s="268">
        <v>0</v>
      </c>
      <c r="E86" s="268">
        <v>-1142.5095142642799</v>
      </c>
      <c r="F86" s="268">
        <v>18.7069939035093</v>
      </c>
      <c r="G86" s="268">
        <v>28.5472471197136</v>
      </c>
      <c r="H86" s="268">
        <v>0.48302194881150901</v>
      </c>
      <c r="I86" s="268">
        <v>118.990209797312</v>
      </c>
      <c r="J86" s="268">
        <v>52.746685933232698</v>
      </c>
    </row>
    <row r="87" spans="1:10">
      <c r="A87" s="268" t="s">
        <v>163</v>
      </c>
      <c r="B87" s="268" t="s">
        <v>180</v>
      </c>
      <c r="C87" s="268" t="s">
        <v>165</v>
      </c>
      <c r="D87" s="268">
        <v>2.125</v>
      </c>
      <c r="E87" s="268">
        <v>-1131.04798973928</v>
      </c>
      <c r="F87" s="268">
        <v>18.7069939035093</v>
      </c>
      <c r="G87" s="268">
        <v>28.5472471197136</v>
      </c>
      <c r="H87" s="268">
        <v>0.48302194881150901</v>
      </c>
      <c r="I87" s="268">
        <v>58.327309667920701</v>
      </c>
      <c r="J87" s="268">
        <v>12.9943238882753</v>
      </c>
    </row>
    <row r="88" spans="1:10">
      <c r="A88" s="268" t="s">
        <v>163</v>
      </c>
      <c r="B88" s="268" t="s">
        <v>180</v>
      </c>
      <c r="C88" s="268" t="s">
        <v>165</v>
      </c>
      <c r="D88" s="268">
        <v>4.25</v>
      </c>
      <c r="E88" s="268">
        <v>-1119.58646521428</v>
      </c>
      <c r="F88" s="268">
        <v>18.7069939035093</v>
      </c>
      <c r="G88" s="268">
        <v>28.5472471197136</v>
      </c>
      <c r="H88" s="268">
        <v>0.48302194881150901</v>
      </c>
      <c r="I88" s="268">
        <v>76.157934185428203</v>
      </c>
      <c r="J88" s="268">
        <v>20.873035450793299</v>
      </c>
    </row>
    <row r="89" spans="1:10">
      <c r="A89" s="268" t="s">
        <v>163</v>
      </c>
      <c r="B89" s="268" t="s">
        <v>180</v>
      </c>
      <c r="C89" s="268" t="s">
        <v>166</v>
      </c>
      <c r="D89" s="268">
        <v>0</v>
      </c>
      <c r="E89" s="268">
        <v>-1637.31895854193</v>
      </c>
      <c r="F89" s="268">
        <v>-15.579066076637501</v>
      </c>
      <c r="G89" s="268">
        <v>-50.124957621024997</v>
      </c>
      <c r="H89" s="268">
        <v>-0.58984465257266805</v>
      </c>
      <c r="I89" s="268">
        <v>-144.379060299976</v>
      </c>
      <c r="J89" s="268">
        <v>-45.337995374916098</v>
      </c>
    </row>
    <row r="90" spans="1:10">
      <c r="A90" s="268" t="s">
        <v>163</v>
      </c>
      <c r="B90" s="268" t="s">
        <v>180</v>
      </c>
      <c r="C90" s="268" t="s">
        <v>166</v>
      </c>
      <c r="D90" s="268">
        <v>2.125</v>
      </c>
      <c r="E90" s="268">
        <v>-1625.85743401693</v>
      </c>
      <c r="F90" s="268">
        <v>-15.579066076637501</v>
      </c>
      <c r="G90" s="268">
        <v>-50.124957621024997</v>
      </c>
      <c r="H90" s="268">
        <v>-0.58984465257266805</v>
      </c>
      <c r="I90" s="268">
        <v>-37.863525355297597</v>
      </c>
      <c r="J90" s="268">
        <v>-12.232479962061401</v>
      </c>
    </row>
    <row r="91" spans="1:10">
      <c r="A91" s="268" t="s">
        <v>163</v>
      </c>
      <c r="B91" s="268" t="s">
        <v>180</v>
      </c>
      <c r="C91" s="268" t="s">
        <v>166</v>
      </c>
      <c r="D91" s="268">
        <v>4.25</v>
      </c>
      <c r="E91" s="268">
        <v>-1614.3959094919301</v>
      </c>
      <c r="F91" s="268">
        <v>-15.579066076637501</v>
      </c>
      <c r="G91" s="268">
        <v>-50.124957621024997</v>
      </c>
      <c r="H91" s="268">
        <v>-0.58984465257266805</v>
      </c>
      <c r="I91" s="268">
        <v>-2.3355904614707699</v>
      </c>
      <c r="J91" s="268">
        <v>-26.758038156682101</v>
      </c>
    </row>
    <row r="92" spans="1:10">
      <c r="A92" s="268" t="s">
        <v>163</v>
      </c>
      <c r="B92" s="268" t="s">
        <v>181</v>
      </c>
      <c r="C92" s="268" t="s">
        <v>165</v>
      </c>
      <c r="D92" s="268">
        <v>0</v>
      </c>
      <c r="E92" s="268">
        <v>-737.33149443479897</v>
      </c>
      <c r="F92" s="268">
        <v>20.509493067044598</v>
      </c>
      <c r="G92" s="268">
        <v>28.340791463036702</v>
      </c>
      <c r="H92" s="268">
        <v>0.48302194881150901</v>
      </c>
      <c r="I92" s="268">
        <v>116.05212902966301</v>
      </c>
      <c r="J92" s="268">
        <v>55.153308723091499</v>
      </c>
    </row>
    <row r="93" spans="1:10">
      <c r="A93" s="268" t="s">
        <v>163</v>
      </c>
      <c r="B93" s="268" t="s">
        <v>181</v>
      </c>
      <c r="C93" s="268" t="s">
        <v>165</v>
      </c>
      <c r="D93" s="268">
        <v>2.125</v>
      </c>
      <c r="E93" s="268">
        <v>-725.86996990979901</v>
      </c>
      <c r="F93" s="268">
        <v>20.509493067044598</v>
      </c>
      <c r="G93" s="268">
        <v>28.340791463036702</v>
      </c>
      <c r="H93" s="268">
        <v>0.48302194881150901</v>
      </c>
      <c r="I93" s="268">
        <v>55.827947170709699</v>
      </c>
      <c r="J93" s="268">
        <v>11.952326755892299</v>
      </c>
    </row>
    <row r="94" spans="1:10">
      <c r="A94" s="268" t="s">
        <v>163</v>
      </c>
      <c r="B94" s="268" t="s">
        <v>181</v>
      </c>
      <c r="C94" s="268" t="s">
        <v>165</v>
      </c>
      <c r="D94" s="268">
        <v>4.25</v>
      </c>
      <c r="E94" s="268">
        <v>-714.40844538479996</v>
      </c>
      <c r="F94" s="268">
        <v>20.509493067044598</v>
      </c>
      <c r="G94" s="268">
        <v>28.340791463036702</v>
      </c>
      <c r="H94" s="268">
        <v>0.48302194881150901</v>
      </c>
      <c r="I94" s="268">
        <v>55.450341437787998</v>
      </c>
      <c r="J94" s="268">
        <v>3.9318643294894402</v>
      </c>
    </row>
    <row r="95" spans="1:10">
      <c r="A95" s="268" t="s">
        <v>163</v>
      </c>
      <c r="B95" s="268" t="s">
        <v>181</v>
      </c>
      <c r="C95" s="268" t="s">
        <v>166</v>
      </c>
      <c r="D95" s="268">
        <v>0</v>
      </c>
      <c r="E95" s="268">
        <v>-1125.4288904784501</v>
      </c>
      <c r="F95" s="268">
        <v>-9.4566363893602396</v>
      </c>
      <c r="G95" s="268">
        <v>-42.565648574525</v>
      </c>
      <c r="H95" s="268">
        <v>-0.58984465257266805</v>
      </c>
      <c r="I95" s="268">
        <v>-131.084783560424</v>
      </c>
      <c r="J95" s="268">
        <v>-36.258840325291601</v>
      </c>
    </row>
    <row r="96" spans="1:10">
      <c r="A96" s="268" t="s">
        <v>163</v>
      </c>
      <c r="B96" s="268" t="s">
        <v>181</v>
      </c>
      <c r="C96" s="268" t="s">
        <v>166</v>
      </c>
      <c r="D96" s="268">
        <v>2.125</v>
      </c>
      <c r="E96" s="268">
        <v>-1113.9673659534501</v>
      </c>
      <c r="F96" s="268">
        <v>-9.4566363893602396</v>
      </c>
      <c r="G96" s="268">
        <v>-42.565648574525</v>
      </c>
      <c r="H96" s="268">
        <v>-0.58984465257266805</v>
      </c>
      <c r="I96" s="268">
        <v>-40.632780339558501</v>
      </c>
      <c r="J96" s="268">
        <v>-16.1634879979011</v>
      </c>
    </row>
    <row r="97" spans="1:10">
      <c r="A97" s="268" t="s">
        <v>163</v>
      </c>
      <c r="B97" s="268" t="s">
        <v>181</v>
      </c>
      <c r="C97" s="268" t="s">
        <v>166</v>
      </c>
      <c r="D97" s="268">
        <v>4.25</v>
      </c>
      <c r="E97" s="268">
        <v>-1102.5058414284499</v>
      </c>
      <c r="F97" s="268">
        <v>-9.4566363893602396</v>
      </c>
      <c r="G97" s="268">
        <v>-42.565648574525</v>
      </c>
      <c r="H97" s="268">
        <v>-0.58984465257266805</v>
      </c>
      <c r="I97" s="268">
        <v>-4.3962346882433101</v>
      </c>
      <c r="J97" s="268">
        <v>-33.659592143479003</v>
      </c>
    </row>
    <row r="98" spans="1:10">
      <c r="A98" s="268" t="s">
        <v>163</v>
      </c>
      <c r="B98" s="268" t="s">
        <v>182</v>
      </c>
      <c r="C98" s="268" t="s">
        <v>165</v>
      </c>
      <c r="D98" s="268">
        <v>0</v>
      </c>
      <c r="E98" s="268">
        <v>-1792.73928703656</v>
      </c>
      <c r="F98" s="268">
        <v>15.7292280717358</v>
      </c>
      <c r="G98" s="268">
        <v>70.767819337597004</v>
      </c>
      <c r="H98" s="268">
        <v>0.48302194881150901</v>
      </c>
      <c r="I98" s="268">
        <v>167.45671495819499</v>
      </c>
      <c r="J98" s="268">
        <v>50.9262468478274</v>
      </c>
    </row>
    <row r="99" spans="1:10">
      <c r="A99" s="268" t="s">
        <v>163</v>
      </c>
      <c r="B99" s="268" t="s">
        <v>182</v>
      </c>
      <c r="C99" s="268" t="s">
        <v>165</v>
      </c>
      <c r="D99" s="268">
        <v>2.085</v>
      </c>
      <c r="E99" s="268">
        <v>-1781.4935088555601</v>
      </c>
      <c r="F99" s="268">
        <v>15.7292280717358</v>
      </c>
      <c r="G99" s="268">
        <v>70.767819337597004</v>
      </c>
      <c r="H99" s="268">
        <v>0.48302194881150901</v>
      </c>
      <c r="I99" s="268">
        <v>27.501602319008501</v>
      </c>
      <c r="J99" s="268">
        <v>18.806604386495501</v>
      </c>
    </row>
    <row r="100" spans="1:10">
      <c r="A100" s="268" t="s">
        <v>163</v>
      </c>
      <c r="B100" s="268" t="s">
        <v>182</v>
      </c>
      <c r="C100" s="268" t="s">
        <v>165</v>
      </c>
      <c r="D100" s="268">
        <v>4.17</v>
      </c>
      <c r="E100" s="268">
        <v>-1770.24773067456</v>
      </c>
      <c r="F100" s="268">
        <v>15.7292280717358</v>
      </c>
      <c r="G100" s="268">
        <v>70.767819337597004</v>
      </c>
      <c r="H100" s="268">
        <v>0.48302194881150901</v>
      </c>
      <c r="I100" s="268">
        <v>-4.99832044890079</v>
      </c>
      <c r="J100" s="268">
        <v>55.966592710627502</v>
      </c>
    </row>
    <row r="101" spans="1:10">
      <c r="A101" s="268" t="s">
        <v>163</v>
      </c>
      <c r="B101" s="268" t="s">
        <v>182</v>
      </c>
      <c r="C101" s="268" t="s">
        <v>166</v>
      </c>
      <c r="D101" s="268">
        <v>0</v>
      </c>
      <c r="E101" s="268">
        <v>-2433.69002022417</v>
      </c>
      <c r="F101" s="268">
        <v>-28.6144918062177</v>
      </c>
      <c r="G101" s="268">
        <v>-21.7583307708293</v>
      </c>
      <c r="H101" s="268">
        <v>-0.58984465257266905</v>
      </c>
      <c r="I101" s="268">
        <v>-95.730559763258896</v>
      </c>
      <c r="J101" s="268">
        <v>-66.376591841001996</v>
      </c>
    </row>
    <row r="102" spans="1:10">
      <c r="A102" s="268" t="s">
        <v>163</v>
      </c>
      <c r="B102" s="268" t="s">
        <v>182</v>
      </c>
      <c r="C102" s="268" t="s">
        <v>166</v>
      </c>
      <c r="D102" s="268">
        <v>2.085</v>
      </c>
      <c r="E102" s="268">
        <v>-2422.4442420431701</v>
      </c>
      <c r="F102" s="268">
        <v>-28.6144918062177</v>
      </c>
      <c r="G102" s="268">
        <v>-21.7583307708293</v>
      </c>
      <c r="H102" s="268">
        <v>-0.58984465257266905</v>
      </c>
      <c r="I102" s="268">
        <v>-50.821608395923001</v>
      </c>
      <c r="J102" s="268">
        <v>-6.8705571171102999</v>
      </c>
    </row>
    <row r="103" spans="1:10">
      <c r="A103" s="268" t="s">
        <v>163</v>
      </c>
      <c r="B103" s="268" t="s">
        <v>182</v>
      </c>
      <c r="C103" s="268" t="s">
        <v>166</v>
      </c>
      <c r="D103" s="268">
        <v>4.17</v>
      </c>
      <c r="E103" s="268">
        <v>-2411.1984638621698</v>
      </c>
      <c r="F103" s="268">
        <v>-28.6144918062177</v>
      </c>
      <c r="G103" s="268">
        <v>-21.7583307708293</v>
      </c>
      <c r="H103" s="268">
        <v>-0.58984465257266905</v>
      </c>
      <c r="I103" s="268">
        <v>-128.293073532233</v>
      </c>
      <c r="J103" s="268">
        <v>-14.6646342113107</v>
      </c>
    </row>
    <row r="104" spans="1:10">
      <c r="A104" s="268" t="s">
        <v>163</v>
      </c>
      <c r="B104" s="268" t="s">
        <v>183</v>
      </c>
      <c r="C104" s="268" t="s">
        <v>165</v>
      </c>
      <c r="D104" s="268">
        <v>0</v>
      </c>
      <c r="E104" s="268">
        <v>-2789.1026853314202</v>
      </c>
      <c r="F104" s="268">
        <v>35.841089896140502</v>
      </c>
      <c r="G104" s="268">
        <v>60.696246255693197</v>
      </c>
      <c r="H104" s="268">
        <v>0.77666594439370595</v>
      </c>
      <c r="I104" s="268">
        <v>189.18073711666801</v>
      </c>
      <c r="J104" s="268">
        <v>103.998183333841</v>
      </c>
    </row>
    <row r="105" spans="1:10">
      <c r="A105" s="268" t="s">
        <v>163</v>
      </c>
      <c r="B105" s="268" t="s">
        <v>183</v>
      </c>
      <c r="C105" s="268" t="s">
        <v>165</v>
      </c>
      <c r="D105" s="268">
        <v>2.25</v>
      </c>
      <c r="E105" s="268">
        <v>-2773.9330205189199</v>
      </c>
      <c r="F105" s="268">
        <v>35.841089896140502</v>
      </c>
      <c r="G105" s="268">
        <v>60.696246255693197</v>
      </c>
      <c r="H105" s="268">
        <v>0.77666594439370595</v>
      </c>
      <c r="I105" s="268">
        <v>52.614183041358601</v>
      </c>
      <c r="J105" s="268">
        <v>23.3557310675243</v>
      </c>
    </row>
    <row r="106" spans="1:10">
      <c r="A106" s="268" t="s">
        <v>163</v>
      </c>
      <c r="B106" s="268" t="s">
        <v>183</v>
      </c>
      <c r="C106" s="268" t="s">
        <v>165</v>
      </c>
      <c r="D106" s="268">
        <v>4.5</v>
      </c>
      <c r="E106" s="268">
        <v>-2758.76335570642</v>
      </c>
      <c r="F106" s="268">
        <v>35.841089896140502</v>
      </c>
      <c r="G106" s="268">
        <v>60.696246255693197</v>
      </c>
      <c r="H106" s="268">
        <v>0.77666594439370595</v>
      </c>
      <c r="I106" s="268">
        <v>83.131519298279699</v>
      </c>
      <c r="J106" s="268">
        <v>59.220395759808397</v>
      </c>
    </row>
    <row r="107" spans="1:10">
      <c r="A107" s="268" t="s">
        <v>163</v>
      </c>
      <c r="B107" s="268" t="s">
        <v>183</v>
      </c>
      <c r="C107" s="268" t="s">
        <v>166</v>
      </c>
      <c r="D107" s="268">
        <v>0</v>
      </c>
      <c r="E107" s="268">
        <v>-3575.6293676555401</v>
      </c>
      <c r="F107" s="268">
        <v>-34.459534289612002</v>
      </c>
      <c r="G107" s="268">
        <v>-57.566002605059801</v>
      </c>
      <c r="H107" s="268">
        <v>-0.94842947667932898</v>
      </c>
      <c r="I107" s="268">
        <v>-175.915492424489</v>
      </c>
      <c r="J107" s="268">
        <v>-95.8475085434455</v>
      </c>
    </row>
    <row r="108" spans="1:10">
      <c r="A108" s="268" t="s">
        <v>163</v>
      </c>
      <c r="B108" s="268" t="s">
        <v>183</v>
      </c>
      <c r="C108" s="268" t="s">
        <v>166</v>
      </c>
      <c r="D108" s="268">
        <v>2.25</v>
      </c>
      <c r="E108" s="268">
        <v>-3560.4597028430398</v>
      </c>
      <c r="F108" s="268">
        <v>-34.459534289612002</v>
      </c>
      <c r="G108" s="268">
        <v>-57.566002605059801</v>
      </c>
      <c r="H108" s="268">
        <v>-0.94842947667932898</v>
      </c>
      <c r="I108" s="268">
        <v>-46.391986563104901</v>
      </c>
      <c r="J108" s="268">
        <v>-18.313556391818501</v>
      </c>
    </row>
    <row r="109" spans="1:10">
      <c r="A109" s="268" t="s">
        <v>163</v>
      </c>
      <c r="B109" s="268" t="s">
        <v>183</v>
      </c>
      <c r="C109" s="268" t="s">
        <v>166</v>
      </c>
      <c r="D109" s="268">
        <v>4.5</v>
      </c>
      <c r="E109" s="268">
        <v>-3545.29003803054</v>
      </c>
      <c r="F109" s="268">
        <v>-34.459534289612002</v>
      </c>
      <c r="G109" s="268">
        <v>-57.566002605059801</v>
      </c>
      <c r="H109" s="268">
        <v>-0.94842947667932898</v>
      </c>
      <c r="I109" s="268">
        <v>-83.952371033951096</v>
      </c>
      <c r="J109" s="268">
        <v>-57.286721198791902</v>
      </c>
    </row>
    <row r="110" spans="1:10">
      <c r="A110" s="268" t="s">
        <v>163</v>
      </c>
      <c r="B110" s="268" t="s">
        <v>184</v>
      </c>
      <c r="C110" s="268" t="s">
        <v>165</v>
      </c>
      <c r="D110" s="268">
        <v>0</v>
      </c>
      <c r="E110" s="268">
        <v>-2973.39525279092</v>
      </c>
      <c r="F110" s="268">
        <v>34.796997356892597</v>
      </c>
      <c r="G110" s="268">
        <v>54.6889833236499</v>
      </c>
      <c r="H110" s="268">
        <v>0.77666594439370595</v>
      </c>
      <c r="I110" s="268">
        <v>176.73835082706</v>
      </c>
      <c r="J110" s="268">
        <v>102.45988699658</v>
      </c>
    </row>
    <row r="111" spans="1:10">
      <c r="A111" s="268" t="s">
        <v>163</v>
      </c>
      <c r="B111" s="268" t="s">
        <v>184</v>
      </c>
      <c r="C111" s="268" t="s">
        <v>165</v>
      </c>
      <c r="D111" s="268">
        <v>2.25</v>
      </c>
      <c r="E111" s="268">
        <v>-2958.2255879784202</v>
      </c>
      <c r="F111" s="268">
        <v>34.796997356892597</v>
      </c>
      <c r="G111" s="268">
        <v>54.6889833236499</v>
      </c>
      <c r="H111" s="268">
        <v>0.77666594439370595</v>
      </c>
      <c r="I111" s="268">
        <v>53.688138348847602</v>
      </c>
      <c r="J111" s="268">
        <v>24.1666429435715</v>
      </c>
    </row>
    <row r="112" spans="1:10">
      <c r="A112" s="268" t="s">
        <v>163</v>
      </c>
      <c r="B112" s="268" t="s">
        <v>184</v>
      </c>
      <c r="C112" s="268" t="s">
        <v>165</v>
      </c>
      <c r="D112" s="268">
        <v>4.5</v>
      </c>
      <c r="E112" s="268">
        <v>-2943.0559231659199</v>
      </c>
      <c r="F112" s="268">
        <v>34.796997356892597</v>
      </c>
      <c r="G112" s="268">
        <v>54.6889833236499</v>
      </c>
      <c r="H112" s="268">
        <v>0.77666594439370595</v>
      </c>
      <c r="I112" s="268">
        <v>90.393417024780405</v>
      </c>
      <c r="J112" s="268">
        <v>47.6640520008526</v>
      </c>
    </row>
    <row r="113" spans="1:10">
      <c r="A113" s="268" t="s">
        <v>163</v>
      </c>
      <c r="B113" s="268" t="s">
        <v>184</v>
      </c>
      <c r="C113" s="268" t="s">
        <v>166</v>
      </c>
      <c r="D113" s="268">
        <v>0</v>
      </c>
      <c r="E113" s="268">
        <v>-3818.4483679433602</v>
      </c>
      <c r="F113" s="268">
        <v>-30.641359043565298</v>
      </c>
      <c r="G113" s="268">
        <v>-58.993539249351102</v>
      </c>
      <c r="H113" s="268">
        <v>-0.94842947667932898</v>
      </c>
      <c r="I113" s="268">
        <v>-175.07750959730001</v>
      </c>
      <c r="J113" s="268">
        <v>-90.222063695191295</v>
      </c>
    </row>
    <row r="114" spans="1:10">
      <c r="A114" s="268" t="s">
        <v>163</v>
      </c>
      <c r="B114" s="268" t="s">
        <v>184</v>
      </c>
      <c r="C114" s="268" t="s">
        <v>166</v>
      </c>
      <c r="D114" s="268">
        <v>2.25</v>
      </c>
      <c r="E114" s="268">
        <v>-3803.2787031308599</v>
      </c>
      <c r="F114" s="268">
        <v>-30.641359043565298</v>
      </c>
      <c r="G114" s="268">
        <v>-58.993539249351102</v>
      </c>
      <c r="H114" s="268">
        <v>-0.94842947667932898</v>
      </c>
      <c r="I114" s="268">
        <v>-42.342046286259603</v>
      </c>
      <c r="J114" s="268">
        <v>-21.279005847169302</v>
      </c>
    </row>
    <row r="115" spans="1:10">
      <c r="A115" s="268" t="s">
        <v>163</v>
      </c>
      <c r="B115" s="268" t="s">
        <v>184</v>
      </c>
      <c r="C115" s="268" t="s">
        <v>166</v>
      </c>
      <c r="D115" s="268">
        <v>4.5</v>
      </c>
      <c r="E115" s="268">
        <v>-3788.10903831836</v>
      </c>
      <c r="F115" s="268">
        <v>-30.641359043565298</v>
      </c>
      <c r="G115" s="268">
        <v>-58.993539249351102</v>
      </c>
      <c r="H115" s="268">
        <v>-0.94842947667932898</v>
      </c>
      <c r="I115" s="268">
        <v>-69.362074129364601</v>
      </c>
      <c r="J115" s="268">
        <v>-54.126601109436798</v>
      </c>
    </row>
    <row r="116" spans="1:10">
      <c r="A116" s="268" t="s">
        <v>163</v>
      </c>
      <c r="B116" s="268" t="s">
        <v>185</v>
      </c>
      <c r="C116" s="268" t="s">
        <v>165</v>
      </c>
      <c r="D116" s="268">
        <v>0</v>
      </c>
      <c r="E116" s="268">
        <v>-1038.38138302878</v>
      </c>
      <c r="F116" s="268">
        <v>8.9921649926545903</v>
      </c>
      <c r="G116" s="268">
        <v>47.698653185153603</v>
      </c>
      <c r="H116" s="268">
        <v>0.48302194881150901</v>
      </c>
      <c r="I116" s="268">
        <v>152.71386590353799</v>
      </c>
      <c r="J116" s="268">
        <v>39.545244427536801</v>
      </c>
    </row>
    <row r="117" spans="1:10">
      <c r="A117" s="268" t="s">
        <v>163</v>
      </c>
      <c r="B117" s="268" t="s">
        <v>185</v>
      </c>
      <c r="C117" s="268" t="s">
        <v>165</v>
      </c>
      <c r="D117" s="268">
        <v>2.125</v>
      </c>
      <c r="E117" s="268">
        <v>-1026.91985850378</v>
      </c>
      <c r="F117" s="268">
        <v>8.9921649926545903</v>
      </c>
      <c r="G117" s="268">
        <v>47.698653185153603</v>
      </c>
      <c r="H117" s="268">
        <v>0.48302194881150901</v>
      </c>
      <c r="I117" s="268">
        <v>51.354227885086601</v>
      </c>
      <c r="J117" s="268">
        <v>21.485862667047801</v>
      </c>
    </row>
    <row r="118" spans="1:10">
      <c r="A118" s="268" t="s">
        <v>163</v>
      </c>
      <c r="B118" s="268" t="s">
        <v>185</v>
      </c>
      <c r="C118" s="268" t="s">
        <v>165</v>
      </c>
      <c r="D118" s="268">
        <v>4.25</v>
      </c>
      <c r="E118" s="268">
        <v>-1015.45833397878</v>
      </c>
      <c r="F118" s="268">
        <v>8.9921649926545903</v>
      </c>
      <c r="G118" s="268">
        <v>47.698653185153603</v>
      </c>
      <c r="H118" s="268">
        <v>0.48302194881150901</v>
      </c>
      <c r="I118" s="268">
        <v>33.853709821274599</v>
      </c>
      <c r="J118" s="268">
        <v>53.279335765584001</v>
      </c>
    </row>
    <row r="119" spans="1:10">
      <c r="A119" s="268" t="s">
        <v>163</v>
      </c>
      <c r="B119" s="268" t="s">
        <v>185</v>
      </c>
      <c r="C119" s="268" t="s">
        <v>166</v>
      </c>
      <c r="D119" s="268">
        <v>0</v>
      </c>
      <c r="E119" s="268">
        <v>-1399.46300345742</v>
      </c>
      <c r="F119" s="268">
        <v>-26.526158383108299</v>
      </c>
      <c r="G119" s="268">
        <v>-39.216759959839102</v>
      </c>
      <c r="H119" s="268">
        <v>-0.58984465257266805</v>
      </c>
      <c r="I119" s="268">
        <v>-132.81752000804201</v>
      </c>
      <c r="J119" s="268">
        <v>-60.521417427583401</v>
      </c>
    </row>
    <row r="120" spans="1:10">
      <c r="A120" s="268" t="s">
        <v>163</v>
      </c>
      <c r="B120" s="268" t="s">
        <v>185</v>
      </c>
      <c r="C120" s="268" t="s">
        <v>166</v>
      </c>
      <c r="D120" s="268">
        <v>2.125</v>
      </c>
      <c r="E120" s="268">
        <v>-1388.00147893242</v>
      </c>
      <c r="F120" s="268">
        <v>-26.526158383108299</v>
      </c>
      <c r="G120" s="268">
        <v>-39.216759959839102</v>
      </c>
      <c r="H120" s="268">
        <v>-0.58984465257266805</v>
      </c>
      <c r="I120" s="268">
        <v>-49.481905093383602</v>
      </c>
      <c r="J120" s="268">
        <v>-6.8682322547085004</v>
      </c>
    </row>
    <row r="121" spans="1:10">
      <c r="A121" s="268" t="s">
        <v>163</v>
      </c>
      <c r="B121" s="268" t="s">
        <v>185</v>
      </c>
      <c r="C121" s="268" t="s">
        <v>166</v>
      </c>
      <c r="D121" s="268">
        <v>4.25</v>
      </c>
      <c r="E121" s="268">
        <v>-1376.5399544074201</v>
      </c>
      <c r="F121" s="268">
        <v>-26.526158383108299</v>
      </c>
      <c r="G121" s="268">
        <v>-39.216759959839102</v>
      </c>
      <c r="H121" s="268">
        <v>-0.58984465257266805</v>
      </c>
      <c r="I121" s="268">
        <v>-50.005410133364798</v>
      </c>
      <c r="J121" s="268">
        <v>1.3285432087548199</v>
      </c>
    </row>
    <row r="122" spans="1:10">
      <c r="A122" s="268" t="s">
        <v>163</v>
      </c>
      <c r="B122" s="268" t="s">
        <v>186</v>
      </c>
      <c r="C122" s="268" t="s">
        <v>165</v>
      </c>
      <c r="D122" s="268">
        <v>0</v>
      </c>
      <c r="E122" s="268">
        <v>-2998.2507725955402</v>
      </c>
      <c r="F122" s="268">
        <v>30.380080345637101</v>
      </c>
      <c r="G122" s="268">
        <v>96.994393496313293</v>
      </c>
      <c r="H122" s="268">
        <v>0.84752141685855398</v>
      </c>
      <c r="I122" s="268">
        <v>359.40404817399701</v>
      </c>
      <c r="J122" s="268">
        <v>83.692824119624504</v>
      </c>
    </row>
    <row r="123" spans="1:10">
      <c r="A123" s="268" t="s">
        <v>163</v>
      </c>
      <c r="B123" s="268" t="s">
        <v>186</v>
      </c>
      <c r="C123" s="268" t="s">
        <v>165</v>
      </c>
      <c r="D123" s="268">
        <v>2.125</v>
      </c>
      <c r="E123" s="268">
        <v>-2982.2046382605399</v>
      </c>
      <c r="F123" s="268">
        <v>30.380080345637101</v>
      </c>
      <c r="G123" s="268">
        <v>96.994393496313293</v>
      </c>
      <c r="H123" s="268">
        <v>0.84752141685855398</v>
      </c>
      <c r="I123" s="268">
        <v>153.29096199433101</v>
      </c>
      <c r="J123" s="268">
        <v>19.135153385145699</v>
      </c>
    </row>
    <row r="124" spans="1:10">
      <c r="A124" s="268" t="s">
        <v>163</v>
      </c>
      <c r="B124" s="268" t="s">
        <v>186</v>
      </c>
      <c r="C124" s="268" t="s">
        <v>165</v>
      </c>
      <c r="D124" s="268">
        <v>4.25</v>
      </c>
      <c r="E124" s="268">
        <v>-2966.1585039255401</v>
      </c>
      <c r="F124" s="268">
        <v>30.380080345637101</v>
      </c>
      <c r="G124" s="268">
        <v>96.994393496313293</v>
      </c>
      <c r="H124" s="268">
        <v>0.84752141685855398</v>
      </c>
      <c r="I124" s="268">
        <v>81.194213264796005</v>
      </c>
      <c r="J124" s="268">
        <v>38.860125858789203</v>
      </c>
    </row>
    <row r="125" spans="1:10">
      <c r="A125" s="268" t="s">
        <v>163</v>
      </c>
      <c r="B125" s="268" t="s">
        <v>186</v>
      </c>
      <c r="C125" s="268" t="s">
        <v>166</v>
      </c>
      <c r="D125" s="268">
        <v>0</v>
      </c>
      <c r="E125" s="268">
        <v>-3830.24183493398</v>
      </c>
      <c r="F125" s="268">
        <v>-26.213729118603901</v>
      </c>
      <c r="G125" s="268">
        <v>-100.340345541399</v>
      </c>
      <c r="H125" s="268">
        <v>-1.03495498890861</v>
      </c>
      <c r="I125" s="268">
        <v>-345.25225528614999</v>
      </c>
      <c r="J125" s="268">
        <v>-72.548222895277405</v>
      </c>
    </row>
    <row r="126" spans="1:10">
      <c r="A126" s="268" t="s">
        <v>163</v>
      </c>
      <c r="B126" s="268" t="s">
        <v>186</v>
      </c>
      <c r="C126" s="268" t="s">
        <v>166</v>
      </c>
      <c r="D126" s="268">
        <v>2.125</v>
      </c>
      <c r="E126" s="268">
        <v>-3814.1957005989798</v>
      </c>
      <c r="F126" s="268">
        <v>-26.213729118603901</v>
      </c>
      <c r="G126" s="268">
        <v>-100.340345541399</v>
      </c>
      <c r="H126" s="268">
        <v>-1.03495498890861</v>
      </c>
      <c r="I126" s="268">
        <v>-132.02902101067701</v>
      </c>
      <c r="J126" s="268">
        <v>-16.844048518244101</v>
      </c>
    </row>
    <row r="127" spans="1:10">
      <c r="A127" s="268" t="s">
        <v>163</v>
      </c>
      <c r="B127" s="268" t="s">
        <v>186</v>
      </c>
      <c r="C127" s="268" t="s">
        <v>166</v>
      </c>
      <c r="D127" s="268">
        <v>4.25</v>
      </c>
      <c r="E127" s="268">
        <v>-3798.14956626398</v>
      </c>
      <c r="F127" s="268">
        <v>-26.213729118603901</v>
      </c>
      <c r="G127" s="268">
        <v>-100.340345541399</v>
      </c>
      <c r="H127" s="268">
        <v>-1.03495498890861</v>
      </c>
      <c r="I127" s="268">
        <v>-52.8221241853349</v>
      </c>
      <c r="J127" s="268">
        <v>-45.422517349333098</v>
      </c>
    </row>
    <row r="128" spans="1:10">
      <c r="A128" s="268" t="s">
        <v>163</v>
      </c>
      <c r="B128" s="268" t="s">
        <v>187</v>
      </c>
      <c r="C128" s="268" t="s">
        <v>165</v>
      </c>
      <c r="D128" s="268">
        <v>0</v>
      </c>
      <c r="E128" s="268">
        <v>-3752.6721936291401</v>
      </c>
      <c r="F128" s="268">
        <v>22.371965508601001</v>
      </c>
      <c r="G128" s="268">
        <v>104.812711554917</v>
      </c>
      <c r="H128" s="268">
        <v>0.84752141685855398</v>
      </c>
      <c r="I128" s="268">
        <v>362.83841956892502</v>
      </c>
      <c r="J128" s="268">
        <v>71.817323709756494</v>
      </c>
    </row>
    <row r="129" spans="1:10">
      <c r="A129" s="268" t="s">
        <v>163</v>
      </c>
      <c r="B129" s="268" t="s">
        <v>187</v>
      </c>
      <c r="C129" s="268" t="s">
        <v>165</v>
      </c>
      <c r="D129" s="268">
        <v>2.25</v>
      </c>
      <c r="E129" s="268">
        <v>-3735.6821690391398</v>
      </c>
      <c r="F129" s="268">
        <v>22.371965508601001</v>
      </c>
      <c r="G129" s="268">
        <v>104.812711554917</v>
      </c>
      <c r="H129" s="268">
        <v>0.84752141685855398</v>
      </c>
      <c r="I129" s="268">
        <v>127.00981857036</v>
      </c>
      <c r="J129" s="268">
        <v>21.480401315404301</v>
      </c>
    </row>
    <row r="130" spans="1:10">
      <c r="A130" s="268" t="s">
        <v>163</v>
      </c>
      <c r="B130" s="268" t="s">
        <v>187</v>
      </c>
      <c r="C130" s="268" t="s">
        <v>165</v>
      </c>
      <c r="D130" s="268">
        <v>4.5</v>
      </c>
      <c r="E130" s="268">
        <v>-3718.69214444914</v>
      </c>
      <c r="F130" s="268">
        <v>22.371965508601001</v>
      </c>
      <c r="G130" s="268">
        <v>104.812711554917</v>
      </c>
      <c r="H130" s="268">
        <v>0.84752141685855398</v>
      </c>
      <c r="I130" s="268">
        <v>100.757611935019</v>
      </c>
      <c r="J130" s="268">
        <v>54.817305700111</v>
      </c>
    </row>
    <row r="131" spans="1:10">
      <c r="A131" s="268" t="s">
        <v>163</v>
      </c>
      <c r="B131" s="268" t="s">
        <v>187</v>
      </c>
      <c r="C131" s="268" t="s">
        <v>166</v>
      </c>
      <c r="D131" s="268">
        <v>0</v>
      </c>
      <c r="E131" s="268">
        <v>-4863.7957469150897</v>
      </c>
      <c r="F131" s="268">
        <v>-29.3305802170959</v>
      </c>
      <c r="G131" s="268">
        <v>-96.415965578691697</v>
      </c>
      <c r="H131" s="268">
        <v>-1.03495498890861</v>
      </c>
      <c r="I131" s="268">
        <v>-333.11423316909401</v>
      </c>
      <c r="J131" s="268">
        <v>-77.170305276820599</v>
      </c>
    </row>
    <row r="132" spans="1:10">
      <c r="A132" s="268" t="s">
        <v>163</v>
      </c>
      <c r="B132" s="268" t="s">
        <v>187</v>
      </c>
      <c r="C132" s="268" t="s">
        <v>166</v>
      </c>
      <c r="D132" s="268">
        <v>2.25</v>
      </c>
      <c r="E132" s="268">
        <v>-4846.8057223250898</v>
      </c>
      <c r="F132" s="268">
        <v>-29.3305802170959</v>
      </c>
      <c r="G132" s="268">
        <v>-96.415965578691697</v>
      </c>
      <c r="H132" s="268">
        <v>-1.03495498890861</v>
      </c>
      <c r="I132" s="268">
        <v>-116.178310617037</v>
      </c>
      <c r="J132" s="268">
        <v>-11.1764997883548</v>
      </c>
    </row>
    <row r="133" spans="1:10">
      <c r="A133" s="268" t="s">
        <v>163</v>
      </c>
      <c r="B133" s="268" t="s">
        <v>187</v>
      </c>
      <c r="C133" s="268" t="s">
        <v>166</v>
      </c>
      <c r="D133" s="268">
        <v>4.5</v>
      </c>
      <c r="E133" s="268">
        <v>-4829.81569773509</v>
      </c>
      <c r="F133" s="268">
        <v>-29.3305802170959</v>
      </c>
      <c r="G133" s="268">
        <v>-96.415965578691697</v>
      </c>
      <c r="H133" s="268">
        <v>-1.03495498890861</v>
      </c>
      <c r="I133" s="268">
        <v>-108.818782428204</v>
      </c>
      <c r="J133" s="268">
        <v>-28.856521078947999</v>
      </c>
    </row>
    <row r="134" spans="1:10">
      <c r="A134" s="268" t="s">
        <v>163</v>
      </c>
      <c r="B134" s="268" t="s">
        <v>188</v>
      </c>
      <c r="C134" s="268" t="s">
        <v>165</v>
      </c>
      <c r="D134" s="268">
        <v>0</v>
      </c>
      <c r="E134" s="268">
        <v>-2358.1237444382</v>
      </c>
      <c r="F134" s="268">
        <v>27.5434784909082</v>
      </c>
      <c r="G134" s="268">
        <v>37.357186458829197</v>
      </c>
      <c r="H134" s="268">
        <v>0.48302194881150901</v>
      </c>
      <c r="I134" s="268">
        <v>129.33628428980299</v>
      </c>
      <c r="J134" s="268">
        <v>67.055605546888501</v>
      </c>
    </row>
    <row r="135" spans="1:10">
      <c r="A135" s="268" t="s">
        <v>163</v>
      </c>
      <c r="B135" s="268" t="s">
        <v>188</v>
      </c>
      <c r="C135" s="268" t="s">
        <v>165</v>
      </c>
      <c r="D135" s="268">
        <v>2.125</v>
      </c>
      <c r="E135" s="268">
        <v>-2346.6622199131998</v>
      </c>
      <c r="F135" s="268">
        <v>27.5434784909082</v>
      </c>
      <c r="G135" s="268">
        <v>37.357186458829197</v>
      </c>
      <c r="H135" s="268">
        <v>0.48302194881150901</v>
      </c>
      <c r="I135" s="268">
        <v>49.952263064790401</v>
      </c>
      <c r="J135" s="268">
        <v>8.5257137537085104</v>
      </c>
    </row>
    <row r="136" spans="1:10">
      <c r="A136" s="268" t="s">
        <v>163</v>
      </c>
      <c r="B136" s="268" t="s">
        <v>188</v>
      </c>
      <c r="C136" s="268" t="s">
        <v>165</v>
      </c>
      <c r="D136" s="268">
        <v>4.25</v>
      </c>
      <c r="E136" s="268">
        <v>-2335.2006953882001</v>
      </c>
      <c r="F136" s="268">
        <v>27.5434784909082</v>
      </c>
      <c r="G136" s="268">
        <v>37.357186458829197</v>
      </c>
      <c r="H136" s="268">
        <v>0.48302194881150901</v>
      </c>
      <c r="I136" s="268">
        <v>80.048448083755304</v>
      </c>
      <c r="J136" s="268">
        <v>17.164239379810802</v>
      </c>
    </row>
    <row r="137" spans="1:10">
      <c r="A137" s="268" t="s">
        <v>163</v>
      </c>
      <c r="B137" s="268" t="s">
        <v>188</v>
      </c>
      <c r="C137" s="268" t="s">
        <v>166</v>
      </c>
      <c r="D137" s="268">
        <v>0</v>
      </c>
      <c r="E137" s="268">
        <v>-3090.6122197192499</v>
      </c>
      <c r="F137" s="268">
        <v>-14.543823408272999</v>
      </c>
      <c r="G137" s="268">
        <v>-53.072461495741599</v>
      </c>
      <c r="H137" s="268">
        <v>-0.58984465257266805</v>
      </c>
      <c r="I137" s="268">
        <v>-146.56482122512401</v>
      </c>
      <c r="J137" s="268">
        <v>-44.647010105349501</v>
      </c>
    </row>
    <row r="138" spans="1:10">
      <c r="A138" s="268" t="s">
        <v>163</v>
      </c>
      <c r="B138" s="268" t="s">
        <v>188</v>
      </c>
      <c r="C138" s="268" t="s">
        <v>166</v>
      </c>
      <c r="D138" s="268">
        <v>2.125</v>
      </c>
      <c r="E138" s="268">
        <v>-3079.1506951942501</v>
      </c>
      <c r="F138" s="268">
        <v>-14.543823408272999</v>
      </c>
      <c r="G138" s="268">
        <v>-53.072461495741599</v>
      </c>
      <c r="H138" s="268">
        <v>-0.58984465257266805</v>
      </c>
      <c r="I138" s="268">
        <v>-33.785840546673597</v>
      </c>
      <c r="J138" s="268">
        <v>-13.7413853627694</v>
      </c>
    </row>
    <row r="139" spans="1:10">
      <c r="A139" s="268" t="s">
        <v>163</v>
      </c>
      <c r="B139" s="268" t="s">
        <v>188</v>
      </c>
      <c r="C139" s="268" t="s">
        <v>166</v>
      </c>
      <c r="D139" s="268">
        <v>4.25</v>
      </c>
      <c r="E139" s="268">
        <v>-3067.68917066925</v>
      </c>
      <c r="F139" s="268">
        <v>-14.543823408272999</v>
      </c>
      <c r="G139" s="268">
        <v>-53.072461495741599</v>
      </c>
      <c r="H139" s="268">
        <v>-0.58984465257266805</v>
      </c>
      <c r="I139" s="268">
        <v>-29.431758160221801</v>
      </c>
      <c r="J139" s="268">
        <v>-51.501757787784001</v>
      </c>
    </row>
    <row r="140" spans="1:10">
      <c r="A140" s="268" t="s">
        <v>163</v>
      </c>
      <c r="B140" s="268" t="s">
        <v>189</v>
      </c>
      <c r="C140" s="268" t="s">
        <v>165</v>
      </c>
      <c r="D140" s="268">
        <v>0</v>
      </c>
      <c r="E140" s="268">
        <v>-2307.7722481659798</v>
      </c>
      <c r="F140" s="268">
        <v>13.5393990674958</v>
      </c>
      <c r="G140" s="268">
        <v>36.2877914961174</v>
      </c>
      <c r="H140" s="268">
        <v>0.48302194881150901</v>
      </c>
      <c r="I140" s="268">
        <v>125.845143399582</v>
      </c>
      <c r="J140" s="268">
        <v>46.288489400723201</v>
      </c>
    </row>
    <row r="141" spans="1:10">
      <c r="A141" s="268" t="s">
        <v>163</v>
      </c>
      <c r="B141" s="268" t="s">
        <v>189</v>
      </c>
      <c r="C141" s="268" t="s">
        <v>165</v>
      </c>
      <c r="D141" s="268">
        <v>2.125</v>
      </c>
      <c r="E141" s="268">
        <v>-2296.3107236409801</v>
      </c>
      <c r="F141" s="268">
        <v>13.5393990674958</v>
      </c>
      <c r="G141" s="268">
        <v>36.2877914961174</v>
      </c>
      <c r="H141" s="268">
        <v>0.48302194881150901</v>
      </c>
      <c r="I141" s="268">
        <v>48.733586470332199</v>
      </c>
      <c r="J141" s="268">
        <v>18.0623766768603</v>
      </c>
    </row>
    <row r="142" spans="1:10">
      <c r="A142" s="268" t="s">
        <v>163</v>
      </c>
      <c r="B142" s="268" t="s">
        <v>189</v>
      </c>
      <c r="C142" s="268" t="s">
        <v>165</v>
      </c>
      <c r="D142" s="268">
        <v>4.25</v>
      </c>
      <c r="E142" s="268">
        <v>-2284.8491991159799</v>
      </c>
      <c r="F142" s="268">
        <v>13.5393990674958</v>
      </c>
      <c r="G142" s="268">
        <v>36.2877914961174</v>
      </c>
      <c r="H142" s="268">
        <v>0.48302194881150901</v>
      </c>
      <c r="I142" s="268">
        <v>86.515315894169902</v>
      </c>
      <c r="J142" s="268">
        <v>54.362447323443902</v>
      </c>
    </row>
    <row r="143" spans="1:10">
      <c r="A143" s="268" t="s">
        <v>163</v>
      </c>
      <c r="B143" s="268" t="s">
        <v>189</v>
      </c>
      <c r="C143" s="268" t="s">
        <v>166</v>
      </c>
      <c r="D143" s="268">
        <v>0</v>
      </c>
      <c r="E143" s="268">
        <v>-3175.1849551512</v>
      </c>
      <c r="F143" s="268">
        <v>-27.060666435382402</v>
      </c>
      <c r="G143" s="268">
        <v>-54.346549085699102</v>
      </c>
      <c r="H143" s="268">
        <v>-0.58984465257266805</v>
      </c>
      <c r="I143" s="268">
        <v>-146.87332619253201</v>
      </c>
      <c r="J143" s="268">
        <v>-63.208653828444</v>
      </c>
    </row>
    <row r="144" spans="1:10">
      <c r="A144" s="268" t="s">
        <v>163</v>
      </c>
      <c r="B144" s="268" t="s">
        <v>189</v>
      </c>
      <c r="C144" s="268" t="s">
        <v>166</v>
      </c>
      <c r="D144" s="268">
        <v>2.125</v>
      </c>
      <c r="E144" s="268">
        <v>-3163.7234306261998</v>
      </c>
      <c r="F144" s="268">
        <v>-27.060666435382402</v>
      </c>
      <c r="G144" s="268">
        <v>-54.346549085699102</v>
      </c>
      <c r="H144" s="268">
        <v>-0.58984465257266805</v>
      </c>
      <c r="I144" s="268">
        <v>-31.3869093854216</v>
      </c>
      <c r="J144" s="268">
        <v>-5.70473765325647</v>
      </c>
    </row>
    <row r="145" spans="1:10">
      <c r="A145" s="268" t="s">
        <v>163</v>
      </c>
      <c r="B145" s="268" t="s">
        <v>189</v>
      </c>
      <c r="C145" s="268" t="s">
        <v>166</v>
      </c>
      <c r="D145" s="268">
        <v>4.25</v>
      </c>
      <c r="E145" s="268">
        <v>-3152.2619061012001</v>
      </c>
      <c r="F145" s="268">
        <v>-27.060666435382402</v>
      </c>
      <c r="G145" s="268">
        <v>-54.346549085699102</v>
      </c>
      <c r="H145" s="268">
        <v>-0.58984465257266805</v>
      </c>
      <c r="I145" s="268">
        <v>-28.377970458917201</v>
      </c>
      <c r="J145" s="268">
        <v>-11.253956636134101</v>
      </c>
    </row>
    <row r="146" spans="1:10">
      <c r="A146" s="268" t="s">
        <v>163</v>
      </c>
      <c r="B146" s="268" t="s">
        <v>190</v>
      </c>
      <c r="C146" s="268" t="s">
        <v>165</v>
      </c>
      <c r="D146" s="268">
        <v>0</v>
      </c>
      <c r="E146" s="268">
        <v>-2532.3164008291101</v>
      </c>
      <c r="F146" s="268">
        <v>34.676679740224898</v>
      </c>
      <c r="G146" s="268">
        <v>63.990568727126401</v>
      </c>
      <c r="H146" s="268">
        <v>0.77666594439370595</v>
      </c>
      <c r="I146" s="268">
        <v>182.27404616197899</v>
      </c>
      <c r="J146" s="268">
        <v>104.998218705182</v>
      </c>
    </row>
    <row r="147" spans="1:10">
      <c r="A147" s="268" t="s">
        <v>163</v>
      </c>
      <c r="B147" s="268" t="s">
        <v>190</v>
      </c>
      <c r="C147" s="268" t="s">
        <v>165</v>
      </c>
      <c r="D147" s="268">
        <v>2.125</v>
      </c>
      <c r="E147" s="268">
        <v>-2517.9894951728602</v>
      </c>
      <c r="F147" s="268">
        <v>34.676679740224898</v>
      </c>
      <c r="G147" s="268">
        <v>63.990568727126401</v>
      </c>
      <c r="H147" s="268">
        <v>0.77666594439370595</v>
      </c>
      <c r="I147" s="268">
        <v>49.873613977674601</v>
      </c>
      <c r="J147" s="268">
        <v>31.310274257204298</v>
      </c>
    </row>
    <row r="148" spans="1:10">
      <c r="A148" s="268" t="s">
        <v>163</v>
      </c>
      <c r="B148" s="268" t="s">
        <v>190</v>
      </c>
      <c r="C148" s="268" t="s">
        <v>165</v>
      </c>
      <c r="D148" s="268">
        <v>4.25</v>
      </c>
      <c r="E148" s="268">
        <v>-2503.6625895166098</v>
      </c>
      <c r="F148" s="268">
        <v>34.676679740224898</v>
      </c>
      <c r="G148" s="268">
        <v>63.990568727126401</v>
      </c>
      <c r="H148" s="268">
        <v>0.77666594439370595</v>
      </c>
      <c r="I148" s="268">
        <v>-21.625304652229101</v>
      </c>
      <c r="J148" s="268">
        <v>11.167699896306001</v>
      </c>
    </row>
    <row r="149" spans="1:10">
      <c r="A149" s="268" t="s">
        <v>163</v>
      </c>
      <c r="B149" s="268" t="s">
        <v>190</v>
      </c>
      <c r="C149" s="268" t="s">
        <v>166</v>
      </c>
      <c r="D149" s="268">
        <v>0</v>
      </c>
      <c r="E149" s="268">
        <v>-3330.4873230442199</v>
      </c>
      <c r="F149" s="268">
        <v>-20.9414210650414</v>
      </c>
      <c r="G149" s="268">
        <v>-22.2850391450276</v>
      </c>
      <c r="H149" s="268">
        <v>-0.94842947667932898</v>
      </c>
      <c r="I149" s="268">
        <v>-116.33672101859599</v>
      </c>
      <c r="J149" s="268">
        <v>-77.833339630119895</v>
      </c>
    </row>
    <row r="150" spans="1:10">
      <c r="A150" s="268" t="s">
        <v>163</v>
      </c>
      <c r="B150" s="268" t="s">
        <v>190</v>
      </c>
      <c r="C150" s="268" t="s">
        <v>166</v>
      </c>
      <c r="D150" s="268">
        <v>2.125</v>
      </c>
      <c r="E150" s="268">
        <v>-3316.16041738797</v>
      </c>
      <c r="F150" s="268">
        <v>-20.9414210650414</v>
      </c>
      <c r="G150" s="268">
        <v>-22.2850391450276</v>
      </c>
      <c r="H150" s="268">
        <v>-0.94842947667932898</v>
      </c>
      <c r="I150" s="268">
        <v>-68.981012835412699</v>
      </c>
      <c r="J150" s="268">
        <v>-33.332819866907002</v>
      </c>
    </row>
    <row r="151" spans="1:10">
      <c r="A151" s="268" t="s">
        <v>163</v>
      </c>
      <c r="B151" s="268" t="s">
        <v>190</v>
      </c>
      <c r="C151" s="268" t="s">
        <v>166</v>
      </c>
      <c r="D151" s="268">
        <v>4.25</v>
      </c>
      <c r="E151" s="268">
        <v>-3301.8335117317201</v>
      </c>
      <c r="F151" s="268">
        <v>-20.9414210650414</v>
      </c>
      <c r="G151" s="268">
        <v>-22.2850391450276</v>
      </c>
      <c r="H151" s="268">
        <v>-0.94842947667932898</v>
      </c>
      <c r="I151" s="268">
        <v>-95.046148233601201</v>
      </c>
      <c r="J151" s="268">
        <v>-44.187915057536401</v>
      </c>
    </row>
    <row r="152" spans="1:10">
      <c r="A152" s="268" t="s">
        <v>163</v>
      </c>
      <c r="B152" s="268" t="s">
        <v>191</v>
      </c>
      <c r="C152" s="268" t="s">
        <v>165</v>
      </c>
      <c r="D152" s="268">
        <v>0</v>
      </c>
      <c r="E152" s="268">
        <v>-1678.8703074816301</v>
      </c>
      <c r="F152" s="268">
        <v>-3.1210702125050802</v>
      </c>
      <c r="G152" s="268">
        <v>11.610760384794901</v>
      </c>
      <c r="H152" s="268">
        <v>0.79225276493394603</v>
      </c>
      <c r="I152" s="268">
        <v>65.998018886214695</v>
      </c>
      <c r="J152" s="268">
        <v>5.4473851452724498</v>
      </c>
    </row>
    <row r="153" spans="1:10">
      <c r="A153" s="268" t="s">
        <v>163</v>
      </c>
      <c r="B153" s="268" t="s">
        <v>191</v>
      </c>
      <c r="C153" s="268" t="s">
        <v>165</v>
      </c>
      <c r="D153" s="268">
        <v>2.25</v>
      </c>
      <c r="E153" s="268">
        <v>-1666.7345756316299</v>
      </c>
      <c r="F153" s="268">
        <v>-3.1210702125050802</v>
      </c>
      <c r="G153" s="268">
        <v>11.610760384794901</v>
      </c>
      <c r="H153" s="268">
        <v>0.79225276493394603</v>
      </c>
      <c r="I153" s="268">
        <v>40.456114607073701</v>
      </c>
      <c r="J153" s="268">
        <v>12.4697931234089</v>
      </c>
    </row>
    <row r="154" spans="1:10">
      <c r="A154" s="268" t="s">
        <v>163</v>
      </c>
      <c r="B154" s="268" t="s">
        <v>191</v>
      </c>
      <c r="C154" s="268" t="s">
        <v>165</v>
      </c>
      <c r="D154" s="268">
        <v>4.5</v>
      </c>
      <c r="E154" s="268">
        <v>-1654.59884378163</v>
      </c>
      <c r="F154" s="268">
        <v>-3.1210702125050802</v>
      </c>
      <c r="G154" s="268">
        <v>11.610760384794901</v>
      </c>
      <c r="H154" s="268">
        <v>0.79225276493394603</v>
      </c>
      <c r="I154" s="268">
        <v>14.914210327932601</v>
      </c>
      <c r="J154" s="268">
        <v>20.060611370511001</v>
      </c>
    </row>
    <row r="155" spans="1:10">
      <c r="A155" s="268" t="s">
        <v>163</v>
      </c>
      <c r="B155" s="268" t="s">
        <v>191</v>
      </c>
      <c r="C155" s="268" t="s">
        <v>166</v>
      </c>
      <c r="D155" s="268">
        <v>0</v>
      </c>
      <c r="E155" s="268">
        <v>-2173.3070903361099</v>
      </c>
      <c r="F155" s="268">
        <v>-19.331996896697401</v>
      </c>
      <c r="G155" s="268">
        <v>-3.36841653358062</v>
      </c>
      <c r="H155" s="268">
        <v>-1.0656642644957</v>
      </c>
      <c r="I155" s="268">
        <v>-31.661832067928</v>
      </c>
      <c r="J155" s="268">
        <v>-87.098008089047894</v>
      </c>
    </row>
    <row r="156" spans="1:10">
      <c r="A156" s="268" t="s">
        <v>163</v>
      </c>
      <c r="B156" s="268" t="s">
        <v>191</v>
      </c>
      <c r="C156" s="268" t="s">
        <v>166</v>
      </c>
      <c r="D156" s="268">
        <v>2.25</v>
      </c>
      <c r="E156" s="268">
        <v>-2161.17135848611</v>
      </c>
      <c r="F156" s="268">
        <v>-19.331996896697401</v>
      </c>
      <c r="G156" s="268">
        <v>-3.36841653358062</v>
      </c>
      <c r="H156" s="268">
        <v>-1.0656642644957</v>
      </c>
      <c r="I156" s="268">
        <v>-24.0828948673716</v>
      </c>
      <c r="J156" s="268">
        <v>-43.701331635906698</v>
      </c>
    </row>
    <row r="157" spans="1:10">
      <c r="A157" s="268" t="s">
        <v>163</v>
      </c>
      <c r="B157" s="268" t="s">
        <v>191</v>
      </c>
      <c r="C157" s="268" t="s">
        <v>166</v>
      </c>
      <c r="D157" s="268">
        <v>4.5</v>
      </c>
      <c r="E157" s="268">
        <v>-2149.03562663611</v>
      </c>
      <c r="F157" s="268">
        <v>-19.331996896697401</v>
      </c>
      <c r="G157" s="268">
        <v>-3.36841653358062</v>
      </c>
      <c r="H157" s="268">
        <v>-1.0656642644957</v>
      </c>
      <c r="I157" s="268">
        <v>-16.503957666815101</v>
      </c>
      <c r="J157" s="268">
        <v>-2.91294714781074</v>
      </c>
    </row>
    <row r="158" spans="1:10">
      <c r="A158" s="268" t="s">
        <v>163</v>
      </c>
      <c r="B158" s="268" t="s">
        <v>192</v>
      </c>
      <c r="C158" s="268" t="s">
        <v>165</v>
      </c>
      <c r="D158" s="268">
        <v>0</v>
      </c>
      <c r="E158" s="268">
        <v>-575.04639645257805</v>
      </c>
      <c r="F158" s="268">
        <v>6.3979892703825199</v>
      </c>
      <c r="G158" s="268">
        <v>42.323831106299501</v>
      </c>
      <c r="H158" s="268">
        <v>0.32716892059608199</v>
      </c>
      <c r="I158" s="268">
        <v>155.66645674452101</v>
      </c>
      <c r="J158" s="268">
        <v>22.3700795107201</v>
      </c>
    </row>
    <row r="159" spans="1:10">
      <c r="A159" s="268" t="s">
        <v>163</v>
      </c>
      <c r="B159" s="268" t="s">
        <v>192</v>
      </c>
      <c r="C159" s="268" t="s">
        <v>165</v>
      </c>
      <c r="D159" s="268">
        <v>2.125</v>
      </c>
      <c r="E159" s="268">
        <v>-564.731024380078</v>
      </c>
      <c r="F159" s="268">
        <v>6.3979892703825199</v>
      </c>
      <c r="G159" s="268">
        <v>42.323831106299501</v>
      </c>
      <c r="H159" s="268">
        <v>0.32716892059608199</v>
      </c>
      <c r="I159" s="268">
        <v>65.728315643634204</v>
      </c>
      <c r="J159" s="268">
        <v>9.0150644870198207</v>
      </c>
    </row>
    <row r="160" spans="1:10">
      <c r="A160" s="268" t="s">
        <v>163</v>
      </c>
      <c r="B160" s="268" t="s">
        <v>192</v>
      </c>
      <c r="C160" s="268" t="s">
        <v>165</v>
      </c>
      <c r="D160" s="268">
        <v>4.25</v>
      </c>
      <c r="E160" s="268">
        <v>-554.41565230757794</v>
      </c>
      <c r="F160" s="268">
        <v>6.3979892703825199</v>
      </c>
      <c r="G160" s="268">
        <v>42.323831106299501</v>
      </c>
      <c r="H160" s="268">
        <v>0.32716892059608199</v>
      </c>
      <c r="I160" s="268">
        <v>47.540673349731101</v>
      </c>
      <c r="J160" s="268">
        <v>26.185263673094099</v>
      </c>
    </row>
    <row r="161" spans="1:10">
      <c r="A161" s="268" t="s">
        <v>163</v>
      </c>
      <c r="B161" s="268" t="s">
        <v>192</v>
      </c>
      <c r="C161" s="268" t="s">
        <v>166</v>
      </c>
      <c r="D161" s="268">
        <v>0</v>
      </c>
      <c r="E161" s="268">
        <v>-1028.94536357426</v>
      </c>
      <c r="F161" s="268">
        <v>-13.1220696127032</v>
      </c>
      <c r="G161" s="268">
        <v>-48.098203060331997</v>
      </c>
      <c r="H161" s="268">
        <v>-0.39952395284810899</v>
      </c>
      <c r="I161" s="268">
        <v>-156.87668965668001</v>
      </c>
      <c r="J161" s="268">
        <v>-30.936696941325302</v>
      </c>
    </row>
    <row r="162" spans="1:10">
      <c r="A162" s="268" t="s">
        <v>163</v>
      </c>
      <c r="B162" s="268" t="s">
        <v>192</v>
      </c>
      <c r="C162" s="268" t="s">
        <v>166</v>
      </c>
      <c r="D162" s="268">
        <v>2.125</v>
      </c>
      <c r="E162" s="268">
        <v>-1018.6299915017599</v>
      </c>
      <c r="F162" s="268">
        <v>-13.1220696127032</v>
      </c>
      <c r="G162" s="268">
        <v>-48.098203060331997</v>
      </c>
      <c r="H162" s="268">
        <v>-0.39952395284810899</v>
      </c>
      <c r="I162" s="268">
        <v>-54.668008153474503</v>
      </c>
      <c r="J162" s="268">
        <v>-3.05229901433102</v>
      </c>
    </row>
    <row r="163" spans="1:10">
      <c r="A163" s="268" t="s">
        <v>163</v>
      </c>
      <c r="B163" s="268" t="s">
        <v>192</v>
      </c>
      <c r="C163" s="268" t="s">
        <v>166</v>
      </c>
      <c r="D163" s="268">
        <v>4.25</v>
      </c>
      <c r="E163" s="268">
        <v>-1008.31461942926</v>
      </c>
      <c r="F163" s="268">
        <v>-13.1220696127032</v>
      </c>
      <c r="G163" s="268">
        <v>-48.098203060331997</v>
      </c>
      <c r="H163" s="268">
        <v>-0.39952395284810899</v>
      </c>
      <c r="I163" s="268">
        <v>-24.2098254572523</v>
      </c>
      <c r="J163" s="268">
        <v>-4.82137488840561</v>
      </c>
    </row>
    <row r="164" spans="1:10">
      <c r="A164" s="268" t="s">
        <v>163</v>
      </c>
      <c r="B164" s="268" t="s">
        <v>193</v>
      </c>
      <c r="C164" s="268" t="s">
        <v>165</v>
      </c>
      <c r="D164" s="268">
        <v>0</v>
      </c>
      <c r="E164" s="268">
        <v>-2383.0283035597899</v>
      </c>
      <c r="F164" s="268">
        <v>26.986658749050601</v>
      </c>
      <c r="G164" s="268">
        <v>86.640155551139401</v>
      </c>
      <c r="H164" s="268">
        <v>0.48302194881150901</v>
      </c>
      <c r="I164" s="268">
        <v>187.42548182304799</v>
      </c>
      <c r="J164" s="268">
        <v>67.620266020009097</v>
      </c>
    </row>
    <row r="165" spans="1:10">
      <c r="A165" s="268" t="s">
        <v>163</v>
      </c>
      <c r="B165" s="268" t="s">
        <v>193</v>
      </c>
      <c r="C165" s="268" t="s">
        <v>165</v>
      </c>
      <c r="D165" s="268">
        <v>2.0912532511683302</v>
      </c>
      <c r="E165" s="268">
        <v>-2371.7487974768501</v>
      </c>
      <c r="F165" s="268">
        <v>26.986658749050601</v>
      </c>
      <c r="G165" s="268">
        <v>86.640155551139401</v>
      </c>
      <c r="H165" s="268">
        <v>0.48302194881150901</v>
      </c>
      <c r="I165" s="268">
        <v>17.141405417793099</v>
      </c>
      <c r="J165" s="268">
        <v>11.184328172886801</v>
      </c>
    </row>
    <row r="166" spans="1:10">
      <c r="A166" s="268" t="s">
        <v>163</v>
      </c>
      <c r="B166" s="268" t="s">
        <v>193</v>
      </c>
      <c r="C166" s="268" t="s">
        <v>165</v>
      </c>
      <c r="D166" s="268">
        <v>4.1825065023366603</v>
      </c>
      <c r="E166" s="268">
        <v>-2360.4692913939102</v>
      </c>
      <c r="F166" s="268">
        <v>26.986658749050601</v>
      </c>
      <c r="G166" s="268">
        <v>86.640155551139401</v>
      </c>
      <c r="H166" s="268">
        <v>0.48302194881150901</v>
      </c>
      <c r="I166" s="268">
        <v>-28.320657963919398</v>
      </c>
      <c r="J166" s="268">
        <v>32.732896935162003</v>
      </c>
    </row>
    <row r="167" spans="1:10">
      <c r="A167" s="268" t="s">
        <v>163</v>
      </c>
      <c r="B167" s="268" t="s">
        <v>193</v>
      </c>
      <c r="C167" s="268" t="s">
        <v>166</v>
      </c>
      <c r="D167" s="268">
        <v>0</v>
      </c>
      <c r="E167" s="268">
        <v>-3136.1050090262102</v>
      </c>
      <c r="F167" s="268">
        <v>-21.035353400271099</v>
      </c>
      <c r="G167" s="268">
        <v>-12.1517589044392</v>
      </c>
      <c r="H167" s="268">
        <v>-0.58984465257266905</v>
      </c>
      <c r="I167" s="268">
        <v>-79.145468596563902</v>
      </c>
      <c r="J167" s="268">
        <v>-55.247605440421403</v>
      </c>
    </row>
    <row r="168" spans="1:10">
      <c r="A168" s="268" t="s">
        <v>163</v>
      </c>
      <c r="B168" s="268" t="s">
        <v>193</v>
      </c>
      <c r="C168" s="268" t="s">
        <v>166</v>
      </c>
      <c r="D168" s="268">
        <v>2.0912532511683302</v>
      </c>
      <c r="E168" s="268">
        <v>-3124.8255029432598</v>
      </c>
      <c r="F168" s="268">
        <v>-21.035353400271099</v>
      </c>
      <c r="G168" s="268">
        <v>-12.1517589044392</v>
      </c>
      <c r="H168" s="268">
        <v>-0.58984465257266905</v>
      </c>
      <c r="I168" s="268">
        <v>-57.5480469832331</v>
      </c>
      <c r="J168" s="268">
        <v>-11.2573542526297</v>
      </c>
    </row>
    <row r="169" spans="1:10">
      <c r="A169" s="268" t="s">
        <v>163</v>
      </c>
      <c r="B169" s="268" t="s">
        <v>193</v>
      </c>
      <c r="C169" s="268" t="s">
        <v>166</v>
      </c>
      <c r="D169" s="268">
        <v>4.1825065023366603</v>
      </c>
      <c r="E169" s="268">
        <v>-3113.54599686032</v>
      </c>
      <c r="F169" s="268">
        <v>-21.035353400271099</v>
      </c>
      <c r="G169" s="268">
        <v>-12.1517589044392</v>
      </c>
      <c r="H169" s="268">
        <v>-0.58984465257266905</v>
      </c>
      <c r="I169" s="268">
        <v>-174.94753213305199</v>
      </c>
      <c r="J169" s="268">
        <v>-45.251609674235397</v>
      </c>
    </row>
    <row r="170" spans="1:10">
      <c r="A170" s="268" t="s">
        <v>163</v>
      </c>
      <c r="B170" s="268" t="s">
        <v>194</v>
      </c>
      <c r="C170" s="268" t="s">
        <v>165</v>
      </c>
      <c r="D170" s="268">
        <v>0</v>
      </c>
      <c r="E170" s="268">
        <v>-858.43290980861298</v>
      </c>
      <c r="F170" s="268">
        <v>9.7252379612596709</v>
      </c>
      <c r="G170" s="268">
        <v>31.4055157960379</v>
      </c>
      <c r="H170" s="268">
        <v>0.48302194881150901</v>
      </c>
      <c r="I170" s="268">
        <v>114.830370416302</v>
      </c>
      <c r="J170" s="268">
        <v>39.427340676066301</v>
      </c>
    </row>
    <row r="171" spans="1:10">
      <c r="A171" s="268" t="s">
        <v>163</v>
      </c>
      <c r="B171" s="268" t="s">
        <v>194</v>
      </c>
      <c r="C171" s="268" t="s">
        <v>165</v>
      </c>
      <c r="D171" s="268">
        <v>2.085</v>
      </c>
      <c r="E171" s="268">
        <v>-847.18713162761298</v>
      </c>
      <c r="F171" s="268">
        <v>9.7252379612596709</v>
      </c>
      <c r="G171" s="268">
        <v>31.4055157960379</v>
      </c>
      <c r="H171" s="268">
        <v>0.48302194881150901</v>
      </c>
      <c r="I171" s="268">
        <v>49.349869981562698</v>
      </c>
      <c r="J171" s="268">
        <v>19.755444516372801</v>
      </c>
    </row>
    <row r="172" spans="1:10">
      <c r="A172" s="268" t="s">
        <v>163</v>
      </c>
      <c r="B172" s="268" t="s">
        <v>194</v>
      </c>
      <c r="C172" s="268" t="s">
        <v>165</v>
      </c>
      <c r="D172" s="268">
        <v>4.17</v>
      </c>
      <c r="E172" s="268">
        <v>-835.94135344661299</v>
      </c>
      <c r="F172" s="268">
        <v>9.7252379612596709</v>
      </c>
      <c r="G172" s="268">
        <v>31.4055157960379</v>
      </c>
      <c r="H172" s="268">
        <v>0.48302194881150901</v>
      </c>
      <c r="I172" s="268">
        <v>70.787012944272306</v>
      </c>
      <c r="J172" s="268">
        <v>47.884562463703801</v>
      </c>
    </row>
    <row r="173" spans="1:10">
      <c r="A173" s="268" t="s">
        <v>163</v>
      </c>
      <c r="B173" s="268" t="s">
        <v>194</v>
      </c>
      <c r="C173" s="268" t="s">
        <v>166</v>
      </c>
      <c r="D173" s="268">
        <v>0</v>
      </c>
      <c r="E173" s="268">
        <v>-1243.6286294111401</v>
      </c>
      <c r="F173" s="268">
        <v>-25.049503563279501</v>
      </c>
      <c r="G173" s="268">
        <v>-48.213044076037797</v>
      </c>
      <c r="H173" s="268">
        <v>-0.58984465257266905</v>
      </c>
      <c r="I173" s="268">
        <v>-134.70717060083501</v>
      </c>
      <c r="J173" s="268">
        <v>-58.217612949323197</v>
      </c>
    </row>
    <row r="174" spans="1:10">
      <c r="A174" s="268" t="s">
        <v>163</v>
      </c>
      <c r="B174" s="268" t="s">
        <v>194</v>
      </c>
      <c r="C174" s="268" t="s">
        <v>166</v>
      </c>
      <c r="D174" s="268">
        <v>2.085</v>
      </c>
      <c r="E174" s="268">
        <v>-1232.38285123014</v>
      </c>
      <c r="F174" s="268">
        <v>-25.049503563279501</v>
      </c>
      <c r="G174" s="268">
        <v>-48.213044076037797</v>
      </c>
      <c r="H174" s="268">
        <v>-0.58984465257266905</v>
      </c>
      <c r="I174" s="268">
        <v>-34.182973702296401</v>
      </c>
      <c r="J174" s="268">
        <v>-7.6265548977232704</v>
      </c>
    </row>
    <row r="175" spans="1:10">
      <c r="A175" s="268" t="s">
        <v>163</v>
      </c>
      <c r="B175" s="268" t="s">
        <v>194</v>
      </c>
      <c r="C175" s="268" t="s">
        <v>166</v>
      </c>
      <c r="D175" s="268">
        <v>4.17</v>
      </c>
      <c r="E175" s="268">
        <v>-1221.1370730491401</v>
      </c>
      <c r="F175" s="268">
        <v>-25.049503563279501</v>
      </c>
      <c r="G175" s="268">
        <v>-48.213044076037797</v>
      </c>
      <c r="H175" s="268">
        <v>-0.58984465257266905</v>
      </c>
      <c r="I175" s="268">
        <v>-16.130630453176401</v>
      </c>
      <c r="J175" s="268">
        <v>-1.12690162238652</v>
      </c>
    </row>
    <row r="176" spans="1:10">
      <c r="A176" s="268" t="s">
        <v>163</v>
      </c>
      <c r="B176" s="268" t="s">
        <v>195</v>
      </c>
      <c r="C176" s="268" t="s">
        <v>165</v>
      </c>
      <c r="D176" s="268">
        <v>0</v>
      </c>
      <c r="E176" s="268">
        <v>-2347.22047149228</v>
      </c>
      <c r="F176" s="268">
        <v>22.525221450969202</v>
      </c>
      <c r="G176" s="268">
        <v>11.6812874962263</v>
      </c>
      <c r="H176" s="268">
        <v>0.48302194881150901</v>
      </c>
      <c r="I176" s="268">
        <v>82.8008807053655</v>
      </c>
      <c r="J176" s="268">
        <v>58.408862828489497</v>
      </c>
    </row>
    <row r="177" spans="1:10">
      <c r="A177" s="268" t="s">
        <v>163</v>
      </c>
      <c r="B177" s="268" t="s">
        <v>195</v>
      </c>
      <c r="C177" s="268" t="s">
        <v>165</v>
      </c>
      <c r="D177" s="268">
        <v>2.085</v>
      </c>
      <c r="E177" s="268">
        <v>-2335.9746933112801</v>
      </c>
      <c r="F177" s="268">
        <v>22.525221450969202</v>
      </c>
      <c r="G177" s="268">
        <v>11.6812874962263</v>
      </c>
      <c r="H177" s="268">
        <v>0.48302194881150901</v>
      </c>
      <c r="I177" s="268">
        <v>63.073199080659201</v>
      </c>
      <c r="J177" s="268">
        <v>11.443776103218701</v>
      </c>
    </row>
    <row r="178" spans="1:10">
      <c r="A178" s="268" t="s">
        <v>163</v>
      </c>
      <c r="B178" s="268" t="s">
        <v>195</v>
      </c>
      <c r="C178" s="268" t="s">
        <v>165</v>
      </c>
      <c r="D178" s="268">
        <v>4.17</v>
      </c>
      <c r="E178" s="268">
        <v>-2324.7289151302798</v>
      </c>
      <c r="F178" s="268">
        <v>22.525221450969202</v>
      </c>
      <c r="G178" s="268">
        <v>11.6812874962263</v>
      </c>
      <c r="H178" s="268">
        <v>0.48302194881150901</v>
      </c>
      <c r="I178" s="268">
        <v>172.98237670500399</v>
      </c>
      <c r="J178" s="268">
        <v>29.567345989220801</v>
      </c>
    </row>
    <row r="179" spans="1:10">
      <c r="A179" s="268" t="s">
        <v>163</v>
      </c>
      <c r="B179" s="268" t="s">
        <v>195</v>
      </c>
      <c r="C179" s="268" t="s">
        <v>166</v>
      </c>
      <c r="D179" s="268">
        <v>0</v>
      </c>
      <c r="E179" s="268">
        <v>-3040.9758622998202</v>
      </c>
      <c r="F179" s="268">
        <v>-19.2785038088806</v>
      </c>
      <c r="G179" s="268">
        <v>-84.309944998870293</v>
      </c>
      <c r="H179" s="268">
        <v>-0.58984465257266905</v>
      </c>
      <c r="I179" s="268">
        <v>-178.59009394028499</v>
      </c>
      <c r="J179" s="268">
        <v>-50.824014893811302</v>
      </c>
    </row>
    <row r="180" spans="1:10">
      <c r="A180" s="268" t="s">
        <v>163</v>
      </c>
      <c r="B180" s="268" t="s">
        <v>195</v>
      </c>
      <c r="C180" s="268" t="s">
        <v>166</v>
      </c>
      <c r="D180" s="268">
        <v>2.085</v>
      </c>
      <c r="E180" s="268">
        <v>-3029.7300841188198</v>
      </c>
      <c r="F180" s="268">
        <v>-19.2785038088806</v>
      </c>
      <c r="G180" s="268">
        <v>-84.309944998870293</v>
      </c>
      <c r="H180" s="268">
        <v>-0.58984465257266905</v>
      </c>
      <c r="I180" s="268">
        <v>-14.751334500155499</v>
      </c>
      <c r="J180" s="268">
        <v>-10.628334452295199</v>
      </c>
    </row>
    <row r="181" spans="1:10">
      <c r="A181" s="268" t="s">
        <v>163</v>
      </c>
      <c r="B181" s="268" t="s">
        <v>195</v>
      </c>
      <c r="C181" s="268" t="s">
        <v>166</v>
      </c>
      <c r="D181" s="268">
        <v>4.17</v>
      </c>
      <c r="E181" s="268">
        <v>-3018.48430593782</v>
      </c>
      <c r="F181" s="268">
        <v>-19.2785038088806</v>
      </c>
      <c r="G181" s="268">
        <v>-84.309944998870293</v>
      </c>
      <c r="H181" s="268">
        <v>-0.58984465257266905</v>
      </c>
      <c r="I181" s="268">
        <v>34.0899118461017</v>
      </c>
      <c r="J181" s="268">
        <v>-35.521310622052098</v>
      </c>
    </row>
    <row r="182" spans="1:10">
      <c r="A182" s="268" t="s">
        <v>163</v>
      </c>
      <c r="B182" s="268" t="s">
        <v>196</v>
      </c>
      <c r="C182" s="268" t="s">
        <v>165</v>
      </c>
      <c r="D182" s="268">
        <v>0</v>
      </c>
      <c r="E182" s="268">
        <v>-1532.2481154737</v>
      </c>
      <c r="F182" s="268">
        <v>23.2070494562745</v>
      </c>
      <c r="G182" s="268">
        <v>28.780081700792898</v>
      </c>
      <c r="H182" s="268">
        <v>0.48302194881150901</v>
      </c>
      <c r="I182" s="268">
        <v>105.02397734674</v>
      </c>
      <c r="J182" s="268">
        <v>59.419968303527803</v>
      </c>
    </row>
    <row r="183" spans="1:10">
      <c r="A183" s="268" t="s">
        <v>163</v>
      </c>
      <c r="B183" s="268" t="s">
        <v>196</v>
      </c>
      <c r="C183" s="268" t="s">
        <v>165</v>
      </c>
      <c r="D183" s="268">
        <v>2.085</v>
      </c>
      <c r="E183" s="268">
        <v>-1521.0023372927001</v>
      </c>
      <c r="F183" s="268">
        <v>23.2070494562745</v>
      </c>
      <c r="G183" s="268">
        <v>28.780081700792898</v>
      </c>
      <c r="H183" s="268">
        <v>0.48302194881150901</v>
      </c>
      <c r="I183" s="268">
        <v>45.017507000587301</v>
      </c>
      <c r="J183" s="268">
        <v>11.0332701871954</v>
      </c>
    </row>
    <row r="184" spans="1:10">
      <c r="A184" s="268" t="s">
        <v>163</v>
      </c>
      <c r="B184" s="268" t="s">
        <v>196</v>
      </c>
      <c r="C184" s="268" t="s">
        <v>165</v>
      </c>
      <c r="D184" s="268">
        <v>4.17</v>
      </c>
      <c r="E184" s="268">
        <v>-1509.7565591117</v>
      </c>
      <c r="F184" s="268">
        <v>23.2070494562745</v>
      </c>
      <c r="G184" s="268">
        <v>28.780081700792898</v>
      </c>
      <c r="H184" s="268">
        <v>0.48302194881150901</v>
      </c>
      <c r="I184" s="268">
        <v>97.6395413336042</v>
      </c>
      <c r="J184" s="268">
        <v>25.371979712329701</v>
      </c>
    </row>
    <row r="185" spans="1:10">
      <c r="A185" s="268" t="s">
        <v>163</v>
      </c>
      <c r="B185" s="268" t="s">
        <v>196</v>
      </c>
      <c r="C185" s="268" t="s">
        <v>166</v>
      </c>
      <c r="D185" s="268">
        <v>0</v>
      </c>
      <c r="E185" s="268">
        <v>-2122.0663108837598</v>
      </c>
      <c r="F185" s="268">
        <v>-17.717185541193199</v>
      </c>
      <c r="G185" s="268">
        <v>-55.893898464556301</v>
      </c>
      <c r="H185" s="268">
        <v>-0.58984465257266905</v>
      </c>
      <c r="I185" s="268">
        <v>-141.16081206575399</v>
      </c>
      <c r="J185" s="268">
        <v>-48.508683994445803</v>
      </c>
    </row>
    <row r="186" spans="1:10">
      <c r="A186" s="268" t="s">
        <v>163</v>
      </c>
      <c r="B186" s="268" t="s">
        <v>196</v>
      </c>
      <c r="C186" s="268" t="s">
        <v>166</v>
      </c>
      <c r="D186" s="268">
        <v>2.085</v>
      </c>
      <c r="E186" s="268">
        <v>-2110.8205327027599</v>
      </c>
      <c r="F186" s="268">
        <v>-17.717185541193199</v>
      </c>
      <c r="G186" s="268">
        <v>-55.893898464556301</v>
      </c>
      <c r="H186" s="268">
        <v>-0.58984465257266905</v>
      </c>
      <c r="I186" s="268">
        <v>-24.6220337671541</v>
      </c>
      <c r="J186" s="268">
        <v>-11.568352141058099</v>
      </c>
    </row>
    <row r="187" spans="1:10">
      <c r="A187" s="268" t="s">
        <v>163</v>
      </c>
      <c r="B187" s="268" t="s">
        <v>196</v>
      </c>
      <c r="C187" s="268" t="s">
        <v>166</v>
      </c>
      <c r="D187" s="268">
        <v>4.17</v>
      </c>
      <c r="E187" s="268">
        <v>-2099.57475452176</v>
      </c>
      <c r="F187" s="268">
        <v>-17.717185541193199</v>
      </c>
      <c r="G187" s="268">
        <v>-55.893898464556301</v>
      </c>
      <c r="H187" s="268">
        <v>-0.58984465257266905</v>
      </c>
      <c r="I187" s="268">
        <v>-14.988963345565899</v>
      </c>
      <c r="J187" s="268">
        <v>-38.361537408853501</v>
      </c>
    </row>
    <row r="188" spans="1:10">
      <c r="A188" s="268" t="s">
        <v>163</v>
      </c>
      <c r="B188" s="268" t="s">
        <v>197</v>
      </c>
      <c r="C188" s="268" t="s">
        <v>165</v>
      </c>
      <c r="D188" s="268">
        <v>0</v>
      </c>
      <c r="E188" s="268">
        <v>-672.87279806722302</v>
      </c>
      <c r="F188" s="268">
        <v>23.415119326751</v>
      </c>
      <c r="G188" s="268">
        <v>32.715054024466802</v>
      </c>
      <c r="H188" s="268">
        <v>0.48302194881150901</v>
      </c>
      <c r="I188" s="268">
        <v>107.85237646607899</v>
      </c>
      <c r="J188" s="268">
        <v>59.728522049622498</v>
      </c>
    </row>
    <row r="189" spans="1:10">
      <c r="A189" s="268" t="s">
        <v>163</v>
      </c>
      <c r="B189" s="268" t="s">
        <v>197</v>
      </c>
      <c r="C189" s="268" t="s">
        <v>165</v>
      </c>
      <c r="D189" s="268">
        <v>2.085</v>
      </c>
      <c r="E189" s="268">
        <v>-661.62701988622302</v>
      </c>
      <c r="F189" s="268">
        <v>23.415119326751</v>
      </c>
      <c r="G189" s="268">
        <v>32.715054024466802</v>
      </c>
      <c r="H189" s="268">
        <v>0.48302194881150901</v>
      </c>
      <c r="I189" s="268">
        <v>39.641488825065203</v>
      </c>
      <c r="J189" s="268">
        <v>10.907998253346699</v>
      </c>
    </row>
    <row r="190" spans="1:10">
      <c r="A190" s="268" t="s">
        <v>163</v>
      </c>
      <c r="B190" s="268" t="s">
        <v>197</v>
      </c>
      <c r="C190" s="268" t="s">
        <v>165</v>
      </c>
      <c r="D190" s="268">
        <v>4.17</v>
      </c>
      <c r="E190" s="268">
        <v>-650.38124170522303</v>
      </c>
      <c r="F190" s="268">
        <v>23.415119326751</v>
      </c>
      <c r="G190" s="268">
        <v>32.715054024466802</v>
      </c>
      <c r="H190" s="268">
        <v>0.48302194881150901</v>
      </c>
      <c r="I190" s="268">
        <v>57.711530351661096</v>
      </c>
      <c r="J190" s="268">
        <v>7.2599134047915701</v>
      </c>
    </row>
    <row r="191" spans="1:10">
      <c r="A191" s="268" t="s">
        <v>163</v>
      </c>
      <c r="B191" s="268" t="s">
        <v>197</v>
      </c>
      <c r="C191" s="268" t="s">
        <v>166</v>
      </c>
      <c r="D191" s="268">
        <v>0</v>
      </c>
      <c r="E191" s="268">
        <v>-1041.26813379394</v>
      </c>
      <c r="F191" s="268">
        <v>-10.9767252034893</v>
      </c>
      <c r="G191" s="268">
        <v>-42.308006209250102</v>
      </c>
      <c r="H191" s="268">
        <v>-0.58984465257266905</v>
      </c>
      <c r="I191" s="268">
        <v>-118.712855540912</v>
      </c>
      <c r="J191" s="268">
        <v>-38.513030693758601</v>
      </c>
    </row>
    <row r="192" spans="1:10">
      <c r="A192" s="268" t="s">
        <v>163</v>
      </c>
      <c r="B192" s="268" t="s">
        <v>197</v>
      </c>
      <c r="C192" s="268" t="s">
        <v>166</v>
      </c>
      <c r="D192" s="268">
        <v>2.085</v>
      </c>
      <c r="E192" s="268">
        <v>-1030.0223556129399</v>
      </c>
      <c r="F192" s="268">
        <v>-10.9767252034893</v>
      </c>
      <c r="G192" s="268">
        <v>-42.308006209250102</v>
      </c>
      <c r="H192" s="268">
        <v>-0.58984465257266905</v>
      </c>
      <c r="I192" s="268">
        <v>-30.500662594625499</v>
      </c>
      <c r="J192" s="268">
        <v>-15.626558644483501</v>
      </c>
    </row>
    <row r="193" spans="1:10">
      <c r="A193" s="268" t="s">
        <v>163</v>
      </c>
      <c r="B193" s="268" t="s">
        <v>197</v>
      </c>
      <c r="C193" s="268" t="s">
        <v>166</v>
      </c>
      <c r="D193" s="268">
        <v>4.17</v>
      </c>
      <c r="E193" s="268">
        <v>-1018.77657743194</v>
      </c>
      <c r="F193" s="268">
        <v>-10.9767252034893</v>
      </c>
      <c r="G193" s="268">
        <v>-42.308006209250102</v>
      </c>
      <c r="H193" s="268">
        <v>-0.58984465257266905</v>
      </c>
      <c r="I193" s="268">
        <v>-28.569398815948102</v>
      </c>
      <c r="J193" s="268">
        <v>-37.912525542929103</v>
      </c>
    </row>
    <row r="194" spans="1:10">
      <c r="A194" s="268" t="s">
        <v>163</v>
      </c>
      <c r="B194" s="268" t="s">
        <v>198</v>
      </c>
      <c r="C194" s="268" t="s">
        <v>165</v>
      </c>
      <c r="D194" s="268">
        <v>0</v>
      </c>
      <c r="E194" s="268">
        <v>-4557.9831397632297</v>
      </c>
      <c r="F194" s="268">
        <v>2.8613265593414599</v>
      </c>
      <c r="G194" s="268">
        <v>86.420873347400104</v>
      </c>
      <c r="H194" s="268">
        <v>0.84752141685855398</v>
      </c>
      <c r="I194" s="268">
        <v>313.24185841185403</v>
      </c>
      <c r="J194" s="268">
        <v>40.937805065176804</v>
      </c>
    </row>
    <row r="195" spans="1:10">
      <c r="A195" s="268" t="s">
        <v>163</v>
      </c>
      <c r="B195" s="268" t="s">
        <v>198</v>
      </c>
      <c r="C195" s="268" t="s">
        <v>165</v>
      </c>
      <c r="D195" s="268">
        <v>2.085</v>
      </c>
      <c r="E195" s="268">
        <v>-4542.2390503098304</v>
      </c>
      <c r="F195" s="268">
        <v>2.8613265593414599</v>
      </c>
      <c r="G195" s="268">
        <v>86.420873347400104</v>
      </c>
      <c r="H195" s="268">
        <v>0.84752141685855398</v>
      </c>
      <c r="I195" s="268">
        <v>133.054337482525</v>
      </c>
      <c r="J195" s="268">
        <v>40.193711388552003</v>
      </c>
    </row>
    <row r="196" spans="1:10">
      <c r="A196" s="268" t="s">
        <v>163</v>
      </c>
      <c r="B196" s="268" t="s">
        <v>198</v>
      </c>
      <c r="C196" s="268" t="s">
        <v>165</v>
      </c>
      <c r="D196" s="268">
        <v>4.17</v>
      </c>
      <c r="E196" s="268">
        <v>-4526.4949608564302</v>
      </c>
      <c r="F196" s="268">
        <v>2.8613265593414599</v>
      </c>
      <c r="G196" s="268">
        <v>86.420873347400104</v>
      </c>
      <c r="H196" s="268">
        <v>0.84752141685855398</v>
      </c>
      <c r="I196" s="268">
        <v>188.23090855026399</v>
      </c>
      <c r="J196" s="268">
        <v>135.12393088327099</v>
      </c>
    </row>
    <row r="197" spans="1:10">
      <c r="A197" s="268" t="s">
        <v>163</v>
      </c>
      <c r="B197" s="268" t="s">
        <v>198</v>
      </c>
      <c r="C197" s="268" t="s">
        <v>166</v>
      </c>
      <c r="D197" s="268">
        <v>0</v>
      </c>
      <c r="E197" s="268">
        <v>-5653.4959598034102</v>
      </c>
      <c r="F197" s="268">
        <v>-60.769749742316201</v>
      </c>
      <c r="G197" s="268">
        <v>-129.35776717964001</v>
      </c>
      <c r="H197" s="268">
        <v>-1.03495498890861</v>
      </c>
      <c r="I197" s="268">
        <v>-361.99504687580202</v>
      </c>
      <c r="J197" s="268">
        <v>-118.285925542188</v>
      </c>
    </row>
    <row r="198" spans="1:10">
      <c r="A198" s="268" t="s">
        <v>163</v>
      </c>
      <c r="B198" s="268" t="s">
        <v>198</v>
      </c>
      <c r="C198" s="268" t="s">
        <v>166</v>
      </c>
      <c r="D198" s="268">
        <v>2.085</v>
      </c>
      <c r="E198" s="268">
        <v>-5637.75187035001</v>
      </c>
      <c r="F198" s="268">
        <v>-60.769749742316201</v>
      </c>
      <c r="G198" s="268">
        <v>-129.35776717964001</v>
      </c>
      <c r="H198" s="268">
        <v>-1.03495498890861</v>
      </c>
      <c r="I198" s="268">
        <v>-92.284102306252194</v>
      </c>
      <c r="J198" s="268">
        <v>-0.33329271995043203</v>
      </c>
    </row>
    <row r="199" spans="1:10">
      <c r="A199" s="268" t="s">
        <v>163</v>
      </c>
      <c r="B199" s="268" t="s">
        <v>198</v>
      </c>
      <c r="C199" s="268" t="s">
        <v>166</v>
      </c>
      <c r="D199" s="268">
        <v>4.17</v>
      </c>
      <c r="E199" s="268">
        <v>-5622.0077808966098</v>
      </c>
      <c r="F199" s="268">
        <v>-60.769749742316201</v>
      </c>
      <c r="G199" s="268">
        <v>-129.35776717964001</v>
      </c>
      <c r="H199" s="268">
        <v>-1.03495498890861</v>
      </c>
      <c r="I199" s="268">
        <v>-47.133183446804303</v>
      </c>
      <c r="J199" s="268">
        <v>29.006073312723</v>
      </c>
    </row>
    <row r="200" spans="1:10">
      <c r="A200" s="268" t="s">
        <v>163</v>
      </c>
      <c r="B200" s="268" t="s">
        <v>199</v>
      </c>
      <c r="C200" s="268" t="s">
        <v>165</v>
      </c>
      <c r="D200" s="268">
        <v>0</v>
      </c>
      <c r="E200" s="268">
        <v>-3328.1388975499999</v>
      </c>
      <c r="F200" s="268">
        <v>56.181812047396697</v>
      </c>
      <c r="G200" s="268">
        <v>127.349191636</v>
      </c>
      <c r="H200" s="268">
        <v>0.84752141685855398</v>
      </c>
      <c r="I200" s="268">
        <v>356.20058113811098</v>
      </c>
      <c r="J200" s="268">
        <v>117.250784140848</v>
      </c>
    </row>
    <row r="201" spans="1:10">
      <c r="A201" s="268" t="s">
        <v>163</v>
      </c>
      <c r="B201" s="268" t="s">
        <v>199</v>
      </c>
      <c r="C201" s="268" t="s">
        <v>165</v>
      </c>
      <c r="D201" s="268">
        <v>2.25</v>
      </c>
      <c r="E201" s="268">
        <v>-3311.1488729600001</v>
      </c>
      <c r="F201" s="268">
        <v>56.181812047396697</v>
      </c>
      <c r="G201" s="268">
        <v>127.349191636</v>
      </c>
      <c r="H201" s="268">
        <v>0.84752141685855398</v>
      </c>
      <c r="I201" s="268">
        <v>69.664899957110904</v>
      </c>
      <c r="J201" s="268">
        <v>-2.5769895564985599</v>
      </c>
    </row>
    <row r="202" spans="1:10">
      <c r="A202" s="268" t="s">
        <v>163</v>
      </c>
      <c r="B202" s="268" t="s">
        <v>199</v>
      </c>
      <c r="C202" s="268" t="s">
        <v>165</v>
      </c>
      <c r="D202" s="268">
        <v>4.5</v>
      </c>
      <c r="E202" s="268">
        <v>-3294.1588483700002</v>
      </c>
      <c r="F202" s="268">
        <v>56.181812047396697</v>
      </c>
      <c r="G202" s="268">
        <v>127.349191636</v>
      </c>
      <c r="H202" s="268">
        <v>0.84752141685855398</v>
      </c>
      <c r="I202" s="268">
        <v>138.74550913932501</v>
      </c>
      <c r="J202" s="268">
        <v>-1.31440645180397</v>
      </c>
    </row>
    <row r="203" spans="1:10">
      <c r="A203" s="268" t="s">
        <v>163</v>
      </c>
      <c r="B203" s="268" t="s">
        <v>199</v>
      </c>
      <c r="C203" s="268" t="s">
        <v>166</v>
      </c>
      <c r="D203" s="268">
        <v>0</v>
      </c>
      <c r="E203" s="268">
        <v>-4250.8238263217199</v>
      </c>
      <c r="F203" s="268">
        <v>-10.2738462247159</v>
      </c>
      <c r="G203" s="268">
        <v>-98.327396279612302</v>
      </c>
      <c r="H203" s="268">
        <v>-1.03495498890861</v>
      </c>
      <c r="I203" s="268">
        <v>-303.72777411892997</v>
      </c>
      <c r="J203" s="268">
        <v>-47.546714463025403</v>
      </c>
    </row>
    <row r="204" spans="1:10">
      <c r="A204" s="268" t="s">
        <v>163</v>
      </c>
      <c r="B204" s="268" t="s">
        <v>199</v>
      </c>
      <c r="C204" s="268" t="s">
        <v>166</v>
      </c>
      <c r="D204" s="268">
        <v>2.25</v>
      </c>
      <c r="E204" s="268">
        <v>-4233.8338017317201</v>
      </c>
      <c r="F204" s="268">
        <v>-10.2738462247159</v>
      </c>
      <c r="G204" s="268">
        <v>-98.327396279612302</v>
      </c>
      <c r="H204" s="268">
        <v>-1.03495498890861</v>
      </c>
      <c r="I204" s="268">
        <v>-82.491132489802496</v>
      </c>
      <c r="J204" s="268">
        <v>-28.826506776619201</v>
      </c>
    </row>
    <row r="205" spans="1:10">
      <c r="A205" s="268" t="s">
        <v>163</v>
      </c>
      <c r="B205" s="268" t="s">
        <v>199</v>
      </c>
      <c r="C205" s="268" t="s">
        <v>166</v>
      </c>
      <c r="D205" s="268">
        <v>4.5</v>
      </c>
      <c r="E205" s="268">
        <v>-4216.8437771417202</v>
      </c>
      <c r="F205" s="268">
        <v>-10.2738462247159</v>
      </c>
      <c r="G205" s="268">
        <v>-98.327396279612302</v>
      </c>
      <c r="H205" s="268">
        <v>-1.03495498890861</v>
      </c>
      <c r="I205" s="268">
        <v>-216.87078122388999</v>
      </c>
      <c r="J205" s="268">
        <v>-135.567370072437</v>
      </c>
    </row>
    <row r="206" spans="1:10">
      <c r="A206" s="268" t="s">
        <v>163</v>
      </c>
      <c r="B206" s="268" t="s">
        <v>200</v>
      </c>
      <c r="C206" s="268" t="s">
        <v>165</v>
      </c>
      <c r="D206" s="268">
        <v>0</v>
      </c>
      <c r="E206" s="268">
        <v>-1420.5964575858</v>
      </c>
      <c r="F206" s="268">
        <v>29.982931369862499</v>
      </c>
      <c r="G206" s="268">
        <v>52.864429026897</v>
      </c>
      <c r="H206" s="268">
        <v>0.48302194881150901</v>
      </c>
      <c r="I206" s="268">
        <v>140.508248983952</v>
      </c>
      <c r="J206" s="268">
        <v>72.063538558005902</v>
      </c>
    </row>
    <row r="207" spans="1:10">
      <c r="A207" s="268" t="s">
        <v>163</v>
      </c>
      <c r="B207" s="268" t="s">
        <v>200</v>
      </c>
      <c r="C207" s="268" t="s">
        <v>165</v>
      </c>
      <c r="D207" s="268">
        <v>2.25</v>
      </c>
      <c r="E207" s="268">
        <v>-1408.4607257358</v>
      </c>
      <c r="F207" s="268">
        <v>29.982931369862499</v>
      </c>
      <c r="G207" s="268">
        <v>52.864429026897</v>
      </c>
      <c r="H207" s="268">
        <v>0.48302194881150901</v>
      </c>
      <c r="I207" s="268">
        <v>21.563283673434</v>
      </c>
      <c r="J207" s="268">
        <v>4.6019429758154304</v>
      </c>
    </row>
    <row r="208" spans="1:10">
      <c r="A208" s="268" t="s">
        <v>163</v>
      </c>
      <c r="B208" s="268" t="s">
        <v>200</v>
      </c>
      <c r="C208" s="268" t="s">
        <v>165</v>
      </c>
      <c r="D208" s="268">
        <v>4.5</v>
      </c>
      <c r="E208" s="268">
        <v>-1396.3249938858</v>
      </c>
      <c r="F208" s="268">
        <v>29.982931369862499</v>
      </c>
      <c r="G208" s="268">
        <v>52.864429026897</v>
      </c>
      <c r="H208" s="268">
        <v>0.48302194881150901</v>
      </c>
      <c r="I208" s="268">
        <v>59.3200371627834</v>
      </c>
      <c r="J208" s="268">
        <v>36.284702866777799</v>
      </c>
    </row>
    <row r="209" spans="1:10">
      <c r="A209" s="268" t="s">
        <v>163</v>
      </c>
      <c r="B209" s="268" t="s">
        <v>200</v>
      </c>
      <c r="C209" s="268" t="s">
        <v>166</v>
      </c>
      <c r="D209" s="268">
        <v>0</v>
      </c>
      <c r="E209" s="268">
        <v>-2139.7992341171398</v>
      </c>
      <c r="F209" s="268">
        <v>-19.9989885011822</v>
      </c>
      <c r="G209" s="268">
        <v>-39.029902715985699</v>
      </c>
      <c r="H209" s="268">
        <v>-0.58984465257266905</v>
      </c>
      <c r="I209" s="268">
        <v>-116.314525059152</v>
      </c>
      <c r="J209" s="268">
        <v>-53.710745388542001</v>
      </c>
    </row>
    <row r="210" spans="1:10">
      <c r="A210" s="268" t="s">
        <v>163</v>
      </c>
      <c r="B210" s="268" t="s">
        <v>200</v>
      </c>
      <c r="C210" s="268" t="s">
        <v>166</v>
      </c>
      <c r="D210" s="268">
        <v>2.25</v>
      </c>
      <c r="E210" s="268">
        <v>-2127.6635022671398</v>
      </c>
      <c r="F210" s="268">
        <v>-19.9989885011822</v>
      </c>
      <c r="G210" s="268">
        <v>-39.029902715985699</v>
      </c>
      <c r="H210" s="268">
        <v>-0.58984465257266905</v>
      </c>
      <c r="I210" s="268">
        <v>-28.497243948184401</v>
      </c>
      <c r="J210" s="268">
        <v>-8.7130212608821207</v>
      </c>
    </row>
    <row r="211" spans="1:10">
      <c r="A211" s="268" t="s">
        <v>163</v>
      </c>
      <c r="B211" s="268" t="s">
        <v>200</v>
      </c>
      <c r="C211" s="268" t="s">
        <v>166</v>
      </c>
      <c r="D211" s="268">
        <v>4.5</v>
      </c>
      <c r="E211" s="268">
        <v>-2115.5277704171399</v>
      </c>
      <c r="F211" s="268">
        <v>-19.9989885011822</v>
      </c>
      <c r="G211" s="268">
        <v>-39.029902715985699</v>
      </c>
      <c r="H211" s="268">
        <v>-0.58984465257266905</v>
      </c>
      <c r="I211" s="268">
        <v>-97.381681637084299</v>
      </c>
      <c r="J211" s="268">
        <v>-62.8596526063751</v>
      </c>
    </row>
    <row r="212" spans="1:10">
      <c r="A212" s="268" t="s">
        <v>163</v>
      </c>
      <c r="B212" s="268" t="s">
        <v>201</v>
      </c>
      <c r="C212" s="268" t="s">
        <v>165</v>
      </c>
      <c r="D212" s="268">
        <v>0</v>
      </c>
      <c r="E212" s="268">
        <v>-1077.7967007970899</v>
      </c>
      <c r="F212" s="268">
        <v>8.1017451120905601</v>
      </c>
      <c r="G212" s="268">
        <v>46.665871955231502</v>
      </c>
      <c r="H212" s="268">
        <v>0.32716892059608199</v>
      </c>
      <c r="I212" s="268">
        <v>145.516085500739</v>
      </c>
      <c r="J212" s="268">
        <v>26.047771353475198</v>
      </c>
    </row>
    <row r="213" spans="1:10">
      <c r="A213" s="268" t="s">
        <v>163</v>
      </c>
      <c r="B213" s="268" t="s">
        <v>201</v>
      </c>
      <c r="C213" s="268" t="s">
        <v>165</v>
      </c>
      <c r="D213" s="268">
        <v>2.085</v>
      </c>
      <c r="E213" s="268">
        <v>-1067.6755004341901</v>
      </c>
      <c r="F213" s="268">
        <v>8.1017451120905601</v>
      </c>
      <c r="G213" s="268">
        <v>46.665871955231502</v>
      </c>
      <c r="H213" s="268">
        <v>0.32716892059608199</v>
      </c>
      <c r="I213" s="268">
        <v>48.217742474081398</v>
      </c>
      <c r="J213" s="268">
        <v>9.15563279476636</v>
      </c>
    </row>
    <row r="214" spans="1:10">
      <c r="A214" s="268" t="s">
        <v>163</v>
      </c>
      <c r="B214" s="268" t="s">
        <v>201</v>
      </c>
      <c r="C214" s="268" t="s">
        <v>165</v>
      </c>
      <c r="D214" s="268">
        <v>4.17</v>
      </c>
      <c r="E214" s="268">
        <v>-1057.5543000712901</v>
      </c>
      <c r="F214" s="268">
        <v>8.1017451120905601</v>
      </c>
      <c r="G214" s="268">
        <v>46.665871955231502</v>
      </c>
      <c r="H214" s="268">
        <v>0.32716892059608199</v>
      </c>
      <c r="I214" s="268">
        <v>60.421301378072997</v>
      </c>
      <c r="J214" s="268">
        <v>23.8654275589234</v>
      </c>
    </row>
    <row r="215" spans="1:10">
      <c r="A215" s="268" t="s">
        <v>163</v>
      </c>
      <c r="B215" s="268" t="s">
        <v>201</v>
      </c>
      <c r="C215" s="268" t="s">
        <v>166</v>
      </c>
      <c r="D215" s="268">
        <v>0</v>
      </c>
      <c r="E215" s="268">
        <v>-1672.2841735643401</v>
      </c>
      <c r="F215" s="268">
        <v>-13.4507209231045</v>
      </c>
      <c r="G215" s="268">
        <v>-49.286871482292597</v>
      </c>
      <c r="H215" s="268">
        <v>-0.39952395284810899</v>
      </c>
      <c r="I215" s="268">
        <v>-145.10495270308701</v>
      </c>
      <c r="J215" s="268">
        <v>-32.224078690422303</v>
      </c>
    </row>
    <row r="216" spans="1:10">
      <c r="A216" s="268" t="s">
        <v>163</v>
      </c>
      <c r="B216" s="268" t="s">
        <v>201</v>
      </c>
      <c r="C216" s="268" t="s">
        <v>166</v>
      </c>
      <c r="D216" s="268">
        <v>2.085</v>
      </c>
      <c r="E216" s="268">
        <v>-1662.1629732014401</v>
      </c>
      <c r="F216" s="268">
        <v>-13.4507209231045</v>
      </c>
      <c r="G216" s="268">
        <v>-49.286871482292597</v>
      </c>
      <c r="H216" s="268">
        <v>-0.39952395284810899</v>
      </c>
      <c r="I216" s="268">
        <v>-42.341825662507098</v>
      </c>
      <c r="J216" s="268">
        <v>-4.1793255657494601</v>
      </c>
    </row>
    <row r="217" spans="1:10">
      <c r="A217" s="268" t="s">
        <v>163</v>
      </c>
      <c r="B217" s="268" t="s">
        <v>201</v>
      </c>
      <c r="C217" s="268" t="s">
        <v>166</v>
      </c>
      <c r="D217" s="268">
        <v>4.17</v>
      </c>
      <c r="E217" s="268">
        <v>-1652.0417728385401</v>
      </c>
      <c r="F217" s="268">
        <v>-13.4507209231045</v>
      </c>
      <c r="G217" s="268">
        <v>-49.286871482292597</v>
      </c>
      <c r="H217" s="268">
        <v>-0.39952395284810899</v>
      </c>
      <c r="I217" s="268">
        <v>-49.0806005525763</v>
      </c>
      <c r="J217" s="268">
        <v>-7.7365057639424597</v>
      </c>
    </row>
    <row r="218" spans="1:10">
      <c r="A218" s="268" t="s">
        <v>163</v>
      </c>
      <c r="B218" s="268" t="s">
        <v>202</v>
      </c>
      <c r="C218" s="268" t="s">
        <v>165</v>
      </c>
      <c r="D218" s="268">
        <v>0</v>
      </c>
      <c r="E218" s="268">
        <v>-804.14226732122302</v>
      </c>
      <c r="F218" s="268">
        <v>7.2290532863291803</v>
      </c>
      <c r="G218" s="268">
        <v>38.8380563336408</v>
      </c>
      <c r="H218" s="268">
        <v>0.14456715198525799</v>
      </c>
      <c r="I218" s="268">
        <v>114.860977216386</v>
      </c>
      <c r="J218" s="268">
        <v>16.316768488287401</v>
      </c>
    </row>
    <row r="219" spans="1:10">
      <c r="A219" s="268" t="s">
        <v>163</v>
      </c>
      <c r="B219" s="268" t="s">
        <v>202</v>
      </c>
      <c r="C219" s="268" t="s">
        <v>165</v>
      </c>
      <c r="D219" s="268">
        <v>2.085</v>
      </c>
      <c r="E219" s="268">
        <v>-796.72005372176397</v>
      </c>
      <c r="F219" s="268">
        <v>7.2290532863291803</v>
      </c>
      <c r="G219" s="268">
        <v>38.8380563336408</v>
      </c>
      <c r="H219" s="268">
        <v>0.14456715198525799</v>
      </c>
      <c r="I219" s="268">
        <v>33.883629760744498</v>
      </c>
      <c r="J219" s="268">
        <v>1.24419238629108</v>
      </c>
    </row>
    <row r="220" spans="1:10">
      <c r="A220" s="268" t="s">
        <v>163</v>
      </c>
      <c r="B220" s="268" t="s">
        <v>202</v>
      </c>
      <c r="C220" s="268" t="s">
        <v>165</v>
      </c>
      <c r="D220" s="268">
        <v>4.17</v>
      </c>
      <c r="E220" s="268">
        <v>-789.297840122303</v>
      </c>
      <c r="F220" s="268">
        <v>7.2290532863291803</v>
      </c>
      <c r="G220" s="268">
        <v>38.8380563336408</v>
      </c>
      <c r="H220" s="268">
        <v>0.14456715198525799</v>
      </c>
      <c r="I220" s="268">
        <v>46.666739111658302</v>
      </c>
      <c r="J220" s="268">
        <v>9.4413227084092401</v>
      </c>
    </row>
    <row r="221" spans="1:10">
      <c r="A221" s="268" t="s">
        <v>163</v>
      </c>
      <c r="B221" s="268" t="s">
        <v>202</v>
      </c>
      <c r="C221" s="268" t="s">
        <v>166</v>
      </c>
      <c r="D221" s="268">
        <v>0</v>
      </c>
      <c r="E221" s="268">
        <v>-1225.69737329026</v>
      </c>
      <c r="F221" s="268">
        <v>-5.3243938697527096</v>
      </c>
      <c r="G221" s="268">
        <v>-37.438099463705498</v>
      </c>
      <c r="H221" s="268">
        <v>-0.176538895894854</v>
      </c>
      <c r="I221" s="268">
        <v>-109.450135651994</v>
      </c>
      <c r="J221" s="268">
        <v>-12.7613997284595</v>
      </c>
    </row>
    <row r="222" spans="1:10">
      <c r="A222" s="268" t="s">
        <v>163</v>
      </c>
      <c r="B222" s="268" t="s">
        <v>202</v>
      </c>
      <c r="C222" s="268" t="s">
        <v>166</v>
      </c>
      <c r="D222" s="268">
        <v>2.085</v>
      </c>
      <c r="E222" s="268">
        <v>-1218.2751596907999</v>
      </c>
      <c r="F222" s="268">
        <v>-5.3243938697527096</v>
      </c>
      <c r="G222" s="268">
        <v>-37.438099463705498</v>
      </c>
      <c r="H222" s="268">
        <v>-0.176538895894854</v>
      </c>
      <c r="I222" s="268">
        <v>-31.391698270167701</v>
      </c>
      <c r="J222" s="268">
        <v>-1.66003851002515</v>
      </c>
    </row>
    <row r="223" spans="1:10">
      <c r="A223" s="268" t="s">
        <v>163</v>
      </c>
      <c r="B223" s="268" t="s">
        <v>202</v>
      </c>
      <c r="C223" s="268" t="s">
        <v>166</v>
      </c>
      <c r="D223" s="268">
        <v>4.17</v>
      </c>
      <c r="E223" s="268">
        <v>-1210.8529460913401</v>
      </c>
      <c r="F223" s="268">
        <v>-5.3243938697527096</v>
      </c>
      <c r="G223" s="268">
        <v>-37.438099463705498</v>
      </c>
      <c r="H223" s="268">
        <v>-0.176538895894854</v>
      </c>
      <c r="I223" s="268">
        <v>-47.093717694896597</v>
      </c>
      <c r="J223" s="268">
        <v>-13.828383715705201</v>
      </c>
    </row>
    <row r="224" spans="1:10">
      <c r="A224" s="268" t="s">
        <v>163</v>
      </c>
      <c r="B224" s="268" t="s">
        <v>203</v>
      </c>
      <c r="C224" s="268" t="s">
        <v>165</v>
      </c>
      <c r="D224" s="268">
        <v>0</v>
      </c>
      <c r="E224" s="268">
        <v>-129.20660317923301</v>
      </c>
      <c r="F224" s="268">
        <v>2.6111414434181301</v>
      </c>
      <c r="G224" s="268">
        <v>3.7639543847368402</v>
      </c>
      <c r="H224" s="268">
        <v>2.91101851951827E-2</v>
      </c>
      <c r="I224" s="268">
        <v>8.4212765442672595</v>
      </c>
      <c r="J224" s="268">
        <v>5.8219686720212298</v>
      </c>
    </row>
    <row r="225" spans="1:10">
      <c r="A225" s="268" t="s">
        <v>163</v>
      </c>
      <c r="B225" s="268" t="s">
        <v>203</v>
      </c>
      <c r="C225" s="268" t="s">
        <v>165</v>
      </c>
      <c r="D225" s="268">
        <v>2.085</v>
      </c>
      <c r="E225" s="268">
        <v>-126.485124859431</v>
      </c>
      <c r="F225" s="268">
        <v>2.6111414434181301</v>
      </c>
      <c r="G225" s="268">
        <v>3.7639543847368402</v>
      </c>
      <c r="H225" s="268">
        <v>2.91101851951827E-2</v>
      </c>
      <c r="I225" s="268">
        <v>0.57343165209094804</v>
      </c>
      <c r="J225" s="268">
        <v>0.37773876249442101</v>
      </c>
    </row>
    <row r="226" spans="1:10">
      <c r="A226" s="268" t="s">
        <v>163</v>
      </c>
      <c r="B226" s="268" t="s">
        <v>203</v>
      </c>
      <c r="C226" s="268" t="s">
        <v>165</v>
      </c>
      <c r="D226" s="268">
        <v>4.17</v>
      </c>
      <c r="E226" s="268">
        <v>-123.76364653962899</v>
      </c>
      <c r="F226" s="268">
        <v>2.6111414434181301</v>
      </c>
      <c r="G226" s="268">
        <v>3.7639543847368402</v>
      </c>
      <c r="H226" s="268">
        <v>2.91101851951827E-2</v>
      </c>
      <c r="I226" s="268">
        <v>6.0317947027678098</v>
      </c>
      <c r="J226" s="268">
        <v>2.3670545379821299</v>
      </c>
    </row>
    <row r="227" spans="1:10">
      <c r="A227" s="268" t="s">
        <v>163</v>
      </c>
      <c r="B227" s="268" t="s">
        <v>203</v>
      </c>
      <c r="C227" s="268" t="s">
        <v>166</v>
      </c>
      <c r="D227" s="268">
        <v>0</v>
      </c>
      <c r="E227" s="268">
        <v>-256.16883677734302</v>
      </c>
      <c r="F227" s="268">
        <v>-1.51638949833403</v>
      </c>
      <c r="G227" s="268">
        <v>-3.2421285699475502</v>
      </c>
      <c r="H227" s="268">
        <v>-3.5548047278238903E-2</v>
      </c>
      <c r="I227" s="268">
        <v>-7.4878814339134596</v>
      </c>
      <c r="J227" s="268">
        <v>-3.9562896700707699</v>
      </c>
    </row>
    <row r="228" spans="1:10">
      <c r="A228" s="268" t="s">
        <v>163</v>
      </c>
      <c r="B228" s="268" t="s">
        <v>203</v>
      </c>
      <c r="C228" s="268" t="s">
        <v>166</v>
      </c>
      <c r="D228" s="268">
        <v>2.085</v>
      </c>
      <c r="E228" s="268">
        <v>-253.44735845754099</v>
      </c>
      <c r="F228" s="268">
        <v>-1.51638949833403</v>
      </c>
      <c r="G228" s="268">
        <v>-3.2421285699475502</v>
      </c>
      <c r="H228" s="268">
        <v>-3.5548047278238903E-2</v>
      </c>
      <c r="I228" s="268">
        <v>-0.72804336557282601</v>
      </c>
      <c r="J228" s="268">
        <v>-0.79461756604431999</v>
      </c>
    </row>
    <row r="229" spans="1:10">
      <c r="A229" s="268" t="s">
        <v>163</v>
      </c>
      <c r="B229" s="268" t="s">
        <v>203</v>
      </c>
      <c r="C229" s="268" t="s">
        <v>166</v>
      </c>
      <c r="D229" s="268">
        <v>4.17</v>
      </c>
      <c r="E229" s="268">
        <v>-250.72588013773901</v>
      </c>
      <c r="F229" s="268">
        <v>-1.51638949833403</v>
      </c>
      <c r="G229" s="268">
        <v>-3.2421285699475502</v>
      </c>
      <c r="H229" s="268">
        <v>-3.5548047278238903E-2</v>
      </c>
      <c r="I229" s="268">
        <v>-7.2744132400853596</v>
      </c>
      <c r="J229" s="268">
        <v>-5.0664911470323801</v>
      </c>
    </row>
    <row r="230" spans="1:10">
      <c r="A230" s="268" t="s">
        <v>163</v>
      </c>
      <c r="B230" s="268" t="s">
        <v>204</v>
      </c>
      <c r="C230" s="268" t="s">
        <v>165</v>
      </c>
      <c r="D230" s="268">
        <v>0</v>
      </c>
      <c r="E230" s="268">
        <v>-342.702247246279</v>
      </c>
      <c r="F230" s="268">
        <v>3.0398312842013002</v>
      </c>
      <c r="G230" s="268">
        <v>3.94917845739044</v>
      </c>
      <c r="H230" s="268">
        <v>2.91101851951827E-2</v>
      </c>
      <c r="I230" s="268">
        <v>8.7452733413723305</v>
      </c>
      <c r="J230" s="268">
        <v>6.4627902501347902</v>
      </c>
    </row>
    <row r="231" spans="1:10">
      <c r="A231" s="268" t="s">
        <v>163</v>
      </c>
      <c r="B231" s="268" t="s">
        <v>204</v>
      </c>
      <c r="C231" s="268" t="s">
        <v>165</v>
      </c>
      <c r="D231" s="268">
        <v>2.085</v>
      </c>
      <c r="E231" s="268">
        <v>-339.98076892647703</v>
      </c>
      <c r="F231" s="268">
        <v>3.0398312842013002</v>
      </c>
      <c r="G231" s="268">
        <v>3.94917845739044</v>
      </c>
      <c r="H231" s="268">
        <v>2.91101851951827E-2</v>
      </c>
      <c r="I231" s="268">
        <v>0.51123625771325298</v>
      </c>
      <c r="J231" s="268">
        <v>0.124742022575073</v>
      </c>
    </row>
    <row r="232" spans="1:10">
      <c r="A232" s="268" t="s">
        <v>163</v>
      </c>
      <c r="B232" s="268" t="s">
        <v>204</v>
      </c>
      <c r="C232" s="268" t="s">
        <v>165</v>
      </c>
      <c r="D232" s="268">
        <v>4.17</v>
      </c>
      <c r="E232" s="268">
        <v>-337.25929060667499</v>
      </c>
      <c r="F232" s="268">
        <v>3.0398312842013002</v>
      </c>
      <c r="G232" s="268">
        <v>3.94917845739044</v>
      </c>
      <c r="H232" s="268">
        <v>2.91101851951827E-2</v>
      </c>
      <c r="I232" s="268">
        <v>4.9768844411175897</v>
      </c>
      <c r="J232" s="268">
        <v>3.3925707403060699</v>
      </c>
    </row>
    <row r="233" spans="1:10">
      <c r="A233" s="268" t="s">
        <v>163</v>
      </c>
      <c r="B233" s="268" t="s">
        <v>204</v>
      </c>
      <c r="C233" s="268" t="s">
        <v>166</v>
      </c>
      <c r="D233" s="268">
        <v>0</v>
      </c>
      <c r="E233" s="268">
        <v>-411.74996141055698</v>
      </c>
      <c r="F233" s="268">
        <v>-1.89973672982208</v>
      </c>
      <c r="G233" s="268">
        <v>-2.8622165892913798</v>
      </c>
      <c r="H233" s="268">
        <v>-3.5548047278238903E-2</v>
      </c>
      <c r="I233" s="268">
        <v>-6.9585587362274604</v>
      </c>
      <c r="J233" s="268">
        <v>-4.5293314230520201</v>
      </c>
    </row>
    <row r="234" spans="1:10">
      <c r="A234" s="268" t="s">
        <v>163</v>
      </c>
      <c r="B234" s="268" t="s">
        <v>204</v>
      </c>
      <c r="C234" s="268" t="s">
        <v>166</v>
      </c>
      <c r="D234" s="268">
        <v>2.085</v>
      </c>
      <c r="E234" s="268">
        <v>-409.028483090755</v>
      </c>
      <c r="F234" s="268">
        <v>-1.89973672982208</v>
      </c>
      <c r="G234" s="268">
        <v>-2.8622165892913798</v>
      </c>
      <c r="H234" s="268">
        <v>-3.5548047278238903E-2</v>
      </c>
      <c r="I234" s="268">
        <v>-0.99083714755493402</v>
      </c>
      <c r="J234" s="268">
        <v>-0.568380341372975</v>
      </c>
    </row>
    <row r="235" spans="1:10">
      <c r="A235" s="268" t="s">
        <v>163</v>
      </c>
      <c r="B235" s="268" t="s">
        <v>204</v>
      </c>
      <c r="C235" s="268" t="s">
        <v>166</v>
      </c>
      <c r="D235" s="268">
        <v>4.17</v>
      </c>
      <c r="E235" s="268">
        <v>-406.30700477095297</v>
      </c>
      <c r="F235" s="268">
        <v>-1.89973672982208</v>
      </c>
      <c r="G235" s="268">
        <v>-2.8622165892913798</v>
      </c>
      <c r="H235" s="268">
        <v>-3.5548047278238903E-2</v>
      </c>
      <c r="I235" s="268">
        <v>-7.7228008259458196</v>
      </c>
      <c r="J235" s="268">
        <v>-6.2133062049846401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C000"/>
  </sheetPr>
  <dimension ref="A1:T40"/>
  <sheetViews>
    <sheetView workbookViewId="0">
      <selection activeCell="A2" sqref="A2:P2159"/>
    </sheetView>
  </sheetViews>
  <sheetFormatPr defaultColWidth="9" defaultRowHeight="15"/>
  <cols>
    <col min="17" max="17" width="10.5703125" customWidth="1"/>
  </cols>
  <sheetData>
    <row r="1" spans="1:20">
      <c r="A1" t="s">
        <v>153</v>
      </c>
      <c r="B1" t="s">
        <v>154</v>
      </c>
      <c r="C1" t="s">
        <v>205</v>
      </c>
      <c r="D1" t="s">
        <v>206</v>
      </c>
      <c r="E1" t="s">
        <v>207</v>
      </c>
      <c r="F1" t="s">
        <v>208</v>
      </c>
      <c r="G1" t="s">
        <v>209</v>
      </c>
      <c r="H1" t="s">
        <v>210</v>
      </c>
      <c r="I1" t="s">
        <v>211</v>
      </c>
      <c r="J1" t="s">
        <v>212</v>
      </c>
      <c r="K1" t="s">
        <v>213</v>
      </c>
      <c r="L1" t="s">
        <v>214</v>
      </c>
      <c r="M1" t="s">
        <v>215</v>
      </c>
      <c r="N1" t="s">
        <v>216</v>
      </c>
      <c r="O1" t="s">
        <v>217</v>
      </c>
      <c r="P1" t="s">
        <v>218</v>
      </c>
    </row>
    <row r="2" spans="1:20">
      <c r="A2" t="s">
        <v>163</v>
      </c>
      <c r="B2" t="s">
        <v>204</v>
      </c>
      <c r="C2">
        <v>0</v>
      </c>
      <c r="D2">
        <v>4.5</v>
      </c>
      <c r="E2" t="s">
        <v>219</v>
      </c>
      <c r="F2">
        <v>0.22</v>
      </c>
      <c r="G2">
        <v>0.22</v>
      </c>
      <c r="H2">
        <v>0.22</v>
      </c>
      <c r="I2">
        <v>0.22</v>
      </c>
      <c r="J2" t="s">
        <v>220</v>
      </c>
      <c r="K2">
        <v>45.48</v>
      </c>
      <c r="L2">
        <v>6.5</v>
      </c>
      <c r="M2">
        <v>0</v>
      </c>
      <c r="N2">
        <v>45.48</v>
      </c>
      <c r="O2">
        <v>6.5</v>
      </c>
      <c r="P2">
        <v>4.5</v>
      </c>
      <c r="Q2" t="str">
        <f>A2&amp;B2</f>
        <v>T2C9</v>
      </c>
      <c r="R2">
        <f>K2</f>
        <v>45.48</v>
      </c>
      <c r="S2">
        <f>L2</f>
        <v>6.5</v>
      </c>
      <c r="T2">
        <f>C2</f>
        <v>0</v>
      </c>
    </row>
    <row r="3" spans="1:20">
      <c r="A3" t="s">
        <v>163</v>
      </c>
      <c r="B3" t="s">
        <v>203</v>
      </c>
      <c r="C3">
        <v>0</v>
      </c>
      <c r="D3">
        <v>4.5</v>
      </c>
      <c r="E3" t="s">
        <v>219</v>
      </c>
      <c r="F3">
        <v>0.22</v>
      </c>
      <c r="G3">
        <v>0.22</v>
      </c>
      <c r="H3">
        <v>0.22</v>
      </c>
      <c r="I3">
        <v>0.22</v>
      </c>
      <c r="J3" t="s">
        <v>220</v>
      </c>
      <c r="K3">
        <v>47.58</v>
      </c>
      <c r="L3">
        <v>6.5</v>
      </c>
      <c r="M3">
        <v>0</v>
      </c>
      <c r="N3">
        <v>47.58</v>
      </c>
      <c r="O3">
        <v>6.5</v>
      </c>
      <c r="P3">
        <v>4.5</v>
      </c>
      <c r="Q3" t="str">
        <f t="shared" ref="Q3:Q40" si="0">A3&amp;B3</f>
        <v>T2C8</v>
      </c>
      <c r="R3">
        <f t="shared" ref="R3:R40" si="1">K3</f>
        <v>47.58</v>
      </c>
      <c r="S3">
        <f t="shared" ref="S3:S40" si="2">L3</f>
        <v>6.5</v>
      </c>
      <c r="T3">
        <f t="shared" ref="T3:T40" si="3">C3</f>
        <v>0</v>
      </c>
    </row>
    <row r="4" spans="1:20">
      <c r="A4" t="s">
        <v>163</v>
      </c>
      <c r="B4" t="s">
        <v>202</v>
      </c>
      <c r="C4">
        <v>0</v>
      </c>
      <c r="D4">
        <v>4.5</v>
      </c>
      <c r="E4" t="s">
        <v>221</v>
      </c>
      <c r="F4">
        <v>0.22</v>
      </c>
      <c r="G4">
        <v>0.6</v>
      </c>
      <c r="H4">
        <v>0.22</v>
      </c>
      <c r="I4">
        <v>0.6</v>
      </c>
      <c r="J4" t="s">
        <v>220</v>
      </c>
      <c r="K4">
        <v>44.5</v>
      </c>
      <c r="L4">
        <v>14</v>
      </c>
      <c r="M4">
        <v>0</v>
      </c>
      <c r="N4">
        <v>44.5</v>
      </c>
      <c r="O4">
        <v>14</v>
      </c>
      <c r="P4">
        <v>4.5</v>
      </c>
      <c r="Q4" t="str">
        <f t="shared" si="0"/>
        <v>T2C7</v>
      </c>
      <c r="R4">
        <f t="shared" si="1"/>
        <v>44.5</v>
      </c>
      <c r="S4">
        <f t="shared" si="2"/>
        <v>14</v>
      </c>
      <c r="T4">
        <f t="shared" si="3"/>
        <v>0</v>
      </c>
    </row>
    <row r="5" spans="1:20">
      <c r="A5" t="s">
        <v>163</v>
      </c>
      <c r="B5" t="s">
        <v>201</v>
      </c>
      <c r="C5">
        <v>0</v>
      </c>
      <c r="D5">
        <v>4.5</v>
      </c>
      <c r="E5" t="s">
        <v>222</v>
      </c>
      <c r="F5">
        <v>0.3</v>
      </c>
      <c r="G5">
        <v>0.6</v>
      </c>
      <c r="H5">
        <v>0.3</v>
      </c>
      <c r="I5">
        <v>0.6</v>
      </c>
      <c r="J5" t="s">
        <v>220</v>
      </c>
      <c r="K5">
        <v>47.58</v>
      </c>
      <c r="L5">
        <v>14</v>
      </c>
      <c r="M5">
        <v>0</v>
      </c>
      <c r="N5">
        <v>47.58</v>
      </c>
      <c r="O5">
        <v>14</v>
      </c>
      <c r="P5">
        <v>4.5</v>
      </c>
      <c r="Q5" t="str">
        <f t="shared" si="0"/>
        <v>T2C6</v>
      </c>
      <c r="R5">
        <f t="shared" si="1"/>
        <v>47.58</v>
      </c>
      <c r="S5">
        <f t="shared" si="2"/>
        <v>14</v>
      </c>
      <c r="T5">
        <f t="shared" si="3"/>
        <v>0</v>
      </c>
    </row>
    <row r="6" spans="1:20">
      <c r="A6" t="s">
        <v>163</v>
      </c>
      <c r="B6" t="s">
        <v>200</v>
      </c>
      <c r="C6">
        <v>0</v>
      </c>
      <c r="D6">
        <v>4.5</v>
      </c>
      <c r="E6" t="s">
        <v>223</v>
      </c>
      <c r="F6">
        <v>0.4</v>
      </c>
      <c r="G6">
        <v>0.5</v>
      </c>
      <c r="H6">
        <v>0.4</v>
      </c>
      <c r="I6">
        <v>0.5</v>
      </c>
      <c r="J6" t="s">
        <v>220</v>
      </c>
      <c r="K6">
        <v>41.38</v>
      </c>
      <c r="L6">
        <v>14</v>
      </c>
      <c r="M6">
        <v>0</v>
      </c>
      <c r="N6">
        <v>41.38</v>
      </c>
      <c r="O6">
        <v>14</v>
      </c>
      <c r="P6">
        <v>4.5</v>
      </c>
      <c r="Q6" t="str">
        <f t="shared" si="0"/>
        <v>T2C5</v>
      </c>
      <c r="R6">
        <f t="shared" si="1"/>
        <v>41.38</v>
      </c>
      <c r="S6">
        <f t="shared" si="2"/>
        <v>14</v>
      </c>
      <c r="T6">
        <f t="shared" si="3"/>
        <v>0</v>
      </c>
    </row>
    <row r="7" spans="1:20">
      <c r="A7" t="s">
        <v>163</v>
      </c>
      <c r="B7" t="s">
        <v>199</v>
      </c>
      <c r="C7">
        <v>0</v>
      </c>
      <c r="D7">
        <v>4.5</v>
      </c>
      <c r="E7" t="s">
        <v>224</v>
      </c>
      <c r="F7">
        <v>0.4</v>
      </c>
      <c r="G7">
        <v>0.7</v>
      </c>
      <c r="H7">
        <v>0.4</v>
      </c>
      <c r="I7">
        <v>0.7</v>
      </c>
      <c r="J7" t="s">
        <v>220</v>
      </c>
      <c r="K7">
        <v>41.38</v>
      </c>
      <c r="L7">
        <v>6.5</v>
      </c>
      <c r="M7">
        <v>0</v>
      </c>
      <c r="N7">
        <v>41.38</v>
      </c>
      <c r="O7">
        <v>6.5</v>
      </c>
      <c r="P7">
        <v>4.5</v>
      </c>
      <c r="Q7" t="str">
        <f t="shared" si="0"/>
        <v>T2C45</v>
      </c>
      <c r="R7">
        <f t="shared" si="1"/>
        <v>41.38</v>
      </c>
      <c r="S7">
        <f t="shared" si="2"/>
        <v>6.5</v>
      </c>
      <c r="T7">
        <f t="shared" si="3"/>
        <v>0</v>
      </c>
    </row>
    <row r="8" spans="1:20">
      <c r="A8" t="s">
        <v>163</v>
      </c>
      <c r="B8" t="s">
        <v>198</v>
      </c>
      <c r="C8">
        <v>0</v>
      </c>
      <c r="D8">
        <v>4.5</v>
      </c>
      <c r="E8" t="s">
        <v>224</v>
      </c>
      <c r="F8">
        <v>0.4</v>
      </c>
      <c r="G8">
        <v>0.7</v>
      </c>
      <c r="H8">
        <v>0.4</v>
      </c>
      <c r="I8">
        <v>0.7</v>
      </c>
      <c r="J8" t="s">
        <v>220</v>
      </c>
      <c r="K8">
        <v>28.98</v>
      </c>
      <c r="L8">
        <v>6.5</v>
      </c>
      <c r="M8">
        <v>0</v>
      </c>
      <c r="N8">
        <v>28.98</v>
      </c>
      <c r="O8">
        <v>6.5</v>
      </c>
      <c r="P8">
        <v>4.5</v>
      </c>
      <c r="Q8" t="str">
        <f t="shared" si="0"/>
        <v>T2C44</v>
      </c>
      <c r="R8">
        <f t="shared" si="1"/>
        <v>28.98</v>
      </c>
      <c r="S8">
        <f t="shared" si="2"/>
        <v>6.5</v>
      </c>
      <c r="T8">
        <f t="shared" si="3"/>
        <v>0</v>
      </c>
    </row>
    <row r="9" spans="1:20">
      <c r="A9" t="s">
        <v>163</v>
      </c>
      <c r="B9" t="s">
        <v>197</v>
      </c>
      <c r="C9">
        <v>0</v>
      </c>
      <c r="D9">
        <v>4.5</v>
      </c>
      <c r="E9" t="s">
        <v>223</v>
      </c>
      <c r="F9">
        <v>0.4</v>
      </c>
      <c r="G9">
        <v>0.5</v>
      </c>
      <c r="H9">
        <v>0.4</v>
      </c>
      <c r="I9">
        <v>0.5</v>
      </c>
      <c r="J9" t="s">
        <v>220</v>
      </c>
      <c r="K9">
        <v>47.58</v>
      </c>
      <c r="L9">
        <v>0</v>
      </c>
      <c r="M9">
        <v>0</v>
      </c>
      <c r="N9">
        <v>47.58</v>
      </c>
      <c r="O9">
        <v>0</v>
      </c>
      <c r="P9">
        <v>4.5</v>
      </c>
      <c r="Q9" t="str">
        <f t="shared" si="0"/>
        <v>T2C43</v>
      </c>
      <c r="R9">
        <f t="shared" si="1"/>
        <v>47.58</v>
      </c>
      <c r="S9">
        <f t="shared" si="2"/>
        <v>0</v>
      </c>
      <c r="T9">
        <f t="shared" si="3"/>
        <v>0</v>
      </c>
    </row>
    <row r="10" spans="1:20">
      <c r="A10" t="s">
        <v>163</v>
      </c>
      <c r="B10" t="s">
        <v>196</v>
      </c>
      <c r="C10">
        <v>0</v>
      </c>
      <c r="D10">
        <v>4.5</v>
      </c>
      <c r="E10" t="s">
        <v>223</v>
      </c>
      <c r="F10">
        <v>0.4</v>
      </c>
      <c r="G10">
        <v>0.5</v>
      </c>
      <c r="H10">
        <v>0.4</v>
      </c>
      <c r="I10">
        <v>0.5</v>
      </c>
      <c r="J10" t="s">
        <v>220</v>
      </c>
      <c r="K10">
        <v>41.38</v>
      </c>
      <c r="L10">
        <v>0</v>
      </c>
      <c r="M10">
        <v>0</v>
      </c>
      <c r="N10">
        <v>41.38</v>
      </c>
      <c r="O10">
        <v>0</v>
      </c>
      <c r="P10">
        <v>4.5</v>
      </c>
      <c r="Q10" t="str">
        <f t="shared" si="0"/>
        <v>T2C42</v>
      </c>
      <c r="R10">
        <f t="shared" si="1"/>
        <v>41.38</v>
      </c>
      <c r="S10">
        <f t="shared" si="2"/>
        <v>0</v>
      </c>
      <c r="T10">
        <f t="shared" si="3"/>
        <v>0</v>
      </c>
    </row>
    <row r="11" spans="1:20">
      <c r="A11" t="s">
        <v>163</v>
      </c>
      <c r="B11" t="s">
        <v>195</v>
      </c>
      <c r="C11">
        <v>0</v>
      </c>
      <c r="D11">
        <v>4.5</v>
      </c>
      <c r="E11" t="s">
        <v>223</v>
      </c>
      <c r="F11">
        <v>0.4</v>
      </c>
      <c r="G11">
        <v>0.5</v>
      </c>
      <c r="H11">
        <v>0.4</v>
      </c>
      <c r="I11">
        <v>0.5</v>
      </c>
      <c r="J11" t="s">
        <v>220</v>
      </c>
      <c r="K11">
        <v>35.18</v>
      </c>
      <c r="L11">
        <v>0</v>
      </c>
      <c r="M11">
        <v>0</v>
      </c>
      <c r="N11">
        <v>35.18</v>
      </c>
      <c r="O11">
        <v>0</v>
      </c>
      <c r="P11">
        <v>4.5</v>
      </c>
      <c r="Q11" t="str">
        <f t="shared" si="0"/>
        <v>T2C41</v>
      </c>
      <c r="R11">
        <f t="shared" si="1"/>
        <v>35.18</v>
      </c>
      <c r="S11">
        <f t="shared" si="2"/>
        <v>0</v>
      </c>
      <c r="T11">
        <f t="shared" si="3"/>
        <v>0</v>
      </c>
    </row>
    <row r="12" spans="1:20">
      <c r="A12" t="s">
        <v>163</v>
      </c>
      <c r="B12" t="s">
        <v>194</v>
      </c>
      <c r="C12">
        <v>0</v>
      </c>
      <c r="D12">
        <v>4.5</v>
      </c>
      <c r="E12" t="s">
        <v>223</v>
      </c>
      <c r="F12">
        <v>0.4</v>
      </c>
      <c r="G12">
        <v>0.5</v>
      </c>
      <c r="H12">
        <v>0.4</v>
      </c>
      <c r="I12">
        <v>0.5</v>
      </c>
      <c r="J12" t="s">
        <v>220</v>
      </c>
      <c r="K12">
        <v>28.98</v>
      </c>
      <c r="L12">
        <v>0</v>
      </c>
      <c r="M12">
        <v>0</v>
      </c>
      <c r="N12">
        <v>28.98</v>
      </c>
      <c r="O12">
        <v>0</v>
      </c>
      <c r="P12">
        <v>4.5</v>
      </c>
      <c r="Q12" t="str">
        <f t="shared" si="0"/>
        <v>T2C40</v>
      </c>
      <c r="R12">
        <f t="shared" si="1"/>
        <v>28.98</v>
      </c>
      <c r="S12">
        <f t="shared" si="2"/>
        <v>0</v>
      </c>
      <c r="T12">
        <f t="shared" si="3"/>
        <v>0</v>
      </c>
    </row>
    <row r="13" spans="1:20">
      <c r="A13" t="s">
        <v>163</v>
      </c>
      <c r="B13" t="s">
        <v>193</v>
      </c>
      <c r="C13">
        <v>0</v>
      </c>
      <c r="D13">
        <v>4.5</v>
      </c>
      <c r="E13" t="s">
        <v>223</v>
      </c>
      <c r="F13">
        <v>0.4</v>
      </c>
      <c r="G13">
        <v>0.5</v>
      </c>
      <c r="H13">
        <v>0.4</v>
      </c>
      <c r="I13">
        <v>0.5</v>
      </c>
      <c r="J13" t="s">
        <v>220</v>
      </c>
      <c r="K13">
        <v>35.18</v>
      </c>
      <c r="L13">
        <v>14</v>
      </c>
      <c r="M13">
        <v>0</v>
      </c>
      <c r="N13">
        <v>35.18</v>
      </c>
      <c r="O13">
        <v>14</v>
      </c>
      <c r="P13">
        <v>4.5</v>
      </c>
      <c r="Q13" t="str">
        <f t="shared" si="0"/>
        <v>T2C4</v>
      </c>
      <c r="R13">
        <f t="shared" si="1"/>
        <v>35.18</v>
      </c>
      <c r="S13">
        <f t="shared" si="2"/>
        <v>14</v>
      </c>
      <c r="T13">
        <f t="shared" si="3"/>
        <v>0</v>
      </c>
    </row>
    <row r="14" spans="1:20">
      <c r="A14" t="s">
        <v>163</v>
      </c>
      <c r="B14" t="s">
        <v>192</v>
      </c>
      <c r="C14">
        <v>0</v>
      </c>
      <c r="D14">
        <v>4.5</v>
      </c>
      <c r="E14" t="s">
        <v>222</v>
      </c>
      <c r="F14">
        <v>0.3</v>
      </c>
      <c r="G14">
        <v>0.6</v>
      </c>
      <c r="H14">
        <v>0.3</v>
      </c>
      <c r="I14">
        <v>0.6</v>
      </c>
      <c r="J14" t="s">
        <v>220</v>
      </c>
      <c r="K14">
        <v>21</v>
      </c>
      <c r="L14">
        <v>1.87</v>
      </c>
      <c r="M14">
        <v>0</v>
      </c>
      <c r="N14">
        <v>21</v>
      </c>
      <c r="O14">
        <v>1.87</v>
      </c>
      <c r="P14">
        <v>4.5</v>
      </c>
      <c r="Q14" t="str">
        <f t="shared" si="0"/>
        <v>T2C39</v>
      </c>
      <c r="R14">
        <f t="shared" si="1"/>
        <v>21</v>
      </c>
      <c r="S14">
        <f t="shared" si="2"/>
        <v>1.87</v>
      </c>
      <c r="T14">
        <f t="shared" si="3"/>
        <v>0</v>
      </c>
    </row>
    <row r="15" spans="1:20">
      <c r="A15" t="s">
        <v>163</v>
      </c>
      <c r="B15" t="s">
        <v>191</v>
      </c>
      <c r="C15">
        <v>0</v>
      </c>
      <c r="D15">
        <v>4.5</v>
      </c>
      <c r="E15" t="s">
        <v>225</v>
      </c>
      <c r="F15">
        <v>0.5</v>
      </c>
      <c r="G15">
        <v>0.4</v>
      </c>
      <c r="H15">
        <v>0.5</v>
      </c>
      <c r="I15">
        <v>0.4</v>
      </c>
      <c r="J15" t="s">
        <v>220</v>
      </c>
      <c r="K15">
        <v>15.95</v>
      </c>
      <c r="L15">
        <v>21.2</v>
      </c>
      <c r="M15">
        <v>0</v>
      </c>
      <c r="N15">
        <v>15.95</v>
      </c>
      <c r="O15">
        <v>21.2</v>
      </c>
      <c r="P15">
        <v>4.5</v>
      </c>
      <c r="Q15" t="str">
        <f t="shared" si="0"/>
        <v>T2C38</v>
      </c>
      <c r="R15">
        <f t="shared" si="1"/>
        <v>15.95</v>
      </c>
      <c r="S15">
        <f t="shared" si="2"/>
        <v>21.2</v>
      </c>
      <c r="T15">
        <f t="shared" si="3"/>
        <v>0</v>
      </c>
    </row>
    <row r="16" spans="1:20">
      <c r="A16" t="s">
        <v>163</v>
      </c>
      <c r="B16" t="s">
        <v>190</v>
      </c>
      <c r="C16">
        <v>0</v>
      </c>
      <c r="D16">
        <v>4.5</v>
      </c>
      <c r="E16" t="s">
        <v>226</v>
      </c>
      <c r="F16">
        <v>0.5</v>
      </c>
      <c r="G16">
        <v>0.5</v>
      </c>
      <c r="H16">
        <v>0.5</v>
      </c>
      <c r="I16">
        <v>0.5</v>
      </c>
      <c r="J16" t="s">
        <v>220</v>
      </c>
      <c r="K16">
        <v>21</v>
      </c>
      <c r="L16">
        <v>14</v>
      </c>
      <c r="M16">
        <v>0</v>
      </c>
      <c r="N16">
        <v>21</v>
      </c>
      <c r="O16">
        <v>14</v>
      </c>
      <c r="P16">
        <v>4.5</v>
      </c>
      <c r="Q16" t="str">
        <f t="shared" si="0"/>
        <v>T2C37</v>
      </c>
      <c r="R16">
        <f t="shared" si="1"/>
        <v>21</v>
      </c>
      <c r="S16">
        <f t="shared" si="2"/>
        <v>14</v>
      </c>
      <c r="T16">
        <f t="shared" si="3"/>
        <v>0</v>
      </c>
    </row>
    <row r="17" spans="1:20">
      <c r="A17" t="s">
        <v>163</v>
      </c>
      <c r="B17" t="s">
        <v>189</v>
      </c>
      <c r="C17">
        <v>0</v>
      </c>
      <c r="D17">
        <v>4.5</v>
      </c>
      <c r="E17" t="s">
        <v>223</v>
      </c>
      <c r="F17">
        <v>0.4</v>
      </c>
      <c r="G17">
        <v>0.5</v>
      </c>
      <c r="H17">
        <v>0.4</v>
      </c>
      <c r="I17">
        <v>0.5</v>
      </c>
      <c r="J17" t="s">
        <v>220</v>
      </c>
      <c r="K17">
        <v>21</v>
      </c>
      <c r="L17">
        <v>6.5</v>
      </c>
      <c r="M17">
        <v>0</v>
      </c>
      <c r="N17">
        <v>21</v>
      </c>
      <c r="O17">
        <v>6.5</v>
      </c>
      <c r="P17">
        <v>4.5</v>
      </c>
      <c r="Q17" t="str">
        <f t="shared" si="0"/>
        <v>T2C36</v>
      </c>
      <c r="R17">
        <f t="shared" si="1"/>
        <v>21</v>
      </c>
      <c r="S17">
        <f t="shared" si="2"/>
        <v>6.5</v>
      </c>
      <c r="T17">
        <f t="shared" si="3"/>
        <v>0</v>
      </c>
    </row>
    <row r="18" spans="1:20">
      <c r="A18" t="s">
        <v>163</v>
      </c>
      <c r="B18" t="s">
        <v>188</v>
      </c>
      <c r="C18">
        <v>0</v>
      </c>
      <c r="D18">
        <v>4.5</v>
      </c>
      <c r="E18" t="s">
        <v>223</v>
      </c>
      <c r="F18">
        <v>0.4</v>
      </c>
      <c r="G18">
        <v>0.5</v>
      </c>
      <c r="H18">
        <v>0.4</v>
      </c>
      <c r="I18">
        <v>0.5</v>
      </c>
      <c r="J18" t="s">
        <v>220</v>
      </c>
      <c r="K18">
        <v>17</v>
      </c>
      <c r="L18">
        <v>6.5</v>
      </c>
      <c r="M18">
        <v>0</v>
      </c>
      <c r="N18">
        <v>17</v>
      </c>
      <c r="O18">
        <v>6.5</v>
      </c>
      <c r="P18">
        <v>4.5</v>
      </c>
      <c r="Q18" t="str">
        <f t="shared" si="0"/>
        <v>T2C35</v>
      </c>
      <c r="R18">
        <f t="shared" si="1"/>
        <v>17</v>
      </c>
      <c r="S18">
        <f t="shared" si="2"/>
        <v>6.5</v>
      </c>
      <c r="T18">
        <f t="shared" si="3"/>
        <v>0</v>
      </c>
    </row>
    <row r="19" spans="1:20">
      <c r="A19" t="s">
        <v>163</v>
      </c>
      <c r="B19" t="s">
        <v>187</v>
      </c>
      <c r="C19">
        <v>0</v>
      </c>
      <c r="D19">
        <v>4.5</v>
      </c>
      <c r="E19" t="s">
        <v>224</v>
      </c>
      <c r="F19">
        <v>0.4</v>
      </c>
      <c r="G19">
        <v>0.7</v>
      </c>
      <c r="H19">
        <v>0.4</v>
      </c>
      <c r="I19">
        <v>0.7</v>
      </c>
      <c r="J19" t="s">
        <v>220</v>
      </c>
      <c r="K19">
        <v>11.5</v>
      </c>
      <c r="L19">
        <v>14</v>
      </c>
      <c r="M19">
        <v>0</v>
      </c>
      <c r="N19">
        <v>11.5</v>
      </c>
      <c r="O19">
        <v>14</v>
      </c>
      <c r="P19">
        <v>4.5</v>
      </c>
      <c r="Q19" t="str">
        <f t="shared" si="0"/>
        <v>T2C34</v>
      </c>
      <c r="R19">
        <f t="shared" si="1"/>
        <v>11.5</v>
      </c>
      <c r="S19">
        <f t="shared" si="2"/>
        <v>14</v>
      </c>
      <c r="T19">
        <f t="shared" si="3"/>
        <v>0</v>
      </c>
    </row>
    <row r="20" spans="1:20">
      <c r="A20" t="s">
        <v>163</v>
      </c>
      <c r="B20" t="s">
        <v>186</v>
      </c>
      <c r="C20">
        <v>0</v>
      </c>
      <c r="D20">
        <v>4.5</v>
      </c>
      <c r="E20" t="s">
        <v>224</v>
      </c>
      <c r="F20">
        <v>0.4</v>
      </c>
      <c r="G20">
        <v>0.7</v>
      </c>
      <c r="H20">
        <v>0.4</v>
      </c>
      <c r="I20">
        <v>0.7</v>
      </c>
      <c r="J20" t="s">
        <v>220</v>
      </c>
      <c r="K20">
        <v>5.5</v>
      </c>
      <c r="L20">
        <v>14</v>
      </c>
      <c r="M20">
        <v>0</v>
      </c>
      <c r="N20">
        <v>5.5</v>
      </c>
      <c r="O20">
        <v>14</v>
      </c>
      <c r="P20">
        <v>4.5</v>
      </c>
      <c r="Q20" t="str">
        <f t="shared" si="0"/>
        <v>T2C33</v>
      </c>
      <c r="R20">
        <f t="shared" si="1"/>
        <v>5.5</v>
      </c>
      <c r="S20">
        <f t="shared" si="2"/>
        <v>14</v>
      </c>
      <c r="T20">
        <f t="shared" si="3"/>
        <v>0</v>
      </c>
    </row>
    <row r="21" spans="1:20">
      <c r="A21" t="s">
        <v>163</v>
      </c>
      <c r="B21" t="s">
        <v>185</v>
      </c>
      <c r="C21">
        <v>0</v>
      </c>
      <c r="D21">
        <v>4.5</v>
      </c>
      <c r="E21" t="s">
        <v>223</v>
      </c>
      <c r="F21">
        <v>0.4</v>
      </c>
      <c r="G21">
        <v>0.5</v>
      </c>
      <c r="H21">
        <v>0.4</v>
      </c>
      <c r="I21">
        <v>0.5</v>
      </c>
      <c r="J21" t="s">
        <v>220</v>
      </c>
      <c r="K21">
        <v>0</v>
      </c>
      <c r="L21">
        <v>6.5</v>
      </c>
      <c r="M21">
        <v>0</v>
      </c>
      <c r="N21">
        <v>0</v>
      </c>
      <c r="O21">
        <v>6.5</v>
      </c>
      <c r="P21">
        <v>4.5</v>
      </c>
      <c r="Q21" t="str">
        <f t="shared" si="0"/>
        <v>T2C32</v>
      </c>
      <c r="R21">
        <f t="shared" si="1"/>
        <v>0</v>
      </c>
      <c r="S21">
        <f t="shared" si="2"/>
        <v>6.5</v>
      </c>
      <c r="T21">
        <f t="shared" si="3"/>
        <v>0</v>
      </c>
    </row>
    <row r="22" spans="1:20">
      <c r="A22" t="s">
        <v>163</v>
      </c>
      <c r="B22" t="s">
        <v>184</v>
      </c>
      <c r="C22">
        <v>0</v>
      </c>
      <c r="D22">
        <v>4.5</v>
      </c>
      <c r="E22" t="s">
        <v>226</v>
      </c>
      <c r="F22">
        <v>0.5</v>
      </c>
      <c r="G22">
        <v>0.5</v>
      </c>
      <c r="H22">
        <v>0.5</v>
      </c>
      <c r="I22">
        <v>0.5</v>
      </c>
      <c r="J22" t="s">
        <v>220</v>
      </c>
      <c r="K22">
        <v>11.5</v>
      </c>
      <c r="L22">
        <v>6.5</v>
      </c>
      <c r="M22">
        <v>0</v>
      </c>
      <c r="N22">
        <v>11.5</v>
      </c>
      <c r="O22">
        <v>6.5</v>
      </c>
      <c r="P22">
        <v>4.5</v>
      </c>
      <c r="Q22" t="str">
        <f t="shared" si="0"/>
        <v>T2C31</v>
      </c>
      <c r="R22">
        <f t="shared" si="1"/>
        <v>11.5</v>
      </c>
      <c r="S22">
        <f t="shared" si="2"/>
        <v>6.5</v>
      </c>
      <c r="T22">
        <f t="shared" si="3"/>
        <v>0</v>
      </c>
    </row>
    <row r="23" spans="1:20">
      <c r="A23" t="s">
        <v>163</v>
      </c>
      <c r="B23" t="s">
        <v>183</v>
      </c>
      <c r="C23">
        <v>0</v>
      </c>
      <c r="D23">
        <v>4.5</v>
      </c>
      <c r="E23" t="s">
        <v>226</v>
      </c>
      <c r="F23">
        <v>0.5</v>
      </c>
      <c r="G23">
        <v>0.5</v>
      </c>
      <c r="H23">
        <v>0.5</v>
      </c>
      <c r="I23">
        <v>0.5</v>
      </c>
      <c r="J23" t="s">
        <v>220</v>
      </c>
      <c r="K23">
        <v>5.5</v>
      </c>
      <c r="L23">
        <v>6.5</v>
      </c>
      <c r="M23">
        <v>0</v>
      </c>
      <c r="N23">
        <v>5.5</v>
      </c>
      <c r="O23">
        <v>6.5</v>
      </c>
      <c r="P23">
        <v>4.5</v>
      </c>
      <c r="Q23" t="str">
        <f t="shared" si="0"/>
        <v>T2C30</v>
      </c>
      <c r="R23">
        <f t="shared" si="1"/>
        <v>5.5</v>
      </c>
      <c r="S23">
        <f t="shared" si="2"/>
        <v>6.5</v>
      </c>
      <c r="T23">
        <f t="shared" si="3"/>
        <v>0</v>
      </c>
    </row>
    <row r="24" spans="1:20">
      <c r="A24" t="s">
        <v>163</v>
      </c>
      <c r="B24" t="s">
        <v>182</v>
      </c>
      <c r="C24">
        <v>0</v>
      </c>
      <c r="D24">
        <v>4.5</v>
      </c>
      <c r="E24" t="s">
        <v>223</v>
      </c>
      <c r="F24">
        <v>0.4</v>
      </c>
      <c r="G24">
        <v>0.5</v>
      </c>
      <c r="H24">
        <v>0.4</v>
      </c>
      <c r="I24">
        <v>0.5</v>
      </c>
      <c r="J24" t="s">
        <v>220</v>
      </c>
      <c r="K24">
        <v>28.98</v>
      </c>
      <c r="L24">
        <v>14</v>
      </c>
      <c r="M24">
        <v>0</v>
      </c>
      <c r="N24">
        <v>28.98</v>
      </c>
      <c r="O24">
        <v>14</v>
      </c>
      <c r="P24">
        <v>4.5</v>
      </c>
      <c r="Q24" t="str">
        <f t="shared" si="0"/>
        <v>T2C3</v>
      </c>
      <c r="R24">
        <f t="shared" si="1"/>
        <v>28.98</v>
      </c>
      <c r="S24">
        <f t="shared" si="2"/>
        <v>14</v>
      </c>
      <c r="T24">
        <f t="shared" si="3"/>
        <v>0</v>
      </c>
    </row>
    <row r="25" spans="1:20">
      <c r="A25" t="s">
        <v>163</v>
      </c>
      <c r="B25" t="s">
        <v>181</v>
      </c>
      <c r="C25">
        <v>0</v>
      </c>
      <c r="D25">
        <v>4.5</v>
      </c>
      <c r="E25" t="s">
        <v>223</v>
      </c>
      <c r="F25">
        <v>0.4</v>
      </c>
      <c r="G25">
        <v>0.5</v>
      </c>
      <c r="H25">
        <v>0.4</v>
      </c>
      <c r="I25">
        <v>0.5</v>
      </c>
      <c r="J25" t="s">
        <v>220</v>
      </c>
      <c r="K25">
        <v>17</v>
      </c>
      <c r="L25">
        <v>0</v>
      </c>
      <c r="M25">
        <v>0</v>
      </c>
      <c r="N25">
        <v>17</v>
      </c>
      <c r="O25">
        <v>0</v>
      </c>
      <c r="P25">
        <v>4.5</v>
      </c>
      <c r="Q25" t="str">
        <f t="shared" si="0"/>
        <v>T2C29</v>
      </c>
      <c r="R25">
        <f t="shared" si="1"/>
        <v>17</v>
      </c>
      <c r="S25">
        <f t="shared" si="2"/>
        <v>0</v>
      </c>
      <c r="T25">
        <f t="shared" si="3"/>
        <v>0</v>
      </c>
    </row>
    <row r="26" spans="1:20">
      <c r="A26" t="s">
        <v>163</v>
      </c>
      <c r="B26" t="s">
        <v>180</v>
      </c>
      <c r="C26">
        <v>0</v>
      </c>
      <c r="D26">
        <v>4.5</v>
      </c>
      <c r="E26" t="s">
        <v>223</v>
      </c>
      <c r="F26">
        <v>0.4</v>
      </c>
      <c r="G26">
        <v>0.5</v>
      </c>
      <c r="H26">
        <v>0.4</v>
      </c>
      <c r="I26">
        <v>0.5</v>
      </c>
      <c r="J26" t="s">
        <v>220</v>
      </c>
      <c r="K26">
        <v>11.5</v>
      </c>
      <c r="L26">
        <v>0</v>
      </c>
      <c r="M26">
        <v>0</v>
      </c>
      <c r="N26">
        <v>11.5</v>
      </c>
      <c r="O26">
        <v>0</v>
      </c>
      <c r="P26">
        <v>4.5</v>
      </c>
      <c r="Q26" t="str">
        <f t="shared" si="0"/>
        <v>T2C28</v>
      </c>
      <c r="R26">
        <f t="shared" si="1"/>
        <v>11.5</v>
      </c>
      <c r="S26">
        <f t="shared" si="2"/>
        <v>0</v>
      </c>
      <c r="T26">
        <f t="shared" si="3"/>
        <v>0</v>
      </c>
    </row>
    <row r="27" spans="1:20">
      <c r="A27" t="s">
        <v>163</v>
      </c>
      <c r="B27" t="s">
        <v>179</v>
      </c>
      <c r="C27">
        <v>0</v>
      </c>
      <c r="D27">
        <v>4.5</v>
      </c>
      <c r="E27" t="s">
        <v>223</v>
      </c>
      <c r="F27">
        <v>0.4</v>
      </c>
      <c r="G27">
        <v>0.5</v>
      </c>
      <c r="H27">
        <v>0.4</v>
      </c>
      <c r="I27">
        <v>0.5</v>
      </c>
      <c r="J27" t="s">
        <v>220</v>
      </c>
      <c r="K27">
        <v>5.5</v>
      </c>
      <c r="L27">
        <v>0</v>
      </c>
      <c r="M27">
        <v>0</v>
      </c>
      <c r="N27">
        <v>5.5</v>
      </c>
      <c r="O27">
        <v>0</v>
      </c>
      <c r="P27">
        <v>4.5</v>
      </c>
      <c r="Q27" t="str">
        <f t="shared" si="0"/>
        <v>T2C27</v>
      </c>
      <c r="R27">
        <f t="shared" si="1"/>
        <v>5.5</v>
      </c>
      <c r="S27">
        <f t="shared" si="2"/>
        <v>0</v>
      </c>
      <c r="T27">
        <f t="shared" si="3"/>
        <v>0</v>
      </c>
    </row>
    <row r="28" spans="1:20">
      <c r="A28" t="s">
        <v>163</v>
      </c>
      <c r="B28" t="s">
        <v>178</v>
      </c>
      <c r="C28">
        <v>0</v>
      </c>
      <c r="D28">
        <v>4.5</v>
      </c>
      <c r="E28" t="s">
        <v>223</v>
      </c>
      <c r="F28">
        <v>0.4</v>
      </c>
      <c r="G28">
        <v>0.5</v>
      </c>
      <c r="H28">
        <v>0.4</v>
      </c>
      <c r="I28">
        <v>0.5</v>
      </c>
      <c r="J28" t="s">
        <v>220</v>
      </c>
      <c r="K28">
        <v>0</v>
      </c>
      <c r="L28">
        <v>0</v>
      </c>
      <c r="M28">
        <v>0</v>
      </c>
      <c r="N28">
        <v>0</v>
      </c>
      <c r="O28">
        <v>0</v>
      </c>
      <c r="P28">
        <v>4.5</v>
      </c>
      <c r="Q28" t="str">
        <f t="shared" si="0"/>
        <v>T2C26</v>
      </c>
      <c r="R28">
        <f t="shared" si="1"/>
        <v>0</v>
      </c>
      <c r="S28">
        <f t="shared" si="2"/>
        <v>0</v>
      </c>
      <c r="T28">
        <f t="shared" si="3"/>
        <v>0</v>
      </c>
    </row>
    <row r="29" spans="1:20">
      <c r="A29" t="s">
        <v>163</v>
      </c>
      <c r="B29" t="s">
        <v>177</v>
      </c>
      <c r="C29">
        <v>0</v>
      </c>
      <c r="D29">
        <v>4.5</v>
      </c>
      <c r="E29" t="s">
        <v>223</v>
      </c>
      <c r="F29">
        <v>0.4</v>
      </c>
      <c r="G29">
        <v>0.5</v>
      </c>
      <c r="H29">
        <v>0.4</v>
      </c>
      <c r="I29">
        <v>0.5</v>
      </c>
      <c r="J29" t="s">
        <v>220</v>
      </c>
      <c r="K29">
        <v>0</v>
      </c>
      <c r="L29">
        <v>14</v>
      </c>
      <c r="M29">
        <v>0</v>
      </c>
      <c r="N29">
        <v>0</v>
      </c>
      <c r="O29">
        <v>14</v>
      </c>
      <c r="P29">
        <v>4.5</v>
      </c>
      <c r="Q29" t="str">
        <f t="shared" si="0"/>
        <v>T2C25</v>
      </c>
      <c r="R29">
        <f t="shared" si="1"/>
        <v>0</v>
      </c>
      <c r="S29">
        <f t="shared" si="2"/>
        <v>14</v>
      </c>
      <c r="T29">
        <f t="shared" si="3"/>
        <v>0</v>
      </c>
    </row>
    <row r="30" spans="1:20">
      <c r="A30" t="s">
        <v>163</v>
      </c>
      <c r="B30" t="s">
        <v>176</v>
      </c>
      <c r="C30">
        <v>0</v>
      </c>
      <c r="D30">
        <v>4.5</v>
      </c>
      <c r="E30" t="s">
        <v>223</v>
      </c>
      <c r="F30">
        <v>0.4</v>
      </c>
      <c r="G30">
        <v>0.5</v>
      </c>
      <c r="H30">
        <v>0.4</v>
      </c>
      <c r="I30">
        <v>0.5</v>
      </c>
      <c r="J30" t="s">
        <v>220</v>
      </c>
      <c r="K30">
        <v>11.5</v>
      </c>
      <c r="L30">
        <v>21.2</v>
      </c>
      <c r="M30">
        <v>0</v>
      </c>
      <c r="N30">
        <v>11.5</v>
      </c>
      <c r="O30">
        <v>21.2</v>
      </c>
      <c r="P30">
        <v>4.5</v>
      </c>
      <c r="Q30" t="str">
        <f t="shared" si="0"/>
        <v>T2C24</v>
      </c>
      <c r="R30">
        <f t="shared" si="1"/>
        <v>11.5</v>
      </c>
      <c r="S30">
        <f t="shared" si="2"/>
        <v>21.2</v>
      </c>
      <c r="T30">
        <f t="shared" si="3"/>
        <v>0</v>
      </c>
    </row>
    <row r="31" spans="1:20">
      <c r="A31" t="s">
        <v>163</v>
      </c>
      <c r="B31" t="s">
        <v>175</v>
      </c>
      <c r="C31">
        <v>0</v>
      </c>
      <c r="D31">
        <v>4.5</v>
      </c>
      <c r="E31" t="s">
        <v>223</v>
      </c>
      <c r="F31">
        <v>0.4</v>
      </c>
      <c r="G31">
        <v>0.5</v>
      </c>
      <c r="H31">
        <v>0.4</v>
      </c>
      <c r="I31">
        <v>0.5</v>
      </c>
      <c r="J31" t="s">
        <v>220</v>
      </c>
      <c r="K31">
        <v>5.5</v>
      </c>
      <c r="L31">
        <v>21.2</v>
      </c>
      <c r="M31">
        <v>0</v>
      </c>
      <c r="N31">
        <v>5.5</v>
      </c>
      <c r="O31">
        <v>21.2</v>
      </c>
      <c r="P31">
        <v>4.5</v>
      </c>
      <c r="Q31" t="str">
        <f t="shared" si="0"/>
        <v>T2C23</v>
      </c>
      <c r="R31">
        <f t="shared" si="1"/>
        <v>5.5</v>
      </c>
      <c r="S31">
        <f t="shared" si="2"/>
        <v>21.2</v>
      </c>
      <c r="T31">
        <f t="shared" si="3"/>
        <v>0</v>
      </c>
    </row>
    <row r="32" spans="1:20">
      <c r="A32" t="s">
        <v>163</v>
      </c>
      <c r="B32" t="s">
        <v>174</v>
      </c>
      <c r="C32">
        <v>0</v>
      </c>
      <c r="D32">
        <v>4.5</v>
      </c>
      <c r="E32" t="s">
        <v>223</v>
      </c>
      <c r="F32">
        <v>0.4</v>
      </c>
      <c r="G32">
        <v>0.5</v>
      </c>
      <c r="H32">
        <v>0.4</v>
      </c>
      <c r="I32">
        <v>0.5</v>
      </c>
      <c r="J32" t="s">
        <v>220</v>
      </c>
      <c r="K32">
        <v>47.58</v>
      </c>
      <c r="L32">
        <v>5.58</v>
      </c>
      <c r="M32">
        <v>0</v>
      </c>
      <c r="N32">
        <v>47.58</v>
      </c>
      <c r="O32">
        <v>5.58</v>
      </c>
      <c r="P32">
        <v>4.5</v>
      </c>
      <c r="Q32" t="str">
        <f t="shared" si="0"/>
        <v>T2C2</v>
      </c>
      <c r="R32">
        <f t="shared" si="1"/>
        <v>47.58</v>
      </c>
      <c r="S32">
        <f t="shared" si="2"/>
        <v>5.58</v>
      </c>
      <c r="T32">
        <f t="shared" si="3"/>
        <v>0</v>
      </c>
    </row>
    <row r="33" spans="1:20">
      <c r="A33" t="s">
        <v>163</v>
      </c>
      <c r="B33" t="s">
        <v>173</v>
      </c>
      <c r="C33">
        <v>77</v>
      </c>
      <c r="D33">
        <v>4.5</v>
      </c>
      <c r="E33" t="s">
        <v>222</v>
      </c>
      <c r="F33">
        <v>0.3</v>
      </c>
      <c r="G33">
        <v>0.6</v>
      </c>
      <c r="H33">
        <v>0.3</v>
      </c>
      <c r="I33">
        <v>0.6</v>
      </c>
      <c r="J33" t="s">
        <v>220</v>
      </c>
      <c r="K33">
        <v>26.1</v>
      </c>
      <c r="L33">
        <v>1.45</v>
      </c>
      <c r="M33">
        <v>0</v>
      </c>
      <c r="N33">
        <v>26.1</v>
      </c>
      <c r="O33">
        <v>1.45</v>
      </c>
      <c r="P33">
        <v>4.5</v>
      </c>
      <c r="Q33" t="str">
        <f t="shared" si="0"/>
        <v>T2C16</v>
      </c>
      <c r="R33">
        <f t="shared" si="1"/>
        <v>26.1</v>
      </c>
      <c r="S33">
        <f t="shared" si="2"/>
        <v>1.45</v>
      </c>
      <c r="T33">
        <f t="shared" si="3"/>
        <v>77</v>
      </c>
    </row>
    <row r="34" spans="1:20">
      <c r="A34" t="s">
        <v>163</v>
      </c>
      <c r="B34" t="s">
        <v>172</v>
      </c>
      <c r="C34">
        <v>0</v>
      </c>
      <c r="D34">
        <v>4.5</v>
      </c>
      <c r="E34" t="s">
        <v>227</v>
      </c>
      <c r="F34">
        <v>0.22</v>
      </c>
      <c r="G34">
        <v>0.3</v>
      </c>
      <c r="H34">
        <v>0.22</v>
      </c>
      <c r="I34">
        <v>0.3</v>
      </c>
      <c r="J34" t="s">
        <v>220</v>
      </c>
      <c r="K34">
        <v>-3.35</v>
      </c>
      <c r="L34">
        <v>10.74</v>
      </c>
      <c r="M34">
        <v>0</v>
      </c>
      <c r="N34">
        <v>-3.35</v>
      </c>
      <c r="O34">
        <v>10.74</v>
      </c>
      <c r="P34">
        <v>4.5</v>
      </c>
      <c r="Q34" t="str">
        <f t="shared" si="0"/>
        <v>T2C15</v>
      </c>
      <c r="R34">
        <f t="shared" si="1"/>
        <v>-3.35</v>
      </c>
      <c r="S34">
        <f t="shared" si="2"/>
        <v>10.74</v>
      </c>
      <c r="T34">
        <f t="shared" si="3"/>
        <v>0</v>
      </c>
    </row>
    <row r="35" spans="1:20">
      <c r="A35" t="s">
        <v>163</v>
      </c>
      <c r="B35" t="s">
        <v>171</v>
      </c>
      <c r="C35">
        <v>0</v>
      </c>
      <c r="D35">
        <v>4.5</v>
      </c>
      <c r="E35" t="s">
        <v>225</v>
      </c>
      <c r="F35">
        <v>0.5</v>
      </c>
      <c r="G35">
        <v>0.4</v>
      </c>
      <c r="H35">
        <v>0.5</v>
      </c>
      <c r="I35">
        <v>0.4</v>
      </c>
      <c r="J35" t="s">
        <v>220</v>
      </c>
      <c r="K35">
        <v>0</v>
      </c>
      <c r="L35">
        <v>10.74</v>
      </c>
      <c r="M35">
        <v>0</v>
      </c>
      <c r="N35">
        <v>0</v>
      </c>
      <c r="O35">
        <v>10.74</v>
      </c>
      <c r="P35">
        <v>4.5</v>
      </c>
      <c r="Q35" t="str">
        <f t="shared" si="0"/>
        <v>T2C14</v>
      </c>
      <c r="R35">
        <f t="shared" si="1"/>
        <v>0</v>
      </c>
      <c r="S35">
        <f t="shared" si="2"/>
        <v>10.74</v>
      </c>
      <c r="T35">
        <f t="shared" si="3"/>
        <v>0</v>
      </c>
    </row>
    <row r="36" spans="1:20">
      <c r="A36" t="s">
        <v>163</v>
      </c>
      <c r="B36" t="s">
        <v>170</v>
      </c>
      <c r="C36">
        <v>0</v>
      </c>
      <c r="D36">
        <v>4.5</v>
      </c>
      <c r="E36" t="s">
        <v>227</v>
      </c>
      <c r="F36">
        <v>0.22</v>
      </c>
      <c r="G36">
        <v>0.3</v>
      </c>
      <c r="H36">
        <v>0.22</v>
      </c>
      <c r="I36">
        <v>0.3</v>
      </c>
      <c r="J36" t="s">
        <v>220</v>
      </c>
      <c r="K36">
        <v>-3.35</v>
      </c>
      <c r="L36">
        <v>14</v>
      </c>
      <c r="M36">
        <v>0</v>
      </c>
      <c r="N36">
        <v>-3.35</v>
      </c>
      <c r="O36">
        <v>14</v>
      </c>
      <c r="P36">
        <v>4.5</v>
      </c>
      <c r="Q36" t="str">
        <f t="shared" si="0"/>
        <v>T2C13</v>
      </c>
      <c r="R36">
        <f t="shared" si="1"/>
        <v>-3.35</v>
      </c>
      <c r="S36">
        <f t="shared" si="2"/>
        <v>14</v>
      </c>
      <c r="T36">
        <f t="shared" si="3"/>
        <v>0</v>
      </c>
    </row>
    <row r="37" spans="1:20">
      <c r="A37" t="s">
        <v>163</v>
      </c>
      <c r="B37" t="s">
        <v>169</v>
      </c>
      <c r="C37">
        <v>0</v>
      </c>
      <c r="D37">
        <v>4.5</v>
      </c>
      <c r="E37" t="s">
        <v>222</v>
      </c>
      <c r="F37">
        <v>0.3</v>
      </c>
      <c r="G37">
        <v>0.6</v>
      </c>
      <c r="H37">
        <v>0.3</v>
      </c>
      <c r="I37">
        <v>0.6</v>
      </c>
      <c r="J37" t="s">
        <v>220</v>
      </c>
      <c r="K37">
        <v>47.58</v>
      </c>
      <c r="L37">
        <v>8.85</v>
      </c>
      <c r="M37">
        <v>0</v>
      </c>
      <c r="N37">
        <v>47.58</v>
      </c>
      <c r="O37">
        <v>8.85</v>
      </c>
      <c r="P37">
        <v>4.5</v>
      </c>
      <c r="Q37" t="str">
        <f t="shared" si="0"/>
        <v>T2C12</v>
      </c>
      <c r="R37">
        <f t="shared" si="1"/>
        <v>47.58</v>
      </c>
      <c r="S37">
        <f t="shared" si="2"/>
        <v>8.85</v>
      </c>
      <c r="T37">
        <f t="shared" si="3"/>
        <v>0</v>
      </c>
    </row>
    <row r="38" spans="1:20">
      <c r="A38" t="s">
        <v>163</v>
      </c>
      <c r="B38" t="s">
        <v>168</v>
      </c>
      <c r="C38">
        <v>0</v>
      </c>
      <c r="D38">
        <v>4.5</v>
      </c>
      <c r="E38" t="s">
        <v>219</v>
      </c>
      <c r="F38">
        <v>0.22</v>
      </c>
      <c r="G38">
        <v>0.22</v>
      </c>
      <c r="H38">
        <v>0.22</v>
      </c>
      <c r="I38">
        <v>0.22</v>
      </c>
      <c r="J38" t="s">
        <v>220</v>
      </c>
      <c r="K38">
        <v>45.48</v>
      </c>
      <c r="L38">
        <v>8.85</v>
      </c>
      <c r="M38">
        <v>0</v>
      </c>
      <c r="N38">
        <v>45.48</v>
      </c>
      <c r="O38">
        <v>8.85</v>
      </c>
      <c r="P38">
        <v>4.5</v>
      </c>
      <c r="Q38" t="str">
        <f t="shared" si="0"/>
        <v>T2C11</v>
      </c>
      <c r="R38">
        <f t="shared" si="1"/>
        <v>45.48</v>
      </c>
      <c r="S38">
        <f t="shared" si="2"/>
        <v>8.85</v>
      </c>
      <c r="T38">
        <f t="shared" si="3"/>
        <v>0</v>
      </c>
    </row>
    <row r="39" spans="1:20">
      <c r="A39" t="s">
        <v>163</v>
      </c>
      <c r="B39" t="s">
        <v>167</v>
      </c>
      <c r="C39">
        <v>0</v>
      </c>
      <c r="D39">
        <v>4.5</v>
      </c>
      <c r="E39" t="s">
        <v>223</v>
      </c>
      <c r="F39">
        <v>0.4</v>
      </c>
      <c r="G39">
        <v>0.5</v>
      </c>
      <c r="H39">
        <v>0.4</v>
      </c>
      <c r="I39">
        <v>0.5</v>
      </c>
      <c r="J39" t="s">
        <v>220</v>
      </c>
      <c r="K39">
        <v>0</v>
      </c>
      <c r="L39">
        <v>21.2</v>
      </c>
      <c r="M39">
        <v>0</v>
      </c>
      <c r="N39">
        <v>0</v>
      </c>
      <c r="O39">
        <v>21.2</v>
      </c>
      <c r="P39">
        <v>4.5</v>
      </c>
      <c r="Q39" t="str">
        <f t="shared" si="0"/>
        <v>T2C10</v>
      </c>
      <c r="R39">
        <f t="shared" si="1"/>
        <v>0</v>
      </c>
      <c r="S39">
        <f t="shared" si="2"/>
        <v>21.2</v>
      </c>
      <c r="T39">
        <f t="shared" si="3"/>
        <v>0</v>
      </c>
    </row>
    <row r="40" spans="1:20">
      <c r="A40" t="s">
        <v>163</v>
      </c>
      <c r="B40" t="s">
        <v>164</v>
      </c>
      <c r="C40">
        <v>0</v>
      </c>
      <c r="D40">
        <v>4.5</v>
      </c>
      <c r="E40" t="s">
        <v>223</v>
      </c>
      <c r="F40">
        <v>0.4</v>
      </c>
      <c r="G40">
        <v>0.5</v>
      </c>
      <c r="H40">
        <v>0.4</v>
      </c>
      <c r="I40">
        <v>0.5</v>
      </c>
      <c r="J40" t="s">
        <v>220</v>
      </c>
      <c r="K40">
        <v>41.38</v>
      </c>
      <c r="L40">
        <v>9.3350000000000009</v>
      </c>
      <c r="M40">
        <v>0</v>
      </c>
      <c r="N40">
        <v>41.38</v>
      </c>
      <c r="O40">
        <v>9.3350000000000009</v>
      </c>
      <c r="P40">
        <v>4.5</v>
      </c>
      <c r="Q40" t="str">
        <f t="shared" si="0"/>
        <v>T2C1</v>
      </c>
      <c r="R40">
        <f t="shared" si="1"/>
        <v>41.38</v>
      </c>
      <c r="S40">
        <f t="shared" si="2"/>
        <v>9.3350000000000009</v>
      </c>
      <c r="T40">
        <f t="shared" si="3"/>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FF0000"/>
    <pageSetUpPr fitToPage="1"/>
  </sheetPr>
  <dimension ref="A1:AX538"/>
  <sheetViews>
    <sheetView view="pageBreakPreview" zoomScaleNormal="100" workbookViewId="0">
      <selection activeCell="U1" sqref="U1:W5"/>
    </sheetView>
  </sheetViews>
  <sheetFormatPr defaultColWidth="8.140625" defaultRowHeight="12.75" outlineLevelRow="1"/>
  <cols>
    <col min="1" max="1" width="8" style="2" customWidth="1"/>
    <col min="2" max="2" width="8.42578125" style="3" customWidth="1"/>
    <col min="3" max="3" width="8.140625" style="3" customWidth="1"/>
    <col min="4" max="4" width="6.28515625" style="3" customWidth="1"/>
    <col min="5" max="5" width="5.5703125" style="3" customWidth="1"/>
    <col min="6" max="6" width="6.28515625" style="3" customWidth="1"/>
    <col min="7" max="7" width="8.5703125" style="4" customWidth="1"/>
    <col min="8" max="8" width="7.42578125" style="3" customWidth="1"/>
    <col min="9" max="9" width="7.85546875" style="3" customWidth="1"/>
    <col min="10" max="11" width="7.42578125" style="3" customWidth="1"/>
    <col min="12" max="12" width="7.42578125" style="5" customWidth="1"/>
    <col min="13" max="13" width="6" style="5" customWidth="1"/>
    <col min="14" max="14" width="7.28515625" style="5" customWidth="1"/>
    <col min="15" max="15" width="7.85546875" style="3" customWidth="1"/>
    <col min="16" max="17" width="7.28515625" style="3" customWidth="1"/>
    <col min="18" max="18" width="6.7109375" style="3" customWidth="1"/>
    <col min="19" max="19" width="6" style="3" customWidth="1"/>
    <col min="20" max="20" width="3.28515625" style="1" customWidth="1"/>
    <col min="21" max="21" width="10.28515625" style="1" customWidth="1"/>
    <col min="22" max="22" width="7.85546875" style="215" customWidth="1"/>
    <col min="23" max="23" width="15.85546875" style="3" customWidth="1"/>
    <col min="24" max="24" width="7" style="3" customWidth="1"/>
    <col min="25" max="25" width="2.5703125" style="3" customWidth="1"/>
    <col min="26" max="26" width="4.5703125" style="3" customWidth="1"/>
    <col min="27" max="27" width="7.5703125" style="3" customWidth="1"/>
    <col min="28" max="28" width="8" style="216" customWidth="1"/>
    <col min="29" max="29" width="7.140625" style="3" customWidth="1"/>
    <col min="30" max="30" width="8.42578125" style="3" customWidth="1"/>
    <col min="31" max="31" width="7.7109375" style="3" customWidth="1"/>
    <col min="32" max="32" width="7" style="3" customWidth="1"/>
    <col min="33" max="33" width="4.5703125" style="3" customWidth="1"/>
    <col min="34" max="34" width="7" style="3" customWidth="1"/>
    <col min="35" max="35" width="4.5703125" style="3" customWidth="1"/>
    <col min="36" max="36" width="5.140625" style="3" customWidth="1"/>
    <col min="37" max="37" width="6" style="3" customWidth="1"/>
    <col min="38" max="38" width="6.140625" style="3" customWidth="1"/>
    <col min="39" max="39" width="4.42578125" style="3" customWidth="1"/>
    <col min="40" max="40" width="3.5703125" style="3" customWidth="1"/>
    <col min="41" max="41" width="5.5703125" style="3" customWidth="1"/>
    <col min="42" max="42" width="6.85546875" style="3" customWidth="1"/>
    <col min="43" max="43" width="6.28515625" style="3" customWidth="1"/>
    <col min="44" max="44" width="10.140625" style="3" customWidth="1"/>
    <col min="45" max="45" width="10.7109375" style="3" customWidth="1"/>
    <col min="46" max="46" width="15.28515625" style="3" customWidth="1"/>
    <col min="47" max="47" width="8.42578125" style="3" customWidth="1"/>
    <col min="48" max="48" width="6.140625" style="3" customWidth="1"/>
    <col min="49" max="50" width="9.28515625" style="3" customWidth="1"/>
    <col min="51" max="16384" width="8.140625" style="3"/>
  </cols>
  <sheetData>
    <row r="1" spans="1:50" ht="30" customHeight="1">
      <c r="A1" s="408" t="s">
        <v>228</v>
      </c>
      <c r="B1" s="408"/>
      <c r="C1" s="408"/>
      <c r="D1" s="408"/>
      <c r="E1" s="408"/>
      <c r="F1" s="408"/>
      <c r="G1" s="408"/>
      <c r="H1" s="408"/>
      <c r="I1" s="408"/>
      <c r="J1" s="408"/>
      <c r="K1" s="408"/>
      <c r="L1" s="408"/>
      <c r="M1" s="408"/>
      <c r="N1" s="408"/>
      <c r="O1" s="408"/>
      <c r="P1" s="408"/>
      <c r="Q1" s="408"/>
      <c r="R1" s="408"/>
      <c r="S1" s="408"/>
      <c r="U1" s="396" t="s">
        <v>95</v>
      </c>
      <c r="V1" s="396"/>
      <c r="W1" s="396"/>
      <c r="AA1" s="473" t="s">
        <v>229</v>
      </c>
      <c r="AB1" s="474" t="s">
        <v>230</v>
      </c>
      <c r="AC1" s="475" t="s">
        <v>231</v>
      </c>
      <c r="AD1" s="415" t="s">
        <v>232</v>
      </c>
      <c r="AE1" s="415" t="s">
        <v>233</v>
      </c>
      <c r="AF1" s="415" t="s">
        <v>234</v>
      </c>
      <c r="AG1" s="420" t="s">
        <v>235</v>
      </c>
      <c r="AH1" s="415" t="s">
        <v>236</v>
      </c>
      <c r="AI1" s="420" t="s">
        <v>237</v>
      </c>
      <c r="AJ1" s="420" t="s">
        <v>238</v>
      </c>
      <c r="AK1" s="420" t="s">
        <v>239</v>
      </c>
      <c r="AL1" s="420" t="s">
        <v>240</v>
      </c>
      <c r="AM1" s="420" t="s">
        <v>241</v>
      </c>
      <c r="AN1" s="420" t="s">
        <v>242</v>
      </c>
      <c r="AO1" s="415" t="s">
        <v>243</v>
      </c>
      <c r="AP1" s="420" t="s">
        <v>244</v>
      </c>
      <c r="AQ1" s="415" t="s">
        <v>245</v>
      </c>
      <c r="AR1" s="420" t="s">
        <v>246</v>
      </c>
      <c r="AS1" s="420" t="s">
        <v>247</v>
      </c>
      <c r="AT1" s="421" t="s">
        <v>248</v>
      </c>
      <c r="AU1" s="421" t="s">
        <v>249</v>
      </c>
      <c r="AV1" s="421" t="s">
        <v>250</v>
      </c>
      <c r="AW1" s="485" t="s">
        <v>251</v>
      </c>
      <c r="AX1" s="485" t="s">
        <v>252</v>
      </c>
    </row>
    <row r="2" spans="1:50" ht="15.75" customHeight="1">
      <c r="A2" s="409" t="s">
        <v>253</v>
      </c>
      <c r="B2" s="409"/>
      <c r="C2" s="409"/>
      <c r="D2" s="410" t="s">
        <v>254</v>
      </c>
      <c r="E2" s="410"/>
      <c r="F2" s="410"/>
      <c r="G2" s="410"/>
      <c r="H2" s="410"/>
      <c r="I2" s="410"/>
      <c r="J2" s="410"/>
      <c r="K2" s="411" t="s">
        <v>255</v>
      </c>
      <c r="L2" s="411"/>
      <c r="M2" s="411"/>
      <c r="N2" s="411"/>
      <c r="O2" s="409" t="s">
        <v>256</v>
      </c>
      <c r="P2" s="409"/>
      <c r="Q2" s="409"/>
      <c r="R2" s="409"/>
      <c r="S2" s="409"/>
      <c r="U2" s="6" t="s">
        <v>96</v>
      </c>
      <c r="V2" s="6" t="s">
        <v>97</v>
      </c>
      <c r="W2" s="6" t="s">
        <v>98</v>
      </c>
      <c r="AA2" s="473"/>
      <c r="AB2" s="474"/>
      <c r="AC2" s="475"/>
      <c r="AD2" s="416"/>
      <c r="AE2" s="416"/>
      <c r="AF2" s="418"/>
      <c r="AG2" s="421"/>
      <c r="AH2" s="416"/>
      <c r="AI2" s="421"/>
      <c r="AJ2" s="421"/>
      <c r="AK2" s="421"/>
      <c r="AL2" s="421"/>
      <c r="AM2" s="421"/>
      <c r="AN2" s="421"/>
      <c r="AO2" s="418"/>
      <c r="AP2" s="421"/>
      <c r="AQ2" s="418"/>
      <c r="AR2" s="423"/>
      <c r="AS2" s="423"/>
      <c r="AT2" s="422"/>
      <c r="AU2" s="421"/>
      <c r="AV2" s="421"/>
      <c r="AW2" s="486"/>
      <c r="AX2" s="486"/>
    </row>
    <row r="3" spans="1:50" ht="14.25">
      <c r="A3" s="409" t="s">
        <v>257</v>
      </c>
      <c r="B3" s="409"/>
      <c r="C3" s="409"/>
      <c r="D3" s="410" t="s">
        <v>254</v>
      </c>
      <c r="E3" s="410"/>
      <c r="F3" s="410"/>
      <c r="G3" s="410"/>
      <c r="H3" s="410"/>
      <c r="I3" s="410"/>
      <c r="J3" s="410"/>
      <c r="K3" s="411" t="s">
        <v>258</v>
      </c>
      <c r="L3" s="411"/>
      <c r="M3" s="411"/>
      <c r="N3" s="411"/>
      <c r="O3" s="412">
        <f ca="1">TODAY()</f>
        <v>46281</v>
      </c>
      <c r="P3" s="412"/>
      <c r="Q3" s="412"/>
      <c r="R3" s="412"/>
      <c r="S3" s="412"/>
      <c r="U3" s="7" t="s">
        <v>99</v>
      </c>
      <c r="V3" s="7">
        <v>1</v>
      </c>
      <c r="W3" s="6" t="s">
        <v>100</v>
      </c>
      <c r="AA3" s="473"/>
      <c r="AB3" s="474"/>
      <c r="AC3" s="475"/>
      <c r="AD3" s="417"/>
      <c r="AE3" s="417"/>
      <c r="AF3" s="419"/>
      <c r="AG3" s="422"/>
      <c r="AH3" s="417"/>
      <c r="AI3" s="422"/>
      <c r="AJ3" s="422"/>
      <c r="AK3" s="422"/>
      <c r="AL3" s="422"/>
      <c r="AM3" s="422"/>
      <c r="AN3" s="422"/>
      <c r="AO3" s="419"/>
      <c r="AP3" s="422"/>
      <c r="AQ3" s="419"/>
      <c r="AR3" s="413" t="s">
        <v>259</v>
      </c>
      <c r="AS3" s="413"/>
      <c r="AT3" s="413"/>
      <c r="AU3" s="422"/>
      <c r="AV3" s="422"/>
      <c r="AW3" s="487"/>
      <c r="AX3" s="487"/>
    </row>
    <row r="4" spans="1:50" ht="14.25">
      <c r="A4" s="409" t="s">
        <v>260</v>
      </c>
      <c r="B4" s="409"/>
      <c r="C4" s="409"/>
      <c r="D4" s="410" t="s">
        <v>254</v>
      </c>
      <c r="E4" s="410"/>
      <c r="F4" s="410"/>
      <c r="G4" s="410"/>
      <c r="H4" s="410"/>
      <c r="I4" s="410"/>
      <c r="J4" s="410"/>
      <c r="K4" s="411" t="s">
        <v>261</v>
      </c>
      <c r="L4" s="411"/>
      <c r="M4" s="411"/>
      <c r="N4" s="411"/>
      <c r="O4" s="409" t="s">
        <v>254</v>
      </c>
      <c r="P4" s="409"/>
      <c r="Q4" s="409"/>
      <c r="R4" s="409"/>
      <c r="S4" s="409"/>
      <c r="U4" s="7" t="s">
        <v>101</v>
      </c>
      <c r="V4" s="7">
        <v>2</v>
      </c>
      <c r="W4" s="6" t="s">
        <v>102</v>
      </c>
      <c r="AA4" s="218" t="s">
        <v>262</v>
      </c>
      <c r="AB4" s="219" t="s">
        <v>263</v>
      </c>
      <c r="AC4" s="219" t="s">
        <v>264</v>
      </c>
      <c r="AD4" s="220">
        <v>1.8</v>
      </c>
      <c r="AE4" s="220"/>
      <c r="AF4" s="220"/>
      <c r="AG4" s="220"/>
      <c r="AH4" s="221">
        <f t="shared" ref="AH4:AH10" si="0">AD4-1</f>
        <v>0.8</v>
      </c>
      <c r="AI4" s="220"/>
      <c r="AJ4" s="220"/>
      <c r="AK4" s="220"/>
      <c r="AL4" s="220"/>
      <c r="AM4" s="220"/>
      <c r="AN4" s="220"/>
      <c r="AO4" s="222">
        <v>0</v>
      </c>
      <c r="AP4" s="220"/>
      <c r="AQ4" s="220"/>
      <c r="AR4" s="220"/>
      <c r="AS4" s="220"/>
      <c r="AT4" s="220"/>
      <c r="AU4" s="219" t="s">
        <v>146</v>
      </c>
      <c r="AV4" s="217">
        <f>IF(AU4="Rời",0.3,IF(AU4="Chặt vừa",0.575,IF(AU4="Chặt",0.825)))</f>
        <v>0.57499999999999996</v>
      </c>
      <c r="AW4" s="223">
        <v>0</v>
      </c>
      <c r="AX4" s="223">
        <f t="shared" ref="AX4:AX9" si="1">IF(AW5&lt;&gt;"",AW5,AW4+1)</f>
        <v>1.5</v>
      </c>
    </row>
    <row r="5" spans="1:50" ht="14.25">
      <c r="A5" s="409" t="s">
        <v>265</v>
      </c>
      <c r="B5" s="409"/>
      <c r="C5" s="409"/>
      <c r="D5" s="414" t="s">
        <v>266</v>
      </c>
      <c r="E5" s="414"/>
      <c r="F5" s="414"/>
      <c r="G5" s="414"/>
      <c r="H5" s="414"/>
      <c r="I5" s="414"/>
      <c r="J5" s="414"/>
      <c r="K5" s="411" t="s">
        <v>267</v>
      </c>
      <c r="L5" s="411"/>
      <c r="M5" s="411"/>
      <c r="N5" s="411"/>
      <c r="O5" s="409" t="s">
        <v>254</v>
      </c>
      <c r="P5" s="409"/>
      <c r="Q5" s="409"/>
      <c r="R5" s="409"/>
      <c r="S5" s="409"/>
      <c r="U5" s="7" t="s">
        <v>103</v>
      </c>
      <c r="V5" s="7">
        <v>3</v>
      </c>
      <c r="W5" s="6" t="s">
        <v>104</v>
      </c>
      <c r="AA5" s="218" t="s">
        <v>268</v>
      </c>
      <c r="AB5" s="219" t="s">
        <v>269</v>
      </c>
      <c r="AC5" s="219" t="s">
        <v>264</v>
      </c>
      <c r="AD5" s="220">
        <v>1.9</v>
      </c>
      <c r="AE5" s="220"/>
      <c r="AF5" s="220"/>
      <c r="AG5" s="220"/>
      <c r="AH5" s="221">
        <f t="shared" si="0"/>
        <v>0.9</v>
      </c>
      <c r="AI5" s="220"/>
      <c r="AJ5" s="220"/>
      <c r="AK5" s="220"/>
      <c r="AL5" s="220"/>
      <c r="AM5" s="220"/>
      <c r="AN5" s="220"/>
      <c r="AO5" s="222">
        <v>9.56</v>
      </c>
      <c r="AP5" s="220"/>
      <c r="AQ5" s="220"/>
      <c r="AR5" s="220"/>
      <c r="AS5" s="220"/>
      <c r="AT5" s="220"/>
      <c r="AU5" s="219" t="s">
        <v>146</v>
      </c>
      <c r="AV5" s="217">
        <f t="shared" ref="AV5:AV10" si="2">IF(AU5="Rời",0.3,IF(AU5="Chặt vừa",0.575,IF(AU5="Chặt",0.825)))</f>
        <v>0.57499999999999996</v>
      </c>
      <c r="AW5" s="223">
        <v>1.5</v>
      </c>
      <c r="AX5" s="223">
        <f t="shared" si="1"/>
        <v>7</v>
      </c>
    </row>
    <row r="6" spans="1:50" ht="14.25" customHeight="1">
      <c r="A6" s="424"/>
      <c r="B6" s="425"/>
      <c r="C6" s="425"/>
      <c r="D6" s="425"/>
      <c r="E6" s="425"/>
      <c r="F6" s="425"/>
      <c r="G6" s="425"/>
      <c r="H6" s="425"/>
      <c r="I6" s="425"/>
      <c r="J6" s="425"/>
      <c r="K6" s="425"/>
      <c r="L6" s="425"/>
      <c r="M6" s="425"/>
      <c r="N6" s="425"/>
      <c r="O6" s="425"/>
      <c r="P6" s="425"/>
      <c r="Q6" s="425"/>
      <c r="R6" s="425"/>
      <c r="S6" s="425"/>
      <c r="V6" s="3"/>
      <c r="AA6" s="218" t="s">
        <v>270</v>
      </c>
      <c r="AB6" s="219" t="s">
        <v>269</v>
      </c>
      <c r="AC6" s="219" t="s">
        <v>264</v>
      </c>
      <c r="AD6" s="220">
        <v>1.93</v>
      </c>
      <c r="AE6" s="220"/>
      <c r="AF6" s="220"/>
      <c r="AG6" s="220"/>
      <c r="AH6" s="221">
        <f t="shared" si="0"/>
        <v>0.93</v>
      </c>
      <c r="AI6" s="220"/>
      <c r="AJ6" s="220"/>
      <c r="AK6" s="220"/>
      <c r="AL6" s="220"/>
      <c r="AM6" s="220"/>
      <c r="AN6" s="220"/>
      <c r="AO6" s="222">
        <v>17.170000000000002</v>
      </c>
      <c r="AP6" s="220"/>
      <c r="AQ6" s="220"/>
      <c r="AR6" s="220"/>
      <c r="AS6" s="220"/>
      <c r="AT6" s="220"/>
      <c r="AU6" s="219" t="s">
        <v>146</v>
      </c>
      <c r="AV6" s="217">
        <f t="shared" si="2"/>
        <v>0.57499999999999996</v>
      </c>
      <c r="AW6" s="223">
        <v>7</v>
      </c>
      <c r="AX6" s="223">
        <f t="shared" si="1"/>
        <v>10.5</v>
      </c>
    </row>
    <row r="7" spans="1:50">
      <c r="A7" s="426" t="s">
        <v>271</v>
      </c>
      <c r="B7" s="427"/>
      <c r="C7" s="427"/>
      <c r="D7" s="427"/>
      <c r="E7" s="427"/>
      <c r="F7" s="427"/>
      <c r="G7" s="427"/>
      <c r="H7" s="427"/>
      <c r="I7" s="427"/>
      <c r="J7" s="427"/>
      <c r="K7" s="427"/>
      <c r="L7" s="427"/>
      <c r="M7" s="427"/>
      <c r="N7" s="427"/>
      <c r="O7" s="427"/>
      <c r="P7" s="427"/>
      <c r="Q7" s="427"/>
      <c r="R7" s="427"/>
      <c r="S7" s="428"/>
      <c r="U7" s="429" t="s">
        <v>272</v>
      </c>
      <c r="V7" s="430"/>
      <c r="W7" s="3" t="s">
        <v>273</v>
      </c>
      <c r="X7" s="8">
        <f>IF(D13="Cọc Tròn",F13,F13*4/PI())</f>
        <v>1</v>
      </c>
      <c r="AA7" s="218" t="s">
        <v>274</v>
      </c>
      <c r="AB7" s="219" t="s">
        <v>269</v>
      </c>
      <c r="AC7" s="219" t="s">
        <v>264</v>
      </c>
      <c r="AD7" s="220">
        <v>1.8</v>
      </c>
      <c r="AE7" s="220"/>
      <c r="AF7" s="220"/>
      <c r="AG7" s="220"/>
      <c r="AH7" s="221">
        <f t="shared" si="0"/>
        <v>0.8</v>
      </c>
      <c r="AI7" s="220"/>
      <c r="AJ7" s="220"/>
      <c r="AK7" s="220"/>
      <c r="AL7" s="220"/>
      <c r="AM7" s="220"/>
      <c r="AN7" s="220"/>
      <c r="AO7" s="222">
        <v>9.35</v>
      </c>
      <c r="AP7" s="220"/>
      <c r="AQ7" s="220"/>
      <c r="AR7" s="220"/>
      <c r="AS7" s="220"/>
      <c r="AT7" s="220"/>
      <c r="AU7" s="219" t="s">
        <v>146</v>
      </c>
      <c r="AV7" s="217">
        <f t="shared" si="2"/>
        <v>0.57499999999999996</v>
      </c>
      <c r="AW7" s="223">
        <v>10.5</v>
      </c>
      <c r="AX7" s="223">
        <f t="shared" si="1"/>
        <v>12.2</v>
      </c>
    </row>
    <row r="8" spans="1:50">
      <c r="A8" s="431"/>
      <c r="B8" s="432"/>
      <c r="C8" s="432"/>
      <c r="D8" s="432"/>
      <c r="E8" s="432"/>
      <c r="F8" s="432"/>
      <c r="G8" s="432"/>
      <c r="H8" s="432"/>
      <c r="I8" s="432"/>
      <c r="J8" s="432"/>
      <c r="K8" s="432"/>
      <c r="L8" s="432"/>
      <c r="M8" s="432"/>
      <c r="N8" s="432"/>
      <c r="O8" s="432"/>
      <c r="P8" s="432"/>
      <c r="Q8" s="432"/>
      <c r="R8" s="432"/>
      <c r="S8" s="432"/>
      <c r="U8" s="223">
        <v>3</v>
      </c>
      <c r="V8" s="223" t="s">
        <v>275</v>
      </c>
      <c r="W8" s="3" t="s">
        <v>276</v>
      </c>
      <c r="X8" s="3">
        <f>IF(D13="Cọc Tròn",PI()*$X$7^2/4,F13*F13)</f>
        <v>0.78539816339744795</v>
      </c>
      <c r="AA8" s="218" t="s">
        <v>277</v>
      </c>
      <c r="AB8" s="219" t="s">
        <v>278</v>
      </c>
      <c r="AC8" s="219" t="s">
        <v>279</v>
      </c>
      <c r="AD8" s="220">
        <v>1.87</v>
      </c>
      <c r="AE8" s="220"/>
      <c r="AF8" s="220"/>
      <c r="AG8" s="220"/>
      <c r="AH8" s="221">
        <f t="shared" si="0"/>
        <v>0.87</v>
      </c>
      <c r="AI8" s="220"/>
      <c r="AJ8" s="220"/>
      <c r="AK8" s="220"/>
      <c r="AL8" s="220"/>
      <c r="AM8" s="220"/>
      <c r="AN8" s="220"/>
      <c r="AO8" s="222">
        <v>9.2200000000000006</v>
      </c>
      <c r="AP8" s="220"/>
      <c r="AQ8" s="220"/>
      <c r="AR8" s="220"/>
      <c r="AS8" s="220"/>
      <c r="AT8" s="220"/>
      <c r="AU8" s="219" t="s">
        <v>146</v>
      </c>
      <c r="AV8" s="217">
        <f t="shared" si="2"/>
        <v>0.57499999999999996</v>
      </c>
      <c r="AW8" s="223">
        <v>12.2</v>
      </c>
      <c r="AX8" s="223">
        <f t="shared" si="1"/>
        <v>27</v>
      </c>
    </row>
    <row r="9" spans="1:50">
      <c r="A9" s="433" t="s">
        <v>280</v>
      </c>
      <c r="B9" s="433"/>
      <c r="C9" s="433"/>
      <c r="D9" s="433"/>
      <c r="E9" s="433"/>
      <c r="F9" s="433"/>
      <c r="G9" s="433"/>
      <c r="H9" s="10"/>
      <c r="I9" s="433" t="s">
        <v>281</v>
      </c>
      <c r="J9" s="433"/>
      <c r="K9" s="433"/>
      <c r="L9" s="433"/>
      <c r="M9" s="433"/>
      <c r="N9" s="433"/>
      <c r="O9" s="433"/>
      <c r="P9" s="433"/>
      <c r="Q9" s="433"/>
      <c r="R9" s="433"/>
      <c r="S9" s="10"/>
      <c r="V9" s="3"/>
      <c r="AA9" s="218" t="s">
        <v>282</v>
      </c>
      <c r="AB9" s="219" t="s">
        <v>278</v>
      </c>
      <c r="AC9" s="219" t="s">
        <v>279</v>
      </c>
      <c r="AD9" s="220">
        <v>1.9</v>
      </c>
      <c r="AE9" s="220"/>
      <c r="AF9" s="220"/>
      <c r="AG9" s="220"/>
      <c r="AH9" s="221">
        <f t="shared" si="0"/>
        <v>0.9</v>
      </c>
      <c r="AI9" s="220"/>
      <c r="AJ9" s="220"/>
      <c r="AK9" s="220"/>
      <c r="AL9" s="220"/>
      <c r="AM9" s="220"/>
      <c r="AN9" s="220"/>
      <c r="AO9" s="222">
        <v>15.5</v>
      </c>
      <c r="AP9" s="220"/>
      <c r="AQ9" s="220"/>
      <c r="AR9" s="220"/>
      <c r="AS9" s="220"/>
      <c r="AT9" s="220"/>
      <c r="AU9" s="219" t="s">
        <v>146</v>
      </c>
      <c r="AV9" s="217">
        <f t="shared" si="2"/>
        <v>0.57499999999999996</v>
      </c>
      <c r="AW9" s="223">
        <v>27</v>
      </c>
      <c r="AX9" s="223">
        <f t="shared" si="1"/>
        <v>38.200000000000003</v>
      </c>
    </row>
    <row r="10" spans="1:50" ht="13.15" customHeight="1">
      <c r="A10" s="434" t="s">
        <v>283</v>
      </c>
      <c r="B10" s="434"/>
      <c r="C10" s="434"/>
      <c r="D10" s="434"/>
      <c r="E10" s="434"/>
      <c r="F10" s="435" t="s">
        <v>284</v>
      </c>
      <c r="G10" s="435"/>
      <c r="H10" s="10"/>
      <c r="I10" s="434" t="s">
        <v>285</v>
      </c>
      <c r="J10" s="434"/>
      <c r="K10" s="434"/>
      <c r="L10" s="434"/>
      <c r="M10" s="434"/>
      <c r="N10" s="434"/>
      <c r="O10" s="12">
        <v>25</v>
      </c>
      <c r="P10" s="503" t="s">
        <v>286</v>
      </c>
      <c r="Q10" s="503"/>
      <c r="R10" s="471">
        <f>O11*PI()*O10^2/4</f>
        <v>12762.720155208501</v>
      </c>
      <c r="S10" s="10"/>
      <c r="U10" s="9" t="s">
        <v>287</v>
      </c>
      <c r="V10" s="9" t="s">
        <v>288</v>
      </c>
      <c r="AA10" s="218" t="s">
        <v>289</v>
      </c>
      <c r="AB10" s="219" t="s">
        <v>290</v>
      </c>
      <c r="AC10" s="219" t="s">
        <v>279</v>
      </c>
      <c r="AD10" s="220">
        <v>1.9</v>
      </c>
      <c r="AE10" s="220"/>
      <c r="AF10" s="220"/>
      <c r="AG10" s="220"/>
      <c r="AH10" s="221">
        <f t="shared" si="0"/>
        <v>0.9</v>
      </c>
      <c r="AI10" s="220"/>
      <c r="AJ10" s="220"/>
      <c r="AK10" s="220"/>
      <c r="AL10" s="220"/>
      <c r="AM10" s="220"/>
      <c r="AN10" s="220"/>
      <c r="AO10" s="222">
        <v>25.3</v>
      </c>
      <c r="AP10" s="220"/>
      <c r="AQ10" s="220"/>
      <c r="AR10" s="220"/>
      <c r="AS10" s="220"/>
      <c r="AT10" s="220"/>
      <c r="AU10" s="219" t="s">
        <v>148</v>
      </c>
      <c r="AV10" s="217">
        <f t="shared" si="2"/>
        <v>0.82499999999999996</v>
      </c>
      <c r="AW10" s="223">
        <v>38.200000000000003</v>
      </c>
      <c r="AX10" s="223">
        <v>45.2</v>
      </c>
    </row>
    <row r="11" spans="1:50">
      <c r="A11" s="436" t="s">
        <v>291</v>
      </c>
      <c r="B11" s="436"/>
      <c r="C11" s="436"/>
      <c r="D11" s="436"/>
      <c r="E11" s="436"/>
      <c r="F11" s="437">
        <v>1.8</v>
      </c>
      <c r="G11" s="437"/>
      <c r="H11" s="10"/>
      <c r="I11" s="434" t="s">
        <v>292</v>
      </c>
      <c r="J11" s="434"/>
      <c r="K11" s="434"/>
      <c r="L11" s="434"/>
      <c r="M11" s="434"/>
      <c r="N11" s="434"/>
      <c r="O11" s="14">
        <v>26</v>
      </c>
      <c r="P11" s="503"/>
      <c r="Q11" s="503"/>
      <c r="R11" s="471"/>
      <c r="S11" s="10"/>
      <c r="U11" s="1" t="s">
        <v>293</v>
      </c>
      <c r="V11" s="224" t="s">
        <v>254</v>
      </c>
      <c r="AA11" s="218" t="s">
        <v>294</v>
      </c>
      <c r="AB11" s="219"/>
      <c r="AC11" s="219"/>
      <c r="AD11" s="220"/>
      <c r="AE11" s="220"/>
      <c r="AF11" s="220"/>
      <c r="AG11" s="220"/>
      <c r="AH11" s="221"/>
      <c r="AI11" s="220"/>
      <c r="AJ11" s="220"/>
      <c r="AK11" s="220"/>
      <c r="AL11" s="220"/>
      <c r="AM11" s="220"/>
      <c r="AN11" s="220"/>
      <c r="AO11" s="222"/>
      <c r="AP11" s="220"/>
      <c r="AQ11" s="220"/>
      <c r="AR11" s="220"/>
      <c r="AS11" s="220"/>
      <c r="AT11" s="220"/>
      <c r="AU11" s="219"/>
      <c r="AV11" s="217"/>
      <c r="AW11" s="223"/>
      <c r="AX11" s="223"/>
    </row>
    <row r="12" spans="1:50" ht="15.6" customHeight="1">
      <c r="A12" s="434" t="s">
        <v>295</v>
      </c>
      <c r="B12" s="434"/>
      <c r="C12" s="434"/>
      <c r="D12" s="438"/>
      <c r="E12" s="15">
        <f>INDEX(B1.Loaicockyhieu,MATCH($F$12,B1.Loaicoc,0),2)</f>
        <v>3</v>
      </c>
      <c r="F12" s="437" t="s">
        <v>103</v>
      </c>
      <c r="G12" s="437"/>
      <c r="H12" s="10"/>
      <c r="I12" s="434" t="s">
        <v>296</v>
      </c>
      <c r="J12" s="434"/>
      <c r="K12" s="434"/>
      <c r="L12" s="434"/>
      <c r="M12" s="434"/>
      <c r="N12" s="434"/>
      <c r="O12" s="434"/>
      <c r="P12" s="434" t="s">
        <v>297</v>
      </c>
      <c r="Q12" s="434"/>
      <c r="R12" s="13">
        <v>0.85</v>
      </c>
      <c r="S12" s="10"/>
      <c r="U12" s="225">
        <v>0</v>
      </c>
      <c r="V12" s="226">
        <v>0</v>
      </c>
      <c r="AA12" s="218"/>
      <c r="AB12" s="219"/>
      <c r="AC12" s="219"/>
      <c r="AD12" s="220"/>
      <c r="AE12" s="220"/>
      <c r="AF12" s="220"/>
      <c r="AG12" s="220"/>
      <c r="AH12" s="221"/>
      <c r="AI12" s="220"/>
      <c r="AJ12" s="220"/>
      <c r="AK12" s="220"/>
      <c r="AL12" s="220"/>
      <c r="AM12" s="220"/>
      <c r="AN12" s="220"/>
      <c r="AO12" s="222"/>
      <c r="AP12" s="220"/>
      <c r="AQ12" s="220"/>
      <c r="AR12" s="220"/>
      <c r="AS12" s="220"/>
      <c r="AT12" s="220"/>
      <c r="AU12" s="219"/>
      <c r="AV12" s="217"/>
      <c r="AW12" s="223"/>
      <c r="AX12" s="223"/>
    </row>
    <row r="13" spans="1:50" ht="15.6" customHeight="1">
      <c r="A13" s="16" t="s">
        <v>298</v>
      </c>
      <c r="B13" s="16"/>
      <c r="C13" s="17"/>
      <c r="D13" s="437" t="s">
        <v>299</v>
      </c>
      <c r="E13" s="437"/>
      <c r="F13" s="439">
        <v>1</v>
      </c>
      <c r="G13" s="439"/>
      <c r="H13" s="10"/>
      <c r="I13" s="434" t="s">
        <v>300</v>
      </c>
      <c r="J13" s="434"/>
      <c r="K13" s="434"/>
      <c r="L13" s="434"/>
      <c r="M13" s="434"/>
      <c r="N13" s="434"/>
      <c r="O13" s="434"/>
      <c r="P13" s="434" t="s">
        <v>301</v>
      </c>
      <c r="Q13" s="434"/>
      <c r="R13" s="13">
        <v>0.7</v>
      </c>
      <c r="S13" s="10"/>
      <c r="U13" s="225">
        <v>1.5</v>
      </c>
      <c r="V13" s="226">
        <v>4</v>
      </c>
      <c r="AA13" s="218"/>
      <c r="AB13" s="219"/>
      <c r="AC13" s="219"/>
      <c r="AD13" s="220"/>
      <c r="AE13" s="220"/>
      <c r="AF13" s="220"/>
      <c r="AG13" s="220"/>
      <c r="AH13" s="227"/>
      <c r="AI13" s="220"/>
      <c r="AJ13" s="220"/>
      <c r="AK13" s="220"/>
      <c r="AL13" s="220"/>
      <c r="AM13" s="220"/>
      <c r="AN13" s="220"/>
      <c r="AO13" s="222"/>
      <c r="AP13" s="220"/>
      <c r="AQ13" s="220"/>
      <c r="AR13" s="220"/>
      <c r="AS13" s="220"/>
      <c r="AT13" s="220"/>
      <c r="AU13" s="219"/>
      <c r="AV13" s="217"/>
      <c r="AW13" s="223"/>
      <c r="AX13" s="223"/>
    </row>
    <row r="14" spans="1:50" ht="15.6" customHeight="1">
      <c r="A14" s="434" t="s">
        <v>302</v>
      </c>
      <c r="B14" s="434"/>
      <c r="C14" s="434"/>
      <c r="D14" s="440"/>
      <c r="E14" s="440"/>
      <c r="F14" s="441">
        <v>0</v>
      </c>
      <c r="G14" s="441"/>
      <c r="H14" s="10"/>
      <c r="I14" s="434" t="s">
        <v>303</v>
      </c>
      <c r="J14" s="434"/>
      <c r="K14" s="434"/>
      <c r="L14" s="434"/>
      <c r="M14" s="434"/>
      <c r="N14" s="434"/>
      <c r="O14" s="434"/>
      <c r="P14" s="434" t="s">
        <v>304</v>
      </c>
      <c r="Q14" s="434"/>
      <c r="R14" s="11">
        <f>IF(D13="Cọc Tròn",IF(X7&gt;=0.8,X7+1,1.5*X7+0.5),IF(F13&gt;=0.8,F13+1,1.5*F13+0.5))</f>
        <v>2</v>
      </c>
      <c r="S14" s="10"/>
      <c r="U14" s="225">
        <v>3.5</v>
      </c>
      <c r="V14" s="226">
        <v>3</v>
      </c>
      <c r="AA14" s="218"/>
      <c r="AB14" s="219"/>
      <c r="AC14" s="219"/>
      <c r="AD14" s="220"/>
      <c r="AE14" s="220"/>
      <c r="AF14" s="220"/>
      <c r="AG14" s="220"/>
      <c r="AH14" s="227"/>
      <c r="AI14" s="220"/>
      <c r="AJ14" s="220"/>
      <c r="AK14" s="220"/>
      <c r="AL14" s="220"/>
      <c r="AM14" s="220"/>
      <c r="AN14" s="220"/>
      <c r="AO14" s="222"/>
      <c r="AP14" s="220"/>
      <c r="AQ14" s="220"/>
      <c r="AR14" s="220"/>
      <c r="AS14" s="220"/>
      <c r="AT14" s="220"/>
      <c r="AU14" s="219"/>
      <c r="AV14" s="217"/>
      <c r="AW14" s="223"/>
      <c r="AX14" s="223"/>
    </row>
    <row r="15" spans="1:50">
      <c r="A15" s="434" t="s">
        <v>305</v>
      </c>
      <c r="B15" s="434"/>
      <c r="C15" s="434"/>
      <c r="D15" s="434"/>
      <c r="E15" s="434"/>
      <c r="F15" s="437">
        <v>43.2</v>
      </c>
      <c r="G15" s="437"/>
      <c r="H15" s="10"/>
      <c r="I15" s="434" t="s">
        <v>306</v>
      </c>
      <c r="J15" s="434"/>
      <c r="K15" s="434"/>
      <c r="L15" s="434"/>
      <c r="M15" s="434"/>
      <c r="N15" s="434"/>
      <c r="O15" s="434"/>
      <c r="P15" s="434" t="s">
        <v>140</v>
      </c>
      <c r="Q15" s="434"/>
      <c r="R15" s="13">
        <v>7000</v>
      </c>
      <c r="S15" s="10"/>
      <c r="U15" s="225">
        <v>5.5</v>
      </c>
      <c r="V15" s="226">
        <v>3</v>
      </c>
    </row>
    <row r="16" spans="1:50" ht="15.6" customHeight="1">
      <c r="A16" s="434" t="s">
        <v>307</v>
      </c>
      <c r="B16" s="434"/>
      <c r="C16" s="434"/>
      <c r="D16" s="434"/>
      <c r="E16" s="434"/>
      <c r="F16" s="437">
        <v>15.5</v>
      </c>
      <c r="G16" s="437"/>
      <c r="H16" s="10"/>
      <c r="I16" s="434" t="s">
        <v>308</v>
      </c>
      <c r="J16" s="434"/>
      <c r="K16" s="434"/>
      <c r="L16" s="434"/>
      <c r="M16" s="434"/>
      <c r="N16" s="434"/>
      <c r="O16" s="434"/>
      <c r="P16" s="434" t="s">
        <v>309</v>
      </c>
      <c r="Q16" s="434"/>
      <c r="R16" s="14">
        <v>3</v>
      </c>
      <c r="S16" s="10"/>
      <c r="U16" s="225">
        <v>7</v>
      </c>
      <c r="V16" s="226">
        <v>2</v>
      </c>
    </row>
    <row r="17" spans="1:28" ht="15.75">
      <c r="A17" s="434" t="s">
        <v>310</v>
      </c>
      <c r="B17" s="434"/>
      <c r="C17" s="434"/>
      <c r="D17" s="434"/>
      <c r="E17" s="434"/>
      <c r="F17" s="442">
        <f>IF(D13="Cọc Tròn",PI()*(X7^2-F14^2)/4,F13*F13)</f>
        <v>0.78539816339744795</v>
      </c>
      <c r="G17" s="442"/>
      <c r="H17" s="10"/>
      <c r="I17" s="434" t="s">
        <v>311</v>
      </c>
      <c r="J17" s="434"/>
      <c r="K17" s="434"/>
      <c r="L17" s="434"/>
      <c r="M17" s="434"/>
      <c r="N17" s="434"/>
      <c r="O17" s="434"/>
      <c r="P17" s="443" t="s">
        <v>312</v>
      </c>
      <c r="Q17" s="443"/>
      <c r="R17" s="20">
        <f>(R15*R14/(R16*F22*1000*F20))^(1/5)</f>
        <v>0.31133697702854402</v>
      </c>
      <c r="S17" s="10"/>
      <c r="U17" s="225">
        <v>9</v>
      </c>
      <c r="V17" s="226">
        <v>6</v>
      </c>
    </row>
    <row r="18" spans="1:28" ht="15.6" customHeight="1">
      <c r="A18" s="434" t="s">
        <v>313</v>
      </c>
      <c r="B18" s="434"/>
      <c r="C18" s="434"/>
      <c r="D18" s="434"/>
      <c r="E18" s="434"/>
      <c r="F18" s="442">
        <f>IF(D13="Cọc Tròn",PI()*X7,F13*4)</f>
        <v>3.14159265358979</v>
      </c>
      <c r="G18" s="442"/>
      <c r="H18" s="10"/>
      <c r="I18" s="434" t="s">
        <v>314</v>
      </c>
      <c r="J18" s="434"/>
      <c r="K18" s="434"/>
      <c r="L18" s="434"/>
      <c r="M18" s="434"/>
      <c r="N18" s="434"/>
      <c r="O18" s="434"/>
      <c r="P18" s="434" t="s">
        <v>315</v>
      </c>
      <c r="Q18" s="434"/>
      <c r="R18" s="18">
        <v>0</v>
      </c>
      <c r="S18" s="10"/>
      <c r="U18" s="225">
        <v>10.5</v>
      </c>
      <c r="V18" s="226">
        <v>8</v>
      </c>
    </row>
    <row r="19" spans="1:28" ht="15.6" customHeight="1">
      <c r="A19" s="434" t="s">
        <v>316</v>
      </c>
      <c r="B19" s="434"/>
      <c r="C19" s="434"/>
      <c r="D19" s="434"/>
      <c r="E19" s="434"/>
      <c r="F19" s="434">
        <f>F15-F16</f>
        <v>27.7</v>
      </c>
      <c r="G19" s="434"/>
      <c r="H19" s="10"/>
      <c r="I19" s="434" t="s">
        <v>317</v>
      </c>
      <c r="J19" s="434"/>
      <c r="K19" s="434"/>
      <c r="L19" s="434"/>
      <c r="M19" s="434"/>
      <c r="N19" s="434"/>
      <c r="O19" s="434"/>
      <c r="P19" s="434" t="s">
        <v>318</v>
      </c>
      <c r="Q19" s="434"/>
      <c r="R19" s="18">
        <f>R18+2/R17</f>
        <v>6.4239076870609999</v>
      </c>
      <c r="S19" s="10"/>
      <c r="U19" s="225">
        <v>12.2</v>
      </c>
      <c r="V19" s="226">
        <v>12</v>
      </c>
    </row>
    <row r="20" spans="1:28" ht="14.25">
      <c r="A20" s="434" t="s">
        <v>319</v>
      </c>
      <c r="B20" s="434"/>
      <c r="C20" s="434"/>
      <c r="D20" s="434"/>
      <c r="E20" s="434"/>
      <c r="F20" s="442">
        <f>IF(D13="Cọc Tròn",PI()*(X7^4-F14^4)/64,F13^4/12)</f>
        <v>4.9087385212340497E-2</v>
      </c>
      <c r="G20" s="442"/>
      <c r="H20" s="10"/>
      <c r="I20" s="434" t="s">
        <v>320</v>
      </c>
      <c r="J20" s="434"/>
      <c r="K20" s="434"/>
      <c r="L20" s="434"/>
      <c r="M20" s="434"/>
      <c r="N20" s="434"/>
      <c r="O20" s="434"/>
      <c r="P20" s="443" t="s">
        <v>321</v>
      </c>
      <c r="Q20" s="443"/>
      <c r="R20" s="21">
        <f>R19/SQRT(F20/F17)</f>
        <v>25.695630748244</v>
      </c>
      <c r="S20" s="10"/>
      <c r="U20" s="225">
        <v>14.2</v>
      </c>
      <c r="V20" s="226">
        <v>13</v>
      </c>
    </row>
    <row r="21" spans="1:28">
      <c r="A21" s="434" t="s">
        <v>322</v>
      </c>
      <c r="B21" s="434"/>
      <c r="C21" s="434"/>
      <c r="D21" s="434"/>
      <c r="E21" s="434"/>
      <c r="F21" s="444">
        <v>30</v>
      </c>
      <c r="G21" s="444"/>
      <c r="H21" s="10"/>
      <c r="I21" s="434" t="s">
        <v>323</v>
      </c>
      <c r="J21" s="434"/>
      <c r="K21" s="434"/>
      <c r="L21" s="434"/>
      <c r="M21" s="434"/>
      <c r="N21" s="434"/>
      <c r="O21" s="434"/>
      <c r="P21" s="443" t="s">
        <v>324</v>
      </c>
      <c r="Q21" s="443"/>
      <c r="R21" s="22">
        <f>IF(R20&lt;=14,1,1.028-0.0000288*R20^2-0.0016*R20)</f>
        <v>0.96787134614376702</v>
      </c>
      <c r="S21" s="10"/>
      <c r="U21" s="225">
        <v>16.2</v>
      </c>
      <c r="V21" s="226">
        <v>13</v>
      </c>
    </row>
    <row r="22" spans="1:28" ht="15.75">
      <c r="A22" s="434" t="s">
        <v>325</v>
      </c>
      <c r="B22" s="434"/>
      <c r="C22" s="11">
        <f>VLOOKUP(F21,B2.Betongcoc,3)</f>
        <v>17</v>
      </c>
      <c r="D22" s="445" t="s">
        <v>326</v>
      </c>
      <c r="E22" s="446"/>
      <c r="F22" s="434">
        <f>VLOOKUP(F21,B2.Betongcoc,5)</f>
        <v>32500</v>
      </c>
      <c r="G22" s="434"/>
      <c r="H22" s="10"/>
      <c r="I22" s="447" t="s">
        <v>327</v>
      </c>
      <c r="J22" s="448"/>
      <c r="K22" s="448"/>
      <c r="L22" s="448"/>
      <c r="M22" s="448"/>
      <c r="N22" s="448"/>
      <c r="O22" s="448"/>
      <c r="P22" s="448"/>
      <c r="Q22" s="448"/>
      <c r="R22" s="449"/>
      <c r="S22" s="10"/>
      <c r="U22" s="225">
        <v>18.2</v>
      </c>
      <c r="V22" s="226">
        <v>13</v>
      </c>
    </row>
    <row r="23" spans="1:28" ht="15.75">
      <c r="A23" s="434" t="s">
        <v>328</v>
      </c>
      <c r="B23" s="434"/>
      <c r="C23" s="23" t="s">
        <v>126</v>
      </c>
      <c r="D23" s="434" t="s">
        <v>329</v>
      </c>
      <c r="E23" s="434"/>
      <c r="F23" s="434">
        <f>VLOOKUP(C23,BANGTRA!G12:H25,2,0)</f>
        <v>350</v>
      </c>
      <c r="G23" s="434"/>
      <c r="H23" s="10"/>
      <c r="I23" s="450" t="s">
        <v>330</v>
      </c>
      <c r="J23" s="450"/>
      <c r="K23" s="450"/>
      <c r="L23" s="450"/>
      <c r="M23" s="450"/>
      <c r="N23" s="450"/>
      <c r="O23" s="450"/>
      <c r="P23" s="451" t="s">
        <v>331</v>
      </c>
      <c r="Q23" s="451"/>
      <c r="R23" s="24">
        <f>R21*(R12*R13*C22*F17*1000^2+F23*R10)/1000</f>
        <v>12012.4975780722</v>
      </c>
      <c r="S23" s="10"/>
      <c r="U23" s="225">
        <v>20.2</v>
      </c>
      <c r="V23" s="226">
        <v>14</v>
      </c>
    </row>
    <row r="24" spans="1:28">
      <c r="A24" s="452"/>
      <c r="B24" s="452"/>
      <c r="C24" s="452"/>
      <c r="D24" s="452"/>
      <c r="E24" s="452"/>
      <c r="F24" s="452"/>
      <c r="G24" s="452"/>
      <c r="H24" s="452"/>
      <c r="I24" s="452"/>
      <c r="J24" s="452"/>
      <c r="K24" s="452"/>
      <c r="L24" s="452"/>
      <c r="M24" s="452"/>
      <c r="N24" s="452"/>
      <c r="O24" s="452"/>
      <c r="P24" s="452"/>
      <c r="Q24" s="452"/>
      <c r="R24" s="452"/>
      <c r="S24" s="452"/>
      <c r="U24" s="225">
        <v>22.2</v>
      </c>
      <c r="V24" s="226">
        <v>14</v>
      </c>
      <c r="W24" s="228"/>
    </row>
    <row r="25" spans="1:28" ht="15.75" customHeight="1">
      <c r="A25" s="497" t="s">
        <v>332</v>
      </c>
      <c r="B25" s="498"/>
      <c r="C25" s="453" t="s">
        <v>333</v>
      </c>
      <c r="D25" s="454"/>
      <c r="E25" s="454"/>
      <c r="F25" s="454"/>
      <c r="G25" s="454"/>
      <c r="H25" s="454"/>
      <c r="I25" s="229">
        <f>F15</f>
        <v>43.2</v>
      </c>
      <c r="J25" s="230" t="s">
        <v>334</v>
      </c>
      <c r="K25" s="231">
        <f>VLOOKUP($F$15,E45:S199,15,0)</f>
        <v>12363.345189120922</v>
      </c>
      <c r="L25" s="232" t="s">
        <v>254</v>
      </c>
      <c r="M25" s="455" t="s">
        <v>335</v>
      </c>
      <c r="N25" s="456"/>
      <c r="O25" s="229">
        <f>F16</f>
        <v>15.5</v>
      </c>
      <c r="P25" s="233">
        <f>IFERROR(INDEX(Q45:Q199,MATCH($F$16,E45:E199,0)-1),"Không có hàng trên")</f>
        <v>1257.5533592932131</v>
      </c>
      <c r="Q25" s="234" t="s">
        <v>336</v>
      </c>
      <c r="R25" s="231">
        <f>K25-P25</f>
        <v>11105.791829827709</v>
      </c>
      <c r="S25" s="11" t="s">
        <v>337</v>
      </c>
      <c r="U25" s="225">
        <v>24.2</v>
      </c>
      <c r="V25" s="226">
        <v>15</v>
      </c>
      <c r="W25" s="9"/>
      <c r="AB25" s="3"/>
    </row>
    <row r="26" spans="1:28" ht="15.75" outlineLevel="1">
      <c r="A26" s="499"/>
      <c r="B26" s="500"/>
      <c r="C26" s="445" t="s">
        <v>338</v>
      </c>
      <c r="D26" s="457"/>
      <c r="E26" s="457"/>
      <c r="F26" s="457"/>
      <c r="G26" s="457"/>
      <c r="H26" s="457"/>
      <c r="I26" s="229">
        <f>F15</f>
        <v>43.2</v>
      </c>
      <c r="J26" s="230" t="s">
        <v>334</v>
      </c>
      <c r="K26" s="231">
        <f>VLOOKUP($F$15,E400:S600,15,0)</f>
        <v>6859.1701402764902</v>
      </c>
      <c r="L26" s="232" t="s">
        <v>254</v>
      </c>
      <c r="M26" s="455" t="s">
        <v>335</v>
      </c>
      <c r="N26" s="456"/>
      <c r="O26" s="229">
        <f>F16</f>
        <v>15.5</v>
      </c>
      <c r="P26" s="233">
        <f>IFERROR(INDEX(Q400:Q600,MATCH($F$16,E400:E600,0)-1),"Không có hàng trên")</f>
        <v>965.07108324400349</v>
      </c>
      <c r="Q26" s="234" t="s">
        <v>336</v>
      </c>
      <c r="R26" s="231">
        <f>K26-P26</f>
        <v>5894.0990570324866</v>
      </c>
      <c r="S26" s="11" t="s">
        <v>337</v>
      </c>
      <c r="T26" s="3"/>
      <c r="U26" s="225">
        <v>26.2</v>
      </c>
      <c r="V26" s="226">
        <v>15</v>
      </c>
      <c r="W26" s="235"/>
    </row>
    <row r="27" spans="1:28" ht="15.75">
      <c r="A27" s="499"/>
      <c r="B27" s="500"/>
      <c r="C27" s="445" t="s">
        <v>339</v>
      </c>
      <c r="D27" s="457"/>
      <c r="E27" s="457"/>
      <c r="F27" s="457"/>
      <c r="G27" s="457"/>
      <c r="H27" s="457"/>
      <c r="I27" s="229">
        <f>F15</f>
        <v>43.2</v>
      </c>
      <c r="J27" s="230" t="s">
        <v>334</v>
      </c>
      <c r="K27" s="231">
        <f>VLOOKUP($F$15,E200:S400,15,0)</f>
        <v>17072.012061716145</v>
      </c>
      <c r="L27" s="232" t="s">
        <v>254</v>
      </c>
      <c r="M27" s="455" t="s">
        <v>335</v>
      </c>
      <c r="N27" s="456"/>
      <c r="O27" s="229">
        <f>F16</f>
        <v>15.5</v>
      </c>
      <c r="P27" s="233">
        <f>IFERROR(INDEX(R200:R400,MATCH($F$16,E200:E400,0)-1),"Không có hàng trên")</f>
        <v>921.40582042927508</v>
      </c>
      <c r="Q27" s="234" t="s">
        <v>336</v>
      </c>
      <c r="R27" s="231">
        <f>K27-P27</f>
        <v>16150.60624128687</v>
      </c>
      <c r="S27" s="11" t="s">
        <v>337</v>
      </c>
      <c r="T27" s="3"/>
      <c r="U27" s="225">
        <v>27</v>
      </c>
      <c r="V27" s="226">
        <v>17</v>
      </c>
      <c r="W27" s="235"/>
    </row>
    <row r="28" spans="1:28" ht="15.75">
      <c r="A28" s="501"/>
      <c r="B28" s="502"/>
      <c r="C28" s="445" t="s">
        <v>340</v>
      </c>
      <c r="D28" s="457"/>
      <c r="E28" s="457"/>
      <c r="F28" s="457"/>
      <c r="G28" s="457"/>
      <c r="H28" s="457"/>
      <c r="I28" s="446"/>
      <c r="J28" s="458" t="s">
        <v>341</v>
      </c>
      <c r="K28" s="459"/>
      <c r="L28" s="459"/>
      <c r="M28" s="459"/>
      <c r="N28" s="459"/>
      <c r="O28" s="459"/>
      <c r="P28" s="459"/>
      <c r="Q28" s="460"/>
      <c r="R28" s="236">
        <f>IF(IFERROR(VLOOKUP("D",D45:F199,2,0),"FAIL")="FAIL",MIN(R25,R26,R27),MIN(R25,R27))</f>
        <v>11105.791829827709</v>
      </c>
      <c r="S28" s="11" t="s">
        <v>337</v>
      </c>
      <c r="U28" s="225">
        <v>29</v>
      </c>
      <c r="V28" s="226">
        <v>20</v>
      </c>
      <c r="W28" s="235"/>
    </row>
    <row r="29" spans="1:28">
      <c r="A29" s="461"/>
      <c r="B29" s="462"/>
      <c r="C29" s="462"/>
      <c r="D29" s="462"/>
      <c r="E29" s="462"/>
      <c r="F29" s="462"/>
      <c r="G29" s="462"/>
      <c r="H29" s="462"/>
      <c r="I29" s="462"/>
      <c r="J29" s="462"/>
      <c r="K29" s="462"/>
      <c r="L29" s="462"/>
      <c r="M29" s="462"/>
      <c r="N29" s="462"/>
      <c r="O29" s="462"/>
      <c r="P29" s="462"/>
      <c r="Q29" s="462"/>
      <c r="R29" s="462"/>
      <c r="S29" s="462"/>
      <c r="U29" s="225">
        <v>31</v>
      </c>
      <c r="V29" s="226">
        <v>25</v>
      </c>
      <c r="W29" s="235"/>
    </row>
    <row r="30" spans="1:28">
      <c r="A30" s="463" t="s">
        <v>342</v>
      </c>
      <c r="B30" s="463"/>
      <c r="C30" s="463"/>
      <c r="D30" s="463"/>
      <c r="E30" s="463"/>
      <c r="F30" s="463"/>
      <c r="G30" s="463"/>
      <c r="H30" s="464" t="s">
        <v>343</v>
      </c>
      <c r="I30" s="464"/>
      <c r="J30" s="464" t="s">
        <v>344</v>
      </c>
      <c r="K30" s="464"/>
      <c r="L30" s="464" t="s">
        <v>345</v>
      </c>
      <c r="M30" s="464"/>
      <c r="N30" s="464" t="s">
        <v>346</v>
      </c>
      <c r="O30" s="464"/>
      <c r="P30" s="464" t="s">
        <v>347</v>
      </c>
      <c r="Q30" s="464"/>
      <c r="R30" s="464" t="s">
        <v>348</v>
      </c>
      <c r="S30" s="464"/>
      <c r="U30" s="225">
        <v>33</v>
      </c>
      <c r="V30" s="226">
        <v>20</v>
      </c>
      <c r="W30" s="235"/>
    </row>
    <row r="31" spans="1:28" ht="15.75">
      <c r="A31" s="466" t="s">
        <v>349</v>
      </c>
      <c r="B31" s="436"/>
      <c r="C31" s="436"/>
      <c r="D31" s="436"/>
      <c r="E31" s="436"/>
      <c r="F31" s="436"/>
      <c r="G31" s="436"/>
      <c r="H31" s="436" t="s">
        <v>350</v>
      </c>
      <c r="I31" s="436"/>
      <c r="J31" s="437">
        <v>1.75</v>
      </c>
      <c r="K31" s="437"/>
      <c r="L31" s="437">
        <v>1.75</v>
      </c>
      <c r="M31" s="437"/>
      <c r="N31" s="437">
        <v>1.65</v>
      </c>
      <c r="O31" s="437"/>
      <c r="P31" s="437">
        <v>1.55</v>
      </c>
      <c r="Q31" s="437"/>
      <c r="R31" s="437">
        <v>1.4</v>
      </c>
      <c r="S31" s="437"/>
      <c r="U31" s="225">
        <v>35</v>
      </c>
      <c r="V31" s="226">
        <v>27</v>
      </c>
      <c r="W31" s="235"/>
    </row>
    <row r="32" spans="1:28" ht="15.75">
      <c r="A32" s="466" t="s">
        <v>296</v>
      </c>
      <c r="B32" s="436"/>
      <c r="C32" s="436"/>
      <c r="D32" s="436"/>
      <c r="E32" s="436"/>
      <c r="F32" s="436"/>
      <c r="G32" s="436"/>
      <c r="H32" s="436" t="s">
        <v>351</v>
      </c>
      <c r="I32" s="436"/>
      <c r="J32" s="439">
        <v>1</v>
      </c>
      <c r="K32" s="439"/>
      <c r="L32" s="439">
        <v>1.1499999999999999</v>
      </c>
      <c r="M32" s="439"/>
      <c r="N32" s="439">
        <v>1.1499999999999999</v>
      </c>
      <c r="O32" s="439"/>
      <c r="P32" s="439">
        <v>1.1499999999999999</v>
      </c>
      <c r="Q32" s="439"/>
      <c r="R32" s="439">
        <v>1.1499999999999999</v>
      </c>
      <c r="S32" s="439"/>
      <c r="U32" s="225">
        <v>37</v>
      </c>
      <c r="V32" s="226">
        <v>30</v>
      </c>
      <c r="W32" s="235"/>
    </row>
    <row r="33" spans="1:36" ht="15.75">
      <c r="A33" s="466" t="s">
        <v>352</v>
      </c>
      <c r="B33" s="436"/>
      <c r="C33" s="436"/>
      <c r="D33" s="436"/>
      <c r="E33" s="436"/>
      <c r="F33" s="436"/>
      <c r="G33" s="436"/>
      <c r="H33" s="436" t="s">
        <v>353</v>
      </c>
      <c r="I33" s="436"/>
      <c r="J33" s="439">
        <v>1.2</v>
      </c>
      <c r="K33" s="439"/>
      <c r="L33" s="439">
        <v>1.2</v>
      </c>
      <c r="M33" s="439"/>
      <c r="N33" s="439">
        <v>1.2</v>
      </c>
      <c r="O33" s="439"/>
      <c r="P33" s="439">
        <v>1.2</v>
      </c>
      <c r="Q33" s="439"/>
      <c r="R33" s="439">
        <v>1.2</v>
      </c>
      <c r="S33" s="439"/>
      <c r="U33" s="225">
        <v>38.200000000000003</v>
      </c>
      <c r="V33" s="226">
        <v>24</v>
      </c>
      <c r="W33" s="235"/>
    </row>
    <row r="34" spans="1:36" ht="15.75">
      <c r="A34" s="488" t="s">
        <v>354</v>
      </c>
      <c r="B34" s="489"/>
      <c r="C34" s="489"/>
      <c r="D34" s="489"/>
      <c r="E34" s="489"/>
      <c r="F34" s="489"/>
      <c r="G34" s="490"/>
      <c r="H34" s="436" t="s">
        <v>355</v>
      </c>
      <c r="I34" s="436"/>
      <c r="J34" s="465">
        <f>$R$28/J31</f>
        <v>6346.1667599015482</v>
      </c>
      <c r="K34" s="465"/>
      <c r="L34" s="465">
        <f>$R$28/L31</f>
        <v>6346.1667599015482</v>
      </c>
      <c r="M34" s="465"/>
      <c r="N34" s="465">
        <f>$R$28/N31</f>
        <v>6730.7829271683086</v>
      </c>
      <c r="O34" s="465"/>
      <c r="P34" s="465">
        <f>$R$28/P31</f>
        <v>7165.0269869856184</v>
      </c>
      <c r="Q34" s="465"/>
      <c r="R34" s="465">
        <f>$R$28/R31</f>
        <v>7932.7084498769354</v>
      </c>
      <c r="S34" s="465"/>
      <c r="U34" s="225">
        <v>40.200000000000003</v>
      </c>
      <c r="V34" s="226">
        <v>50</v>
      </c>
      <c r="W34" s="235"/>
    </row>
    <row r="35" spans="1:36" ht="15.75">
      <c r="A35" s="491"/>
      <c r="B35" s="492"/>
      <c r="C35" s="492"/>
      <c r="D35" s="492"/>
      <c r="E35" s="492"/>
      <c r="F35" s="492"/>
      <c r="G35" s="493"/>
      <c r="H35" s="436" t="s">
        <v>356</v>
      </c>
      <c r="I35" s="436"/>
      <c r="J35" s="465">
        <f>J32*J34/J33</f>
        <v>5288.4722999179567</v>
      </c>
      <c r="K35" s="465"/>
      <c r="L35" s="465">
        <f>L32*L34/L33</f>
        <v>6081.7431449056503</v>
      </c>
      <c r="M35" s="465"/>
      <c r="N35" s="465">
        <f>N32*N34/N33</f>
        <v>6450.3336385362954</v>
      </c>
      <c r="O35" s="465"/>
      <c r="P35" s="465">
        <f>P32*P34/P33</f>
        <v>6866.4841958612169</v>
      </c>
      <c r="Q35" s="465"/>
      <c r="R35" s="465">
        <f>R32*R34/R33</f>
        <v>7602.1789311320636</v>
      </c>
      <c r="S35" s="465"/>
      <c r="U35" s="225">
        <v>42.2</v>
      </c>
      <c r="V35" s="226">
        <v>50</v>
      </c>
      <c r="W35" s="235"/>
    </row>
    <row r="36" spans="1:36" ht="15.75">
      <c r="A36" s="494"/>
      <c r="B36" s="495"/>
      <c r="C36" s="495"/>
      <c r="D36" s="495"/>
      <c r="E36" s="495"/>
      <c r="F36" s="495"/>
      <c r="G36" s="496"/>
      <c r="H36" s="436" t="s">
        <v>357</v>
      </c>
      <c r="I36" s="436"/>
      <c r="J36" s="469">
        <f>MIN(J35,$R$23)</f>
        <v>5288.4722999179567</v>
      </c>
      <c r="K36" s="469"/>
      <c r="L36" s="469">
        <f>MIN(L35,$R$23)</f>
        <v>6081.7431449056503</v>
      </c>
      <c r="M36" s="469"/>
      <c r="N36" s="469">
        <f>MIN(N35,$R$23)</f>
        <v>6450.3336385362954</v>
      </c>
      <c r="O36" s="469"/>
      <c r="P36" s="469">
        <f>MIN(P35,$R$23)</f>
        <v>6866.4841958612169</v>
      </c>
      <c r="Q36" s="469"/>
      <c r="R36" s="469">
        <f>MIN(R35,$R$23)</f>
        <v>7602.1789311320636</v>
      </c>
      <c r="S36" s="469"/>
      <c r="U36" s="225">
        <v>43.2</v>
      </c>
      <c r="V36" s="226">
        <v>50</v>
      </c>
      <c r="W36" s="235"/>
    </row>
    <row r="37" spans="1:36">
      <c r="A37" s="237"/>
      <c r="B37" s="61"/>
      <c r="C37" s="61"/>
      <c r="D37" s="61"/>
      <c r="E37" s="61"/>
      <c r="F37" s="61"/>
      <c r="G37" s="61"/>
      <c r="H37" s="120"/>
      <c r="I37" s="120"/>
      <c r="J37" s="121"/>
      <c r="K37" s="121"/>
      <c r="L37" s="121"/>
      <c r="M37" s="121"/>
      <c r="N37" s="121"/>
      <c r="O37" s="121"/>
      <c r="P37" s="121"/>
      <c r="Q37" s="121"/>
      <c r="R37" s="121"/>
      <c r="S37" s="121"/>
      <c r="U37" s="225">
        <v>45.2</v>
      </c>
      <c r="V37" s="226">
        <v>50</v>
      </c>
      <c r="W37" s="235"/>
    </row>
    <row r="38" spans="1:36">
      <c r="A38" s="237"/>
      <c r="B38" s="61"/>
      <c r="C38" s="61"/>
      <c r="D38" s="61"/>
      <c r="E38" s="61"/>
      <c r="F38" s="61"/>
      <c r="G38" s="61"/>
      <c r="H38" s="120"/>
      <c r="I38" s="120"/>
      <c r="J38" s="121"/>
      <c r="K38" s="121"/>
      <c r="L38" s="121"/>
      <c r="M38" s="121"/>
      <c r="N38" s="121"/>
      <c r="O38" s="121"/>
      <c r="P38" s="121"/>
      <c r="Q38" s="121"/>
      <c r="R38" s="121"/>
      <c r="S38" s="121"/>
      <c r="U38" s="225">
        <v>45.2</v>
      </c>
      <c r="V38" s="226">
        <v>50</v>
      </c>
      <c r="W38" s="235"/>
    </row>
    <row r="39" spans="1:36">
      <c r="A39" s="480" t="s">
        <v>358</v>
      </c>
      <c r="B39" s="480"/>
      <c r="C39" s="480"/>
      <c r="D39" s="480"/>
      <c r="E39" s="480"/>
      <c r="F39" s="480"/>
      <c r="G39" s="480"/>
      <c r="H39" s="480"/>
      <c r="I39" s="480"/>
      <c r="J39" s="480"/>
      <c r="K39" s="480"/>
      <c r="L39" s="480"/>
      <c r="M39" s="480"/>
      <c r="N39" s="480"/>
      <c r="O39" s="480"/>
      <c r="P39" s="480"/>
      <c r="Q39" s="480"/>
      <c r="R39" s="480"/>
      <c r="S39" s="480"/>
      <c r="U39" s="225">
        <v>45.2</v>
      </c>
      <c r="V39" s="226">
        <v>50</v>
      </c>
      <c r="W39" s="235"/>
    </row>
    <row r="40" spans="1:36">
      <c r="A40" s="238"/>
      <c r="B40" s="239"/>
      <c r="C40" s="239"/>
      <c r="D40" s="239"/>
      <c r="E40" s="239"/>
      <c r="F40" s="240"/>
      <c r="G40" s="10"/>
      <c r="H40" s="10"/>
      <c r="I40" s="10"/>
      <c r="J40" s="10"/>
      <c r="K40" s="10"/>
      <c r="L40" s="241"/>
      <c r="M40" s="241"/>
      <c r="N40" s="241"/>
      <c r="O40" s="10"/>
      <c r="P40" s="10"/>
      <c r="Q40" s="10"/>
      <c r="R40" s="10"/>
      <c r="S40" s="10"/>
      <c r="U40" s="225">
        <v>100</v>
      </c>
      <c r="V40" s="226">
        <v>50</v>
      </c>
      <c r="W40" s="235"/>
    </row>
    <row r="41" spans="1:36">
      <c r="A41" s="482" t="s">
        <v>359</v>
      </c>
      <c r="B41" s="482"/>
      <c r="C41" s="482"/>
      <c r="D41" s="482"/>
      <c r="E41" s="482"/>
      <c r="F41" s="482"/>
      <c r="G41" s="482"/>
      <c r="H41" s="482"/>
      <c r="I41" s="482"/>
      <c r="J41" s="482"/>
      <c r="K41" s="482"/>
      <c r="L41" s="482"/>
      <c r="M41" s="481" t="s">
        <v>360</v>
      </c>
      <c r="N41" s="481"/>
      <c r="O41" s="481"/>
      <c r="P41" s="481"/>
      <c r="Q41" s="481"/>
      <c r="R41" s="481"/>
      <c r="S41" s="481"/>
      <c r="T41" s="244"/>
      <c r="U41" s="225"/>
      <c r="V41" s="226"/>
      <c r="W41" s="235"/>
    </row>
    <row r="42" spans="1:36" ht="14.25">
      <c r="A42" s="482"/>
      <c r="B42" s="482"/>
      <c r="C42" s="482"/>
      <c r="D42" s="482"/>
      <c r="E42" s="482"/>
      <c r="F42" s="482"/>
      <c r="G42" s="482"/>
      <c r="H42" s="482"/>
      <c r="I42" s="482"/>
      <c r="J42" s="482"/>
      <c r="K42" s="482"/>
      <c r="L42" s="482"/>
      <c r="M42" s="243"/>
      <c r="N42" s="245" t="s">
        <v>361</v>
      </c>
      <c r="O42" s="246">
        <f>IF(E12=3,6,9)</f>
        <v>6</v>
      </c>
      <c r="P42" s="245" t="s">
        <v>362</v>
      </c>
      <c r="Q42" s="246">
        <f>IF(E12=3,150,300)</f>
        <v>150</v>
      </c>
      <c r="R42" s="243"/>
      <c r="S42" s="243"/>
      <c r="T42" s="244"/>
      <c r="U42" s="225"/>
      <c r="V42" s="226"/>
      <c r="W42" s="235"/>
    </row>
    <row r="43" spans="1:36" s="214" customFormat="1" ht="14.25">
      <c r="A43" s="484" t="s">
        <v>363</v>
      </c>
      <c r="B43" s="468" t="s">
        <v>229</v>
      </c>
      <c r="C43" s="468" t="s">
        <v>230</v>
      </c>
      <c r="D43" s="467" t="s">
        <v>364</v>
      </c>
      <c r="E43" s="467" t="s">
        <v>365</v>
      </c>
      <c r="F43" s="467" t="s">
        <v>366</v>
      </c>
      <c r="G43" s="468" t="s">
        <v>367</v>
      </c>
      <c r="H43" s="247" t="s">
        <v>368</v>
      </c>
      <c r="I43" s="248" t="s">
        <v>369</v>
      </c>
      <c r="J43" s="248" t="s">
        <v>370</v>
      </c>
      <c r="K43" s="248" t="s">
        <v>371</v>
      </c>
      <c r="L43" s="472" t="s">
        <v>372</v>
      </c>
      <c r="M43" s="249" t="s">
        <v>373</v>
      </c>
      <c r="N43" s="249" t="s">
        <v>374</v>
      </c>
      <c r="O43" s="249" t="s">
        <v>375</v>
      </c>
      <c r="P43" s="249" t="s">
        <v>376</v>
      </c>
      <c r="Q43" s="470" t="s">
        <v>377</v>
      </c>
      <c r="R43" s="247" t="s">
        <v>378</v>
      </c>
      <c r="S43" s="247" t="s">
        <v>379</v>
      </c>
      <c r="T43" s="250"/>
      <c r="U43" s="225"/>
      <c r="V43" s="226"/>
      <c r="W43" s="235"/>
      <c r="Z43" s="228"/>
      <c r="AA43" s="228"/>
      <c r="AE43" s="228"/>
      <c r="AF43" s="228"/>
      <c r="AG43" s="228"/>
      <c r="AH43" s="228"/>
      <c r="AI43" s="228"/>
      <c r="AJ43" s="9"/>
    </row>
    <row r="44" spans="1:36" s="214" customFormat="1" ht="14.25">
      <c r="A44" s="484"/>
      <c r="B44" s="468"/>
      <c r="C44" s="468"/>
      <c r="D44" s="468"/>
      <c r="E44" s="468"/>
      <c r="F44" s="468"/>
      <c r="G44" s="468"/>
      <c r="H44" s="247" t="s">
        <v>380</v>
      </c>
      <c r="I44" s="247" t="s">
        <v>381</v>
      </c>
      <c r="J44" s="247" t="s">
        <v>381</v>
      </c>
      <c r="K44" s="247" t="s">
        <v>380</v>
      </c>
      <c r="L44" s="472"/>
      <c r="M44" s="249"/>
      <c r="N44" s="249"/>
      <c r="O44" s="247" t="s">
        <v>382</v>
      </c>
      <c r="P44" s="247" t="s">
        <v>382</v>
      </c>
      <c r="Q44" s="472"/>
      <c r="R44" s="247" t="s">
        <v>382</v>
      </c>
      <c r="S44" s="247" t="s">
        <v>382</v>
      </c>
      <c r="T44" s="250"/>
      <c r="U44" s="225"/>
      <c r="V44" s="226"/>
      <c r="W44" s="235"/>
      <c r="Z44" s="9"/>
      <c r="AA44" s="9"/>
      <c r="AE44" s="9"/>
      <c r="AF44" s="9"/>
      <c r="AG44" s="9"/>
      <c r="AH44" s="9"/>
      <c r="AI44" s="9"/>
      <c r="AJ44" s="9"/>
    </row>
    <row r="45" spans="1:36">
      <c r="A45" s="251" t="s">
        <v>262</v>
      </c>
      <c r="B45" s="25" t="str">
        <f>TRIM(IF(AND(A45&lt;&gt;0,A45&lt;&gt;""),A45,B44))</f>
        <v>Lớp 1</v>
      </c>
      <c r="C45" s="252" t="str">
        <f t="shared" ref="C45:C46" si="3">IF(A45&lt;&gt;"",VLOOKUP(A45,B4.CHITIEUCOLY,2,0),C44)</f>
        <v>San lấp</v>
      </c>
      <c r="D45" s="25" t="str">
        <f t="shared" ref="D45:D46" si="4">VLOOKUP(B45,B4.CHITIEUCOLY,3,0)</f>
        <v>D</v>
      </c>
      <c r="E45" s="28">
        <v>0</v>
      </c>
      <c r="F45" s="27">
        <f>ABS(E45-E46)</f>
        <v>1.5</v>
      </c>
      <c r="G45" s="253">
        <f t="shared" ref="G45:G63" si="5">NoiSuy(E45,$U$12:$V$200,$F$15,$X$7)</f>
        <v>0</v>
      </c>
      <c r="H45" s="31">
        <f>IF(VLOOKUP(B45,B4.CHITIEUCOLY,18,0)&lt;&gt;0,VLOOKUP(B45,B4.CHITIEUCOLY,18,0)*100,6.25*G45)</f>
        <v>0</v>
      </c>
      <c r="I45" s="254">
        <f t="shared" ref="I45:I46" si="6">VLOOKUP(B45,B4.CHITIEUCOLY,4,0)*10</f>
        <v>18</v>
      </c>
      <c r="J45" s="255">
        <f t="shared" ref="J45:J46" si="7">VLOOKUP(B45,B4.CHITIEUCOLY,8,0)*10</f>
        <v>8</v>
      </c>
      <c r="K45" s="256">
        <f>IF(E45&lt;=$F$11,I45*F45+0,J45*F45+0)</f>
        <v>27</v>
      </c>
      <c r="L45" s="257">
        <f>H45/K45</f>
        <v>0</v>
      </c>
      <c r="M45" s="257">
        <f>IF(L45&lt;=0.35,1,IF(L45&gt;=0.8,0.5,-1.1111*L45+1.3889))</f>
        <v>1</v>
      </c>
      <c r="N45" s="34">
        <f t="shared" ref="N45:N46" si="8">IF($E$12=3,1,IF(E45/$X$7&lt;=50,1,IF(E45/$X$7&gt;=120,0.7,-0.0043*E45/$X$7+1.2149)))</f>
        <v>1</v>
      </c>
      <c r="O45" s="31">
        <f t="shared" ref="O45:O46" si="9">IF(D45="D",$F$18*H45*M45*N45*F45,"-")</f>
        <v>0</v>
      </c>
      <c r="P45" s="31" t="str">
        <f t="shared" ref="P45:P46" si="10">IF(D45="R",$F$18*10*MIN(G45,50)*F45/3,"-")</f>
        <v>-</v>
      </c>
      <c r="Q45" s="258">
        <f>IF(D45="R",P45,O45)+0</f>
        <v>0</v>
      </c>
      <c r="R45" s="31">
        <f>IF(D45="R",MIN(G45,50)*$Q$42*($X$8),$O$42*H45*($X$8))</f>
        <v>0</v>
      </c>
      <c r="S45" s="31">
        <f t="shared" ref="S45:S46" si="11">Q45+R45</f>
        <v>0</v>
      </c>
      <c r="T45" s="259"/>
      <c r="U45" s="225"/>
      <c r="V45" s="226"/>
      <c r="W45" s="235"/>
      <c r="Z45" s="260"/>
      <c r="AA45" s="260"/>
      <c r="AE45" s="260"/>
      <c r="AF45" s="260"/>
      <c r="AG45" s="260"/>
      <c r="AH45" s="260"/>
      <c r="AI45" s="260"/>
      <c r="AJ45" s="260"/>
    </row>
    <row r="46" spans="1:36">
      <c r="A46" s="251" t="s">
        <v>268</v>
      </c>
      <c r="B46" s="25" t="str">
        <f>TRIM(IF(AND(A46&lt;&gt;0,A46&lt;&gt;""),A46,B45))</f>
        <v>Lớp 2</v>
      </c>
      <c r="C46" s="252" t="str">
        <f t="shared" si="3"/>
        <v>Sét</v>
      </c>
      <c r="D46" s="25" t="str">
        <f t="shared" si="4"/>
        <v>D</v>
      </c>
      <c r="E46" s="28">
        <v>1.5</v>
      </c>
      <c r="F46" s="27">
        <f>ABS(E46-E47)</f>
        <v>3</v>
      </c>
      <c r="G46" s="253">
        <f t="shared" si="5"/>
        <v>4</v>
      </c>
      <c r="H46" s="31">
        <f t="shared" ref="H46" si="12">IF(VLOOKUP(B46,B4.CHITIEUCOLY,18,0)&lt;&gt;0,VLOOKUP(B46,B4.CHITIEUCOLY,18,0)*100,6.25*G46)</f>
        <v>25</v>
      </c>
      <c r="I46" s="254">
        <f t="shared" si="6"/>
        <v>19</v>
      </c>
      <c r="J46" s="255">
        <f t="shared" si="7"/>
        <v>9</v>
      </c>
      <c r="K46" s="255">
        <f>IF(E46&lt;=$F$11,I46*F46+K45,J46*F46+K45)</f>
        <v>84</v>
      </c>
      <c r="L46" s="257">
        <f t="shared" ref="L46" si="13">H46/K46</f>
        <v>0.29761904761904762</v>
      </c>
      <c r="M46" s="257">
        <f t="shared" ref="M46" si="14">IF(L46&lt;=0.35,1,IF(L46&gt;=0.8,0.5,-1.1111*L46+1.3889))</f>
        <v>1</v>
      </c>
      <c r="N46" s="34">
        <f t="shared" si="8"/>
        <v>1</v>
      </c>
      <c r="O46" s="31">
        <f t="shared" si="9"/>
        <v>235.61944901923425</v>
      </c>
      <c r="P46" s="31" t="str">
        <f t="shared" si="10"/>
        <v>-</v>
      </c>
      <c r="Q46" s="31">
        <f>IF(D46="R",P46,O46)+Q45</f>
        <v>235.61944901923425</v>
      </c>
      <c r="R46" s="31">
        <f>IF(D46="R",MIN(G46,50)*$Q$42*($X$8),$O$42*H46*($X$8))</f>
        <v>117.8097245096172</v>
      </c>
      <c r="S46" s="31">
        <f t="shared" si="11"/>
        <v>353.42917352885144</v>
      </c>
      <c r="T46" s="259"/>
      <c r="U46" s="225"/>
      <c r="V46" s="226"/>
      <c r="W46" s="235"/>
      <c r="Z46" s="260"/>
      <c r="AA46" s="260"/>
      <c r="AE46" s="260"/>
      <c r="AF46" s="260"/>
      <c r="AG46" s="260"/>
      <c r="AH46" s="260"/>
      <c r="AI46" s="260"/>
      <c r="AJ46" s="260"/>
    </row>
    <row r="47" spans="1:36">
      <c r="A47" s="251"/>
      <c r="B47" s="25" t="str">
        <f t="shared" ref="B47:B63" si="15">TRIM(IF(AND(A47&lt;&gt;0,A47&lt;&gt;""),A47,B46))</f>
        <v>Lớp 2</v>
      </c>
      <c r="C47" s="252" t="str">
        <f t="shared" ref="C47:C63" si="16">IF(A47&lt;&gt;"",VLOOKUP(A47,B4.CHITIEUCOLY,2,0),C46)</f>
        <v>Sét</v>
      </c>
      <c r="D47" s="25" t="str">
        <f t="shared" ref="D47:D63" si="17">VLOOKUP(B47,B4.CHITIEUCOLY,3,0)</f>
        <v>D</v>
      </c>
      <c r="E47" s="28">
        <v>4.5</v>
      </c>
      <c r="F47" s="27">
        <f t="shared" ref="F47:F63" si="18">ABS(E47-E48)</f>
        <v>2.5</v>
      </c>
      <c r="G47" s="253">
        <f t="shared" si="5"/>
        <v>3</v>
      </c>
      <c r="H47" s="31">
        <f t="shared" ref="H47:H63" si="19">IF(VLOOKUP(B47,B4.CHITIEUCOLY,18,0)&lt;&gt;0,VLOOKUP(B47,B4.CHITIEUCOLY,18,0)*100,6.25*G47)</f>
        <v>18.75</v>
      </c>
      <c r="I47" s="254">
        <f t="shared" ref="I47:I63" si="20">VLOOKUP(B47,B4.CHITIEUCOLY,4,0)*10</f>
        <v>19</v>
      </c>
      <c r="J47" s="255">
        <f t="shared" ref="J47:J63" si="21">VLOOKUP(B47,B4.CHITIEUCOLY,8,0)*10</f>
        <v>9</v>
      </c>
      <c r="K47" s="255">
        <f t="shared" ref="K47:K63" si="22">IF(E47&lt;=$F$11,I47*F47+K46,J47*F47+K46)</f>
        <v>106.5</v>
      </c>
      <c r="L47" s="257">
        <f t="shared" ref="L47:L63" si="23">H47/K47</f>
        <v>0.176056338028169</v>
      </c>
      <c r="M47" s="257">
        <f t="shared" ref="M47:M63" si="24">IF(L47&lt;=0.35,1,IF(L47&gt;=0.8,0.5,-1.1111*L47+1.3889))</f>
        <v>1</v>
      </c>
      <c r="N47" s="34">
        <f t="shared" ref="N47:N63" si="25">IF($E$12=3,1,IF(E47/$X$7&lt;=50,1,IF(E47/$X$7&gt;=120,0.7,-0.0043*E47/$X$7+1.2149)))</f>
        <v>1</v>
      </c>
      <c r="O47" s="31">
        <f t="shared" ref="O47:O63" si="26">IF(D47="D",$F$18*H47*M47*N47*F47,"-")</f>
        <v>147.26215563702141</v>
      </c>
      <c r="P47" s="31" t="str">
        <f t="shared" ref="P47:P63" si="27">IF(D47="R",$F$18*10*MIN(G47,50)*F47/3,"-")</f>
        <v>-</v>
      </c>
      <c r="Q47" s="31">
        <f t="shared" ref="Q47:Q63" si="28">IF(D47="R",P47,O47)+Q46</f>
        <v>382.88160465625566</v>
      </c>
      <c r="R47" s="31">
        <f t="shared" ref="R47:R63" si="29">IF(D47="R",MIN(G47,50)*$Q$42*($X$8),$O$42*H47*($X$8))</f>
        <v>88.357293382212887</v>
      </c>
      <c r="S47" s="31">
        <f t="shared" ref="S47:S63" si="30">Q47+R47</f>
        <v>471.23889803846856</v>
      </c>
      <c r="T47" s="259"/>
      <c r="U47" s="225"/>
      <c r="V47" s="226"/>
      <c r="W47" s="235"/>
      <c r="Z47" s="260"/>
      <c r="AA47" s="260"/>
      <c r="AE47" s="260"/>
      <c r="AF47" s="260"/>
      <c r="AG47" s="260"/>
      <c r="AH47" s="260"/>
      <c r="AI47" s="260"/>
      <c r="AJ47" s="260"/>
    </row>
    <row r="48" spans="1:36">
      <c r="A48" s="251" t="s">
        <v>270</v>
      </c>
      <c r="B48" s="25" t="str">
        <f t="shared" si="15"/>
        <v>Lớp 3</v>
      </c>
      <c r="C48" s="252" t="str">
        <f t="shared" si="16"/>
        <v>Sét</v>
      </c>
      <c r="D48" s="25" t="str">
        <f t="shared" si="17"/>
        <v>D</v>
      </c>
      <c r="E48" s="28">
        <v>7</v>
      </c>
      <c r="F48" s="27">
        <f t="shared" si="18"/>
        <v>3</v>
      </c>
      <c r="G48" s="253">
        <f t="shared" si="5"/>
        <v>2</v>
      </c>
      <c r="H48" s="31">
        <f t="shared" si="19"/>
        <v>12.5</v>
      </c>
      <c r="I48" s="254">
        <f t="shared" si="20"/>
        <v>19.3</v>
      </c>
      <c r="J48" s="255">
        <f t="shared" si="21"/>
        <v>9.3000000000000007</v>
      </c>
      <c r="K48" s="255">
        <f t="shared" si="22"/>
        <v>134.4</v>
      </c>
      <c r="L48" s="257">
        <f t="shared" si="23"/>
        <v>9.3005952380952384E-2</v>
      </c>
      <c r="M48" s="257">
        <f t="shared" si="24"/>
        <v>1</v>
      </c>
      <c r="N48" s="34">
        <f t="shared" si="25"/>
        <v>1</v>
      </c>
      <c r="O48" s="31">
        <f t="shared" si="26"/>
        <v>117.80972450961713</v>
      </c>
      <c r="P48" s="31" t="str">
        <f t="shared" si="27"/>
        <v>-</v>
      </c>
      <c r="Q48" s="31">
        <f t="shared" si="28"/>
        <v>500.69132916587279</v>
      </c>
      <c r="R48" s="31">
        <f t="shared" si="29"/>
        <v>58.904862254808599</v>
      </c>
      <c r="S48" s="31">
        <f t="shared" si="30"/>
        <v>559.59619142068141</v>
      </c>
      <c r="T48" s="259"/>
      <c r="U48" s="225"/>
      <c r="V48" s="226"/>
      <c r="W48" s="235"/>
      <c r="Z48" s="260"/>
      <c r="AA48" s="260"/>
      <c r="AE48" s="260"/>
      <c r="AF48" s="260"/>
      <c r="AG48" s="260"/>
      <c r="AH48" s="260"/>
      <c r="AI48" s="260"/>
      <c r="AJ48" s="260"/>
    </row>
    <row r="49" spans="1:36">
      <c r="A49" s="251"/>
      <c r="B49" s="25" t="str">
        <f t="shared" si="15"/>
        <v>Lớp 3</v>
      </c>
      <c r="C49" s="252" t="str">
        <f t="shared" si="16"/>
        <v>Sét</v>
      </c>
      <c r="D49" s="25" t="str">
        <f t="shared" si="17"/>
        <v>D</v>
      </c>
      <c r="E49" s="28">
        <v>10</v>
      </c>
      <c r="F49" s="27">
        <f t="shared" si="18"/>
        <v>0.5</v>
      </c>
      <c r="G49" s="253">
        <f t="shared" si="5"/>
        <v>7.333333333333333</v>
      </c>
      <c r="H49" s="31">
        <f t="shared" si="19"/>
        <v>45.833333333333329</v>
      </c>
      <c r="I49" s="254">
        <f t="shared" si="20"/>
        <v>19.3</v>
      </c>
      <c r="J49" s="255">
        <f t="shared" si="21"/>
        <v>9.3000000000000007</v>
      </c>
      <c r="K49" s="255">
        <f t="shared" si="22"/>
        <v>139.05000000000001</v>
      </c>
      <c r="L49" s="257">
        <f t="shared" si="23"/>
        <v>0.32961764353350109</v>
      </c>
      <c r="M49" s="257">
        <f t="shared" si="24"/>
        <v>1</v>
      </c>
      <c r="N49" s="34">
        <f t="shared" si="25"/>
        <v>1</v>
      </c>
      <c r="O49" s="31">
        <f t="shared" si="26"/>
        <v>71.994831644766009</v>
      </c>
      <c r="P49" s="31" t="str">
        <f t="shared" si="27"/>
        <v>-</v>
      </c>
      <c r="Q49" s="31">
        <f t="shared" si="28"/>
        <v>572.68616081063874</v>
      </c>
      <c r="R49" s="31">
        <f t="shared" si="29"/>
        <v>215.9844949342982</v>
      </c>
      <c r="S49" s="31">
        <f t="shared" si="30"/>
        <v>788.67065574493699</v>
      </c>
      <c r="T49" s="259"/>
      <c r="U49" s="225"/>
      <c r="V49" s="226"/>
      <c r="W49" s="235"/>
      <c r="Z49" s="260"/>
      <c r="AA49" s="260"/>
      <c r="AE49" s="260"/>
      <c r="AF49" s="260"/>
      <c r="AG49" s="260"/>
      <c r="AH49" s="260"/>
      <c r="AI49" s="260"/>
      <c r="AJ49" s="260"/>
    </row>
    <row r="50" spans="1:36">
      <c r="A50" s="251" t="s">
        <v>274</v>
      </c>
      <c r="B50" s="25" t="str">
        <f t="shared" si="15"/>
        <v>Lớp 4</v>
      </c>
      <c r="C50" s="252" t="str">
        <f t="shared" si="16"/>
        <v>Sét</v>
      </c>
      <c r="D50" s="25" t="str">
        <f t="shared" si="17"/>
        <v>D</v>
      </c>
      <c r="E50" s="28">
        <v>10.5</v>
      </c>
      <c r="F50" s="27">
        <f t="shared" si="18"/>
        <v>1.7</v>
      </c>
      <c r="G50" s="253">
        <f t="shared" si="5"/>
        <v>8</v>
      </c>
      <c r="H50" s="31">
        <f t="shared" si="19"/>
        <v>50</v>
      </c>
      <c r="I50" s="254">
        <f t="shared" si="20"/>
        <v>18</v>
      </c>
      <c r="J50" s="255">
        <f t="shared" si="21"/>
        <v>8</v>
      </c>
      <c r="K50" s="255">
        <f t="shared" si="22"/>
        <v>152.65</v>
      </c>
      <c r="L50" s="257">
        <f t="shared" si="23"/>
        <v>0.32754667540124466</v>
      </c>
      <c r="M50" s="257">
        <f t="shared" si="24"/>
        <v>1</v>
      </c>
      <c r="N50" s="34">
        <f t="shared" si="25"/>
        <v>1</v>
      </c>
      <c r="O50" s="31">
        <f t="shared" si="26"/>
        <v>267.03537555513213</v>
      </c>
      <c r="P50" s="31" t="str">
        <f t="shared" si="27"/>
        <v>-</v>
      </c>
      <c r="Q50" s="31">
        <f t="shared" si="28"/>
        <v>839.72153636577082</v>
      </c>
      <c r="R50" s="31">
        <f t="shared" si="29"/>
        <v>235.61944901923439</v>
      </c>
      <c r="S50" s="31">
        <f t="shared" si="30"/>
        <v>1075.3409853850053</v>
      </c>
      <c r="T50" s="259"/>
      <c r="U50" s="225"/>
      <c r="V50" s="226"/>
      <c r="W50" s="235"/>
      <c r="Z50" s="260"/>
      <c r="AA50" s="260"/>
      <c r="AE50" s="260"/>
      <c r="AF50" s="260"/>
      <c r="AG50" s="260"/>
      <c r="AH50" s="260"/>
      <c r="AI50" s="260"/>
      <c r="AJ50" s="260"/>
    </row>
    <row r="51" spans="1:36">
      <c r="A51" s="251" t="s">
        <v>277</v>
      </c>
      <c r="B51" s="25" t="str">
        <f t="shared" si="15"/>
        <v>Lớp 5</v>
      </c>
      <c r="C51" s="252" t="str">
        <f t="shared" si="16"/>
        <v>Cát</v>
      </c>
      <c r="D51" s="25" t="str">
        <f t="shared" si="17"/>
        <v>R</v>
      </c>
      <c r="E51" s="28">
        <v>12.2</v>
      </c>
      <c r="F51" s="27">
        <f t="shared" si="18"/>
        <v>3</v>
      </c>
      <c r="G51" s="253">
        <f t="shared" si="5"/>
        <v>12</v>
      </c>
      <c r="H51" s="31">
        <f t="shared" si="19"/>
        <v>75</v>
      </c>
      <c r="I51" s="254">
        <f t="shared" si="20"/>
        <v>18.7</v>
      </c>
      <c r="J51" s="255">
        <f t="shared" si="21"/>
        <v>8.6999999999999993</v>
      </c>
      <c r="K51" s="255">
        <f t="shared" si="22"/>
        <v>178.75</v>
      </c>
      <c r="L51" s="257">
        <f t="shared" si="23"/>
        <v>0.41958041958041958</v>
      </c>
      <c r="M51" s="257">
        <f t="shared" si="24"/>
        <v>0.92270419580419583</v>
      </c>
      <c r="N51" s="34">
        <f t="shared" si="25"/>
        <v>1</v>
      </c>
      <c r="O51" s="31" t="str">
        <f t="shared" si="26"/>
        <v>-</v>
      </c>
      <c r="P51" s="31">
        <f t="shared" si="27"/>
        <v>376.9911184307748</v>
      </c>
      <c r="Q51" s="31">
        <f t="shared" si="28"/>
        <v>1216.7126547965456</v>
      </c>
      <c r="R51" s="31">
        <f t="shared" si="29"/>
        <v>1413.7166941154062</v>
      </c>
      <c r="S51" s="31">
        <f t="shared" si="30"/>
        <v>2630.4293489119518</v>
      </c>
      <c r="T51" s="259"/>
      <c r="U51" s="225"/>
      <c r="V51" s="226"/>
      <c r="W51" s="235"/>
      <c r="Z51" s="260"/>
      <c r="AA51" s="260"/>
      <c r="AE51" s="260"/>
      <c r="AF51" s="260"/>
      <c r="AG51" s="260"/>
      <c r="AH51" s="260"/>
      <c r="AI51" s="260"/>
      <c r="AJ51" s="260"/>
    </row>
    <row r="52" spans="1:36">
      <c r="A52" s="251"/>
      <c r="B52" s="25" t="str">
        <f t="shared" si="15"/>
        <v>Lớp 5</v>
      </c>
      <c r="C52" s="252" t="str">
        <f t="shared" si="16"/>
        <v>Cát</v>
      </c>
      <c r="D52" s="25" t="str">
        <f t="shared" si="17"/>
        <v>R</v>
      </c>
      <c r="E52" s="28">
        <v>15.2</v>
      </c>
      <c r="F52" s="27">
        <f t="shared" si="18"/>
        <v>0.30000000000000099</v>
      </c>
      <c r="G52" s="253">
        <f t="shared" si="5"/>
        <v>13</v>
      </c>
      <c r="H52" s="31">
        <f t="shared" si="19"/>
        <v>81.25</v>
      </c>
      <c r="I52" s="254">
        <f t="shared" si="20"/>
        <v>18.7</v>
      </c>
      <c r="J52" s="255">
        <f t="shared" si="21"/>
        <v>8.6999999999999993</v>
      </c>
      <c r="K52" s="255">
        <f t="shared" si="22"/>
        <v>181.36</v>
      </c>
      <c r="L52" s="257">
        <f t="shared" si="23"/>
        <v>0.44800397000441106</v>
      </c>
      <c r="M52" s="257">
        <f t="shared" si="24"/>
        <v>0.89112278892809893</v>
      </c>
      <c r="N52" s="34">
        <f t="shared" si="25"/>
        <v>1</v>
      </c>
      <c r="O52" s="31" t="str">
        <f t="shared" si="26"/>
        <v>-</v>
      </c>
      <c r="P52" s="31">
        <f t="shared" si="27"/>
        <v>40.840704496667406</v>
      </c>
      <c r="Q52" s="31">
        <f t="shared" si="28"/>
        <v>1257.5533592932131</v>
      </c>
      <c r="R52" s="31">
        <f t="shared" si="29"/>
        <v>1531.5264186250236</v>
      </c>
      <c r="S52" s="31">
        <f t="shared" si="30"/>
        <v>2789.0797779182367</v>
      </c>
      <c r="T52" s="259"/>
      <c r="U52" s="225"/>
      <c r="V52" s="226"/>
      <c r="W52" s="235"/>
      <c r="Z52" s="260"/>
      <c r="AA52" s="260"/>
      <c r="AE52" s="260"/>
      <c r="AF52" s="260"/>
      <c r="AG52" s="260"/>
      <c r="AH52" s="260"/>
      <c r="AI52" s="260"/>
      <c r="AJ52" s="260"/>
    </row>
    <row r="53" spans="1:36">
      <c r="A53" s="251"/>
      <c r="B53" s="25" t="str">
        <f t="shared" si="15"/>
        <v>Lớp 5</v>
      </c>
      <c r="C53" s="252" t="str">
        <f t="shared" si="16"/>
        <v>Cát</v>
      </c>
      <c r="D53" s="25" t="str">
        <f t="shared" si="17"/>
        <v>R</v>
      </c>
      <c r="E53" s="28">
        <v>15.5</v>
      </c>
      <c r="F53" s="27">
        <f t="shared" si="18"/>
        <v>3</v>
      </c>
      <c r="G53" s="253">
        <f t="shared" si="5"/>
        <v>13</v>
      </c>
      <c r="H53" s="31">
        <f t="shared" si="19"/>
        <v>81.25</v>
      </c>
      <c r="I53" s="254">
        <f t="shared" si="20"/>
        <v>18.7</v>
      </c>
      <c r="J53" s="255">
        <f t="shared" si="21"/>
        <v>8.6999999999999993</v>
      </c>
      <c r="K53" s="255">
        <f t="shared" si="22"/>
        <v>207.46</v>
      </c>
      <c r="L53" s="257">
        <f t="shared" si="23"/>
        <v>0.39164176226742503</v>
      </c>
      <c r="M53" s="257">
        <f t="shared" si="24"/>
        <v>0.95374683794466408</v>
      </c>
      <c r="N53" s="34">
        <f t="shared" si="25"/>
        <v>1</v>
      </c>
      <c r="O53" s="31" t="str">
        <f t="shared" si="26"/>
        <v>-</v>
      </c>
      <c r="P53" s="31">
        <f t="shared" si="27"/>
        <v>408.40704496667269</v>
      </c>
      <c r="Q53" s="31">
        <f t="shared" si="28"/>
        <v>1665.9604042598858</v>
      </c>
      <c r="R53" s="31">
        <f t="shared" si="29"/>
        <v>1531.5264186250236</v>
      </c>
      <c r="S53" s="31">
        <f t="shared" si="30"/>
        <v>3197.4868228849091</v>
      </c>
      <c r="T53" s="259"/>
      <c r="U53" s="225"/>
      <c r="V53" s="226"/>
      <c r="W53" s="260"/>
      <c r="Z53" s="260"/>
      <c r="AA53" s="260"/>
      <c r="AE53" s="260"/>
      <c r="AF53" s="260"/>
      <c r="AG53" s="260"/>
      <c r="AH53" s="260"/>
      <c r="AI53" s="260"/>
      <c r="AJ53" s="260"/>
    </row>
    <row r="54" spans="1:36">
      <c r="A54" s="251"/>
      <c r="B54" s="25" t="str">
        <f t="shared" si="15"/>
        <v>Lớp 5</v>
      </c>
      <c r="C54" s="252" t="str">
        <f t="shared" si="16"/>
        <v>Cát</v>
      </c>
      <c r="D54" s="25" t="str">
        <f t="shared" si="17"/>
        <v>R</v>
      </c>
      <c r="E54" s="28">
        <v>18.5</v>
      </c>
      <c r="F54" s="27">
        <f t="shared" si="18"/>
        <v>3</v>
      </c>
      <c r="G54" s="253">
        <f t="shared" si="5"/>
        <v>13.15</v>
      </c>
      <c r="H54" s="31">
        <f t="shared" si="19"/>
        <v>82.1875</v>
      </c>
      <c r="I54" s="254">
        <f t="shared" si="20"/>
        <v>18.7</v>
      </c>
      <c r="J54" s="255">
        <f t="shared" si="21"/>
        <v>8.6999999999999993</v>
      </c>
      <c r="K54" s="255">
        <f t="shared" si="22"/>
        <v>233.56</v>
      </c>
      <c r="L54" s="257">
        <f t="shared" si="23"/>
        <v>0.35189030655934234</v>
      </c>
      <c r="M54" s="257">
        <f t="shared" si="24"/>
        <v>0.99791468038191478</v>
      </c>
      <c r="N54" s="34">
        <f t="shared" si="25"/>
        <v>1</v>
      </c>
      <c r="O54" s="31" t="str">
        <f t="shared" si="26"/>
        <v>-</v>
      </c>
      <c r="P54" s="31">
        <f t="shared" si="27"/>
        <v>413.11943394705736</v>
      </c>
      <c r="Q54" s="31">
        <f t="shared" si="28"/>
        <v>2079.0798382069434</v>
      </c>
      <c r="R54" s="31">
        <f t="shared" si="29"/>
        <v>1549.1978773014662</v>
      </c>
      <c r="S54" s="31">
        <f t="shared" si="30"/>
        <v>3628.2777155084095</v>
      </c>
      <c r="T54" s="259"/>
      <c r="U54" s="225"/>
      <c r="V54" s="226"/>
      <c r="W54" s="260"/>
      <c r="Z54" s="260"/>
      <c r="AA54" s="260"/>
      <c r="AE54" s="260"/>
      <c r="AF54" s="260"/>
      <c r="AG54" s="260"/>
      <c r="AH54" s="260"/>
      <c r="AI54" s="260"/>
      <c r="AJ54" s="260"/>
    </row>
    <row r="55" spans="1:36">
      <c r="A55" s="251"/>
      <c r="B55" s="25" t="str">
        <f t="shared" si="15"/>
        <v>Lớp 5</v>
      </c>
      <c r="C55" s="252" t="str">
        <f t="shared" si="16"/>
        <v>Cát</v>
      </c>
      <c r="D55" s="25" t="str">
        <f t="shared" si="17"/>
        <v>R</v>
      </c>
      <c r="E55" s="28">
        <v>21.5</v>
      </c>
      <c r="F55" s="27">
        <f t="shared" si="18"/>
        <v>3</v>
      </c>
      <c r="G55" s="253">
        <f t="shared" si="5"/>
        <v>14</v>
      </c>
      <c r="H55" s="31">
        <f t="shared" si="19"/>
        <v>87.5</v>
      </c>
      <c r="I55" s="254">
        <f t="shared" si="20"/>
        <v>18.7</v>
      </c>
      <c r="J55" s="255">
        <f t="shared" si="21"/>
        <v>8.6999999999999993</v>
      </c>
      <c r="K55" s="255">
        <f t="shared" si="22"/>
        <v>259.66000000000003</v>
      </c>
      <c r="L55" s="257">
        <f t="shared" si="23"/>
        <v>0.33697912655010392</v>
      </c>
      <c r="M55" s="257">
        <f t="shared" si="24"/>
        <v>1</v>
      </c>
      <c r="N55" s="34">
        <f t="shared" si="25"/>
        <v>1</v>
      </c>
      <c r="O55" s="31" t="str">
        <f t="shared" si="26"/>
        <v>-</v>
      </c>
      <c r="P55" s="31">
        <f t="shared" si="27"/>
        <v>439.82297150257062</v>
      </c>
      <c r="Q55" s="31">
        <f t="shared" si="28"/>
        <v>2518.9028097095138</v>
      </c>
      <c r="R55" s="31">
        <f t="shared" si="29"/>
        <v>1649.3361431346407</v>
      </c>
      <c r="S55" s="31">
        <f t="shared" si="30"/>
        <v>4168.2389528441545</v>
      </c>
      <c r="T55" s="259"/>
      <c r="U55" s="225"/>
      <c r="V55" s="226"/>
      <c r="W55" s="260"/>
      <c r="Z55" s="260"/>
      <c r="AA55" s="260"/>
      <c r="AE55" s="260"/>
      <c r="AF55" s="260"/>
      <c r="AG55" s="260"/>
      <c r="AH55" s="260"/>
      <c r="AI55" s="260"/>
      <c r="AJ55" s="260"/>
    </row>
    <row r="56" spans="1:36">
      <c r="A56" s="251"/>
      <c r="B56" s="25" t="str">
        <f t="shared" si="15"/>
        <v>Lớp 5</v>
      </c>
      <c r="C56" s="252" t="str">
        <f t="shared" si="16"/>
        <v>Cát</v>
      </c>
      <c r="D56" s="25" t="str">
        <f t="shared" si="17"/>
        <v>R</v>
      </c>
      <c r="E56" s="28">
        <v>24.5</v>
      </c>
      <c r="F56" s="27">
        <f t="shared" si="18"/>
        <v>2.5</v>
      </c>
      <c r="G56" s="253">
        <f t="shared" si="5"/>
        <v>15</v>
      </c>
      <c r="H56" s="31">
        <f t="shared" si="19"/>
        <v>93.75</v>
      </c>
      <c r="I56" s="254">
        <f t="shared" si="20"/>
        <v>18.7</v>
      </c>
      <c r="J56" s="255">
        <f t="shared" si="21"/>
        <v>8.6999999999999993</v>
      </c>
      <c r="K56" s="255">
        <f t="shared" si="22"/>
        <v>281.41000000000003</v>
      </c>
      <c r="L56" s="257">
        <f t="shared" si="23"/>
        <v>0.33314381152055716</v>
      </c>
      <c r="M56" s="257">
        <f t="shared" si="24"/>
        <v>1</v>
      </c>
      <c r="N56" s="34">
        <f t="shared" si="25"/>
        <v>1</v>
      </c>
      <c r="O56" s="31" t="str">
        <f t="shared" si="26"/>
        <v>-</v>
      </c>
      <c r="P56" s="31">
        <f t="shared" si="27"/>
        <v>392.69908169872377</v>
      </c>
      <c r="Q56" s="31">
        <f t="shared" si="28"/>
        <v>2911.6018914082374</v>
      </c>
      <c r="R56" s="31">
        <f t="shared" si="29"/>
        <v>1767.1458676442578</v>
      </c>
      <c r="S56" s="31">
        <f t="shared" si="30"/>
        <v>4678.747759052495</v>
      </c>
      <c r="T56" s="259"/>
      <c r="U56" s="225"/>
      <c r="V56" s="226"/>
      <c r="W56" s="260"/>
      <c r="Z56" s="260"/>
      <c r="AA56" s="260"/>
      <c r="AE56" s="260"/>
      <c r="AF56" s="260"/>
      <c r="AG56" s="260"/>
      <c r="AH56" s="260"/>
      <c r="AI56" s="260"/>
      <c r="AJ56" s="260"/>
    </row>
    <row r="57" spans="1:36">
      <c r="A57" s="251" t="s">
        <v>282</v>
      </c>
      <c r="B57" s="25" t="str">
        <f t="shared" si="15"/>
        <v>Lớp 6</v>
      </c>
      <c r="C57" s="252" t="str">
        <f t="shared" si="16"/>
        <v>Cát</v>
      </c>
      <c r="D57" s="25" t="str">
        <f t="shared" si="17"/>
        <v>R</v>
      </c>
      <c r="E57" s="28">
        <v>27</v>
      </c>
      <c r="F57" s="27">
        <f t="shared" si="18"/>
        <v>3</v>
      </c>
      <c r="G57" s="253">
        <f t="shared" si="5"/>
        <v>17</v>
      </c>
      <c r="H57" s="31">
        <f t="shared" si="19"/>
        <v>106.25</v>
      </c>
      <c r="I57" s="254">
        <f t="shared" si="20"/>
        <v>19</v>
      </c>
      <c r="J57" s="255">
        <f t="shared" si="21"/>
        <v>9</v>
      </c>
      <c r="K57" s="255">
        <f t="shared" si="22"/>
        <v>308.41000000000003</v>
      </c>
      <c r="L57" s="257">
        <f t="shared" si="23"/>
        <v>0.34450893291397811</v>
      </c>
      <c r="M57" s="257">
        <f t="shared" si="24"/>
        <v>1</v>
      </c>
      <c r="N57" s="34">
        <f t="shared" si="25"/>
        <v>1</v>
      </c>
      <c r="O57" s="31" t="str">
        <f t="shared" si="26"/>
        <v>-</v>
      </c>
      <c r="P57" s="31">
        <f t="shared" si="27"/>
        <v>534.07075111026427</v>
      </c>
      <c r="Q57" s="31">
        <f t="shared" si="28"/>
        <v>3445.6726425185016</v>
      </c>
      <c r="R57" s="31">
        <f t="shared" si="29"/>
        <v>2002.7653166634923</v>
      </c>
      <c r="S57" s="31">
        <f t="shared" si="30"/>
        <v>5448.4379591819943</v>
      </c>
      <c r="T57" s="259"/>
      <c r="U57" s="225"/>
      <c r="V57" s="226"/>
      <c r="W57" s="260"/>
      <c r="Z57" s="260"/>
      <c r="AA57" s="260"/>
      <c r="AE57" s="260"/>
      <c r="AF57" s="260"/>
      <c r="AG57" s="260"/>
      <c r="AH57" s="260"/>
      <c r="AI57" s="260"/>
      <c r="AJ57" s="260"/>
    </row>
    <row r="58" spans="1:36">
      <c r="A58" s="251"/>
      <c r="B58" s="25" t="str">
        <f t="shared" si="15"/>
        <v>Lớp 6</v>
      </c>
      <c r="C58" s="252" t="str">
        <f t="shared" si="16"/>
        <v>Cát</v>
      </c>
      <c r="D58" s="25" t="str">
        <f t="shared" si="17"/>
        <v>R</v>
      </c>
      <c r="E58" s="28">
        <v>30</v>
      </c>
      <c r="F58" s="27">
        <f t="shared" si="18"/>
        <v>3</v>
      </c>
      <c r="G58" s="253">
        <f t="shared" si="5"/>
        <v>22.5</v>
      </c>
      <c r="H58" s="31">
        <f t="shared" si="19"/>
        <v>140.625</v>
      </c>
      <c r="I58" s="254">
        <f t="shared" si="20"/>
        <v>19</v>
      </c>
      <c r="J58" s="255">
        <f t="shared" si="21"/>
        <v>9</v>
      </c>
      <c r="K58" s="255">
        <f t="shared" si="22"/>
        <v>335.41</v>
      </c>
      <c r="L58" s="257">
        <f t="shared" si="23"/>
        <v>0.41926299156256519</v>
      </c>
      <c r="M58" s="257">
        <f t="shared" si="24"/>
        <v>0.92305689007483382</v>
      </c>
      <c r="N58" s="34">
        <f t="shared" si="25"/>
        <v>1</v>
      </c>
      <c r="O58" s="31" t="str">
        <f t="shared" si="26"/>
        <v>-</v>
      </c>
      <c r="P58" s="31">
        <f t="shared" si="27"/>
        <v>706.85834705770276</v>
      </c>
      <c r="Q58" s="31">
        <f t="shared" si="28"/>
        <v>4152.5309895762039</v>
      </c>
      <c r="R58" s="31">
        <f t="shared" si="29"/>
        <v>2650.7188014663866</v>
      </c>
      <c r="S58" s="31">
        <f t="shared" si="30"/>
        <v>6803.24979104259</v>
      </c>
      <c r="T58" s="259"/>
      <c r="U58" s="225"/>
      <c r="V58" s="226"/>
      <c r="W58" s="260"/>
      <c r="Z58" s="260"/>
      <c r="AA58" s="260"/>
      <c r="AE58" s="260"/>
      <c r="AF58" s="260"/>
      <c r="AG58" s="260"/>
      <c r="AH58" s="260"/>
      <c r="AI58" s="260"/>
      <c r="AJ58" s="260"/>
    </row>
    <row r="59" spans="1:36">
      <c r="A59" s="251"/>
      <c r="B59" s="25" t="str">
        <f t="shared" si="15"/>
        <v>Lớp 6</v>
      </c>
      <c r="C59" s="252" t="str">
        <f t="shared" si="16"/>
        <v>Cát</v>
      </c>
      <c r="D59" s="25" t="str">
        <f t="shared" si="17"/>
        <v>R</v>
      </c>
      <c r="E59" s="28">
        <v>33</v>
      </c>
      <c r="F59" s="27">
        <f t="shared" si="18"/>
        <v>3</v>
      </c>
      <c r="G59" s="253">
        <f t="shared" si="5"/>
        <v>20</v>
      </c>
      <c r="H59" s="31">
        <f t="shared" si="19"/>
        <v>125</v>
      </c>
      <c r="I59" s="254">
        <f t="shared" si="20"/>
        <v>19</v>
      </c>
      <c r="J59" s="255">
        <f t="shared" si="21"/>
        <v>9</v>
      </c>
      <c r="K59" s="255">
        <f t="shared" si="22"/>
        <v>362.41</v>
      </c>
      <c r="L59" s="257">
        <f t="shared" si="23"/>
        <v>0.34491321983388978</v>
      </c>
      <c r="M59" s="257">
        <f t="shared" si="24"/>
        <v>1</v>
      </c>
      <c r="N59" s="34">
        <f t="shared" si="25"/>
        <v>1</v>
      </c>
      <c r="O59" s="31" t="str">
        <f t="shared" si="26"/>
        <v>-</v>
      </c>
      <c r="P59" s="31">
        <f t="shared" si="27"/>
        <v>628.31853071795797</v>
      </c>
      <c r="Q59" s="31">
        <f t="shared" si="28"/>
        <v>4780.8495202941622</v>
      </c>
      <c r="R59" s="31">
        <f t="shared" si="29"/>
        <v>2356.1944901923439</v>
      </c>
      <c r="S59" s="31">
        <f t="shared" si="30"/>
        <v>7137.0440104865065</v>
      </c>
      <c r="T59" s="259"/>
      <c r="U59" s="225"/>
      <c r="V59" s="226"/>
      <c r="W59" s="260"/>
      <c r="Z59" s="260"/>
      <c r="AA59" s="260"/>
      <c r="AE59" s="260"/>
      <c r="AF59" s="260"/>
      <c r="AG59" s="260"/>
      <c r="AH59" s="260"/>
      <c r="AI59" s="260"/>
      <c r="AJ59" s="260"/>
    </row>
    <row r="60" spans="1:36">
      <c r="A60" s="251"/>
      <c r="B60" s="25" t="str">
        <f t="shared" si="15"/>
        <v>Lớp 6</v>
      </c>
      <c r="C60" s="252" t="str">
        <f t="shared" si="16"/>
        <v>Cát</v>
      </c>
      <c r="D60" s="25" t="str">
        <f t="shared" si="17"/>
        <v>R</v>
      </c>
      <c r="E60" s="28">
        <v>36</v>
      </c>
      <c r="F60" s="27">
        <f t="shared" si="18"/>
        <v>2.2000000000000002</v>
      </c>
      <c r="G60" s="253">
        <f t="shared" si="5"/>
        <v>28.5</v>
      </c>
      <c r="H60" s="31">
        <f t="shared" si="19"/>
        <v>178.125</v>
      </c>
      <c r="I60" s="254">
        <f t="shared" si="20"/>
        <v>19</v>
      </c>
      <c r="J60" s="255">
        <f t="shared" si="21"/>
        <v>9</v>
      </c>
      <c r="K60" s="255">
        <f t="shared" si="22"/>
        <v>382.21</v>
      </c>
      <c r="L60" s="257">
        <f t="shared" si="23"/>
        <v>0.4660396117317705</v>
      </c>
      <c r="M60" s="257">
        <f t="shared" si="24"/>
        <v>0.87108338740482982</v>
      </c>
      <c r="N60" s="34">
        <f t="shared" si="25"/>
        <v>1</v>
      </c>
      <c r="O60" s="31" t="str">
        <f t="shared" si="26"/>
        <v>-</v>
      </c>
      <c r="P60" s="31">
        <f t="shared" si="27"/>
        <v>656.59286460026613</v>
      </c>
      <c r="Q60" s="31">
        <f t="shared" si="28"/>
        <v>5437.442384894428</v>
      </c>
      <c r="R60" s="31">
        <f t="shared" si="29"/>
        <v>3357.5771485240898</v>
      </c>
      <c r="S60" s="31">
        <f t="shared" si="30"/>
        <v>8795.0195334185173</v>
      </c>
      <c r="T60" s="259"/>
      <c r="U60" s="225"/>
      <c r="V60" s="226"/>
      <c r="W60" s="260"/>
      <c r="Z60" s="260"/>
      <c r="AA60" s="260"/>
      <c r="AE60" s="260"/>
      <c r="AF60" s="260"/>
      <c r="AG60" s="260"/>
      <c r="AH60" s="260"/>
      <c r="AI60" s="260"/>
      <c r="AJ60" s="260"/>
    </row>
    <row r="61" spans="1:36">
      <c r="A61" s="251" t="s">
        <v>289</v>
      </c>
      <c r="B61" s="25" t="str">
        <f t="shared" si="15"/>
        <v>Lớp 7</v>
      </c>
      <c r="C61" s="252" t="str">
        <f t="shared" si="16"/>
        <v>Cuội Sỏi</v>
      </c>
      <c r="D61" s="25" t="str">
        <f t="shared" si="17"/>
        <v>R</v>
      </c>
      <c r="E61" s="28">
        <v>38.200000000000003</v>
      </c>
      <c r="F61" s="27">
        <f t="shared" si="18"/>
        <v>3</v>
      </c>
      <c r="G61" s="253">
        <f t="shared" si="5"/>
        <v>24</v>
      </c>
      <c r="H61" s="31">
        <f t="shared" si="19"/>
        <v>150</v>
      </c>
      <c r="I61" s="254">
        <f t="shared" si="20"/>
        <v>19</v>
      </c>
      <c r="J61" s="255">
        <f t="shared" si="21"/>
        <v>9</v>
      </c>
      <c r="K61" s="255">
        <f t="shared" si="22"/>
        <v>409.21</v>
      </c>
      <c r="L61" s="257">
        <f t="shared" si="23"/>
        <v>0.36655995699029842</v>
      </c>
      <c r="M61" s="257">
        <f t="shared" si="24"/>
        <v>0.98161523178807952</v>
      </c>
      <c r="N61" s="34">
        <f t="shared" si="25"/>
        <v>1</v>
      </c>
      <c r="O61" s="31" t="str">
        <f t="shared" si="26"/>
        <v>-</v>
      </c>
      <c r="P61" s="31">
        <f t="shared" si="27"/>
        <v>753.98223686154961</v>
      </c>
      <c r="Q61" s="31">
        <f t="shared" si="28"/>
        <v>6191.4246217559776</v>
      </c>
      <c r="R61" s="31">
        <f t="shared" si="29"/>
        <v>2827.4333882308124</v>
      </c>
      <c r="S61" s="31">
        <f t="shared" si="30"/>
        <v>9018.8580099867904</v>
      </c>
      <c r="T61" s="259"/>
      <c r="V61" s="224"/>
      <c r="W61" s="260"/>
      <c r="Z61" s="260"/>
      <c r="AA61" s="260"/>
      <c r="AE61" s="260"/>
      <c r="AF61" s="260"/>
      <c r="AG61" s="260"/>
      <c r="AH61" s="260"/>
      <c r="AI61" s="260"/>
      <c r="AJ61" s="260"/>
    </row>
    <row r="62" spans="1:36">
      <c r="A62" s="251"/>
      <c r="B62" s="25" t="str">
        <f t="shared" si="15"/>
        <v>Lớp 7</v>
      </c>
      <c r="C62" s="252" t="str">
        <f t="shared" si="16"/>
        <v>Cuội Sỏi</v>
      </c>
      <c r="D62" s="25" t="str">
        <f t="shared" si="17"/>
        <v>R</v>
      </c>
      <c r="E62" s="28">
        <v>41.2</v>
      </c>
      <c r="F62" s="27">
        <f t="shared" si="18"/>
        <v>2</v>
      </c>
      <c r="G62" s="253">
        <f t="shared" si="5"/>
        <v>50</v>
      </c>
      <c r="H62" s="31">
        <f t="shared" si="19"/>
        <v>312.5</v>
      </c>
      <c r="I62" s="254">
        <f t="shared" si="20"/>
        <v>19</v>
      </c>
      <c r="J62" s="255">
        <f t="shared" si="21"/>
        <v>9</v>
      </c>
      <c r="K62" s="255">
        <f t="shared" si="22"/>
        <v>427.21</v>
      </c>
      <c r="L62" s="257">
        <f t="shared" si="23"/>
        <v>0.73149036773483767</v>
      </c>
      <c r="M62" s="257">
        <f t="shared" si="24"/>
        <v>0.57614105240982194</v>
      </c>
      <c r="N62" s="34">
        <f t="shared" si="25"/>
        <v>1</v>
      </c>
      <c r="O62" s="31" t="str">
        <f t="shared" si="26"/>
        <v>-</v>
      </c>
      <c r="P62" s="31">
        <f t="shared" si="27"/>
        <v>1047.1975511965966</v>
      </c>
      <c r="Q62" s="31">
        <f t="shared" si="28"/>
        <v>7238.6221729525741</v>
      </c>
      <c r="R62" s="31">
        <f t="shared" si="29"/>
        <v>5890.4862254808595</v>
      </c>
      <c r="S62" s="31">
        <f t="shared" si="30"/>
        <v>13129.108398433433</v>
      </c>
      <c r="T62" s="259"/>
      <c r="V62" s="224"/>
      <c r="W62" s="260"/>
      <c r="Z62" s="260"/>
      <c r="AA62" s="260"/>
      <c r="AE62" s="260"/>
      <c r="AF62" s="260"/>
      <c r="AG62" s="260"/>
      <c r="AH62" s="260"/>
      <c r="AI62" s="260"/>
      <c r="AJ62" s="260"/>
    </row>
    <row r="63" spans="1:36">
      <c r="A63" s="251"/>
      <c r="B63" s="25" t="str">
        <f t="shared" si="15"/>
        <v>Lớp 7</v>
      </c>
      <c r="C63" s="252" t="str">
        <f t="shared" si="16"/>
        <v>Cuội Sỏi</v>
      </c>
      <c r="D63" s="25" t="str">
        <f t="shared" si="17"/>
        <v>R</v>
      </c>
      <c r="E63" s="28">
        <v>43.2</v>
      </c>
      <c r="F63" s="27">
        <f t="shared" si="18"/>
        <v>0</v>
      </c>
      <c r="G63" s="253">
        <f t="shared" si="5"/>
        <v>43.5</v>
      </c>
      <c r="H63" s="31">
        <f t="shared" si="19"/>
        <v>271.875</v>
      </c>
      <c r="I63" s="254">
        <f t="shared" si="20"/>
        <v>19</v>
      </c>
      <c r="J63" s="255">
        <f t="shared" si="21"/>
        <v>9</v>
      </c>
      <c r="K63" s="255">
        <f t="shared" si="22"/>
        <v>427.21</v>
      </c>
      <c r="L63" s="257">
        <f t="shared" si="23"/>
        <v>0.63639661992930885</v>
      </c>
      <c r="M63" s="257">
        <f t="shared" si="24"/>
        <v>0.68179971559654495</v>
      </c>
      <c r="N63" s="34">
        <f t="shared" si="25"/>
        <v>1</v>
      </c>
      <c r="O63" s="31" t="str">
        <f t="shared" si="26"/>
        <v>-</v>
      </c>
      <c r="P63" s="31">
        <f t="shared" si="27"/>
        <v>0</v>
      </c>
      <c r="Q63" s="31">
        <f t="shared" si="28"/>
        <v>7238.6221729525741</v>
      </c>
      <c r="R63" s="31">
        <f t="shared" si="29"/>
        <v>5124.7230161683483</v>
      </c>
      <c r="S63" s="31">
        <f t="shared" si="30"/>
        <v>12363.345189120922</v>
      </c>
      <c r="T63" s="259"/>
      <c r="V63" s="224"/>
      <c r="W63" s="260"/>
      <c r="Z63" s="260"/>
      <c r="AA63" s="260"/>
      <c r="AE63" s="260"/>
      <c r="AF63" s="260"/>
      <c r="AG63" s="260"/>
      <c r="AH63" s="260"/>
      <c r="AI63" s="260"/>
      <c r="AJ63" s="260"/>
    </row>
    <row r="64" spans="1:36">
      <c r="A64" s="251"/>
      <c r="B64" s="25"/>
      <c r="C64" s="252"/>
      <c r="D64" s="25"/>
      <c r="E64" s="28">
        <v>43.2</v>
      </c>
      <c r="F64" s="27"/>
      <c r="G64" s="253"/>
      <c r="H64" s="31"/>
      <c r="I64" s="254"/>
      <c r="J64" s="255"/>
      <c r="K64" s="255"/>
      <c r="L64" s="257"/>
      <c r="M64" s="257"/>
      <c r="N64" s="34"/>
      <c r="O64" s="31"/>
      <c r="P64" s="31"/>
      <c r="Q64" s="31"/>
      <c r="R64" s="31"/>
      <c r="S64" s="31"/>
      <c r="T64" s="259"/>
      <c r="V64" s="224"/>
      <c r="W64" s="260"/>
      <c r="Z64" s="260"/>
      <c r="AA64" s="260"/>
      <c r="AE64" s="260"/>
      <c r="AF64" s="260"/>
      <c r="AG64" s="260"/>
      <c r="AH64" s="260"/>
      <c r="AI64" s="260"/>
      <c r="AJ64" s="260"/>
    </row>
    <row r="65" spans="1:36">
      <c r="A65" s="251"/>
      <c r="B65" s="25"/>
      <c r="C65" s="252"/>
      <c r="D65" s="25"/>
      <c r="E65" s="28"/>
      <c r="F65" s="27"/>
      <c r="G65" s="253"/>
      <c r="H65" s="31"/>
      <c r="I65" s="254"/>
      <c r="J65" s="255"/>
      <c r="K65" s="255"/>
      <c r="L65" s="257"/>
      <c r="M65" s="257"/>
      <c r="N65" s="34"/>
      <c r="O65" s="31"/>
      <c r="P65" s="31"/>
      <c r="Q65" s="31"/>
      <c r="R65" s="31"/>
      <c r="S65" s="31"/>
      <c r="T65" s="259"/>
      <c r="V65" s="224"/>
      <c r="W65" s="260"/>
      <c r="Z65" s="260"/>
      <c r="AA65" s="260"/>
      <c r="AE65" s="260"/>
      <c r="AF65" s="260"/>
      <c r="AG65" s="260"/>
      <c r="AH65" s="260"/>
      <c r="AI65" s="260"/>
      <c r="AJ65" s="260"/>
    </row>
    <row r="66" spans="1:36">
      <c r="A66" s="251"/>
      <c r="B66" s="25"/>
      <c r="C66" s="252"/>
      <c r="D66" s="25"/>
      <c r="E66" s="28"/>
      <c r="F66" s="27"/>
      <c r="G66" s="253"/>
      <c r="H66" s="31"/>
      <c r="I66" s="254"/>
      <c r="J66" s="255"/>
      <c r="K66" s="255"/>
      <c r="L66" s="257"/>
      <c r="M66" s="257"/>
      <c r="N66" s="34"/>
      <c r="O66" s="31"/>
      <c r="P66" s="31"/>
      <c r="Q66" s="31"/>
      <c r="R66" s="31"/>
      <c r="S66" s="31"/>
      <c r="T66" s="259"/>
      <c r="V66" s="224"/>
      <c r="W66" s="260"/>
      <c r="Z66" s="260"/>
      <c r="AA66" s="260"/>
      <c r="AE66" s="260"/>
      <c r="AF66" s="260"/>
      <c r="AG66" s="260"/>
      <c r="AH66" s="260"/>
      <c r="AI66" s="260"/>
      <c r="AJ66" s="260"/>
    </row>
    <row r="67" spans="1:36">
      <c r="A67" s="251"/>
      <c r="B67" s="25"/>
      <c r="C67" s="252"/>
      <c r="D67" s="25"/>
      <c r="E67" s="28"/>
      <c r="F67" s="27"/>
      <c r="G67" s="253"/>
      <c r="H67" s="31"/>
      <c r="I67" s="254"/>
      <c r="J67" s="255"/>
      <c r="K67" s="255"/>
      <c r="L67" s="257"/>
      <c r="M67" s="257"/>
      <c r="N67" s="34"/>
      <c r="O67" s="31"/>
      <c r="P67" s="31"/>
      <c r="Q67" s="31"/>
      <c r="R67" s="31"/>
      <c r="S67" s="31"/>
      <c r="T67" s="259"/>
      <c r="V67" s="224"/>
      <c r="W67" s="260"/>
      <c r="Z67" s="260"/>
      <c r="AA67" s="260"/>
      <c r="AE67" s="260"/>
      <c r="AF67" s="260"/>
      <c r="AG67" s="260"/>
      <c r="AH67" s="260"/>
      <c r="AI67" s="260"/>
      <c r="AJ67" s="260"/>
    </row>
    <row r="68" spans="1:36">
      <c r="A68" s="251"/>
      <c r="B68" s="25"/>
      <c r="C68" s="252"/>
      <c r="D68" s="25"/>
      <c r="E68" s="28"/>
      <c r="F68" s="27"/>
      <c r="G68" s="253"/>
      <c r="H68" s="31"/>
      <c r="I68" s="254"/>
      <c r="J68" s="255"/>
      <c r="K68" s="255"/>
      <c r="L68" s="257"/>
      <c r="M68" s="257"/>
      <c r="N68" s="34"/>
      <c r="O68" s="31"/>
      <c r="P68" s="31"/>
      <c r="Q68" s="31"/>
      <c r="R68" s="31"/>
      <c r="S68" s="31"/>
      <c r="T68" s="259"/>
      <c r="V68" s="224"/>
      <c r="W68" s="260"/>
      <c r="Z68" s="260"/>
      <c r="AA68" s="260"/>
      <c r="AE68" s="260"/>
      <c r="AF68" s="260"/>
      <c r="AG68" s="260"/>
      <c r="AH68" s="260"/>
      <c r="AI68" s="260"/>
      <c r="AJ68" s="260"/>
    </row>
    <row r="69" spans="1:36">
      <c r="A69" s="251"/>
      <c r="B69" s="25"/>
      <c r="C69" s="252"/>
      <c r="D69" s="25"/>
      <c r="E69" s="28"/>
      <c r="F69" s="27"/>
      <c r="G69" s="253"/>
      <c r="H69" s="31"/>
      <c r="I69" s="254"/>
      <c r="J69" s="255"/>
      <c r="K69" s="255"/>
      <c r="L69" s="257"/>
      <c r="M69" s="257"/>
      <c r="N69" s="34"/>
      <c r="O69" s="31"/>
      <c r="P69" s="31"/>
      <c r="Q69" s="31"/>
      <c r="R69" s="31"/>
      <c r="S69" s="31"/>
      <c r="T69" s="259"/>
      <c r="V69" s="224"/>
      <c r="W69" s="260"/>
      <c r="Z69" s="260"/>
      <c r="AA69" s="260"/>
      <c r="AE69" s="260"/>
      <c r="AF69" s="260"/>
      <c r="AG69" s="260"/>
      <c r="AH69" s="260"/>
      <c r="AI69" s="260"/>
      <c r="AJ69" s="260"/>
    </row>
    <row r="70" spans="1:36">
      <c r="A70" s="251"/>
      <c r="B70" s="25"/>
      <c r="C70" s="252"/>
      <c r="D70" s="25"/>
      <c r="E70" s="28"/>
      <c r="F70" s="27"/>
      <c r="G70" s="253"/>
      <c r="H70" s="31"/>
      <c r="I70" s="254"/>
      <c r="J70" s="255"/>
      <c r="K70" s="255"/>
      <c r="L70" s="257"/>
      <c r="M70" s="257"/>
      <c r="N70" s="34"/>
      <c r="O70" s="31"/>
      <c r="P70" s="31"/>
      <c r="Q70" s="31"/>
      <c r="R70" s="31"/>
      <c r="S70" s="31"/>
      <c r="T70" s="259"/>
      <c r="V70" s="224"/>
      <c r="W70" s="260"/>
      <c r="Z70" s="260"/>
      <c r="AA70" s="260"/>
      <c r="AE70" s="260"/>
      <c r="AF70" s="260"/>
      <c r="AG70" s="260"/>
      <c r="AH70" s="260"/>
      <c r="AI70" s="260"/>
      <c r="AJ70" s="260"/>
    </row>
    <row r="71" spans="1:36">
      <c r="A71" s="251"/>
      <c r="B71" s="25"/>
      <c r="C71" s="252"/>
      <c r="D71" s="25"/>
      <c r="E71" s="28"/>
      <c r="F71" s="27"/>
      <c r="G71" s="253"/>
      <c r="H71" s="31"/>
      <c r="I71" s="254"/>
      <c r="J71" s="255"/>
      <c r="K71" s="255"/>
      <c r="L71" s="257"/>
      <c r="M71" s="257"/>
      <c r="N71" s="34"/>
      <c r="O71" s="31"/>
      <c r="P71" s="31"/>
      <c r="Q71" s="31"/>
      <c r="R71" s="31"/>
      <c r="S71" s="31"/>
      <c r="T71" s="259"/>
      <c r="V71" s="224"/>
      <c r="W71" s="260"/>
      <c r="Z71" s="260"/>
      <c r="AA71" s="260"/>
      <c r="AE71" s="260"/>
      <c r="AF71" s="260"/>
      <c r="AG71" s="260"/>
      <c r="AH71" s="260"/>
      <c r="AI71" s="260"/>
      <c r="AJ71" s="260"/>
    </row>
    <row r="72" spans="1:36">
      <c r="A72" s="251"/>
      <c r="B72" s="25"/>
      <c r="C72" s="252"/>
      <c r="D72" s="25"/>
      <c r="E72" s="33"/>
      <c r="F72" s="27"/>
      <c r="G72" s="253"/>
      <c r="H72" s="31"/>
      <c r="I72" s="254"/>
      <c r="J72" s="255"/>
      <c r="K72" s="255"/>
      <c r="L72" s="257"/>
      <c r="M72" s="257"/>
      <c r="N72" s="34"/>
      <c r="O72" s="31"/>
      <c r="P72" s="31"/>
      <c r="Q72" s="31"/>
      <c r="R72" s="31"/>
      <c r="S72" s="31"/>
      <c r="V72" s="224"/>
      <c r="W72" s="260"/>
      <c r="Z72" s="260"/>
      <c r="AA72" s="260"/>
      <c r="AE72" s="260"/>
      <c r="AF72" s="260"/>
      <c r="AG72" s="260"/>
      <c r="AH72" s="260"/>
      <c r="AI72" s="260"/>
      <c r="AJ72" s="260"/>
    </row>
    <row r="73" spans="1:36">
      <c r="A73" s="251"/>
      <c r="B73" s="25"/>
      <c r="C73" s="252"/>
      <c r="D73" s="25"/>
      <c r="E73" s="33"/>
      <c r="F73" s="27"/>
      <c r="G73" s="253"/>
      <c r="H73" s="31"/>
      <c r="I73" s="254"/>
      <c r="J73" s="255"/>
      <c r="K73" s="255"/>
      <c r="L73" s="257"/>
      <c r="M73" s="257"/>
      <c r="N73" s="34"/>
      <c r="O73" s="31"/>
      <c r="P73" s="31"/>
      <c r="Q73" s="31"/>
      <c r="R73" s="31"/>
      <c r="S73" s="31"/>
      <c r="V73" s="224"/>
      <c r="W73" s="260"/>
      <c r="Z73" s="260"/>
      <c r="AA73" s="260"/>
      <c r="AE73" s="260"/>
      <c r="AF73" s="260"/>
      <c r="AG73" s="260"/>
      <c r="AH73" s="260"/>
      <c r="AI73" s="260"/>
      <c r="AJ73" s="260"/>
    </row>
    <row r="74" spans="1:36">
      <c r="A74" s="251"/>
      <c r="B74" s="25"/>
      <c r="C74" s="252"/>
      <c r="D74" s="25"/>
      <c r="E74" s="33"/>
      <c r="F74" s="27"/>
      <c r="G74" s="253"/>
      <c r="H74" s="31"/>
      <c r="I74" s="254"/>
      <c r="J74" s="255"/>
      <c r="K74" s="255"/>
      <c r="L74" s="257"/>
      <c r="M74" s="257"/>
      <c r="N74" s="34"/>
      <c r="O74" s="31"/>
      <c r="P74" s="31"/>
      <c r="Q74" s="31"/>
      <c r="R74" s="31"/>
      <c r="S74" s="31"/>
      <c r="V74" s="224"/>
      <c r="W74" s="260"/>
      <c r="Z74" s="260"/>
      <c r="AA74" s="260"/>
      <c r="AE74" s="260"/>
      <c r="AF74" s="260"/>
      <c r="AG74" s="260"/>
      <c r="AH74" s="260"/>
      <c r="AI74" s="260"/>
      <c r="AJ74" s="260"/>
    </row>
    <row r="75" spans="1:36">
      <c r="A75" s="251"/>
      <c r="B75" s="25"/>
      <c r="C75" s="252"/>
      <c r="D75" s="25"/>
      <c r="E75" s="33"/>
      <c r="F75" s="27"/>
      <c r="G75" s="253"/>
      <c r="H75" s="31"/>
      <c r="I75" s="254"/>
      <c r="J75" s="255"/>
      <c r="K75" s="255"/>
      <c r="L75" s="257"/>
      <c r="M75" s="257"/>
      <c r="N75" s="34"/>
      <c r="O75" s="31"/>
      <c r="P75" s="31"/>
      <c r="Q75" s="31"/>
      <c r="R75" s="31"/>
      <c r="S75" s="31"/>
      <c r="V75" s="224"/>
      <c r="W75" s="260"/>
      <c r="Z75" s="260"/>
      <c r="AA75" s="260"/>
      <c r="AE75" s="260"/>
      <c r="AF75" s="260"/>
      <c r="AG75" s="260"/>
      <c r="AH75" s="260"/>
      <c r="AI75" s="260"/>
      <c r="AJ75" s="260"/>
    </row>
    <row r="76" spans="1:36">
      <c r="A76" s="251"/>
      <c r="B76" s="25"/>
      <c r="C76" s="252"/>
      <c r="D76" s="25"/>
      <c r="E76" s="33"/>
      <c r="F76" s="27"/>
      <c r="G76" s="253"/>
      <c r="H76" s="31"/>
      <c r="I76" s="254"/>
      <c r="J76" s="255"/>
      <c r="K76" s="255"/>
      <c r="L76" s="257"/>
      <c r="M76" s="257"/>
      <c r="N76" s="34"/>
      <c r="O76" s="31"/>
      <c r="P76" s="31"/>
      <c r="Q76" s="31"/>
      <c r="R76" s="31"/>
      <c r="S76" s="31"/>
      <c r="V76" s="224"/>
      <c r="W76" s="260"/>
      <c r="Z76" s="260"/>
      <c r="AA76" s="260"/>
      <c r="AE76" s="260"/>
      <c r="AF76" s="260"/>
      <c r="AG76" s="260"/>
      <c r="AH76" s="260"/>
      <c r="AI76" s="260"/>
      <c r="AJ76" s="260"/>
    </row>
    <row r="77" spans="1:36">
      <c r="A77" s="251"/>
      <c r="B77" s="25"/>
      <c r="C77" s="252"/>
      <c r="D77" s="25"/>
      <c r="E77" s="33"/>
      <c r="F77" s="27"/>
      <c r="G77" s="253"/>
      <c r="H77" s="31"/>
      <c r="I77" s="254"/>
      <c r="J77" s="255"/>
      <c r="K77" s="255"/>
      <c r="L77" s="257"/>
      <c r="M77" s="257"/>
      <c r="N77" s="34"/>
      <c r="O77" s="31"/>
      <c r="P77" s="31"/>
      <c r="Q77" s="31"/>
      <c r="R77" s="31"/>
      <c r="S77" s="31"/>
      <c r="V77" s="224"/>
      <c r="W77" s="260"/>
      <c r="Z77" s="260"/>
      <c r="AA77" s="260"/>
      <c r="AE77" s="260"/>
      <c r="AF77" s="260"/>
      <c r="AG77" s="260"/>
      <c r="AH77" s="260"/>
      <c r="AI77" s="260"/>
      <c r="AJ77" s="260"/>
    </row>
    <row r="78" spans="1:36">
      <c r="A78" s="251"/>
      <c r="B78" s="25"/>
      <c r="C78" s="252"/>
      <c r="D78" s="25"/>
      <c r="E78" s="33"/>
      <c r="F78" s="27"/>
      <c r="G78" s="253"/>
      <c r="H78" s="31"/>
      <c r="I78" s="254"/>
      <c r="J78" s="255"/>
      <c r="K78" s="255"/>
      <c r="L78" s="257"/>
      <c r="M78" s="257"/>
      <c r="N78" s="34"/>
      <c r="O78" s="31"/>
      <c r="P78" s="31"/>
      <c r="Q78" s="31"/>
      <c r="R78" s="31"/>
      <c r="S78" s="31"/>
      <c r="V78" s="224"/>
      <c r="W78" s="260"/>
      <c r="Z78" s="260"/>
      <c r="AA78" s="260"/>
      <c r="AE78" s="260"/>
      <c r="AF78" s="260"/>
      <c r="AG78" s="260"/>
      <c r="AH78" s="260"/>
      <c r="AI78" s="260"/>
      <c r="AJ78" s="260"/>
    </row>
    <row r="79" spans="1:36">
      <c r="A79" s="251"/>
      <c r="B79" s="25"/>
      <c r="C79" s="252"/>
      <c r="D79" s="25"/>
      <c r="E79" s="33"/>
      <c r="F79" s="27"/>
      <c r="G79" s="253"/>
      <c r="H79" s="31"/>
      <c r="I79" s="254"/>
      <c r="J79" s="255"/>
      <c r="K79" s="255"/>
      <c r="L79" s="257"/>
      <c r="M79" s="257"/>
      <c r="N79" s="34"/>
      <c r="O79" s="31"/>
      <c r="P79" s="31"/>
      <c r="Q79" s="31"/>
      <c r="R79" s="31"/>
      <c r="S79" s="31"/>
      <c r="V79" s="224"/>
      <c r="W79" s="260"/>
      <c r="Z79" s="260"/>
      <c r="AA79" s="260"/>
      <c r="AE79" s="260"/>
      <c r="AF79" s="260"/>
      <c r="AG79" s="260"/>
      <c r="AH79" s="260"/>
      <c r="AI79" s="260"/>
      <c r="AJ79" s="260"/>
    </row>
    <row r="80" spans="1:36" hidden="1">
      <c r="A80" s="251"/>
      <c r="B80" s="25"/>
      <c r="C80" s="252"/>
      <c r="D80" s="25"/>
      <c r="E80" s="33"/>
      <c r="F80" s="27"/>
      <c r="G80" s="253"/>
      <c r="H80" s="31"/>
      <c r="I80" s="254"/>
      <c r="J80" s="255"/>
      <c r="K80" s="255"/>
      <c r="L80" s="257"/>
      <c r="M80" s="257"/>
      <c r="N80" s="34"/>
      <c r="O80" s="31"/>
      <c r="P80" s="31"/>
      <c r="Q80" s="31"/>
      <c r="R80" s="31"/>
      <c r="S80" s="31"/>
      <c r="V80" s="224"/>
      <c r="W80" s="260"/>
      <c r="Z80" s="260"/>
      <c r="AA80" s="260"/>
      <c r="AE80" s="260"/>
      <c r="AF80" s="260"/>
      <c r="AG80" s="260"/>
      <c r="AH80" s="260"/>
      <c r="AI80" s="260"/>
      <c r="AJ80" s="260"/>
    </row>
    <row r="81" spans="1:36" hidden="1">
      <c r="A81" s="251"/>
      <c r="B81" s="25"/>
      <c r="C81" s="252"/>
      <c r="D81" s="25"/>
      <c r="E81" s="33"/>
      <c r="F81" s="27"/>
      <c r="G81" s="253"/>
      <c r="H81" s="31"/>
      <c r="I81" s="254"/>
      <c r="J81" s="255"/>
      <c r="K81" s="255"/>
      <c r="L81" s="257"/>
      <c r="M81" s="257"/>
      <c r="N81" s="34"/>
      <c r="O81" s="31"/>
      <c r="P81" s="31"/>
      <c r="Q81" s="31"/>
      <c r="R81" s="31"/>
      <c r="S81" s="31"/>
      <c r="V81" s="224"/>
      <c r="W81" s="260"/>
      <c r="Z81" s="260"/>
      <c r="AA81" s="260"/>
      <c r="AE81" s="260"/>
      <c r="AF81" s="260"/>
      <c r="AG81" s="260"/>
      <c r="AH81" s="260"/>
      <c r="AI81" s="260"/>
      <c r="AJ81" s="260"/>
    </row>
    <row r="82" spans="1:36" hidden="1">
      <c r="A82" s="251"/>
      <c r="B82" s="25"/>
      <c r="C82" s="252"/>
      <c r="D82" s="25"/>
      <c r="E82" s="33"/>
      <c r="F82" s="27"/>
      <c r="G82" s="253"/>
      <c r="H82" s="31"/>
      <c r="I82" s="254"/>
      <c r="J82" s="255"/>
      <c r="K82" s="255"/>
      <c r="L82" s="257"/>
      <c r="M82" s="257"/>
      <c r="N82" s="34"/>
      <c r="O82" s="31"/>
      <c r="P82" s="31"/>
      <c r="Q82" s="31"/>
      <c r="R82" s="31"/>
      <c r="S82" s="31"/>
      <c r="V82" s="224"/>
      <c r="W82" s="260"/>
      <c r="Z82" s="260"/>
      <c r="AA82" s="260"/>
      <c r="AE82" s="260"/>
      <c r="AF82" s="260"/>
      <c r="AG82" s="260"/>
      <c r="AH82" s="260"/>
      <c r="AI82" s="260"/>
      <c r="AJ82" s="260"/>
    </row>
    <row r="83" spans="1:36" hidden="1">
      <c r="A83" s="251"/>
      <c r="B83" s="25"/>
      <c r="C83" s="252"/>
      <c r="D83" s="25"/>
      <c r="E83" s="33"/>
      <c r="F83" s="27"/>
      <c r="G83" s="253"/>
      <c r="H83" s="31"/>
      <c r="I83" s="254"/>
      <c r="J83" s="255"/>
      <c r="K83" s="255"/>
      <c r="L83" s="257"/>
      <c r="M83" s="257"/>
      <c r="N83" s="34"/>
      <c r="O83" s="31"/>
      <c r="P83" s="31"/>
      <c r="Q83" s="31"/>
      <c r="R83" s="31"/>
      <c r="S83" s="31"/>
      <c r="V83" s="224"/>
      <c r="W83" s="260"/>
      <c r="Z83" s="260"/>
      <c r="AA83" s="260"/>
      <c r="AE83" s="260"/>
      <c r="AF83" s="260"/>
      <c r="AG83" s="260"/>
      <c r="AH83" s="260"/>
      <c r="AI83" s="260"/>
      <c r="AJ83" s="260"/>
    </row>
    <row r="84" spans="1:36" hidden="1">
      <c r="A84" s="251"/>
      <c r="B84" s="25"/>
      <c r="C84" s="252"/>
      <c r="D84" s="25"/>
      <c r="E84" s="33"/>
      <c r="F84" s="27"/>
      <c r="G84" s="253"/>
      <c r="H84" s="31"/>
      <c r="I84" s="254"/>
      <c r="J84" s="255"/>
      <c r="K84" s="255"/>
      <c r="L84" s="257"/>
      <c r="M84" s="257"/>
      <c r="N84" s="34"/>
      <c r="O84" s="31"/>
      <c r="P84" s="31"/>
      <c r="Q84" s="31"/>
      <c r="R84" s="31"/>
      <c r="S84" s="31"/>
      <c r="V84" s="224"/>
      <c r="W84" s="260"/>
      <c r="Z84" s="260"/>
      <c r="AA84" s="260"/>
      <c r="AE84" s="260"/>
      <c r="AF84" s="260"/>
      <c r="AG84" s="260"/>
      <c r="AH84" s="260"/>
      <c r="AI84" s="260"/>
      <c r="AJ84" s="260"/>
    </row>
    <row r="85" spans="1:36" hidden="1">
      <c r="A85" s="251"/>
      <c r="B85" s="25"/>
      <c r="C85" s="252"/>
      <c r="D85" s="25"/>
      <c r="E85" s="33"/>
      <c r="F85" s="27"/>
      <c r="G85" s="253"/>
      <c r="H85" s="31"/>
      <c r="I85" s="254"/>
      <c r="J85" s="255"/>
      <c r="K85" s="255"/>
      <c r="L85" s="257"/>
      <c r="M85" s="257"/>
      <c r="N85" s="34"/>
      <c r="O85" s="31"/>
      <c r="P85" s="31"/>
      <c r="Q85" s="31"/>
      <c r="R85" s="31"/>
      <c r="S85" s="31"/>
      <c r="V85" s="224"/>
      <c r="W85" s="260"/>
      <c r="Z85" s="260"/>
      <c r="AA85" s="260"/>
      <c r="AE85" s="260"/>
      <c r="AF85" s="260"/>
      <c r="AG85" s="260"/>
      <c r="AH85" s="260"/>
      <c r="AI85" s="260"/>
      <c r="AJ85" s="260"/>
    </row>
    <row r="86" spans="1:36" hidden="1">
      <c r="A86" s="251"/>
      <c r="B86" s="25"/>
      <c r="C86" s="252"/>
      <c r="D86" s="25"/>
      <c r="E86" s="33"/>
      <c r="F86" s="27"/>
      <c r="G86" s="253"/>
      <c r="H86" s="31"/>
      <c r="I86" s="254"/>
      <c r="J86" s="255"/>
      <c r="K86" s="255"/>
      <c r="L86" s="257"/>
      <c r="M86" s="257"/>
      <c r="N86" s="34"/>
      <c r="O86" s="31"/>
      <c r="P86" s="31"/>
      <c r="Q86" s="31"/>
      <c r="R86" s="31"/>
      <c r="S86" s="31"/>
      <c r="V86" s="224"/>
      <c r="W86" s="260"/>
      <c r="Z86" s="260"/>
      <c r="AA86" s="260"/>
      <c r="AE86" s="260"/>
      <c r="AF86" s="260"/>
      <c r="AG86" s="260"/>
      <c r="AH86" s="260"/>
      <c r="AI86" s="260"/>
      <c r="AJ86" s="260"/>
    </row>
    <row r="87" spans="1:36" hidden="1">
      <c r="A87" s="251"/>
      <c r="B87" s="25"/>
      <c r="C87" s="252"/>
      <c r="D87" s="25"/>
      <c r="E87" s="33"/>
      <c r="F87" s="27"/>
      <c r="G87" s="253"/>
      <c r="H87" s="31"/>
      <c r="I87" s="254"/>
      <c r="J87" s="255"/>
      <c r="K87" s="255"/>
      <c r="L87" s="257"/>
      <c r="M87" s="257"/>
      <c r="N87" s="34"/>
      <c r="O87" s="31"/>
      <c r="P87" s="31"/>
      <c r="Q87" s="31"/>
      <c r="R87" s="31"/>
      <c r="S87" s="31"/>
      <c r="V87" s="224"/>
      <c r="W87" s="260"/>
      <c r="Z87" s="260"/>
      <c r="AA87" s="260"/>
      <c r="AE87" s="260"/>
      <c r="AF87" s="260"/>
      <c r="AG87" s="260"/>
      <c r="AH87" s="260"/>
      <c r="AI87" s="260"/>
      <c r="AJ87" s="260"/>
    </row>
    <row r="88" spans="1:36" hidden="1">
      <c r="A88" s="251"/>
      <c r="B88" s="25"/>
      <c r="C88" s="252"/>
      <c r="D88" s="25"/>
      <c r="E88" s="33"/>
      <c r="F88" s="27"/>
      <c r="G88" s="253"/>
      <c r="H88" s="31"/>
      <c r="I88" s="254"/>
      <c r="J88" s="255"/>
      <c r="K88" s="255"/>
      <c r="L88" s="257"/>
      <c r="M88" s="257"/>
      <c r="N88" s="34"/>
      <c r="O88" s="31"/>
      <c r="P88" s="31"/>
      <c r="Q88" s="31"/>
      <c r="R88" s="31"/>
      <c r="S88" s="31"/>
      <c r="V88" s="224"/>
      <c r="W88" s="260"/>
      <c r="Z88" s="260"/>
      <c r="AA88" s="260"/>
      <c r="AE88" s="260"/>
      <c r="AF88" s="260"/>
      <c r="AG88" s="260"/>
      <c r="AH88" s="260"/>
      <c r="AI88" s="260"/>
      <c r="AJ88" s="260"/>
    </row>
    <row r="89" spans="1:36" hidden="1">
      <c r="A89" s="251"/>
      <c r="B89" s="25"/>
      <c r="C89" s="252"/>
      <c r="D89" s="25"/>
      <c r="E89" s="33"/>
      <c r="F89" s="27"/>
      <c r="G89" s="253"/>
      <c r="H89" s="31"/>
      <c r="I89" s="254"/>
      <c r="J89" s="255"/>
      <c r="K89" s="255"/>
      <c r="L89" s="257"/>
      <c r="M89" s="257"/>
      <c r="N89" s="34"/>
      <c r="O89" s="31"/>
      <c r="P89" s="31"/>
      <c r="Q89" s="31"/>
      <c r="R89" s="31"/>
      <c r="S89" s="31"/>
      <c r="V89" s="224"/>
      <c r="W89" s="260"/>
      <c r="Z89" s="260"/>
      <c r="AA89" s="260"/>
      <c r="AE89" s="260"/>
      <c r="AF89" s="260"/>
      <c r="AG89" s="260"/>
      <c r="AH89" s="260"/>
      <c r="AI89" s="260"/>
      <c r="AJ89" s="260"/>
    </row>
    <row r="90" spans="1:36" hidden="1">
      <c r="A90" s="251"/>
      <c r="B90" s="25"/>
      <c r="C90" s="252"/>
      <c r="D90" s="25"/>
      <c r="E90" s="33"/>
      <c r="F90" s="27"/>
      <c r="G90" s="253"/>
      <c r="H90" s="31"/>
      <c r="I90" s="254"/>
      <c r="J90" s="255"/>
      <c r="K90" s="255"/>
      <c r="L90" s="257"/>
      <c r="M90" s="257"/>
      <c r="N90" s="34"/>
      <c r="O90" s="31"/>
      <c r="P90" s="31"/>
      <c r="Q90" s="31"/>
      <c r="R90" s="31"/>
      <c r="S90" s="31"/>
      <c r="V90" s="224"/>
      <c r="W90" s="260"/>
      <c r="Z90" s="260"/>
      <c r="AA90" s="260"/>
      <c r="AE90" s="260"/>
      <c r="AF90" s="260"/>
      <c r="AG90" s="260"/>
      <c r="AH90" s="260"/>
      <c r="AI90" s="260"/>
      <c r="AJ90" s="260"/>
    </row>
    <row r="91" spans="1:36" hidden="1">
      <c r="A91" s="251"/>
      <c r="B91" s="25"/>
      <c r="C91" s="252"/>
      <c r="D91" s="25"/>
      <c r="E91" s="33"/>
      <c r="F91" s="27"/>
      <c r="G91" s="253"/>
      <c r="H91" s="31"/>
      <c r="I91" s="254"/>
      <c r="J91" s="255"/>
      <c r="K91" s="255"/>
      <c r="L91" s="257"/>
      <c r="M91" s="257"/>
      <c r="N91" s="34"/>
      <c r="O91" s="31"/>
      <c r="P91" s="31"/>
      <c r="Q91" s="31"/>
      <c r="R91" s="31"/>
      <c r="S91" s="31"/>
      <c r="V91" s="224"/>
      <c r="W91" s="260"/>
      <c r="Z91" s="260"/>
      <c r="AA91" s="260"/>
      <c r="AE91" s="260"/>
      <c r="AF91" s="260"/>
      <c r="AG91" s="260"/>
      <c r="AH91" s="260"/>
      <c r="AI91" s="260"/>
      <c r="AJ91" s="260"/>
    </row>
    <row r="92" spans="1:36" hidden="1">
      <c r="A92" s="251"/>
      <c r="B92" s="25"/>
      <c r="C92" s="252"/>
      <c r="D92" s="25"/>
      <c r="E92" s="33"/>
      <c r="F92" s="27"/>
      <c r="G92" s="253"/>
      <c r="H92" s="31"/>
      <c r="I92" s="254"/>
      <c r="J92" s="255"/>
      <c r="K92" s="255"/>
      <c r="L92" s="257"/>
      <c r="M92" s="257"/>
      <c r="N92" s="34"/>
      <c r="O92" s="31"/>
      <c r="P92" s="31"/>
      <c r="Q92" s="31"/>
      <c r="R92" s="31"/>
      <c r="S92" s="31"/>
      <c r="V92" s="224"/>
      <c r="W92" s="260"/>
      <c r="Z92" s="260"/>
      <c r="AA92" s="260"/>
      <c r="AE92" s="260"/>
      <c r="AF92" s="260"/>
      <c r="AG92" s="260"/>
      <c r="AH92" s="260"/>
      <c r="AI92" s="260"/>
      <c r="AJ92" s="260"/>
    </row>
    <row r="93" spans="1:36" hidden="1">
      <c r="A93" s="251"/>
      <c r="B93" s="25"/>
      <c r="C93" s="252"/>
      <c r="D93" s="25"/>
      <c r="E93" s="33"/>
      <c r="F93" s="27"/>
      <c r="G93" s="253"/>
      <c r="H93" s="31"/>
      <c r="I93" s="254"/>
      <c r="J93" s="255"/>
      <c r="K93" s="255"/>
      <c r="L93" s="257"/>
      <c r="M93" s="257"/>
      <c r="N93" s="34"/>
      <c r="O93" s="31"/>
      <c r="P93" s="31"/>
      <c r="Q93" s="31"/>
      <c r="R93" s="31"/>
      <c r="S93" s="31"/>
      <c r="V93" s="224"/>
      <c r="W93" s="260"/>
      <c r="Z93" s="260"/>
      <c r="AA93" s="260"/>
      <c r="AE93" s="260"/>
      <c r="AF93" s="260"/>
      <c r="AG93" s="260"/>
      <c r="AH93" s="260"/>
      <c r="AI93" s="260"/>
      <c r="AJ93" s="260"/>
    </row>
    <row r="94" spans="1:36" hidden="1">
      <c r="A94" s="251"/>
      <c r="B94" s="25"/>
      <c r="C94" s="252"/>
      <c r="D94" s="25"/>
      <c r="E94" s="33"/>
      <c r="F94" s="27"/>
      <c r="G94" s="253"/>
      <c r="H94" s="31"/>
      <c r="I94" s="254"/>
      <c r="J94" s="255"/>
      <c r="K94" s="255"/>
      <c r="L94" s="257"/>
      <c r="M94" s="257"/>
      <c r="N94" s="34"/>
      <c r="O94" s="31"/>
      <c r="P94" s="31"/>
      <c r="Q94" s="31"/>
      <c r="R94" s="31"/>
      <c r="S94" s="31"/>
      <c r="V94" s="224"/>
      <c r="W94" s="260"/>
      <c r="Z94" s="260"/>
      <c r="AA94" s="260"/>
      <c r="AE94" s="260"/>
      <c r="AF94" s="260"/>
      <c r="AG94" s="260"/>
      <c r="AH94" s="260"/>
      <c r="AI94" s="260"/>
      <c r="AJ94" s="260"/>
    </row>
    <row r="95" spans="1:36" hidden="1">
      <c r="A95" s="251"/>
      <c r="B95" s="25"/>
      <c r="C95" s="252"/>
      <c r="D95" s="25"/>
      <c r="E95" s="33"/>
      <c r="F95" s="27"/>
      <c r="G95" s="253"/>
      <c r="H95" s="31"/>
      <c r="I95" s="254"/>
      <c r="J95" s="255"/>
      <c r="K95" s="255"/>
      <c r="L95" s="257"/>
      <c r="M95" s="257"/>
      <c r="N95" s="34"/>
      <c r="O95" s="31"/>
      <c r="P95" s="31"/>
      <c r="Q95" s="31"/>
      <c r="R95" s="31"/>
      <c r="S95" s="31"/>
      <c r="V95" s="224"/>
      <c r="W95" s="260"/>
      <c r="Z95" s="260"/>
      <c r="AA95" s="260"/>
      <c r="AE95" s="260"/>
      <c r="AF95" s="260"/>
      <c r="AG95" s="260"/>
      <c r="AH95" s="260"/>
      <c r="AI95" s="260"/>
      <c r="AJ95" s="260"/>
    </row>
    <row r="96" spans="1:36" hidden="1">
      <c r="A96" s="251"/>
      <c r="B96" s="25"/>
      <c r="C96" s="252"/>
      <c r="D96" s="25"/>
      <c r="E96" s="33"/>
      <c r="F96" s="27"/>
      <c r="G96" s="253"/>
      <c r="H96" s="31"/>
      <c r="I96" s="254"/>
      <c r="J96" s="255"/>
      <c r="K96" s="255"/>
      <c r="L96" s="257"/>
      <c r="M96" s="257"/>
      <c r="N96" s="34"/>
      <c r="O96" s="31"/>
      <c r="P96" s="31"/>
      <c r="Q96" s="31"/>
      <c r="R96" s="31"/>
      <c r="S96" s="31"/>
      <c r="V96" s="224"/>
      <c r="W96" s="260"/>
      <c r="Z96" s="260"/>
      <c r="AA96" s="260"/>
      <c r="AE96" s="260"/>
      <c r="AF96" s="260"/>
      <c r="AG96" s="260"/>
      <c r="AH96" s="260"/>
      <c r="AI96" s="260"/>
      <c r="AJ96" s="260"/>
    </row>
    <row r="97" spans="1:36" hidden="1">
      <c r="A97" s="251"/>
      <c r="B97" s="25"/>
      <c r="C97" s="252"/>
      <c r="D97" s="25"/>
      <c r="E97" s="33"/>
      <c r="F97" s="27"/>
      <c r="G97" s="253"/>
      <c r="H97" s="31"/>
      <c r="I97" s="254"/>
      <c r="J97" s="255"/>
      <c r="K97" s="255"/>
      <c r="L97" s="257"/>
      <c r="M97" s="257"/>
      <c r="N97" s="34"/>
      <c r="O97" s="31"/>
      <c r="P97" s="31"/>
      <c r="Q97" s="31"/>
      <c r="R97" s="31"/>
      <c r="S97" s="31"/>
      <c r="V97" s="224"/>
      <c r="W97" s="260"/>
      <c r="Z97" s="260"/>
      <c r="AA97" s="260"/>
      <c r="AE97" s="260"/>
      <c r="AF97" s="260"/>
      <c r="AG97" s="260"/>
      <c r="AH97" s="260"/>
      <c r="AI97" s="260"/>
      <c r="AJ97" s="260"/>
    </row>
    <row r="98" spans="1:36" hidden="1">
      <c r="A98" s="251"/>
      <c r="B98" s="25"/>
      <c r="C98" s="252"/>
      <c r="D98" s="25"/>
      <c r="E98" s="33"/>
      <c r="F98" s="27"/>
      <c r="G98" s="253"/>
      <c r="H98" s="31"/>
      <c r="I98" s="254"/>
      <c r="J98" s="255"/>
      <c r="K98" s="255"/>
      <c r="L98" s="257"/>
      <c r="M98" s="257"/>
      <c r="N98" s="34"/>
      <c r="O98" s="31"/>
      <c r="P98" s="31"/>
      <c r="Q98" s="31"/>
      <c r="R98" s="31"/>
      <c r="S98" s="31"/>
      <c r="V98" s="224"/>
      <c r="W98" s="260"/>
      <c r="Z98" s="260"/>
      <c r="AA98" s="260"/>
      <c r="AE98" s="260"/>
      <c r="AF98" s="260"/>
      <c r="AG98" s="260"/>
      <c r="AH98" s="260"/>
      <c r="AI98" s="260"/>
      <c r="AJ98" s="260"/>
    </row>
    <row r="99" spans="1:36" hidden="1">
      <c r="A99" s="251"/>
      <c r="B99" s="25"/>
      <c r="C99" s="252"/>
      <c r="D99" s="25"/>
      <c r="E99" s="33"/>
      <c r="F99" s="27"/>
      <c r="G99" s="253"/>
      <c r="H99" s="31"/>
      <c r="I99" s="254"/>
      <c r="J99" s="255"/>
      <c r="K99" s="255"/>
      <c r="L99" s="257"/>
      <c r="M99" s="257"/>
      <c r="N99" s="34"/>
      <c r="O99" s="31"/>
      <c r="P99" s="31"/>
      <c r="Q99" s="31"/>
      <c r="R99" s="31"/>
      <c r="S99" s="31"/>
      <c r="V99" s="224"/>
      <c r="W99" s="260"/>
      <c r="Z99" s="260"/>
      <c r="AA99" s="260"/>
      <c r="AE99" s="260"/>
      <c r="AF99" s="260"/>
      <c r="AG99" s="260"/>
      <c r="AH99" s="260"/>
      <c r="AI99" s="260"/>
      <c r="AJ99" s="260"/>
    </row>
    <row r="100" spans="1:36" hidden="1">
      <c r="A100" s="251"/>
      <c r="B100" s="25"/>
      <c r="C100" s="252"/>
      <c r="D100" s="25"/>
      <c r="E100" s="33"/>
      <c r="F100" s="27"/>
      <c r="G100" s="253"/>
      <c r="H100" s="31"/>
      <c r="I100" s="254"/>
      <c r="J100" s="255"/>
      <c r="K100" s="255"/>
      <c r="L100" s="257"/>
      <c r="M100" s="257"/>
      <c r="N100" s="34"/>
      <c r="O100" s="31"/>
      <c r="P100" s="31"/>
      <c r="Q100" s="31"/>
      <c r="R100" s="31"/>
      <c r="S100" s="31"/>
      <c r="V100" s="224"/>
      <c r="W100" s="260"/>
      <c r="Z100" s="260"/>
      <c r="AA100" s="260"/>
      <c r="AE100" s="260"/>
      <c r="AF100" s="260"/>
      <c r="AG100" s="260"/>
      <c r="AH100" s="260"/>
      <c r="AI100" s="260"/>
      <c r="AJ100" s="260"/>
    </row>
    <row r="101" spans="1:36" hidden="1">
      <c r="A101" s="251"/>
      <c r="B101" s="25"/>
      <c r="C101" s="252"/>
      <c r="D101" s="25"/>
      <c r="E101" s="33"/>
      <c r="F101" s="27"/>
      <c r="G101" s="253"/>
      <c r="H101" s="31"/>
      <c r="I101" s="254"/>
      <c r="J101" s="255"/>
      <c r="K101" s="255"/>
      <c r="L101" s="257"/>
      <c r="M101" s="257"/>
      <c r="N101" s="34"/>
      <c r="O101" s="31"/>
      <c r="P101" s="31"/>
      <c r="Q101" s="31"/>
      <c r="R101" s="31"/>
      <c r="S101" s="31"/>
      <c r="V101" s="224"/>
      <c r="W101" s="260"/>
      <c r="Z101" s="260"/>
      <c r="AA101" s="260"/>
      <c r="AE101" s="260"/>
      <c r="AF101" s="260"/>
      <c r="AG101" s="260"/>
      <c r="AH101" s="260"/>
      <c r="AI101" s="260"/>
      <c r="AJ101" s="260"/>
    </row>
    <row r="102" spans="1:36" hidden="1">
      <c r="A102" s="251"/>
      <c r="B102" s="25"/>
      <c r="C102" s="252"/>
      <c r="D102" s="25"/>
      <c r="E102" s="33"/>
      <c r="F102" s="27"/>
      <c r="G102" s="253"/>
      <c r="H102" s="31"/>
      <c r="I102" s="254"/>
      <c r="J102" s="255"/>
      <c r="K102" s="255"/>
      <c r="L102" s="257"/>
      <c r="M102" s="257"/>
      <c r="N102" s="34"/>
      <c r="O102" s="31"/>
      <c r="P102" s="31"/>
      <c r="Q102" s="31"/>
      <c r="R102" s="31"/>
      <c r="S102" s="31"/>
      <c r="V102" s="224"/>
      <c r="W102" s="260"/>
      <c r="Z102" s="260"/>
      <c r="AA102" s="260"/>
      <c r="AE102" s="260"/>
      <c r="AF102" s="260"/>
      <c r="AG102" s="260"/>
      <c r="AH102" s="260"/>
      <c r="AI102" s="260"/>
      <c r="AJ102" s="260"/>
    </row>
    <row r="103" spans="1:36" hidden="1">
      <c r="A103" s="251"/>
      <c r="B103" s="25"/>
      <c r="C103" s="252"/>
      <c r="D103" s="25"/>
      <c r="E103" s="33"/>
      <c r="F103" s="27"/>
      <c r="G103" s="253"/>
      <c r="H103" s="31"/>
      <c r="I103" s="254"/>
      <c r="J103" s="255"/>
      <c r="K103" s="255"/>
      <c r="L103" s="257"/>
      <c r="M103" s="257"/>
      <c r="N103" s="34"/>
      <c r="O103" s="31"/>
      <c r="P103" s="31"/>
      <c r="Q103" s="31"/>
      <c r="R103" s="31"/>
      <c r="S103" s="31"/>
      <c r="V103" s="224"/>
      <c r="W103" s="260"/>
      <c r="Z103" s="260"/>
      <c r="AA103" s="260"/>
      <c r="AE103" s="260"/>
      <c r="AF103" s="260"/>
      <c r="AG103" s="260"/>
      <c r="AH103" s="260"/>
      <c r="AI103" s="260"/>
      <c r="AJ103" s="260"/>
    </row>
    <row r="104" spans="1:36" hidden="1">
      <c r="A104" s="251"/>
      <c r="B104" s="25"/>
      <c r="C104" s="252"/>
      <c r="D104" s="25"/>
      <c r="E104" s="33"/>
      <c r="F104" s="27"/>
      <c r="G104" s="253"/>
      <c r="H104" s="31"/>
      <c r="I104" s="254"/>
      <c r="J104" s="255"/>
      <c r="K104" s="255"/>
      <c r="L104" s="257"/>
      <c r="M104" s="257"/>
      <c r="N104" s="34"/>
      <c r="O104" s="31"/>
      <c r="P104" s="31"/>
      <c r="Q104" s="31"/>
      <c r="R104" s="31"/>
      <c r="S104" s="31"/>
      <c r="V104" s="224"/>
      <c r="W104" s="260"/>
      <c r="Z104" s="260"/>
      <c r="AA104" s="260"/>
      <c r="AE104" s="260"/>
      <c r="AF104" s="260"/>
      <c r="AG104" s="260"/>
      <c r="AH104" s="260"/>
      <c r="AI104" s="260"/>
      <c r="AJ104" s="260"/>
    </row>
    <row r="105" spans="1:36" hidden="1">
      <c r="A105" s="251"/>
      <c r="B105" s="25"/>
      <c r="C105" s="252"/>
      <c r="D105" s="25"/>
      <c r="E105" s="33"/>
      <c r="F105" s="27"/>
      <c r="G105" s="253"/>
      <c r="H105" s="31"/>
      <c r="I105" s="254"/>
      <c r="J105" s="255"/>
      <c r="K105" s="255"/>
      <c r="L105" s="257"/>
      <c r="M105" s="257"/>
      <c r="N105" s="34"/>
      <c r="O105" s="31"/>
      <c r="P105" s="31"/>
      <c r="Q105" s="31"/>
      <c r="R105" s="31"/>
      <c r="S105" s="31"/>
      <c r="V105" s="224"/>
      <c r="W105" s="260"/>
      <c r="Z105" s="260"/>
      <c r="AA105" s="260"/>
      <c r="AE105" s="260"/>
      <c r="AF105" s="260"/>
      <c r="AG105" s="260"/>
      <c r="AH105" s="260"/>
      <c r="AI105" s="260"/>
      <c r="AJ105" s="260"/>
    </row>
    <row r="106" spans="1:36" hidden="1">
      <c r="A106" s="251"/>
      <c r="B106" s="25"/>
      <c r="C106" s="252"/>
      <c r="D106" s="25"/>
      <c r="E106" s="33"/>
      <c r="F106" s="27"/>
      <c r="G106" s="253"/>
      <c r="H106" s="31"/>
      <c r="I106" s="254"/>
      <c r="J106" s="255"/>
      <c r="K106" s="255"/>
      <c r="L106" s="257"/>
      <c r="M106" s="257"/>
      <c r="N106" s="34"/>
      <c r="O106" s="31"/>
      <c r="P106" s="31"/>
      <c r="Q106" s="31"/>
      <c r="R106" s="31"/>
      <c r="S106" s="31"/>
      <c r="V106" s="224"/>
      <c r="W106" s="260"/>
      <c r="Z106" s="260"/>
      <c r="AA106" s="260"/>
      <c r="AE106" s="260"/>
      <c r="AF106" s="260"/>
      <c r="AG106" s="260"/>
      <c r="AH106" s="260"/>
      <c r="AI106" s="260"/>
      <c r="AJ106" s="260"/>
    </row>
    <row r="107" spans="1:36" hidden="1">
      <c r="A107" s="251"/>
      <c r="B107" s="25"/>
      <c r="C107" s="252"/>
      <c r="D107" s="25"/>
      <c r="E107" s="33"/>
      <c r="F107" s="27"/>
      <c r="G107" s="253"/>
      <c r="H107" s="31"/>
      <c r="I107" s="254"/>
      <c r="J107" s="255"/>
      <c r="K107" s="255"/>
      <c r="L107" s="257"/>
      <c r="M107" s="257"/>
      <c r="N107" s="34"/>
      <c r="O107" s="31"/>
      <c r="P107" s="31"/>
      <c r="Q107" s="31"/>
      <c r="R107" s="31"/>
      <c r="S107" s="31"/>
      <c r="V107" s="224"/>
      <c r="W107" s="260"/>
      <c r="Z107" s="260"/>
      <c r="AA107" s="260"/>
      <c r="AE107" s="260"/>
      <c r="AF107" s="260"/>
      <c r="AG107" s="260"/>
      <c r="AH107" s="260"/>
      <c r="AI107" s="260"/>
      <c r="AJ107" s="260"/>
    </row>
    <row r="108" spans="1:36" hidden="1">
      <c r="A108" s="251"/>
      <c r="B108" s="25"/>
      <c r="C108" s="252"/>
      <c r="D108" s="25"/>
      <c r="E108" s="33"/>
      <c r="F108" s="27"/>
      <c r="G108" s="253"/>
      <c r="H108" s="31"/>
      <c r="I108" s="254"/>
      <c r="J108" s="255"/>
      <c r="K108" s="255"/>
      <c r="L108" s="257"/>
      <c r="M108" s="257"/>
      <c r="N108" s="34"/>
      <c r="O108" s="31"/>
      <c r="P108" s="31"/>
      <c r="Q108" s="31"/>
      <c r="R108" s="31"/>
      <c r="S108" s="31"/>
      <c r="V108" s="224"/>
      <c r="W108" s="260"/>
      <c r="Z108" s="260"/>
      <c r="AA108" s="260"/>
      <c r="AE108" s="260"/>
      <c r="AF108" s="260"/>
      <c r="AG108" s="260"/>
      <c r="AH108" s="260"/>
      <c r="AI108" s="260"/>
      <c r="AJ108" s="260"/>
    </row>
    <row r="109" spans="1:36" hidden="1">
      <c r="A109" s="251"/>
      <c r="B109" s="25"/>
      <c r="C109" s="252"/>
      <c r="D109" s="25"/>
      <c r="E109" s="33"/>
      <c r="F109" s="27"/>
      <c r="G109" s="253"/>
      <c r="H109" s="31"/>
      <c r="I109" s="254"/>
      <c r="J109" s="255"/>
      <c r="K109" s="255"/>
      <c r="L109" s="257"/>
      <c r="M109" s="257"/>
      <c r="N109" s="34"/>
      <c r="O109" s="31"/>
      <c r="P109" s="31"/>
      <c r="Q109" s="31"/>
      <c r="R109" s="31"/>
      <c r="S109" s="31"/>
      <c r="V109" s="224"/>
      <c r="W109" s="260"/>
      <c r="Z109" s="260"/>
      <c r="AA109" s="260"/>
      <c r="AE109" s="260"/>
      <c r="AF109" s="260"/>
      <c r="AG109" s="260"/>
      <c r="AH109" s="260"/>
      <c r="AI109" s="260"/>
      <c r="AJ109" s="260"/>
    </row>
    <row r="110" spans="1:36" hidden="1">
      <c r="A110" s="251"/>
      <c r="B110" s="25"/>
      <c r="C110" s="252"/>
      <c r="D110" s="25"/>
      <c r="E110" s="33"/>
      <c r="F110" s="27"/>
      <c r="G110" s="253"/>
      <c r="H110" s="31"/>
      <c r="I110" s="254"/>
      <c r="J110" s="255"/>
      <c r="K110" s="255"/>
      <c r="L110" s="257"/>
      <c r="M110" s="257"/>
      <c r="N110" s="34"/>
      <c r="O110" s="31"/>
      <c r="P110" s="31"/>
      <c r="Q110" s="31"/>
      <c r="R110" s="31"/>
      <c r="S110" s="31"/>
      <c r="V110" s="224"/>
      <c r="W110" s="260"/>
      <c r="Z110" s="260"/>
      <c r="AA110" s="260"/>
      <c r="AE110" s="260"/>
      <c r="AF110" s="260"/>
      <c r="AG110" s="260"/>
      <c r="AH110" s="260"/>
      <c r="AI110" s="260"/>
      <c r="AJ110" s="260"/>
    </row>
    <row r="111" spans="1:36" hidden="1">
      <c r="A111" s="251"/>
      <c r="B111" s="25"/>
      <c r="C111" s="252"/>
      <c r="D111" s="25"/>
      <c r="E111" s="33"/>
      <c r="F111" s="27"/>
      <c r="G111" s="253"/>
      <c r="H111" s="31"/>
      <c r="I111" s="254"/>
      <c r="J111" s="255"/>
      <c r="K111" s="255"/>
      <c r="L111" s="257"/>
      <c r="M111" s="257"/>
      <c r="N111" s="34"/>
      <c r="O111" s="31"/>
      <c r="P111" s="31"/>
      <c r="Q111" s="31"/>
      <c r="R111" s="31"/>
      <c r="S111" s="31"/>
      <c r="V111" s="224"/>
      <c r="W111" s="260"/>
      <c r="Z111" s="260"/>
      <c r="AA111" s="260"/>
      <c r="AE111" s="260"/>
      <c r="AF111" s="260"/>
      <c r="AG111" s="260"/>
      <c r="AH111" s="260"/>
      <c r="AI111" s="260"/>
      <c r="AJ111" s="260"/>
    </row>
    <row r="112" spans="1:36" hidden="1">
      <c r="A112" s="251"/>
      <c r="B112" s="25"/>
      <c r="C112" s="252"/>
      <c r="D112" s="25"/>
      <c r="E112" s="33"/>
      <c r="F112" s="27"/>
      <c r="G112" s="253"/>
      <c r="H112" s="31"/>
      <c r="I112" s="254"/>
      <c r="J112" s="255"/>
      <c r="K112" s="255"/>
      <c r="L112" s="257"/>
      <c r="M112" s="257"/>
      <c r="N112" s="34"/>
      <c r="O112" s="31"/>
      <c r="P112" s="31"/>
      <c r="Q112" s="31"/>
      <c r="R112" s="31"/>
      <c r="S112" s="31"/>
      <c r="V112" s="224"/>
      <c r="W112" s="260"/>
      <c r="Z112" s="260"/>
      <c r="AA112" s="260"/>
      <c r="AE112" s="260"/>
      <c r="AF112" s="260"/>
      <c r="AG112" s="260"/>
      <c r="AH112" s="260"/>
      <c r="AI112" s="260"/>
      <c r="AJ112" s="260"/>
    </row>
    <row r="113" spans="1:36" hidden="1">
      <c r="A113" s="251"/>
      <c r="B113" s="25"/>
      <c r="C113" s="252"/>
      <c r="D113" s="25"/>
      <c r="E113" s="33"/>
      <c r="F113" s="27"/>
      <c r="G113" s="253"/>
      <c r="H113" s="31"/>
      <c r="I113" s="254"/>
      <c r="J113" s="255"/>
      <c r="K113" s="255"/>
      <c r="L113" s="257"/>
      <c r="M113" s="257"/>
      <c r="N113" s="34"/>
      <c r="O113" s="31"/>
      <c r="P113" s="31"/>
      <c r="Q113" s="31"/>
      <c r="R113" s="31"/>
      <c r="S113" s="31"/>
      <c r="V113" s="224"/>
      <c r="W113" s="260"/>
      <c r="Z113" s="260"/>
      <c r="AA113" s="260"/>
      <c r="AE113" s="260"/>
      <c r="AF113" s="260"/>
      <c r="AG113" s="260"/>
      <c r="AH113" s="260"/>
      <c r="AI113" s="260"/>
      <c r="AJ113" s="260"/>
    </row>
    <row r="114" spans="1:36" hidden="1">
      <c r="A114" s="251"/>
      <c r="B114" s="25"/>
      <c r="C114" s="252"/>
      <c r="D114" s="25"/>
      <c r="E114" s="33"/>
      <c r="F114" s="27"/>
      <c r="G114" s="253"/>
      <c r="H114" s="31"/>
      <c r="I114" s="254"/>
      <c r="J114" s="255"/>
      <c r="K114" s="255"/>
      <c r="L114" s="257"/>
      <c r="M114" s="257"/>
      <c r="N114" s="34"/>
      <c r="O114" s="31"/>
      <c r="P114" s="31"/>
      <c r="Q114" s="31"/>
      <c r="R114" s="31"/>
      <c r="S114" s="31"/>
      <c r="V114" s="224"/>
      <c r="W114" s="260"/>
      <c r="Z114" s="260"/>
      <c r="AA114" s="260"/>
      <c r="AE114" s="260"/>
      <c r="AF114" s="260"/>
      <c r="AG114" s="260"/>
      <c r="AH114" s="260"/>
      <c r="AI114" s="260"/>
      <c r="AJ114" s="260"/>
    </row>
    <row r="115" spans="1:36" hidden="1">
      <c r="A115" s="251"/>
      <c r="B115" s="25"/>
      <c r="C115" s="252"/>
      <c r="D115" s="25"/>
      <c r="E115" s="33"/>
      <c r="F115" s="27"/>
      <c r="G115" s="253"/>
      <c r="H115" s="31"/>
      <c r="I115" s="254"/>
      <c r="J115" s="255"/>
      <c r="K115" s="255"/>
      <c r="L115" s="257"/>
      <c r="M115" s="257"/>
      <c r="N115" s="34"/>
      <c r="O115" s="31"/>
      <c r="P115" s="31"/>
      <c r="Q115" s="31"/>
      <c r="R115" s="31"/>
      <c r="S115" s="31"/>
      <c r="V115" s="224"/>
      <c r="W115" s="260"/>
      <c r="Z115" s="260"/>
      <c r="AA115" s="260"/>
      <c r="AE115" s="260"/>
      <c r="AF115" s="260"/>
      <c r="AG115" s="260"/>
      <c r="AH115" s="260"/>
      <c r="AI115" s="260"/>
      <c r="AJ115" s="260"/>
    </row>
    <row r="116" spans="1:36" hidden="1">
      <c r="A116" s="251"/>
      <c r="B116" s="25"/>
      <c r="C116" s="252"/>
      <c r="D116" s="25"/>
      <c r="E116" s="33"/>
      <c r="F116" s="27"/>
      <c r="G116" s="253"/>
      <c r="H116" s="31"/>
      <c r="I116" s="254"/>
      <c r="J116" s="255"/>
      <c r="K116" s="255"/>
      <c r="L116" s="257"/>
      <c r="M116" s="257"/>
      <c r="N116" s="34"/>
      <c r="O116" s="31"/>
      <c r="P116" s="31"/>
      <c r="Q116" s="31"/>
      <c r="R116" s="31"/>
      <c r="S116" s="31"/>
      <c r="V116" s="224"/>
      <c r="W116" s="260"/>
      <c r="Z116" s="260"/>
      <c r="AA116" s="260"/>
      <c r="AE116" s="260"/>
      <c r="AF116" s="260"/>
      <c r="AG116" s="260"/>
      <c r="AH116" s="260"/>
      <c r="AI116" s="260"/>
      <c r="AJ116" s="260"/>
    </row>
    <row r="117" spans="1:36" hidden="1">
      <c r="A117" s="251"/>
      <c r="B117" s="25"/>
      <c r="C117" s="252"/>
      <c r="D117" s="25"/>
      <c r="E117" s="33"/>
      <c r="F117" s="27"/>
      <c r="G117" s="253"/>
      <c r="H117" s="31"/>
      <c r="I117" s="254"/>
      <c r="J117" s="255"/>
      <c r="K117" s="255"/>
      <c r="L117" s="257"/>
      <c r="M117" s="257"/>
      <c r="N117" s="34"/>
      <c r="O117" s="31"/>
      <c r="P117" s="31"/>
      <c r="Q117" s="31"/>
      <c r="R117" s="31"/>
      <c r="S117" s="31"/>
      <c r="V117" s="224"/>
      <c r="W117" s="260"/>
      <c r="Z117" s="260"/>
      <c r="AA117" s="260"/>
      <c r="AE117" s="260"/>
      <c r="AF117" s="260"/>
      <c r="AG117" s="260"/>
      <c r="AH117" s="260"/>
      <c r="AI117" s="260"/>
      <c r="AJ117" s="260"/>
    </row>
    <row r="118" spans="1:36" hidden="1">
      <c r="A118" s="251"/>
      <c r="B118" s="25"/>
      <c r="C118" s="252"/>
      <c r="D118" s="25"/>
      <c r="E118" s="33"/>
      <c r="F118" s="27"/>
      <c r="G118" s="253"/>
      <c r="H118" s="31"/>
      <c r="I118" s="254"/>
      <c r="J118" s="255"/>
      <c r="K118" s="255"/>
      <c r="L118" s="257"/>
      <c r="M118" s="257"/>
      <c r="N118" s="34"/>
      <c r="O118" s="31"/>
      <c r="P118" s="31"/>
      <c r="Q118" s="31"/>
      <c r="R118" s="31"/>
      <c r="S118" s="31"/>
      <c r="V118" s="224"/>
      <c r="W118" s="260"/>
      <c r="Z118" s="260"/>
      <c r="AA118" s="260"/>
      <c r="AE118" s="260"/>
      <c r="AF118" s="260"/>
      <c r="AG118" s="260"/>
      <c r="AH118" s="260"/>
      <c r="AI118" s="260"/>
      <c r="AJ118" s="260"/>
    </row>
    <row r="119" spans="1:36" hidden="1">
      <c r="A119" s="251"/>
      <c r="B119" s="25"/>
      <c r="C119" s="252"/>
      <c r="D119" s="25"/>
      <c r="E119" s="33"/>
      <c r="F119" s="27"/>
      <c r="G119" s="253"/>
      <c r="H119" s="31"/>
      <c r="I119" s="254"/>
      <c r="J119" s="255"/>
      <c r="K119" s="255"/>
      <c r="L119" s="257"/>
      <c r="M119" s="257"/>
      <c r="N119" s="34"/>
      <c r="O119" s="31"/>
      <c r="P119" s="31"/>
      <c r="Q119" s="31"/>
      <c r="R119" s="31"/>
      <c r="S119" s="31"/>
      <c r="V119" s="224"/>
      <c r="W119" s="260"/>
      <c r="Z119" s="260"/>
      <c r="AA119" s="260"/>
      <c r="AE119" s="260"/>
      <c r="AF119" s="260"/>
      <c r="AG119" s="260"/>
      <c r="AH119" s="260"/>
      <c r="AI119" s="260"/>
      <c r="AJ119" s="260"/>
    </row>
    <row r="120" spans="1:36" hidden="1">
      <c r="A120" s="251"/>
      <c r="B120" s="25"/>
      <c r="C120" s="252"/>
      <c r="D120" s="25"/>
      <c r="E120" s="33"/>
      <c r="F120" s="27"/>
      <c r="G120" s="253"/>
      <c r="H120" s="31"/>
      <c r="I120" s="254"/>
      <c r="J120" s="255"/>
      <c r="K120" s="255"/>
      <c r="L120" s="257"/>
      <c r="M120" s="257"/>
      <c r="N120" s="34"/>
      <c r="O120" s="31"/>
      <c r="P120" s="31"/>
      <c r="Q120" s="31"/>
      <c r="R120" s="31"/>
      <c r="S120" s="31"/>
      <c r="V120" s="224"/>
      <c r="W120" s="260"/>
      <c r="Z120" s="260"/>
      <c r="AA120" s="260"/>
      <c r="AE120" s="260"/>
      <c r="AF120" s="260"/>
      <c r="AG120" s="260"/>
      <c r="AH120" s="260"/>
      <c r="AI120" s="260"/>
      <c r="AJ120" s="260"/>
    </row>
    <row r="121" spans="1:36" hidden="1">
      <c r="A121" s="251"/>
      <c r="B121" s="25"/>
      <c r="C121" s="252"/>
      <c r="D121" s="25"/>
      <c r="E121" s="33"/>
      <c r="F121" s="27"/>
      <c r="G121" s="253"/>
      <c r="H121" s="31"/>
      <c r="I121" s="254"/>
      <c r="J121" s="255"/>
      <c r="K121" s="255"/>
      <c r="L121" s="257"/>
      <c r="M121" s="257"/>
      <c r="N121" s="34"/>
      <c r="O121" s="31"/>
      <c r="P121" s="31"/>
      <c r="Q121" s="31"/>
      <c r="R121" s="31"/>
      <c r="S121" s="31"/>
      <c r="V121" s="224"/>
      <c r="W121" s="260"/>
      <c r="Z121" s="260"/>
      <c r="AA121" s="260"/>
      <c r="AE121" s="260"/>
      <c r="AF121" s="260"/>
      <c r="AG121" s="260"/>
      <c r="AH121" s="260"/>
      <c r="AI121" s="260"/>
      <c r="AJ121" s="260"/>
    </row>
    <row r="122" spans="1:36" hidden="1">
      <c r="A122" s="251"/>
      <c r="B122" s="25"/>
      <c r="C122" s="252"/>
      <c r="D122" s="25"/>
      <c r="E122" s="33"/>
      <c r="F122" s="27"/>
      <c r="G122" s="253"/>
      <c r="H122" s="31"/>
      <c r="I122" s="254"/>
      <c r="J122" s="255"/>
      <c r="K122" s="255"/>
      <c r="L122" s="257"/>
      <c r="M122" s="257"/>
      <c r="N122" s="34"/>
      <c r="O122" s="31"/>
      <c r="P122" s="31"/>
      <c r="Q122" s="31"/>
      <c r="R122" s="31"/>
      <c r="S122" s="31"/>
      <c r="V122" s="224"/>
      <c r="W122" s="260"/>
      <c r="Z122" s="260"/>
      <c r="AA122" s="260"/>
      <c r="AE122" s="260"/>
      <c r="AF122" s="260"/>
      <c r="AG122" s="260"/>
      <c r="AH122" s="260"/>
      <c r="AI122" s="260"/>
      <c r="AJ122" s="260"/>
    </row>
    <row r="123" spans="1:36" hidden="1">
      <c r="A123" s="251"/>
      <c r="B123" s="25"/>
      <c r="C123" s="252"/>
      <c r="D123" s="25"/>
      <c r="E123" s="33"/>
      <c r="F123" s="27"/>
      <c r="G123" s="253"/>
      <c r="H123" s="31"/>
      <c r="I123" s="254"/>
      <c r="J123" s="255"/>
      <c r="K123" s="255"/>
      <c r="L123" s="257"/>
      <c r="M123" s="257"/>
      <c r="N123" s="34"/>
      <c r="O123" s="31"/>
      <c r="P123" s="31"/>
      <c r="Q123" s="31"/>
      <c r="R123" s="31"/>
      <c r="S123" s="31"/>
      <c r="V123" s="224"/>
      <c r="W123" s="260"/>
      <c r="Z123" s="260"/>
      <c r="AA123" s="260"/>
      <c r="AE123" s="260"/>
      <c r="AF123" s="260"/>
      <c r="AG123" s="260"/>
      <c r="AH123" s="260"/>
      <c r="AI123" s="260"/>
      <c r="AJ123" s="260"/>
    </row>
    <row r="124" spans="1:36" hidden="1">
      <c r="A124" s="251"/>
      <c r="B124" s="25"/>
      <c r="C124" s="252"/>
      <c r="D124" s="25"/>
      <c r="E124" s="33"/>
      <c r="F124" s="27"/>
      <c r="G124" s="253"/>
      <c r="H124" s="31"/>
      <c r="I124" s="254"/>
      <c r="J124" s="255"/>
      <c r="K124" s="255"/>
      <c r="L124" s="257"/>
      <c r="M124" s="257"/>
      <c r="N124" s="34"/>
      <c r="O124" s="31"/>
      <c r="P124" s="31"/>
      <c r="Q124" s="31"/>
      <c r="R124" s="31"/>
      <c r="S124" s="31"/>
      <c r="V124" s="224"/>
      <c r="W124" s="260"/>
      <c r="Z124" s="260"/>
      <c r="AA124" s="260"/>
      <c r="AE124" s="260"/>
      <c r="AF124" s="260"/>
      <c r="AG124" s="260"/>
      <c r="AH124" s="260"/>
      <c r="AI124" s="260"/>
      <c r="AJ124" s="260"/>
    </row>
    <row r="125" spans="1:36" hidden="1">
      <c r="A125" s="251"/>
      <c r="B125" s="25"/>
      <c r="C125" s="252"/>
      <c r="D125" s="25"/>
      <c r="E125" s="33"/>
      <c r="F125" s="27"/>
      <c r="G125" s="253"/>
      <c r="H125" s="31"/>
      <c r="I125" s="254"/>
      <c r="J125" s="255"/>
      <c r="K125" s="255"/>
      <c r="L125" s="257"/>
      <c r="M125" s="257"/>
      <c r="N125" s="34"/>
      <c r="O125" s="31"/>
      <c r="P125" s="31"/>
      <c r="Q125" s="31"/>
      <c r="R125" s="31"/>
      <c r="S125" s="31"/>
      <c r="V125" s="224"/>
      <c r="W125" s="260"/>
      <c r="Z125" s="260"/>
      <c r="AA125" s="260"/>
      <c r="AE125" s="260"/>
      <c r="AF125" s="260"/>
      <c r="AG125" s="260"/>
      <c r="AH125" s="260"/>
      <c r="AI125" s="260"/>
      <c r="AJ125" s="260"/>
    </row>
    <row r="126" spans="1:36" hidden="1">
      <c r="A126" s="251"/>
      <c r="B126" s="25"/>
      <c r="C126" s="252"/>
      <c r="D126" s="25"/>
      <c r="E126" s="33"/>
      <c r="F126" s="27"/>
      <c r="G126" s="253"/>
      <c r="H126" s="31"/>
      <c r="I126" s="254"/>
      <c r="J126" s="255"/>
      <c r="K126" s="255"/>
      <c r="L126" s="257"/>
      <c r="M126" s="257"/>
      <c r="N126" s="34"/>
      <c r="O126" s="31"/>
      <c r="P126" s="31"/>
      <c r="Q126" s="31"/>
      <c r="R126" s="31"/>
      <c r="S126" s="31"/>
      <c r="V126" s="224"/>
      <c r="W126" s="260"/>
      <c r="Z126" s="260"/>
      <c r="AA126" s="260"/>
      <c r="AE126" s="260"/>
      <c r="AF126" s="260"/>
      <c r="AG126" s="260"/>
      <c r="AH126" s="260"/>
      <c r="AI126" s="260"/>
      <c r="AJ126" s="260"/>
    </row>
    <row r="127" spans="1:36" hidden="1">
      <c r="A127" s="251"/>
      <c r="B127" s="25"/>
      <c r="C127" s="252"/>
      <c r="D127" s="25"/>
      <c r="E127" s="33"/>
      <c r="F127" s="27"/>
      <c r="G127" s="253"/>
      <c r="H127" s="31"/>
      <c r="I127" s="254"/>
      <c r="J127" s="255"/>
      <c r="K127" s="255"/>
      <c r="L127" s="257"/>
      <c r="M127" s="257"/>
      <c r="N127" s="34"/>
      <c r="O127" s="31"/>
      <c r="P127" s="31"/>
      <c r="Q127" s="31"/>
      <c r="R127" s="31"/>
      <c r="S127" s="31"/>
      <c r="V127" s="224"/>
      <c r="W127" s="260"/>
      <c r="Z127" s="260"/>
      <c r="AA127" s="260"/>
      <c r="AE127" s="260"/>
      <c r="AF127" s="260"/>
      <c r="AG127" s="260"/>
      <c r="AH127" s="260"/>
      <c r="AI127" s="260"/>
      <c r="AJ127" s="260"/>
    </row>
    <row r="128" spans="1:36" hidden="1">
      <c r="A128" s="251"/>
      <c r="B128" s="25"/>
      <c r="C128" s="252"/>
      <c r="D128" s="25"/>
      <c r="E128" s="33"/>
      <c r="F128" s="27"/>
      <c r="G128" s="253"/>
      <c r="H128" s="31"/>
      <c r="I128" s="254"/>
      <c r="J128" s="255"/>
      <c r="K128" s="255"/>
      <c r="L128" s="257"/>
      <c r="M128" s="257"/>
      <c r="N128" s="34"/>
      <c r="O128" s="31"/>
      <c r="P128" s="31"/>
      <c r="Q128" s="31"/>
      <c r="R128" s="31"/>
      <c r="S128" s="31"/>
      <c r="V128" s="224"/>
      <c r="W128" s="260"/>
      <c r="Z128" s="260"/>
      <c r="AA128" s="260"/>
      <c r="AE128" s="260"/>
      <c r="AF128" s="260"/>
      <c r="AG128" s="260"/>
      <c r="AH128" s="260"/>
      <c r="AI128" s="260"/>
      <c r="AJ128" s="260"/>
    </row>
    <row r="129" spans="1:36" hidden="1">
      <c r="A129" s="251"/>
      <c r="B129" s="25"/>
      <c r="C129" s="252"/>
      <c r="D129" s="25"/>
      <c r="E129" s="33"/>
      <c r="F129" s="27"/>
      <c r="G129" s="253"/>
      <c r="H129" s="31"/>
      <c r="I129" s="254"/>
      <c r="J129" s="255"/>
      <c r="K129" s="255"/>
      <c r="L129" s="257"/>
      <c r="M129" s="257"/>
      <c r="N129" s="34"/>
      <c r="O129" s="31"/>
      <c r="P129" s="31"/>
      <c r="Q129" s="31"/>
      <c r="R129" s="31"/>
      <c r="S129" s="31"/>
      <c r="V129" s="224"/>
      <c r="W129" s="260"/>
      <c r="Z129" s="260"/>
      <c r="AA129" s="260"/>
      <c r="AE129" s="260"/>
      <c r="AF129" s="260"/>
      <c r="AG129" s="260"/>
      <c r="AH129" s="260"/>
      <c r="AI129" s="260"/>
      <c r="AJ129" s="260"/>
    </row>
    <row r="130" spans="1:36" hidden="1">
      <c r="A130" s="251"/>
      <c r="B130" s="25"/>
      <c r="C130" s="252"/>
      <c r="D130" s="25"/>
      <c r="E130" s="33"/>
      <c r="F130" s="27"/>
      <c r="G130" s="253"/>
      <c r="H130" s="31"/>
      <c r="I130" s="254"/>
      <c r="J130" s="255"/>
      <c r="K130" s="255"/>
      <c r="L130" s="257"/>
      <c r="M130" s="257"/>
      <c r="N130" s="34"/>
      <c r="O130" s="31"/>
      <c r="P130" s="31"/>
      <c r="Q130" s="31"/>
      <c r="R130" s="31"/>
      <c r="S130" s="31"/>
      <c r="V130" s="224"/>
      <c r="W130" s="260"/>
      <c r="Z130" s="260"/>
      <c r="AA130" s="260"/>
      <c r="AE130" s="260"/>
      <c r="AF130" s="260"/>
      <c r="AG130" s="260"/>
      <c r="AH130" s="260"/>
      <c r="AI130" s="260"/>
      <c r="AJ130" s="260"/>
    </row>
    <row r="131" spans="1:36" hidden="1">
      <c r="A131" s="251"/>
      <c r="B131" s="25"/>
      <c r="C131" s="252"/>
      <c r="D131" s="25"/>
      <c r="E131" s="33"/>
      <c r="F131" s="27"/>
      <c r="G131" s="253"/>
      <c r="H131" s="31"/>
      <c r="I131" s="254"/>
      <c r="J131" s="255"/>
      <c r="K131" s="255"/>
      <c r="L131" s="257"/>
      <c r="M131" s="257"/>
      <c r="N131" s="34"/>
      <c r="O131" s="31"/>
      <c r="P131" s="31"/>
      <c r="Q131" s="31"/>
      <c r="R131" s="31"/>
      <c r="S131" s="31"/>
      <c r="V131" s="224"/>
      <c r="W131" s="260"/>
      <c r="Z131" s="260"/>
      <c r="AA131" s="260"/>
      <c r="AE131" s="260"/>
      <c r="AF131" s="260"/>
      <c r="AG131" s="260"/>
      <c r="AH131" s="260"/>
      <c r="AI131" s="260"/>
      <c r="AJ131" s="260"/>
    </row>
    <row r="132" spans="1:36" hidden="1">
      <c r="A132" s="251"/>
      <c r="B132" s="25"/>
      <c r="C132" s="252"/>
      <c r="D132" s="25"/>
      <c r="E132" s="33"/>
      <c r="F132" s="27"/>
      <c r="G132" s="253"/>
      <c r="H132" s="31"/>
      <c r="I132" s="254"/>
      <c r="J132" s="255"/>
      <c r="K132" s="255"/>
      <c r="L132" s="257"/>
      <c r="M132" s="257"/>
      <c r="N132" s="34"/>
      <c r="O132" s="31"/>
      <c r="P132" s="31"/>
      <c r="Q132" s="31"/>
      <c r="R132" s="31"/>
      <c r="S132" s="31"/>
      <c r="V132" s="224"/>
      <c r="W132" s="260"/>
      <c r="Z132" s="260"/>
      <c r="AA132" s="260"/>
      <c r="AE132" s="260"/>
      <c r="AF132" s="260"/>
      <c r="AG132" s="260"/>
      <c r="AH132" s="260"/>
      <c r="AI132" s="260"/>
      <c r="AJ132" s="260"/>
    </row>
    <row r="133" spans="1:36" hidden="1">
      <c r="A133" s="251"/>
      <c r="B133" s="25"/>
      <c r="C133" s="252"/>
      <c r="D133" s="25"/>
      <c r="E133" s="33"/>
      <c r="F133" s="27"/>
      <c r="G133" s="253"/>
      <c r="H133" s="31"/>
      <c r="I133" s="254"/>
      <c r="J133" s="255"/>
      <c r="K133" s="255"/>
      <c r="L133" s="257"/>
      <c r="M133" s="257"/>
      <c r="N133" s="34"/>
      <c r="O133" s="31"/>
      <c r="P133" s="31"/>
      <c r="Q133" s="31"/>
      <c r="R133" s="31"/>
      <c r="S133" s="31"/>
      <c r="V133" s="224"/>
      <c r="W133" s="260"/>
      <c r="Z133" s="260"/>
      <c r="AA133" s="260"/>
      <c r="AE133" s="260"/>
      <c r="AF133" s="260"/>
      <c r="AG133" s="260"/>
      <c r="AH133" s="260"/>
      <c r="AI133" s="260"/>
      <c r="AJ133" s="260"/>
    </row>
    <row r="134" spans="1:36" hidden="1">
      <c r="A134" s="251"/>
      <c r="B134" s="25"/>
      <c r="C134" s="252"/>
      <c r="D134" s="25"/>
      <c r="E134" s="33"/>
      <c r="F134" s="27"/>
      <c r="G134" s="253"/>
      <c r="H134" s="31"/>
      <c r="I134" s="254"/>
      <c r="J134" s="255"/>
      <c r="K134" s="255"/>
      <c r="L134" s="257"/>
      <c r="M134" s="257"/>
      <c r="N134" s="34"/>
      <c r="O134" s="31"/>
      <c r="P134" s="31"/>
      <c r="Q134" s="31"/>
      <c r="R134" s="31"/>
      <c r="S134" s="31"/>
      <c r="V134" s="224"/>
      <c r="W134" s="260"/>
      <c r="Z134" s="260"/>
      <c r="AA134" s="260"/>
      <c r="AE134" s="260"/>
      <c r="AF134" s="260"/>
      <c r="AG134" s="260"/>
      <c r="AH134" s="260"/>
      <c r="AI134" s="260"/>
      <c r="AJ134" s="260"/>
    </row>
    <row r="135" spans="1:36" hidden="1">
      <c r="A135" s="251"/>
      <c r="B135" s="25"/>
      <c r="C135" s="25"/>
      <c r="D135" s="25"/>
      <c r="E135" s="33"/>
      <c r="F135" s="25"/>
      <c r="G135" s="261"/>
      <c r="H135" s="25"/>
      <c r="I135" s="25"/>
      <c r="J135" s="25"/>
      <c r="K135" s="25"/>
      <c r="L135" s="34"/>
      <c r="M135" s="34"/>
      <c r="N135" s="34"/>
      <c r="O135" s="25"/>
      <c r="P135" s="25"/>
      <c r="Q135" s="25"/>
      <c r="R135" s="25"/>
      <c r="S135" s="25"/>
      <c r="V135" s="224"/>
      <c r="W135" s="260"/>
      <c r="Z135" s="260"/>
      <c r="AA135" s="260"/>
      <c r="AE135" s="260"/>
      <c r="AF135" s="260"/>
      <c r="AG135" s="260"/>
      <c r="AH135" s="260"/>
      <c r="AI135" s="260"/>
      <c r="AJ135" s="260"/>
    </row>
    <row r="136" spans="1:36" hidden="1">
      <c r="A136" s="251"/>
      <c r="B136" s="25"/>
      <c r="C136" s="25"/>
      <c r="D136" s="25"/>
      <c r="E136" s="33"/>
      <c r="F136" s="25"/>
      <c r="G136" s="261"/>
      <c r="H136" s="25"/>
      <c r="I136" s="25"/>
      <c r="J136" s="25"/>
      <c r="K136" s="25"/>
      <c r="L136" s="34"/>
      <c r="M136" s="34"/>
      <c r="N136" s="34"/>
      <c r="O136" s="25"/>
      <c r="P136" s="25"/>
      <c r="Q136" s="25"/>
      <c r="R136" s="25"/>
      <c r="S136" s="25"/>
      <c r="V136" s="224"/>
      <c r="W136" s="260"/>
      <c r="Z136" s="260"/>
      <c r="AA136" s="260"/>
      <c r="AE136" s="260"/>
      <c r="AF136" s="260"/>
      <c r="AG136" s="260"/>
      <c r="AH136" s="260"/>
      <c r="AI136" s="260"/>
      <c r="AJ136" s="260"/>
    </row>
    <row r="137" spans="1:36" hidden="1">
      <c r="A137" s="251"/>
      <c r="B137" s="25"/>
      <c r="C137" s="25"/>
      <c r="D137" s="25"/>
      <c r="E137" s="33"/>
      <c r="F137" s="25"/>
      <c r="G137" s="261"/>
      <c r="H137" s="25"/>
      <c r="I137" s="25"/>
      <c r="J137" s="25"/>
      <c r="K137" s="25"/>
      <c r="L137" s="34"/>
      <c r="M137" s="34"/>
      <c r="N137" s="34"/>
      <c r="O137" s="25"/>
      <c r="P137" s="25"/>
      <c r="Q137" s="25"/>
      <c r="R137" s="25"/>
      <c r="S137" s="25"/>
      <c r="V137" s="224"/>
      <c r="W137" s="260"/>
      <c r="Z137" s="260"/>
      <c r="AA137" s="260"/>
      <c r="AE137" s="260"/>
      <c r="AF137" s="260"/>
      <c r="AG137" s="260"/>
      <c r="AH137" s="260"/>
      <c r="AI137" s="260"/>
      <c r="AJ137" s="260"/>
    </row>
    <row r="138" spans="1:36" hidden="1">
      <c r="A138" s="251"/>
      <c r="B138" s="25"/>
      <c r="C138" s="25"/>
      <c r="D138" s="25"/>
      <c r="E138" s="33"/>
      <c r="F138" s="25"/>
      <c r="G138" s="261"/>
      <c r="H138" s="25"/>
      <c r="I138" s="25"/>
      <c r="J138" s="25"/>
      <c r="K138" s="25"/>
      <c r="L138" s="34"/>
      <c r="M138" s="34"/>
      <c r="N138" s="34"/>
      <c r="O138" s="25"/>
      <c r="P138" s="25"/>
      <c r="Q138" s="25"/>
      <c r="R138" s="25"/>
      <c r="S138" s="25"/>
      <c r="V138" s="224"/>
      <c r="W138" s="260"/>
      <c r="Z138" s="260"/>
      <c r="AA138" s="260"/>
      <c r="AE138" s="260"/>
      <c r="AF138" s="260"/>
      <c r="AG138" s="260"/>
      <c r="AH138" s="260"/>
      <c r="AI138" s="260"/>
      <c r="AJ138" s="260"/>
    </row>
    <row r="139" spans="1:36" hidden="1">
      <c r="A139" s="251"/>
      <c r="B139" s="25"/>
      <c r="C139" s="25"/>
      <c r="D139" s="25"/>
      <c r="E139" s="33"/>
      <c r="F139" s="25"/>
      <c r="G139" s="261"/>
      <c r="H139" s="25"/>
      <c r="I139" s="25"/>
      <c r="J139" s="25"/>
      <c r="K139" s="25"/>
      <c r="L139" s="34"/>
      <c r="M139" s="34"/>
      <c r="N139" s="34"/>
      <c r="O139" s="25"/>
      <c r="P139" s="25"/>
      <c r="Q139" s="25"/>
      <c r="R139" s="25"/>
      <c r="S139" s="25"/>
      <c r="V139" s="224"/>
      <c r="W139" s="260"/>
      <c r="Z139" s="260"/>
      <c r="AA139" s="260"/>
      <c r="AE139" s="260"/>
      <c r="AF139" s="260"/>
      <c r="AG139" s="260"/>
      <c r="AH139" s="260"/>
      <c r="AI139" s="260"/>
      <c r="AJ139" s="260"/>
    </row>
    <row r="140" spans="1:36" hidden="1">
      <c r="A140" s="251"/>
      <c r="B140" s="25"/>
      <c r="C140" s="25"/>
      <c r="D140" s="25"/>
      <c r="E140" s="33"/>
      <c r="F140" s="25"/>
      <c r="G140" s="261"/>
      <c r="H140" s="25"/>
      <c r="I140" s="25"/>
      <c r="J140" s="25"/>
      <c r="K140" s="25"/>
      <c r="L140" s="34"/>
      <c r="M140" s="34"/>
      <c r="N140" s="34"/>
      <c r="O140" s="25"/>
      <c r="P140" s="25"/>
      <c r="Q140" s="25"/>
      <c r="R140" s="25"/>
      <c r="S140" s="25"/>
      <c r="V140" s="224"/>
      <c r="W140" s="260"/>
      <c r="Z140" s="260"/>
      <c r="AA140" s="260"/>
      <c r="AE140" s="260"/>
      <c r="AF140" s="260"/>
      <c r="AG140" s="260"/>
      <c r="AH140" s="260"/>
      <c r="AI140" s="260"/>
      <c r="AJ140" s="260"/>
    </row>
    <row r="141" spans="1:36" hidden="1">
      <c r="A141" s="251"/>
      <c r="B141" s="25"/>
      <c r="C141" s="25"/>
      <c r="D141" s="25"/>
      <c r="E141" s="33"/>
      <c r="F141" s="25"/>
      <c r="G141" s="261"/>
      <c r="H141" s="25"/>
      <c r="I141" s="25"/>
      <c r="J141" s="25"/>
      <c r="K141" s="25"/>
      <c r="L141" s="34"/>
      <c r="M141" s="34"/>
      <c r="N141" s="34"/>
      <c r="O141" s="25"/>
      <c r="P141" s="25"/>
      <c r="Q141" s="25"/>
      <c r="R141" s="25"/>
      <c r="S141" s="25"/>
      <c r="V141" s="224"/>
      <c r="W141" s="260"/>
      <c r="Z141" s="260"/>
      <c r="AA141" s="260"/>
      <c r="AE141" s="260"/>
      <c r="AF141" s="260"/>
      <c r="AG141" s="260"/>
      <c r="AH141" s="260"/>
      <c r="AI141" s="260"/>
      <c r="AJ141" s="260"/>
    </row>
    <row r="142" spans="1:36" hidden="1">
      <c r="A142" s="251"/>
      <c r="B142" s="25"/>
      <c r="C142" s="25"/>
      <c r="D142" s="25"/>
      <c r="E142" s="33"/>
      <c r="F142" s="25"/>
      <c r="G142" s="261"/>
      <c r="H142" s="25"/>
      <c r="I142" s="25"/>
      <c r="J142" s="25"/>
      <c r="K142" s="25"/>
      <c r="L142" s="34"/>
      <c r="M142" s="34"/>
      <c r="N142" s="34"/>
      <c r="O142" s="25"/>
      <c r="P142" s="25"/>
      <c r="Q142" s="25"/>
      <c r="R142" s="25"/>
      <c r="S142" s="25"/>
      <c r="V142" s="224"/>
      <c r="W142" s="260"/>
      <c r="Z142" s="260"/>
      <c r="AA142" s="260"/>
      <c r="AE142" s="260"/>
      <c r="AF142" s="260"/>
      <c r="AG142" s="260"/>
      <c r="AH142" s="260"/>
      <c r="AI142" s="260"/>
      <c r="AJ142" s="260"/>
    </row>
    <row r="143" spans="1:36" hidden="1">
      <c r="A143" s="251"/>
      <c r="B143" s="25"/>
      <c r="C143" s="25"/>
      <c r="D143" s="25"/>
      <c r="E143" s="33"/>
      <c r="F143" s="25"/>
      <c r="G143" s="261"/>
      <c r="H143" s="25"/>
      <c r="I143" s="25"/>
      <c r="J143" s="25"/>
      <c r="K143" s="25"/>
      <c r="L143" s="34"/>
      <c r="M143" s="34"/>
      <c r="N143" s="34"/>
      <c r="O143" s="25"/>
      <c r="P143" s="25"/>
      <c r="Q143" s="25"/>
      <c r="R143" s="25"/>
      <c r="S143" s="25"/>
      <c r="V143" s="224"/>
      <c r="W143" s="260"/>
      <c r="Z143" s="260"/>
      <c r="AA143" s="260"/>
      <c r="AE143" s="260"/>
      <c r="AF143" s="260"/>
      <c r="AG143" s="260"/>
      <c r="AH143" s="260"/>
      <c r="AI143" s="260"/>
      <c r="AJ143" s="260"/>
    </row>
    <row r="144" spans="1:36" hidden="1">
      <c r="A144" s="251"/>
      <c r="B144" s="25"/>
      <c r="C144" s="25"/>
      <c r="D144" s="25"/>
      <c r="E144" s="33"/>
      <c r="F144" s="25"/>
      <c r="G144" s="261"/>
      <c r="H144" s="25"/>
      <c r="I144" s="25"/>
      <c r="J144" s="25"/>
      <c r="K144" s="25"/>
      <c r="L144" s="34"/>
      <c r="M144" s="34"/>
      <c r="N144" s="34"/>
      <c r="O144" s="25"/>
      <c r="P144" s="25"/>
      <c r="Q144" s="25"/>
      <c r="R144" s="25"/>
      <c r="S144" s="25"/>
      <c r="V144" s="224"/>
      <c r="W144" s="260"/>
      <c r="Z144" s="260"/>
      <c r="AA144" s="260"/>
      <c r="AE144" s="260"/>
      <c r="AF144" s="260"/>
      <c r="AG144" s="260"/>
      <c r="AH144" s="260"/>
      <c r="AI144" s="260"/>
      <c r="AJ144" s="260"/>
    </row>
    <row r="145" spans="1:36" hidden="1">
      <c r="A145" s="251"/>
      <c r="B145" s="25"/>
      <c r="C145" s="25"/>
      <c r="D145" s="25"/>
      <c r="E145" s="33"/>
      <c r="F145" s="25"/>
      <c r="G145" s="261"/>
      <c r="H145" s="25"/>
      <c r="I145" s="25"/>
      <c r="J145" s="25"/>
      <c r="K145" s="25"/>
      <c r="L145" s="34"/>
      <c r="M145" s="34"/>
      <c r="N145" s="34"/>
      <c r="O145" s="25"/>
      <c r="P145" s="25"/>
      <c r="Q145" s="25"/>
      <c r="R145" s="25"/>
      <c r="S145" s="25"/>
      <c r="V145" s="224"/>
      <c r="W145" s="260"/>
      <c r="Z145" s="260"/>
      <c r="AA145" s="260"/>
      <c r="AE145" s="260"/>
      <c r="AF145" s="260"/>
      <c r="AG145" s="260"/>
      <c r="AH145" s="260"/>
      <c r="AI145" s="260"/>
      <c r="AJ145" s="260"/>
    </row>
    <row r="146" spans="1:36" hidden="1">
      <c r="A146" s="251"/>
      <c r="B146" s="25"/>
      <c r="C146" s="25"/>
      <c r="D146" s="25"/>
      <c r="E146" s="33"/>
      <c r="F146" s="25"/>
      <c r="G146" s="261"/>
      <c r="H146" s="25"/>
      <c r="I146" s="25"/>
      <c r="J146" s="25"/>
      <c r="K146" s="25"/>
      <c r="L146" s="34"/>
      <c r="M146" s="34"/>
      <c r="N146" s="34"/>
      <c r="O146" s="25"/>
      <c r="P146" s="25"/>
      <c r="Q146" s="25"/>
      <c r="R146" s="25"/>
      <c r="S146" s="25"/>
      <c r="V146" s="224"/>
      <c r="W146" s="260"/>
      <c r="Z146" s="260"/>
      <c r="AA146" s="260"/>
      <c r="AE146" s="260"/>
      <c r="AF146" s="260"/>
      <c r="AG146" s="260"/>
      <c r="AH146" s="260"/>
      <c r="AI146" s="260"/>
      <c r="AJ146" s="260"/>
    </row>
    <row r="147" spans="1:36" hidden="1">
      <c r="A147" s="251"/>
      <c r="B147" s="25"/>
      <c r="C147" s="25"/>
      <c r="D147" s="25"/>
      <c r="E147" s="33"/>
      <c r="F147" s="25"/>
      <c r="G147" s="261"/>
      <c r="H147" s="25"/>
      <c r="I147" s="25"/>
      <c r="J147" s="25"/>
      <c r="K147" s="25"/>
      <c r="L147" s="34"/>
      <c r="M147" s="34"/>
      <c r="N147" s="34"/>
      <c r="O147" s="25"/>
      <c r="P147" s="25"/>
      <c r="Q147" s="25"/>
      <c r="R147" s="25"/>
      <c r="S147" s="25"/>
      <c r="V147" s="224"/>
      <c r="W147" s="260"/>
      <c r="Z147" s="260"/>
      <c r="AA147" s="260"/>
      <c r="AE147" s="260"/>
      <c r="AF147" s="260"/>
      <c r="AG147" s="260"/>
      <c r="AH147" s="260"/>
      <c r="AI147" s="260"/>
      <c r="AJ147" s="260"/>
    </row>
    <row r="148" spans="1:36" hidden="1">
      <c r="A148" s="251"/>
      <c r="B148" s="25"/>
      <c r="C148" s="25"/>
      <c r="D148" s="25"/>
      <c r="E148" s="33"/>
      <c r="F148" s="25"/>
      <c r="G148" s="261"/>
      <c r="H148" s="25"/>
      <c r="I148" s="25"/>
      <c r="J148" s="25"/>
      <c r="K148" s="25"/>
      <c r="L148" s="34"/>
      <c r="M148" s="34"/>
      <c r="N148" s="34"/>
      <c r="O148" s="25"/>
      <c r="P148" s="25"/>
      <c r="Q148" s="25"/>
      <c r="R148" s="25"/>
      <c r="S148" s="25"/>
      <c r="V148" s="224"/>
      <c r="W148" s="260"/>
      <c r="Z148" s="260"/>
      <c r="AA148" s="260"/>
      <c r="AE148" s="260"/>
      <c r="AF148" s="260"/>
      <c r="AG148" s="260"/>
      <c r="AH148" s="260"/>
      <c r="AI148" s="260"/>
      <c r="AJ148" s="260"/>
    </row>
    <row r="149" spans="1:36" hidden="1">
      <c r="A149" s="251"/>
      <c r="B149" s="25"/>
      <c r="C149" s="25"/>
      <c r="D149" s="25"/>
      <c r="E149" s="33"/>
      <c r="F149" s="25"/>
      <c r="G149" s="261"/>
      <c r="H149" s="25"/>
      <c r="I149" s="25"/>
      <c r="J149" s="25"/>
      <c r="K149" s="25"/>
      <c r="L149" s="34"/>
      <c r="M149" s="34"/>
      <c r="N149" s="34"/>
      <c r="O149" s="25"/>
      <c r="P149" s="25"/>
      <c r="Q149" s="25"/>
      <c r="R149" s="25"/>
      <c r="S149" s="25"/>
      <c r="V149" s="224"/>
      <c r="W149" s="260"/>
      <c r="Z149" s="260"/>
      <c r="AA149" s="260"/>
      <c r="AE149" s="260"/>
      <c r="AF149" s="260"/>
      <c r="AG149" s="260"/>
      <c r="AH149" s="260"/>
      <c r="AI149" s="260"/>
      <c r="AJ149" s="260"/>
    </row>
    <row r="150" spans="1:36" hidden="1">
      <c r="A150" s="251"/>
      <c r="B150" s="25"/>
      <c r="C150" s="25"/>
      <c r="D150" s="25"/>
      <c r="E150" s="33"/>
      <c r="F150" s="25"/>
      <c r="G150" s="261"/>
      <c r="H150" s="25"/>
      <c r="I150" s="25"/>
      <c r="J150" s="25"/>
      <c r="K150" s="25"/>
      <c r="L150" s="34"/>
      <c r="M150" s="34"/>
      <c r="N150" s="34"/>
      <c r="O150" s="25"/>
      <c r="P150" s="25"/>
      <c r="Q150" s="25"/>
      <c r="R150" s="25"/>
      <c r="S150" s="25"/>
      <c r="V150" s="224"/>
      <c r="W150" s="260"/>
      <c r="Z150" s="260"/>
      <c r="AA150" s="260"/>
      <c r="AE150" s="260"/>
      <c r="AF150" s="260"/>
      <c r="AG150" s="260"/>
      <c r="AH150" s="260"/>
      <c r="AI150" s="260"/>
      <c r="AJ150" s="260"/>
    </row>
    <row r="151" spans="1:36" hidden="1">
      <c r="A151" s="251"/>
      <c r="B151" s="25"/>
      <c r="C151" s="25"/>
      <c r="D151" s="25"/>
      <c r="E151" s="33"/>
      <c r="F151" s="25"/>
      <c r="G151" s="261"/>
      <c r="H151" s="25"/>
      <c r="I151" s="25"/>
      <c r="J151" s="25"/>
      <c r="K151" s="25"/>
      <c r="L151" s="34"/>
      <c r="M151" s="34"/>
      <c r="N151" s="34"/>
      <c r="O151" s="25"/>
      <c r="P151" s="25"/>
      <c r="Q151" s="25"/>
      <c r="R151" s="25"/>
      <c r="S151" s="25"/>
      <c r="V151" s="224"/>
      <c r="W151" s="260"/>
      <c r="Z151" s="260"/>
      <c r="AA151" s="260"/>
      <c r="AE151" s="260"/>
      <c r="AF151" s="260"/>
      <c r="AG151" s="260"/>
      <c r="AH151" s="260"/>
      <c r="AI151" s="260"/>
      <c r="AJ151" s="260"/>
    </row>
    <row r="152" spans="1:36" hidden="1">
      <c r="A152" s="251"/>
      <c r="B152" s="25"/>
      <c r="C152" s="25"/>
      <c r="D152" s="25"/>
      <c r="E152" s="33"/>
      <c r="F152" s="25"/>
      <c r="G152" s="261"/>
      <c r="H152" s="25"/>
      <c r="I152" s="25"/>
      <c r="J152" s="25"/>
      <c r="K152" s="25"/>
      <c r="L152" s="34"/>
      <c r="M152" s="34"/>
      <c r="N152" s="34"/>
      <c r="O152" s="25"/>
      <c r="P152" s="25"/>
      <c r="Q152" s="25"/>
      <c r="R152" s="25"/>
      <c r="S152" s="25"/>
      <c r="V152" s="224"/>
      <c r="W152" s="260"/>
      <c r="Z152" s="260"/>
      <c r="AA152" s="260"/>
      <c r="AE152" s="260"/>
      <c r="AF152" s="260"/>
      <c r="AG152" s="260"/>
      <c r="AH152" s="260"/>
      <c r="AI152" s="260"/>
      <c r="AJ152" s="260"/>
    </row>
    <row r="153" spans="1:36" hidden="1">
      <c r="A153" s="251"/>
      <c r="B153" s="25"/>
      <c r="C153" s="25"/>
      <c r="D153" s="25"/>
      <c r="E153" s="33"/>
      <c r="F153" s="25"/>
      <c r="G153" s="261"/>
      <c r="H153" s="25"/>
      <c r="I153" s="25"/>
      <c r="J153" s="25"/>
      <c r="K153" s="25"/>
      <c r="L153" s="34"/>
      <c r="M153" s="34"/>
      <c r="N153" s="34"/>
      <c r="O153" s="25"/>
      <c r="P153" s="25"/>
      <c r="Q153" s="25"/>
      <c r="R153" s="25"/>
      <c r="S153" s="25"/>
      <c r="V153" s="224"/>
      <c r="W153" s="260"/>
      <c r="Z153" s="260"/>
      <c r="AA153" s="260"/>
      <c r="AE153" s="260"/>
      <c r="AF153" s="260"/>
      <c r="AG153" s="260"/>
      <c r="AH153" s="260"/>
      <c r="AI153" s="260"/>
      <c r="AJ153" s="260"/>
    </row>
    <row r="154" spans="1:36" hidden="1">
      <c r="A154" s="251"/>
      <c r="B154" s="25"/>
      <c r="C154" s="25"/>
      <c r="D154" s="25"/>
      <c r="E154" s="33"/>
      <c r="F154" s="25"/>
      <c r="G154" s="261"/>
      <c r="H154" s="25"/>
      <c r="I154" s="25"/>
      <c r="J154" s="25"/>
      <c r="K154" s="25"/>
      <c r="L154" s="34"/>
      <c r="M154" s="34"/>
      <c r="N154" s="34"/>
      <c r="O154" s="25"/>
      <c r="P154" s="25"/>
      <c r="Q154" s="25"/>
      <c r="R154" s="25"/>
      <c r="S154" s="25"/>
      <c r="V154" s="224"/>
      <c r="W154" s="260"/>
      <c r="Z154" s="260"/>
      <c r="AA154" s="260"/>
      <c r="AE154" s="260"/>
      <c r="AF154" s="260"/>
      <c r="AG154" s="260"/>
      <c r="AH154" s="260"/>
      <c r="AI154" s="260"/>
      <c r="AJ154" s="260"/>
    </row>
    <row r="155" spans="1:36" hidden="1">
      <c r="A155" s="251"/>
      <c r="B155" s="25"/>
      <c r="C155" s="25"/>
      <c r="D155" s="25"/>
      <c r="E155" s="33"/>
      <c r="F155" s="25"/>
      <c r="G155" s="261"/>
      <c r="H155" s="25"/>
      <c r="I155" s="25"/>
      <c r="J155" s="25"/>
      <c r="K155" s="25"/>
      <c r="L155" s="34"/>
      <c r="M155" s="34"/>
      <c r="N155" s="34"/>
      <c r="O155" s="25"/>
      <c r="P155" s="25"/>
      <c r="Q155" s="25"/>
      <c r="R155" s="25"/>
      <c r="S155" s="25"/>
      <c r="V155" s="224"/>
      <c r="W155" s="260"/>
      <c r="Z155" s="260"/>
      <c r="AA155" s="260"/>
      <c r="AE155" s="260"/>
      <c r="AF155" s="260"/>
      <c r="AG155" s="260"/>
      <c r="AH155" s="260"/>
      <c r="AI155" s="260"/>
      <c r="AJ155" s="260"/>
    </row>
    <row r="156" spans="1:36" hidden="1">
      <c r="A156" s="251"/>
      <c r="B156" s="25"/>
      <c r="C156" s="25"/>
      <c r="D156" s="25"/>
      <c r="E156" s="33"/>
      <c r="F156" s="25"/>
      <c r="G156" s="261"/>
      <c r="H156" s="25"/>
      <c r="I156" s="25"/>
      <c r="J156" s="25"/>
      <c r="K156" s="25"/>
      <c r="L156" s="34"/>
      <c r="M156" s="34"/>
      <c r="N156" s="34"/>
      <c r="O156" s="25"/>
      <c r="P156" s="25"/>
      <c r="Q156" s="25"/>
      <c r="R156" s="25"/>
      <c r="S156" s="25"/>
      <c r="V156" s="224"/>
      <c r="W156" s="260"/>
      <c r="Z156" s="260"/>
      <c r="AA156" s="260"/>
      <c r="AE156" s="260"/>
      <c r="AF156" s="260"/>
      <c r="AG156" s="260"/>
      <c r="AH156" s="260"/>
      <c r="AI156" s="260"/>
      <c r="AJ156" s="260"/>
    </row>
    <row r="157" spans="1:36" hidden="1">
      <c r="A157" s="251"/>
      <c r="B157" s="25"/>
      <c r="C157" s="25"/>
      <c r="D157" s="25"/>
      <c r="E157" s="33"/>
      <c r="F157" s="25"/>
      <c r="G157" s="261"/>
      <c r="H157" s="25"/>
      <c r="I157" s="25"/>
      <c r="J157" s="25"/>
      <c r="K157" s="25"/>
      <c r="L157" s="34"/>
      <c r="M157" s="34"/>
      <c r="N157" s="34"/>
      <c r="O157" s="25"/>
      <c r="P157" s="25"/>
      <c r="Q157" s="25"/>
      <c r="R157" s="25"/>
      <c r="S157" s="25"/>
      <c r="V157" s="224"/>
      <c r="W157" s="260"/>
      <c r="Z157" s="260"/>
      <c r="AA157" s="260"/>
      <c r="AE157" s="260"/>
      <c r="AF157" s="260"/>
      <c r="AG157" s="260"/>
      <c r="AH157" s="260"/>
      <c r="AI157" s="260"/>
      <c r="AJ157" s="260"/>
    </row>
    <row r="158" spans="1:36" hidden="1">
      <c r="A158" s="251"/>
      <c r="B158" s="25"/>
      <c r="C158" s="25"/>
      <c r="D158" s="25"/>
      <c r="E158" s="33"/>
      <c r="F158" s="25"/>
      <c r="G158" s="261"/>
      <c r="H158" s="25"/>
      <c r="I158" s="25"/>
      <c r="J158" s="25"/>
      <c r="K158" s="25"/>
      <c r="L158" s="34"/>
      <c r="M158" s="34"/>
      <c r="N158" s="34"/>
      <c r="O158" s="25"/>
      <c r="P158" s="25"/>
      <c r="Q158" s="25"/>
      <c r="R158" s="25"/>
      <c r="S158" s="25"/>
      <c r="V158" s="224"/>
      <c r="W158" s="260"/>
      <c r="Z158" s="260"/>
      <c r="AA158" s="260"/>
      <c r="AE158" s="260"/>
      <c r="AF158" s="260"/>
      <c r="AG158" s="260"/>
      <c r="AH158" s="260"/>
      <c r="AI158" s="260"/>
      <c r="AJ158" s="260"/>
    </row>
    <row r="159" spans="1:36" hidden="1">
      <c r="A159" s="251"/>
      <c r="B159" s="25"/>
      <c r="C159" s="25"/>
      <c r="D159" s="25"/>
      <c r="E159" s="33"/>
      <c r="F159" s="25"/>
      <c r="G159" s="261"/>
      <c r="H159" s="25"/>
      <c r="I159" s="25"/>
      <c r="J159" s="25"/>
      <c r="K159" s="25"/>
      <c r="L159" s="34"/>
      <c r="M159" s="34"/>
      <c r="N159" s="34"/>
      <c r="O159" s="25"/>
      <c r="P159" s="25"/>
      <c r="Q159" s="25"/>
      <c r="R159" s="25"/>
      <c r="S159" s="25"/>
      <c r="V159" s="224"/>
      <c r="W159" s="260"/>
      <c r="Z159" s="260"/>
      <c r="AA159" s="260"/>
      <c r="AE159" s="260"/>
      <c r="AF159" s="260"/>
      <c r="AG159" s="260"/>
      <c r="AH159" s="260"/>
      <c r="AI159" s="260"/>
      <c r="AJ159" s="260"/>
    </row>
    <row r="160" spans="1:36" hidden="1">
      <c r="A160" s="251"/>
      <c r="B160" s="25"/>
      <c r="C160" s="25"/>
      <c r="D160" s="25"/>
      <c r="E160" s="33"/>
      <c r="F160" s="25"/>
      <c r="G160" s="261"/>
      <c r="H160" s="25"/>
      <c r="I160" s="25"/>
      <c r="J160" s="25"/>
      <c r="K160" s="25"/>
      <c r="L160" s="34"/>
      <c r="M160" s="34"/>
      <c r="N160" s="34"/>
      <c r="O160" s="25"/>
      <c r="P160" s="25"/>
      <c r="Q160" s="25"/>
      <c r="R160" s="25"/>
      <c r="S160" s="25"/>
      <c r="V160" s="224"/>
      <c r="W160" s="260"/>
      <c r="Z160" s="260"/>
      <c r="AA160" s="260"/>
      <c r="AE160" s="260"/>
      <c r="AF160" s="260"/>
      <c r="AG160" s="260"/>
      <c r="AH160" s="260"/>
      <c r="AI160" s="260"/>
      <c r="AJ160" s="260"/>
    </row>
    <row r="161" spans="1:36" hidden="1">
      <c r="A161" s="251"/>
      <c r="B161" s="25"/>
      <c r="C161" s="25"/>
      <c r="D161" s="25"/>
      <c r="E161" s="33"/>
      <c r="F161" s="25"/>
      <c r="G161" s="261"/>
      <c r="H161" s="25"/>
      <c r="I161" s="25"/>
      <c r="J161" s="25"/>
      <c r="K161" s="25"/>
      <c r="L161" s="34"/>
      <c r="M161" s="34"/>
      <c r="N161" s="34"/>
      <c r="O161" s="25"/>
      <c r="P161" s="25"/>
      <c r="Q161" s="25"/>
      <c r="R161" s="25"/>
      <c r="S161" s="25"/>
      <c r="V161" s="224"/>
      <c r="W161" s="260"/>
      <c r="Z161" s="260"/>
      <c r="AA161" s="260"/>
      <c r="AE161" s="260"/>
      <c r="AF161" s="260"/>
      <c r="AG161" s="260"/>
      <c r="AH161" s="260"/>
      <c r="AI161" s="260"/>
      <c r="AJ161" s="260"/>
    </row>
    <row r="162" spans="1:36" hidden="1">
      <c r="A162" s="251"/>
      <c r="B162" s="25"/>
      <c r="C162" s="25"/>
      <c r="D162" s="25"/>
      <c r="E162" s="33"/>
      <c r="F162" s="25"/>
      <c r="G162" s="261"/>
      <c r="H162" s="25"/>
      <c r="I162" s="25"/>
      <c r="J162" s="25"/>
      <c r="K162" s="25"/>
      <c r="L162" s="34"/>
      <c r="M162" s="34"/>
      <c r="N162" s="34"/>
      <c r="O162" s="25"/>
      <c r="P162" s="25"/>
      <c r="Q162" s="25"/>
      <c r="R162" s="25"/>
      <c r="S162" s="25"/>
      <c r="V162" s="224"/>
      <c r="W162" s="260"/>
      <c r="Z162" s="260"/>
      <c r="AA162" s="260"/>
      <c r="AE162" s="260"/>
      <c r="AF162" s="260"/>
      <c r="AG162" s="260"/>
      <c r="AH162" s="260"/>
      <c r="AI162" s="260"/>
      <c r="AJ162" s="260"/>
    </row>
    <row r="163" spans="1:36" hidden="1">
      <c r="A163" s="251"/>
      <c r="B163" s="25"/>
      <c r="C163" s="25"/>
      <c r="D163" s="25"/>
      <c r="E163" s="33"/>
      <c r="F163" s="25"/>
      <c r="G163" s="261"/>
      <c r="H163" s="25"/>
      <c r="I163" s="25"/>
      <c r="J163" s="25"/>
      <c r="K163" s="25"/>
      <c r="L163" s="34"/>
      <c r="M163" s="34"/>
      <c r="N163" s="34"/>
      <c r="O163" s="25"/>
      <c r="P163" s="25"/>
      <c r="Q163" s="25"/>
      <c r="R163" s="25"/>
      <c r="S163" s="25"/>
      <c r="V163" s="224"/>
      <c r="W163" s="260"/>
      <c r="Z163" s="260"/>
      <c r="AA163" s="260"/>
      <c r="AE163" s="260"/>
      <c r="AF163" s="260"/>
      <c r="AG163" s="260"/>
      <c r="AH163" s="260"/>
      <c r="AI163" s="260"/>
      <c r="AJ163" s="260"/>
    </row>
    <row r="164" spans="1:36" hidden="1">
      <c r="A164" s="251"/>
      <c r="B164" s="25"/>
      <c r="C164" s="25"/>
      <c r="D164" s="25"/>
      <c r="E164" s="33"/>
      <c r="F164" s="25"/>
      <c r="G164" s="261"/>
      <c r="H164" s="25"/>
      <c r="I164" s="25"/>
      <c r="J164" s="25"/>
      <c r="K164" s="25"/>
      <c r="L164" s="34"/>
      <c r="M164" s="34"/>
      <c r="N164" s="34"/>
      <c r="O164" s="25"/>
      <c r="P164" s="25"/>
      <c r="Q164" s="25"/>
      <c r="R164" s="25"/>
      <c r="S164" s="25"/>
      <c r="V164" s="224"/>
      <c r="W164" s="260"/>
      <c r="Z164" s="260"/>
      <c r="AA164" s="260"/>
      <c r="AE164" s="260"/>
      <c r="AF164" s="260"/>
      <c r="AG164" s="260"/>
      <c r="AH164" s="260"/>
      <c r="AI164" s="260"/>
      <c r="AJ164" s="260"/>
    </row>
    <row r="165" spans="1:36" hidden="1">
      <c r="A165" s="251"/>
      <c r="B165" s="25"/>
      <c r="C165" s="25"/>
      <c r="D165" s="25"/>
      <c r="E165" s="33"/>
      <c r="F165" s="25"/>
      <c r="G165" s="261"/>
      <c r="H165" s="25"/>
      <c r="I165" s="25"/>
      <c r="J165" s="25"/>
      <c r="K165" s="25"/>
      <c r="L165" s="34"/>
      <c r="M165" s="34"/>
      <c r="N165" s="34"/>
      <c r="O165" s="25"/>
      <c r="P165" s="25"/>
      <c r="Q165" s="25"/>
      <c r="R165" s="25"/>
      <c r="S165" s="25"/>
      <c r="V165" s="224"/>
      <c r="W165" s="260"/>
      <c r="Z165" s="260"/>
      <c r="AA165" s="260"/>
      <c r="AE165" s="260"/>
      <c r="AF165" s="260"/>
      <c r="AG165" s="260"/>
      <c r="AH165" s="260"/>
      <c r="AI165" s="260"/>
      <c r="AJ165" s="260"/>
    </row>
    <row r="166" spans="1:36" hidden="1">
      <c r="A166" s="251"/>
      <c r="B166" s="25"/>
      <c r="C166" s="25"/>
      <c r="D166" s="25"/>
      <c r="E166" s="33"/>
      <c r="F166" s="25"/>
      <c r="G166" s="261"/>
      <c r="H166" s="25"/>
      <c r="I166" s="25"/>
      <c r="J166" s="25"/>
      <c r="K166" s="25"/>
      <c r="L166" s="34"/>
      <c r="M166" s="34"/>
      <c r="N166" s="34"/>
      <c r="O166" s="25"/>
      <c r="P166" s="25"/>
      <c r="Q166" s="25"/>
      <c r="R166" s="25"/>
      <c r="S166" s="25"/>
      <c r="V166" s="224"/>
      <c r="W166" s="260"/>
      <c r="Z166" s="260"/>
      <c r="AA166" s="260"/>
      <c r="AE166" s="260"/>
      <c r="AF166" s="260"/>
      <c r="AG166" s="260"/>
      <c r="AH166" s="260"/>
      <c r="AI166" s="260"/>
      <c r="AJ166" s="260"/>
    </row>
    <row r="167" spans="1:36" hidden="1">
      <c r="A167" s="251"/>
      <c r="B167" s="25"/>
      <c r="C167" s="25"/>
      <c r="D167" s="25"/>
      <c r="E167" s="33"/>
      <c r="F167" s="25"/>
      <c r="G167" s="261"/>
      <c r="H167" s="25"/>
      <c r="I167" s="25"/>
      <c r="J167" s="25"/>
      <c r="K167" s="25"/>
      <c r="L167" s="34"/>
      <c r="M167" s="34"/>
      <c r="N167" s="34"/>
      <c r="O167" s="25"/>
      <c r="P167" s="25"/>
      <c r="Q167" s="25"/>
      <c r="R167" s="25"/>
      <c r="S167" s="25"/>
      <c r="V167" s="224"/>
      <c r="W167" s="260"/>
      <c r="Z167" s="260"/>
      <c r="AA167" s="260"/>
      <c r="AE167" s="260"/>
      <c r="AF167" s="260"/>
      <c r="AG167" s="260"/>
      <c r="AH167" s="260"/>
      <c r="AI167" s="260"/>
      <c r="AJ167" s="260"/>
    </row>
    <row r="168" spans="1:36" hidden="1">
      <c r="A168" s="251"/>
      <c r="B168" s="25"/>
      <c r="C168" s="25"/>
      <c r="D168" s="25"/>
      <c r="E168" s="33"/>
      <c r="F168" s="25"/>
      <c r="G168" s="261"/>
      <c r="H168" s="25"/>
      <c r="I168" s="25"/>
      <c r="J168" s="25"/>
      <c r="K168" s="25"/>
      <c r="L168" s="34"/>
      <c r="M168" s="34"/>
      <c r="N168" s="34"/>
      <c r="O168" s="25"/>
      <c r="P168" s="25"/>
      <c r="Q168" s="25"/>
      <c r="R168" s="25"/>
      <c r="S168" s="25"/>
      <c r="V168" s="224"/>
      <c r="W168" s="260"/>
      <c r="Z168" s="260"/>
      <c r="AA168" s="260"/>
      <c r="AE168" s="260"/>
      <c r="AF168" s="260"/>
      <c r="AG168" s="260"/>
      <c r="AH168" s="260"/>
      <c r="AI168" s="260"/>
      <c r="AJ168" s="260"/>
    </row>
    <row r="169" spans="1:36" hidden="1">
      <c r="A169" s="251"/>
      <c r="B169" s="25"/>
      <c r="C169" s="25"/>
      <c r="D169" s="25"/>
      <c r="E169" s="33"/>
      <c r="F169" s="25"/>
      <c r="G169" s="261"/>
      <c r="H169" s="25"/>
      <c r="I169" s="25"/>
      <c r="J169" s="25"/>
      <c r="K169" s="25"/>
      <c r="L169" s="34"/>
      <c r="M169" s="34"/>
      <c r="N169" s="34"/>
      <c r="O169" s="25"/>
      <c r="P169" s="25"/>
      <c r="Q169" s="25"/>
      <c r="R169" s="25"/>
      <c r="S169" s="25"/>
      <c r="V169" s="224"/>
      <c r="W169" s="260"/>
      <c r="Z169" s="260"/>
      <c r="AA169" s="260"/>
      <c r="AE169" s="260"/>
      <c r="AF169" s="260"/>
      <c r="AG169" s="260"/>
      <c r="AH169" s="260"/>
      <c r="AI169" s="260"/>
      <c r="AJ169" s="260"/>
    </row>
    <row r="170" spans="1:36" hidden="1">
      <c r="A170" s="251"/>
      <c r="B170" s="25"/>
      <c r="C170" s="25"/>
      <c r="D170" s="25"/>
      <c r="E170" s="33"/>
      <c r="F170" s="25"/>
      <c r="G170" s="261"/>
      <c r="H170" s="25"/>
      <c r="I170" s="25"/>
      <c r="J170" s="25"/>
      <c r="K170" s="25"/>
      <c r="L170" s="34"/>
      <c r="M170" s="34"/>
      <c r="N170" s="34"/>
      <c r="O170" s="25"/>
      <c r="P170" s="25"/>
      <c r="Q170" s="25"/>
      <c r="R170" s="25"/>
      <c r="S170" s="25"/>
      <c r="V170" s="224"/>
      <c r="W170" s="260"/>
      <c r="Z170" s="260"/>
      <c r="AA170" s="260"/>
      <c r="AE170" s="260"/>
      <c r="AF170" s="260"/>
      <c r="AG170" s="260"/>
      <c r="AH170" s="260"/>
      <c r="AI170" s="260"/>
      <c r="AJ170" s="260"/>
    </row>
    <row r="171" spans="1:36" hidden="1">
      <c r="A171" s="251"/>
      <c r="B171" s="25"/>
      <c r="C171" s="25"/>
      <c r="D171" s="25"/>
      <c r="E171" s="33"/>
      <c r="F171" s="25"/>
      <c r="G171" s="261"/>
      <c r="H171" s="25"/>
      <c r="I171" s="25"/>
      <c r="J171" s="25"/>
      <c r="K171" s="25"/>
      <c r="L171" s="34"/>
      <c r="M171" s="34"/>
      <c r="N171" s="34"/>
      <c r="O171" s="25"/>
      <c r="P171" s="25"/>
      <c r="Q171" s="25"/>
      <c r="R171" s="25"/>
      <c r="S171" s="25"/>
      <c r="V171" s="224"/>
      <c r="W171" s="260"/>
      <c r="Z171" s="260"/>
      <c r="AA171" s="260"/>
      <c r="AE171" s="260"/>
      <c r="AF171" s="260"/>
      <c r="AG171" s="260"/>
      <c r="AH171" s="260"/>
      <c r="AI171" s="260"/>
      <c r="AJ171" s="260"/>
    </row>
    <row r="172" spans="1:36" hidden="1">
      <c r="A172" s="251"/>
      <c r="B172" s="25"/>
      <c r="C172" s="25"/>
      <c r="D172" s="25"/>
      <c r="E172" s="33"/>
      <c r="F172" s="25"/>
      <c r="G172" s="261"/>
      <c r="H172" s="25"/>
      <c r="I172" s="25"/>
      <c r="J172" s="25"/>
      <c r="K172" s="25"/>
      <c r="L172" s="34"/>
      <c r="M172" s="34"/>
      <c r="N172" s="34"/>
      <c r="O172" s="25"/>
      <c r="P172" s="25"/>
      <c r="Q172" s="25"/>
      <c r="R172" s="25"/>
      <c r="S172" s="25"/>
      <c r="V172" s="224"/>
      <c r="W172" s="260"/>
      <c r="Z172" s="260"/>
      <c r="AA172" s="260"/>
      <c r="AE172" s="260"/>
      <c r="AF172" s="260"/>
      <c r="AG172" s="260"/>
      <c r="AH172" s="260"/>
      <c r="AI172" s="260"/>
      <c r="AJ172" s="260"/>
    </row>
    <row r="173" spans="1:36" hidden="1">
      <c r="A173" s="251"/>
      <c r="B173" s="25"/>
      <c r="C173" s="25"/>
      <c r="D173" s="25"/>
      <c r="E173" s="33"/>
      <c r="F173" s="25"/>
      <c r="G173" s="261"/>
      <c r="H173" s="25"/>
      <c r="I173" s="25"/>
      <c r="J173" s="25"/>
      <c r="K173" s="25"/>
      <c r="L173" s="34"/>
      <c r="M173" s="34"/>
      <c r="N173" s="34"/>
      <c r="O173" s="25"/>
      <c r="P173" s="25"/>
      <c r="Q173" s="25"/>
      <c r="R173" s="25"/>
      <c r="S173" s="25"/>
      <c r="V173" s="224"/>
      <c r="W173" s="260"/>
      <c r="Z173" s="260"/>
      <c r="AA173" s="260"/>
      <c r="AE173" s="260"/>
      <c r="AF173" s="260"/>
      <c r="AG173" s="260"/>
      <c r="AH173" s="260"/>
      <c r="AI173" s="260"/>
      <c r="AJ173" s="260"/>
    </row>
    <row r="174" spans="1:36" hidden="1">
      <c r="A174" s="251"/>
      <c r="B174" s="25"/>
      <c r="C174" s="25"/>
      <c r="D174" s="25"/>
      <c r="E174" s="33"/>
      <c r="F174" s="25"/>
      <c r="G174" s="261"/>
      <c r="H174" s="25"/>
      <c r="I174" s="25"/>
      <c r="J174" s="25"/>
      <c r="K174" s="25"/>
      <c r="L174" s="34"/>
      <c r="M174" s="34"/>
      <c r="N174" s="34"/>
      <c r="O174" s="25"/>
      <c r="P174" s="25"/>
      <c r="Q174" s="25"/>
      <c r="R174" s="25"/>
      <c r="S174" s="25"/>
      <c r="V174" s="224"/>
      <c r="W174" s="260"/>
      <c r="Z174" s="260"/>
      <c r="AA174" s="260"/>
      <c r="AE174" s="260"/>
      <c r="AF174" s="260"/>
      <c r="AG174" s="260"/>
      <c r="AH174" s="260"/>
      <c r="AI174" s="260"/>
      <c r="AJ174" s="260"/>
    </row>
    <row r="175" spans="1:36" hidden="1">
      <c r="A175" s="251"/>
      <c r="B175" s="25"/>
      <c r="C175" s="25"/>
      <c r="D175" s="25"/>
      <c r="E175" s="33"/>
      <c r="F175" s="25"/>
      <c r="G175" s="261"/>
      <c r="H175" s="25"/>
      <c r="I175" s="25"/>
      <c r="J175" s="25"/>
      <c r="K175" s="25"/>
      <c r="L175" s="34"/>
      <c r="M175" s="34"/>
      <c r="N175" s="34"/>
      <c r="O175" s="25"/>
      <c r="P175" s="25"/>
      <c r="Q175" s="25"/>
      <c r="R175" s="25"/>
      <c r="S175" s="25"/>
      <c r="V175" s="224"/>
      <c r="W175" s="260"/>
      <c r="Z175" s="260"/>
      <c r="AA175" s="260"/>
      <c r="AE175" s="260"/>
      <c r="AF175" s="260"/>
      <c r="AG175" s="260"/>
      <c r="AH175" s="260"/>
      <c r="AI175" s="260"/>
      <c r="AJ175" s="260"/>
    </row>
    <row r="176" spans="1:36" hidden="1">
      <c r="A176" s="251"/>
      <c r="B176" s="25"/>
      <c r="C176" s="25"/>
      <c r="D176" s="25"/>
      <c r="E176" s="33"/>
      <c r="F176" s="25"/>
      <c r="G176" s="261"/>
      <c r="H176" s="25"/>
      <c r="I176" s="25"/>
      <c r="J176" s="25"/>
      <c r="K176" s="25"/>
      <c r="L176" s="34"/>
      <c r="M176" s="34"/>
      <c r="N176" s="34"/>
      <c r="O176" s="25"/>
      <c r="P176" s="25"/>
      <c r="Q176" s="25"/>
      <c r="R176" s="25"/>
      <c r="S176" s="25"/>
      <c r="V176" s="224"/>
      <c r="W176" s="260"/>
      <c r="Z176" s="260"/>
      <c r="AA176" s="260"/>
      <c r="AE176" s="260"/>
      <c r="AF176" s="260"/>
      <c r="AG176" s="260"/>
      <c r="AH176" s="260"/>
      <c r="AI176" s="260"/>
      <c r="AJ176" s="260"/>
    </row>
    <row r="177" spans="1:36" hidden="1">
      <c r="A177" s="251"/>
      <c r="B177" s="25"/>
      <c r="C177" s="25"/>
      <c r="D177" s="25"/>
      <c r="E177" s="33"/>
      <c r="F177" s="25"/>
      <c r="G177" s="261"/>
      <c r="H177" s="25"/>
      <c r="I177" s="25"/>
      <c r="J177" s="25"/>
      <c r="K177" s="25"/>
      <c r="L177" s="34"/>
      <c r="M177" s="34"/>
      <c r="N177" s="34"/>
      <c r="O177" s="25"/>
      <c r="P177" s="25"/>
      <c r="Q177" s="25"/>
      <c r="R177" s="25"/>
      <c r="S177" s="25"/>
      <c r="V177" s="224"/>
      <c r="W177" s="260"/>
      <c r="Z177" s="260"/>
      <c r="AA177" s="260"/>
      <c r="AE177" s="260"/>
      <c r="AF177" s="260"/>
      <c r="AG177" s="260"/>
      <c r="AH177" s="260"/>
      <c r="AI177" s="260"/>
      <c r="AJ177" s="260"/>
    </row>
    <row r="178" spans="1:36" hidden="1">
      <c r="A178" s="251"/>
      <c r="B178" s="25"/>
      <c r="C178" s="25"/>
      <c r="D178" s="25"/>
      <c r="E178" s="33"/>
      <c r="F178" s="25"/>
      <c r="G178" s="261"/>
      <c r="H178" s="25"/>
      <c r="I178" s="25"/>
      <c r="J178" s="25"/>
      <c r="K178" s="25"/>
      <c r="L178" s="34"/>
      <c r="M178" s="34"/>
      <c r="N178" s="34"/>
      <c r="O178" s="25"/>
      <c r="P178" s="25"/>
      <c r="Q178" s="25"/>
      <c r="R178" s="25"/>
      <c r="S178" s="25"/>
      <c r="V178" s="224"/>
      <c r="W178" s="260"/>
      <c r="Z178" s="260"/>
      <c r="AA178" s="260"/>
      <c r="AE178" s="260"/>
      <c r="AF178" s="260"/>
      <c r="AG178" s="260"/>
      <c r="AH178" s="260"/>
      <c r="AI178" s="260"/>
      <c r="AJ178" s="260"/>
    </row>
    <row r="179" spans="1:36" hidden="1">
      <c r="A179" s="251"/>
      <c r="B179" s="25"/>
      <c r="C179" s="25"/>
      <c r="D179" s="25"/>
      <c r="E179" s="33"/>
      <c r="F179" s="25"/>
      <c r="G179" s="261"/>
      <c r="H179" s="25"/>
      <c r="I179" s="25"/>
      <c r="J179" s="25"/>
      <c r="K179" s="25"/>
      <c r="L179" s="34"/>
      <c r="M179" s="34"/>
      <c r="N179" s="34"/>
      <c r="O179" s="25"/>
      <c r="P179" s="25"/>
      <c r="Q179" s="25"/>
      <c r="R179" s="25"/>
      <c r="S179" s="25"/>
      <c r="V179" s="224"/>
      <c r="W179" s="260"/>
      <c r="Z179" s="260"/>
      <c r="AA179" s="260"/>
      <c r="AE179" s="260"/>
      <c r="AF179" s="260"/>
      <c r="AG179" s="260"/>
      <c r="AH179" s="260"/>
      <c r="AI179" s="260"/>
      <c r="AJ179" s="260"/>
    </row>
    <row r="180" spans="1:36" hidden="1">
      <c r="A180" s="251"/>
      <c r="B180" s="25"/>
      <c r="C180" s="25"/>
      <c r="D180" s="25"/>
      <c r="E180" s="33"/>
      <c r="F180" s="25"/>
      <c r="G180" s="261"/>
      <c r="H180" s="25"/>
      <c r="I180" s="25"/>
      <c r="J180" s="25"/>
      <c r="K180" s="25"/>
      <c r="L180" s="34"/>
      <c r="M180" s="34"/>
      <c r="N180" s="34"/>
      <c r="O180" s="25"/>
      <c r="P180" s="25"/>
      <c r="Q180" s="25"/>
      <c r="R180" s="25"/>
      <c r="S180" s="25"/>
      <c r="V180" s="224"/>
      <c r="W180" s="260"/>
      <c r="Z180" s="260"/>
      <c r="AA180" s="260"/>
      <c r="AE180" s="260"/>
      <c r="AF180" s="260"/>
      <c r="AG180" s="260"/>
      <c r="AH180" s="260"/>
      <c r="AI180" s="260"/>
      <c r="AJ180" s="260"/>
    </row>
    <row r="181" spans="1:36" hidden="1">
      <c r="A181" s="251"/>
      <c r="B181" s="25"/>
      <c r="C181" s="25"/>
      <c r="D181" s="25"/>
      <c r="E181" s="33"/>
      <c r="F181" s="25"/>
      <c r="G181" s="261"/>
      <c r="H181" s="25"/>
      <c r="I181" s="25"/>
      <c r="J181" s="25"/>
      <c r="K181" s="25"/>
      <c r="L181" s="34"/>
      <c r="M181" s="34"/>
      <c r="N181" s="34"/>
      <c r="O181" s="25"/>
      <c r="P181" s="25"/>
      <c r="Q181" s="25"/>
      <c r="R181" s="25"/>
      <c r="S181" s="25"/>
      <c r="V181" s="224"/>
      <c r="Z181" s="260"/>
      <c r="AA181" s="260"/>
      <c r="AE181" s="260"/>
      <c r="AF181" s="260"/>
      <c r="AG181" s="260"/>
      <c r="AH181" s="260"/>
      <c r="AI181" s="260"/>
      <c r="AJ181" s="260"/>
    </row>
    <row r="182" spans="1:36" hidden="1">
      <c r="A182" s="251"/>
      <c r="B182" s="25"/>
      <c r="C182" s="25"/>
      <c r="D182" s="25"/>
      <c r="E182" s="33"/>
      <c r="F182" s="25"/>
      <c r="G182" s="261"/>
      <c r="H182" s="25"/>
      <c r="I182" s="25"/>
      <c r="J182" s="25"/>
      <c r="K182" s="25"/>
      <c r="L182" s="34"/>
      <c r="M182" s="34"/>
      <c r="N182" s="34"/>
      <c r="O182" s="25"/>
      <c r="P182" s="25"/>
      <c r="Q182" s="25"/>
      <c r="R182" s="25"/>
      <c r="S182" s="25"/>
      <c r="V182" s="224"/>
      <c r="Z182" s="260"/>
      <c r="AA182" s="260"/>
      <c r="AE182" s="260"/>
      <c r="AF182" s="260"/>
      <c r="AG182" s="260"/>
      <c r="AH182" s="260"/>
      <c r="AI182" s="260"/>
      <c r="AJ182" s="260"/>
    </row>
    <row r="183" spans="1:36" hidden="1">
      <c r="A183" s="251"/>
      <c r="B183" s="25"/>
      <c r="C183" s="25"/>
      <c r="D183" s="25"/>
      <c r="E183" s="33"/>
      <c r="F183" s="25"/>
      <c r="G183" s="261"/>
      <c r="H183" s="25"/>
      <c r="I183" s="25"/>
      <c r="J183" s="25"/>
      <c r="K183" s="25"/>
      <c r="L183" s="34"/>
      <c r="M183" s="34"/>
      <c r="N183" s="34"/>
      <c r="O183" s="25"/>
      <c r="P183" s="25"/>
      <c r="Q183" s="25"/>
      <c r="R183" s="25"/>
      <c r="S183" s="25"/>
      <c r="V183" s="224"/>
      <c r="Z183" s="260"/>
      <c r="AA183" s="260"/>
      <c r="AE183" s="260"/>
      <c r="AF183" s="260"/>
      <c r="AG183" s="260"/>
      <c r="AH183" s="260"/>
      <c r="AI183" s="260"/>
      <c r="AJ183" s="260"/>
    </row>
    <row r="184" spans="1:36" hidden="1">
      <c r="A184" s="251"/>
      <c r="B184" s="25"/>
      <c r="C184" s="25"/>
      <c r="D184" s="25"/>
      <c r="E184" s="33"/>
      <c r="F184" s="25"/>
      <c r="G184" s="261"/>
      <c r="H184" s="25"/>
      <c r="I184" s="25"/>
      <c r="J184" s="25"/>
      <c r="K184" s="25"/>
      <c r="L184" s="34"/>
      <c r="M184" s="34"/>
      <c r="N184" s="34"/>
      <c r="O184" s="25"/>
      <c r="P184" s="25"/>
      <c r="Q184" s="25"/>
      <c r="R184" s="25"/>
      <c r="S184" s="25"/>
      <c r="V184" s="224"/>
      <c r="Z184" s="260"/>
      <c r="AA184" s="260"/>
      <c r="AE184" s="260"/>
      <c r="AF184" s="260"/>
      <c r="AG184" s="260"/>
      <c r="AH184" s="260"/>
      <c r="AI184" s="260"/>
      <c r="AJ184" s="260"/>
    </row>
    <row r="185" spans="1:36" hidden="1">
      <c r="A185" s="251"/>
      <c r="B185" s="25"/>
      <c r="C185" s="25"/>
      <c r="D185" s="25"/>
      <c r="E185" s="33"/>
      <c r="F185" s="25"/>
      <c r="G185" s="261"/>
      <c r="H185" s="25"/>
      <c r="I185" s="25"/>
      <c r="J185" s="25"/>
      <c r="K185" s="25"/>
      <c r="L185" s="34"/>
      <c r="M185" s="34"/>
      <c r="N185" s="34"/>
      <c r="O185" s="25"/>
      <c r="P185" s="25"/>
      <c r="Q185" s="25"/>
      <c r="R185" s="25"/>
      <c r="S185" s="25"/>
      <c r="V185" s="224"/>
      <c r="Z185" s="260"/>
      <c r="AA185" s="260"/>
      <c r="AE185" s="260"/>
      <c r="AF185" s="260"/>
      <c r="AG185" s="260"/>
      <c r="AH185" s="260"/>
      <c r="AI185" s="260"/>
      <c r="AJ185" s="260"/>
    </row>
    <row r="186" spans="1:36" hidden="1">
      <c r="A186" s="251"/>
      <c r="B186" s="25"/>
      <c r="C186" s="25"/>
      <c r="D186" s="25"/>
      <c r="E186" s="33"/>
      <c r="F186" s="25"/>
      <c r="G186" s="261"/>
      <c r="H186" s="25"/>
      <c r="I186" s="25"/>
      <c r="J186" s="25"/>
      <c r="K186" s="25"/>
      <c r="L186" s="34"/>
      <c r="M186" s="34"/>
      <c r="N186" s="34"/>
      <c r="O186" s="25"/>
      <c r="P186" s="25"/>
      <c r="Q186" s="25"/>
      <c r="R186" s="25"/>
      <c r="S186" s="25"/>
      <c r="V186" s="224"/>
      <c r="X186" s="260"/>
      <c r="Y186" s="260"/>
      <c r="Z186" s="260"/>
      <c r="AA186" s="260"/>
      <c r="AE186" s="260"/>
      <c r="AF186" s="260"/>
      <c r="AG186" s="260"/>
      <c r="AH186" s="260"/>
      <c r="AI186" s="260"/>
      <c r="AJ186" s="260"/>
    </row>
    <row r="187" spans="1:36" hidden="1">
      <c r="A187" s="251"/>
      <c r="B187" s="25"/>
      <c r="C187" s="25"/>
      <c r="D187" s="25"/>
      <c r="E187" s="33"/>
      <c r="F187" s="25"/>
      <c r="G187" s="261"/>
      <c r="H187" s="25"/>
      <c r="I187" s="25"/>
      <c r="J187" s="25"/>
      <c r="K187" s="25"/>
      <c r="L187" s="34"/>
      <c r="M187" s="34"/>
      <c r="N187" s="34"/>
      <c r="O187" s="25"/>
      <c r="P187" s="25"/>
      <c r="Q187" s="25"/>
      <c r="R187" s="25"/>
      <c r="S187" s="25"/>
      <c r="V187" s="224"/>
      <c r="X187" s="260"/>
      <c r="Y187" s="260"/>
      <c r="Z187" s="260"/>
      <c r="AA187" s="260"/>
      <c r="AE187" s="260"/>
      <c r="AF187" s="260"/>
      <c r="AG187" s="260"/>
      <c r="AH187" s="260"/>
      <c r="AI187" s="260"/>
      <c r="AJ187" s="260"/>
    </row>
    <row r="188" spans="1:36" hidden="1">
      <c r="A188" s="251"/>
      <c r="B188" s="25"/>
      <c r="C188" s="25"/>
      <c r="D188" s="25"/>
      <c r="E188" s="33"/>
      <c r="F188" s="25"/>
      <c r="G188" s="261"/>
      <c r="H188" s="25"/>
      <c r="I188" s="25"/>
      <c r="J188" s="25"/>
      <c r="K188" s="25"/>
      <c r="L188" s="34"/>
      <c r="M188" s="34"/>
      <c r="N188" s="34"/>
      <c r="O188" s="25"/>
      <c r="P188" s="25"/>
      <c r="Q188" s="25"/>
      <c r="R188" s="25"/>
      <c r="S188" s="25"/>
      <c r="X188" s="260"/>
      <c r="Y188" s="260"/>
      <c r="Z188" s="260"/>
      <c r="AA188" s="260"/>
      <c r="AE188" s="260"/>
      <c r="AF188" s="260"/>
      <c r="AG188" s="260"/>
      <c r="AH188" s="260"/>
      <c r="AI188" s="260"/>
      <c r="AJ188" s="260"/>
    </row>
    <row r="189" spans="1:36" hidden="1">
      <c r="A189" s="251"/>
      <c r="B189" s="25"/>
      <c r="C189" s="25"/>
      <c r="D189" s="25"/>
      <c r="E189" s="33"/>
      <c r="F189" s="25"/>
      <c r="G189" s="261"/>
      <c r="H189" s="25"/>
      <c r="I189" s="25"/>
      <c r="J189" s="25"/>
      <c r="K189" s="25"/>
      <c r="L189" s="34"/>
      <c r="M189" s="34"/>
      <c r="N189" s="34"/>
      <c r="O189" s="25"/>
      <c r="P189" s="25"/>
      <c r="Q189" s="25"/>
      <c r="R189" s="25"/>
      <c r="S189" s="25"/>
      <c r="X189" s="260"/>
      <c r="Y189" s="260"/>
      <c r="Z189" s="260"/>
      <c r="AA189" s="260"/>
      <c r="AE189" s="260"/>
      <c r="AF189" s="260"/>
      <c r="AG189" s="260"/>
      <c r="AH189" s="260"/>
      <c r="AI189" s="260"/>
      <c r="AJ189" s="260"/>
    </row>
    <row r="190" spans="1:36" hidden="1">
      <c r="A190" s="251"/>
      <c r="B190" s="25"/>
      <c r="C190" s="25"/>
      <c r="D190" s="25"/>
      <c r="E190" s="33"/>
      <c r="F190" s="25"/>
      <c r="G190" s="261"/>
      <c r="H190" s="25"/>
      <c r="I190" s="25"/>
      <c r="J190" s="25"/>
      <c r="K190" s="25"/>
      <c r="L190" s="34"/>
      <c r="M190" s="34"/>
      <c r="N190" s="34"/>
      <c r="O190" s="25"/>
      <c r="P190" s="25"/>
      <c r="Q190" s="25"/>
      <c r="R190" s="25"/>
      <c r="S190" s="25"/>
      <c r="X190" s="260"/>
      <c r="Y190" s="260"/>
      <c r="Z190" s="260"/>
      <c r="AA190" s="260"/>
      <c r="AE190" s="260"/>
      <c r="AF190" s="260"/>
      <c r="AG190" s="260"/>
      <c r="AH190" s="260"/>
      <c r="AI190" s="260"/>
      <c r="AJ190" s="260"/>
    </row>
    <row r="191" spans="1:36" hidden="1">
      <c r="A191" s="251"/>
      <c r="B191" s="25"/>
      <c r="C191" s="25"/>
      <c r="D191" s="25"/>
      <c r="E191" s="33"/>
      <c r="F191" s="25"/>
      <c r="G191" s="261"/>
      <c r="H191" s="25"/>
      <c r="I191" s="25"/>
      <c r="J191" s="25"/>
      <c r="K191" s="25"/>
      <c r="L191" s="34"/>
      <c r="M191" s="34"/>
      <c r="N191" s="34"/>
      <c r="O191" s="25"/>
      <c r="P191" s="25"/>
      <c r="Q191" s="25"/>
      <c r="R191" s="25"/>
      <c r="S191" s="25"/>
      <c r="X191" s="260"/>
      <c r="Y191" s="260"/>
      <c r="Z191" s="260"/>
      <c r="AA191" s="260"/>
      <c r="AE191" s="260"/>
      <c r="AF191" s="260"/>
      <c r="AG191" s="260"/>
      <c r="AH191" s="260"/>
      <c r="AI191" s="260"/>
      <c r="AJ191" s="260"/>
    </row>
    <row r="192" spans="1:36" hidden="1">
      <c r="A192" s="251"/>
      <c r="B192" s="25"/>
      <c r="C192" s="25"/>
      <c r="D192" s="25"/>
      <c r="E192" s="33"/>
      <c r="F192" s="25"/>
      <c r="G192" s="261"/>
      <c r="H192" s="25"/>
      <c r="I192" s="25"/>
      <c r="J192" s="25"/>
      <c r="K192" s="25"/>
      <c r="L192" s="34"/>
      <c r="M192" s="34"/>
      <c r="N192" s="34"/>
      <c r="O192" s="25"/>
      <c r="P192" s="25"/>
      <c r="Q192" s="25"/>
      <c r="R192" s="25"/>
      <c r="S192" s="25"/>
      <c r="X192" s="260"/>
      <c r="Y192" s="260"/>
      <c r="Z192" s="260"/>
      <c r="AA192" s="260"/>
      <c r="AE192" s="260"/>
      <c r="AF192" s="260"/>
      <c r="AG192" s="260"/>
      <c r="AH192" s="260"/>
      <c r="AI192" s="260"/>
      <c r="AJ192" s="260"/>
    </row>
    <row r="193" spans="1:36" hidden="1">
      <c r="A193" s="251"/>
      <c r="B193" s="25"/>
      <c r="C193" s="25"/>
      <c r="D193" s="25"/>
      <c r="E193" s="33"/>
      <c r="F193" s="25"/>
      <c r="G193" s="261"/>
      <c r="H193" s="25"/>
      <c r="I193" s="25"/>
      <c r="J193" s="25"/>
      <c r="K193" s="25"/>
      <c r="L193" s="34"/>
      <c r="M193" s="34"/>
      <c r="N193" s="34"/>
      <c r="O193" s="25"/>
      <c r="P193" s="25"/>
      <c r="Q193" s="25"/>
      <c r="R193" s="25"/>
      <c r="S193" s="25"/>
      <c r="X193" s="260"/>
      <c r="Y193" s="260"/>
      <c r="Z193" s="260"/>
      <c r="AA193" s="260"/>
      <c r="AE193" s="260"/>
      <c r="AF193" s="260"/>
      <c r="AG193" s="260"/>
      <c r="AH193" s="260"/>
      <c r="AI193" s="260"/>
      <c r="AJ193" s="260"/>
    </row>
    <row r="194" spans="1:36" hidden="1">
      <c r="A194" s="251"/>
      <c r="B194" s="25"/>
      <c r="C194" s="25"/>
      <c r="D194" s="25"/>
      <c r="E194" s="33"/>
      <c r="F194" s="25"/>
      <c r="G194" s="261"/>
      <c r="H194" s="25"/>
      <c r="I194" s="25"/>
      <c r="J194" s="25"/>
      <c r="K194" s="25"/>
      <c r="L194" s="34"/>
      <c r="M194" s="34"/>
      <c r="N194" s="34"/>
      <c r="O194" s="25"/>
      <c r="P194" s="25"/>
      <c r="Q194" s="25"/>
      <c r="R194" s="25"/>
      <c r="S194" s="25"/>
      <c r="X194" s="260"/>
      <c r="Y194" s="260"/>
      <c r="Z194" s="260"/>
      <c r="AA194" s="260"/>
      <c r="AE194" s="260"/>
      <c r="AF194" s="260"/>
      <c r="AG194" s="260"/>
      <c r="AH194" s="260"/>
      <c r="AI194" s="260"/>
      <c r="AJ194" s="260"/>
    </row>
    <row r="195" spans="1:36" hidden="1">
      <c r="A195" s="251"/>
      <c r="B195" s="25"/>
      <c r="C195" s="25"/>
      <c r="D195" s="25"/>
      <c r="E195" s="33"/>
      <c r="F195" s="25"/>
      <c r="G195" s="261"/>
      <c r="H195" s="25"/>
      <c r="I195" s="25"/>
      <c r="J195" s="25"/>
      <c r="K195" s="25"/>
      <c r="L195" s="34"/>
      <c r="M195" s="34"/>
      <c r="N195" s="34"/>
      <c r="O195" s="25"/>
      <c r="P195" s="25"/>
      <c r="Q195" s="25"/>
      <c r="R195" s="25"/>
      <c r="S195" s="25"/>
      <c r="X195" s="260"/>
      <c r="Y195" s="260"/>
      <c r="Z195" s="260"/>
      <c r="AA195" s="260"/>
      <c r="AE195" s="260"/>
      <c r="AF195" s="260"/>
      <c r="AG195" s="260"/>
      <c r="AH195" s="260"/>
      <c r="AI195" s="260"/>
      <c r="AJ195" s="260"/>
    </row>
    <row r="196" spans="1:36" hidden="1">
      <c r="A196" s="251"/>
      <c r="B196" s="25"/>
      <c r="C196" s="25"/>
      <c r="D196" s="25"/>
      <c r="E196" s="33"/>
      <c r="F196" s="25"/>
      <c r="G196" s="261"/>
      <c r="H196" s="25"/>
      <c r="I196" s="25"/>
      <c r="J196" s="25"/>
      <c r="K196" s="25"/>
      <c r="L196" s="34"/>
      <c r="M196" s="34"/>
      <c r="N196" s="34"/>
      <c r="O196" s="25"/>
      <c r="P196" s="25"/>
      <c r="Q196" s="25"/>
      <c r="R196" s="25"/>
      <c r="S196" s="25"/>
      <c r="X196" s="260"/>
      <c r="Y196" s="260"/>
      <c r="Z196" s="260"/>
      <c r="AA196" s="260"/>
      <c r="AE196" s="260"/>
      <c r="AF196" s="260"/>
      <c r="AG196" s="260"/>
      <c r="AH196" s="260"/>
      <c r="AI196" s="260"/>
      <c r="AJ196" s="260"/>
    </row>
    <row r="197" spans="1:36" hidden="1">
      <c r="A197" s="251"/>
      <c r="B197" s="25"/>
      <c r="C197" s="25"/>
      <c r="D197" s="25"/>
      <c r="E197" s="33"/>
      <c r="F197" s="25"/>
      <c r="G197" s="261"/>
      <c r="H197" s="25"/>
      <c r="I197" s="25"/>
      <c r="J197" s="25"/>
      <c r="K197" s="25"/>
      <c r="L197" s="34"/>
      <c r="M197" s="34"/>
      <c r="N197" s="34"/>
      <c r="O197" s="25"/>
      <c r="P197" s="25"/>
      <c r="Q197" s="25"/>
      <c r="R197" s="25"/>
      <c r="S197" s="25"/>
      <c r="X197" s="260"/>
      <c r="Y197" s="260"/>
      <c r="Z197" s="260"/>
      <c r="AA197" s="260"/>
      <c r="AE197" s="260"/>
      <c r="AF197" s="260"/>
      <c r="AG197" s="260"/>
      <c r="AH197" s="260"/>
      <c r="AI197" s="260"/>
      <c r="AJ197" s="260"/>
    </row>
    <row r="198" spans="1:36" hidden="1">
      <c r="A198" s="251"/>
      <c r="B198" s="25"/>
      <c r="C198" s="25"/>
      <c r="D198" s="25"/>
      <c r="E198" s="33"/>
      <c r="F198" s="25"/>
      <c r="G198" s="261"/>
      <c r="H198" s="25"/>
      <c r="I198" s="25"/>
      <c r="J198" s="25"/>
      <c r="K198" s="25"/>
      <c r="L198" s="34"/>
      <c r="M198" s="34"/>
      <c r="N198" s="34"/>
      <c r="O198" s="25"/>
      <c r="P198" s="25"/>
      <c r="Q198" s="25"/>
      <c r="R198" s="25"/>
      <c r="S198" s="25"/>
      <c r="X198" s="260"/>
      <c r="Y198" s="260"/>
      <c r="Z198" s="260"/>
      <c r="AA198" s="260"/>
      <c r="AE198" s="260"/>
      <c r="AF198" s="260"/>
      <c r="AG198" s="260"/>
      <c r="AH198" s="260"/>
      <c r="AI198" s="260"/>
      <c r="AJ198" s="260"/>
    </row>
    <row r="199" spans="1:36" hidden="1">
      <c r="A199" s="251"/>
      <c r="B199" s="25"/>
      <c r="C199" s="25"/>
      <c r="D199" s="25"/>
      <c r="E199" s="33"/>
      <c r="F199" s="25"/>
      <c r="G199" s="261"/>
      <c r="H199" s="25"/>
      <c r="I199" s="25"/>
      <c r="J199" s="25"/>
      <c r="K199" s="25"/>
      <c r="L199" s="34"/>
      <c r="M199" s="34"/>
      <c r="N199" s="34"/>
      <c r="O199" s="25"/>
      <c r="P199" s="25"/>
      <c r="Q199" s="25"/>
      <c r="R199" s="25"/>
      <c r="S199" s="25"/>
      <c r="X199" s="260"/>
      <c r="Y199" s="260"/>
      <c r="Z199" s="260"/>
      <c r="AA199" s="260"/>
      <c r="AE199" s="260"/>
      <c r="AF199" s="260"/>
      <c r="AG199" s="260"/>
      <c r="AH199" s="260"/>
      <c r="AI199" s="260"/>
      <c r="AJ199" s="260"/>
    </row>
    <row r="200" spans="1:36" ht="39" customHeight="1">
      <c r="A200" s="482" t="s">
        <v>359</v>
      </c>
      <c r="B200" s="482"/>
      <c r="C200" s="482"/>
      <c r="D200" s="482"/>
      <c r="E200" s="482"/>
      <c r="F200" s="482"/>
      <c r="G200" s="482"/>
      <c r="H200" s="482" t="s">
        <v>383</v>
      </c>
      <c r="I200" s="482"/>
      <c r="J200" s="482"/>
      <c r="K200" s="482"/>
      <c r="L200" s="482"/>
      <c r="M200" s="482"/>
      <c r="N200" s="482"/>
      <c r="O200" s="482"/>
      <c r="P200" s="482"/>
      <c r="Q200" s="482"/>
      <c r="R200" s="482"/>
      <c r="S200" s="482"/>
      <c r="AG200" s="260"/>
      <c r="AH200" s="260"/>
      <c r="AI200" s="260"/>
      <c r="AJ200" s="260"/>
    </row>
    <row r="201" spans="1:36" ht="14.25">
      <c r="A201" s="482"/>
      <c r="B201" s="482"/>
      <c r="C201" s="482"/>
      <c r="D201" s="482"/>
      <c r="E201" s="482"/>
      <c r="F201" s="482"/>
      <c r="G201" s="482"/>
      <c r="H201" s="262"/>
      <c r="I201" s="263"/>
      <c r="J201" s="263"/>
      <c r="K201" s="264" t="s">
        <v>384</v>
      </c>
      <c r="L201" s="263">
        <f>IF(E12=3,6,9)</f>
        <v>6</v>
      </c>
      <c r="M201" s="483" t="s">
        <v>385</v>
      </c>
      <c r="N201" s="483"/>
      <c r="O201" s="265">
        <f>X7</f>
        <v>1</v>
      </c>
      <c r="P201" s="263"/>
      <c r="Q201" s="263"/>
      <c r="R201" s="242"/>
      <c r="S201" s="242"/>
      <c r="AG201" s="260"/>
      <c r="AH201" s="260"/>
      <c r="AI201" s="260"/>
      <c r="AJ201" s="260"/>
    </row>
    <row r="202" spans="1:36" ht="14.25" customHeight="1">
      <c r="A202" s="484" t="s">
        <v>363</v>
      </c>
      <c r="B202" s="468" t="s">
        <v>229</v>
      </c>
      <c r="C202" s="468" t="s">
        <v>230</v>
      </c>
      <c r="D202" s="467" t="s">
        <v>364</v>
      </c>
      <c r="E202" s="467" t="s">
        <v>365</v>
      </c>
      <c r="F202" s="467" t="s">
        <v>366</v>
      </c>
      <c r="G202" s="468" t="s">
        <v>367</v>
      </c>
      <c r="H202" s="476" t="s">
        <v>264</v>
      </c>
      <c r="I202" s="477" t="s">
        <v>386</v>
      </c>
      <c r="J202" s="468" t="s">
        <v>387</v>
      </c>
      <c r="K202" s="468" t="s">
        <v>140</v>
      </c>
      <c r="L202" s="247" t="s">
        <v>388</v>
      </c>
      <c r="M202" s="247" t="s">
        <v>378</v>
      </c>
      <c r="N202" s="479" t="s">
        <v>389</v>
      </c>
      <c r="O202" s="479" t="s">
        <v>390</v>
      </c>
      <c r="P202" s="249" t="s">
        <v>375</v>
      </c>
      <c r="Q202" s="249" t="s">
        <v>376</v>
      </c>
      <c r="R202" s="470" t="s">
        <v>377</v>
      </c>
      <c r="S202" s="247" t="s">
        <v>379</v>
      </c>
      <c r="AG202" s="260"/>
      <c r="AH202" s="260"/>
      <c r="AI202" s="260"/>
      <c r="AJ202" s="260"/>
    </row>
    <row r="203" spans="1:36" ht="14.25">
      <c r="A203" s="484"/>
      <c r="B203" s="468"/>
      <c r="C203" s="468"/>
      <c r="D203" s="468"/>
      <c r="E203" s="468"/>
      <c r="F203" s="468"/>
      <c r="G203" s="468"/>
      <c r="H203" s="476"/>
      <c r="I203" s="477"/>
      <c r="J203" s="468"/>
      <c r="K203" s="468"/>
      <c r="L203" s="247" t="s">
        <v>380</v>
      </c>
      <c r="M203" s="247" t="s">
        <v>382</v>
      </c>
      <c r="N203" s="479"/>
      <c r="O203" s="479"/>
      <c r="P203" s="247" t="s">
        <v>382</v>
      </c>
      <c r="Q203" s="247" t="s">
        <v>382</v>
      </c>
      <c r="R203" s="472"/>
      <c r="S203" s="247" t="s">
        <v>382</v>
      </c>
      <c r="AG203" s="260"/>
      <c r="AH203" s="260"/>
      <c r="AI203" s="260"/>
      <c r="AJ203" s="260"/>
    </row>
    <row r="204" spans="1:36">
      <c r="A204" s="26" t="str">
        <f>IF(A45="","",A45)</f>
        <v>Lớp 1</v>
      </c>
      <c r="B204" s="27" t="str">
        <f t="shared" ref="B204:G205" si="31">B45</f>
        <v>Lớp 1</v>
      </c>
      <c r="C204" s="27" t="str">
        <f t="shared" si="31"/>
        <v>San lấp</v>
      </c>
      <c r="D204" s="27" t="str">
        <f t="shared" si="31"/>
        <v>D</v>
      </c>
      <c r="E204" s="27">
        <f t="shared" si="31"/>
        <v>0</v>
      </c>
      <c r="F204" s="27">
        <f t="shared" si="31"/>
        <v>1.5</v>
      </c>
      <c r="G204" s="27">
        <f t="shared" si="31"/>
        <v>0</v>
      </c>
      <c r="H204" s="266">
        <f>VLOOKUP(B45,AA:AV,22,0)</f>
        <v>0.57499999999999996</v>
      </c>
      <c r="I204" s="25">
        <f t="shared" ref="I204:I205" si="32">IF($L$201=9,IF(H204&lt;=0.4,60,IF(AND(H204&gt;0.4,H204&lt;=0.75),100,180)),IF(H204&lt;=0.4,25,IF(AND(H204&gt;0.4,H204&lt;=0.75),60,100)))</f>
        <v>60</v>
      </c>
      <c r="J204" s="25">
        <f t="shared" ref="J204:J205" si="33">IF(H204&lt;=0.4,6,IF(AND(H204&gt;0.4,H204&lt;=0.75),8,15))*$O$201</f>
        <v>8</v>
      </c>
      <c r="K204" s="25">
        <f t="shared" ref="K204:K205" si="34">IF($L$201=9,IF(H204&lt;=0.4,0.8,IF(AND(H204&gt;0.4,H204&lt;=0.75),1,1.5)),IF(H204&lt;=0.4,0.3,IF(AND(H204&gt;0.4,H204&lt;=0.75),0.5,0.8)))</f>
        <v>0.5</v>
      </c>
      <c r="L204" s="255">
        <f t="shared" ref="L204:L205" si="35">MIN(K45,VLOOKUP(J204,$E$45:$K$71,7))</f>
        <v>27</v>
      </c>
      <c r="M204" s="31">
        <f>($X$8)*IF(D45="R",L204*I204,$L$201*H45)</f>
        <v>0</v>
      </c>
      <c r="N204" s="255">
        <f t="shared" ref="N204:N205" si="36">VLOOKUP(B45,B4.CHITIEUCOLY,15,0)</f>
        <v>0</v>
      </c>
      <c r="O204" s="257">
        <f t="shared" ref="O204:O205" si="37">IF(H45&lt;=40,1,IF(H45&gt;=200,0.32,-0.0000002*H45^3+0.0001*H45^2-0.0188*H45+1.613))</f>
        <v>1</v>
      </c>
      <c r="P204" s="31">
        <f t="shared" ref="P204:P205" si="38">IF(D45="D",O204*H45*F45*$F$18,"-")</f>
        <v>0</v>
      </c>
      <c r="Q204" s="31" t="str">
        <f t="shared" ref="Q204:Q205" si="39">IF(D45="R",K204*L204*TAN(N204*PI()/180)*$F$18*F45,"-")</f>
        <v>-</v>
      </c>
      <c r="R204" s="258">
        <f>IF(D45="R",Q204,P204)+0</f>
        <v>0</v>
      </c>
      <c r="S204" s="31">
        <f t="shared" ref="S204:S205" si="40">M204+R204</f>
        <v>0</v>
      </c>
      <c r="AI204" s="260"/>
      <c r="AJ204" s="260"/>
    </row>
    <row r="205" spans="1:36">
      <c r="A205" s="26" t="str">
        <f t="shared" ref="A205:A222" si="41">IF(A46="","",A46)</f>
        <v>Lớp 2</v>
      </c>
      <c r="B205" s="27" t="str">
        <f t="shared" si="31"/>
        <v>Lớp 2</v>
      </c>
      <c r="C205" s="27" t="str">
        <f t="shared" si="31"/>
        <v>Sét</v>
      </c>
      <c r="D205" s="27" t="str">
        <f t="shared" si="31"/>
        <v>D</v>
      </c>
      <c r="E205" s="27">
        <f t="shared" si="31"/>
        <v>1.5</v>
      </c>
      <c r="F205" s="27">
        <f t="shared" si="31"/>
        <v>3</v>
      </c>
      <c r="G205" s="27">
        <f t="shared" si="31"/>
        <v>4</v>
      </c>
      <c r="H205" s="266">
        <f>VLOOKUP(B46,AA:AV,22,0)</f>
        <v>0.57499999999999996</v>
      </c>
      <c r="I205" s="25">
        <f t="shared" si="32"/>
        <v>60</v>
      </c>
      <c r="J205" s="25">
        <f t="shared" si="33"/>
        <v>8</v>
      </c>
      <c r="K205" s="25">
        <f t="shared" si="34"/>
        <v>0.5</v>
      </c>
      <c r="L205" s="255">
        <f t="shared" si="35"/>
        <v>84</v>
      </c>
      <c r="M205" s="31">
        <f t="shared" ref="M205" si="42">($X$8)*IF(D46="R",L205*I205,$L$201*H46)</f>
        <v>117.8097245096172</v>
      </c>
      <c r="N205" s="255">
        <f t="shared" si="36"/>
        <v>9.56</v>
      </c>
      <c r="O205" s="257">
        <f t="shared" si="37"/>
        <v>1</v>
      </c>
      <c r="P205" s="31">
        <f t="shared" si="38"/>
        <v>235.61944901923425</v>
      </c>
      <c r="Q205" s="31" t="str">
        <f t="shared" si="39"/>
        <v>-</v>
      </c>
      <c r="R205" s="31">
        <f t="shared" ref="R205" si="43">IF(D46="R",Q205,P205)+R204</f>
        <v>235.61944901923425</v>
      </c>
      <c r="S205" s="31">
        <f t="shared" si="40"/>
        <v>353.42917352885144</v>
      </c>
      <c r="AI205" s="260"/>
      <c r="AJ205" s="260"/>
    </row>
    <row r="206" spans="1:36">
      <c r="A206" s="26" t="str">
        <f t="shared" si="41"/>
        <v/>
      </c>
      <c r="B206" s="27" t="str">
        <f t="shared" ref="B206:G206" si="44">B47</f>
        <v>Lớp 2</v>
      </c>
      <c r="C206" s="27" t="str">
        <f t="shared" si="44"/>
        <v>Sét</v>
      </c>
      <c r="D206" s="27" t="str">
        <f t="shared" si="44"/>
        <v>D</v>
      </c>
      <c r="E206" s="27">
        <f t="shared" si="44"/>
        <v>4.5</v>
      </c>
      <c r="F206" s="27">
        <f t="shared" si="44"/>
        <v>2.5</v>
      </c>
      <c r="G206" s="27">
        <f t="shared" si="44"/>
        <v>3</v>
      </c>
      <c r="H206" s="266">
        <f t="shared" ref="H206:H222" si="45">VLOOKUP(B47,AA:AV,22,0)</f>
        <v>0.57499999999999996</v>
      </c>
      <c r="I206" s="25">
        <f t="shared" ref="I206:I222" si="46">IF($L$201=9,IF(H206&lt;=0.4,60,IF(AND(H206&gt;0.4,H206&lt;=0.75),100,180)),IF(H206&lt;=0.4,25,IF(AND(H206&gt;0.4,H206&lt;=0.75),60,100)))</f>
        <v>60</v>
      </c>
      <c r="J206" s="25">
        <f t="shared" ref="J206:J222" si="47">IF(H206&lt;=0.4,6,IF(AND(H206&gt;0.4,H206&lt;=0.75),8,15))*$O$201</f>
        <v>8</v>
      </c>
      <c r="K206" s="25">
        <f t="shared" ref="K206:K222" si="48">IF($L$201=9,IF(H206&lt;=0.4,0.8,IF(AND(H206&gt;0.4,H206&lt;=0.75),1,1.5)),IF(H206&lt;=0.4,0.3,IF(AND(H206&gt;0.4,H206&lt;=0.75),0.5,0.8)))</f>
        <v>0.5</v>
      </c>
      <c r="L206" s="255">
        <f t="shared" ref="L206:L222" si="49">MIN(K47,VLOOKUP(J206,$E$45:$K$71,7))</f>
        <v>106.5</v>
      </c>
      <c r="M206" s="31">
        <f t="shared" ref="M206:M222" si="50">($X$8)*IF(D47="R",L206*I206,$L$201*H47)</f>
        <v>88.357293382212887</v>
      </c>
      <c r="N206" s="255">
        <f t="shared" ref="N206:N222" si="51">VLOOKUP(B47,B4.CHITIEUCOLY,15,0)</f>
        <v>9.56</v>
      </c>
      <c r="O206" s="257">
        <f t="shared" ref="O206:O222" si="52">IF(H47&lt;=40,1,IF(H47&gt;=200,0.32,-0.0000002*H47^3+0.0001*H47^2-0.0188*H47+1.613))</f>
        <v>1</v>
      </c>
      <c r="P206" s="31">
        <f t="shared" ref="P206:P222" si="53">IF(D47="D",O206*H47*F47*$F$18,"-")</f>
        <v>147.26215563702141</v>
      </c>
      <c r="Q206" s="31" t="str">
        <f t="shared" ref="Q206:Q222" si="54">IF(D47="R",K206*L206*TAN(N206*PI()/180)*$F$18*F47,"-")</f>
        <v>-</v>
      </c>
      <c r="R206" s="31">
        <f t="shared" ref="R206:R222" si="55">IF(D47="R",Q206,P206)+R205</f>
        <v>382.88160465625566</v>
      </c>
      <c r="S206" s="31">
        <f t="shared" ref="S206:S222" si="56">M206+R206</f>
        <v>471.23889803846856</v>
      </c>
      <c r="AI206" s="260"/>
      <c r="AJ206" s="260"/>
    </row>
    <row r="207" spans="1:36">
      <c r="A207" s="26" t="str">
        <f t="shared" si="41"/>
        <v>Lớp 3</v>
      </c>
      <c r="B207" s="27" t="str">
        <f t="shared" ref="B207:G207" si="57">B48</f>
        <v>Lớp 3</v>
      </c>
      <c r="C207" s="27" t="str">
        <f t="shared" si="57"/>
        <v>Sét</v>
      </c>
      <c r="D207" s="27" t="str">
        <f t="shared" si="57"/>
        <v>D</v>
      </c>
      <c r="E207" s="27">
        <f t="shared" si="57"/>
        <v>7</v>
      </c>
      <c r="F207" s="27">
        <f t="shared" si="57"/>
        <v>3</v>
      </c>
      <c r="G207" s="27">
        <f t="shared" si="57"/>
        <v>2</v>
      </c>
      <c r="H207" s="266">
        <f t="shared" si="45"/>
        <v>0.57499999999999996</v>
      </c>
      <c r="I207" s="25">
        <f t="shared" si="46"/>
        <v>60</v>
      </c>
      <c r="J207" s="25">
        <f t="shared" si="47"/>
        <v>8</v>
      </c>
      <c r="K207" s="25">
        <f t="shared" si="48"/>
        <v>0.5</v>
      </c>
      <c r="L207" s="255">
        <f t="shared" si="49"/>
        <v>134.4</v>
      </c>
      <c r="M207" s="31">
        <f t="shared" si="50"/>
        <v>58.904862254808599</v>
      </c>
      <c r="N207" s="255">
        <f t="shared" si="51"/>
        <v>17.170000000000002</v>
      </c>
      <c r="O207" s="257">
        <f t="shared" si="52"/>
        <v>1</v>
      </c>
      <c r="P207" s="31">
        <f t="shared" si="53"/>
        <v>117.80972450961713</v>
      </c>
      <c r="Q207" s="31" t="str">
        <f t="shared" si="54"/>
        <v>-</v>
      </c>
      <c r="R207" s="31">
        <f t="shared" si="55"/>
        <v>500.69132916587279</v>
      </c>
      <c r="S207" s="31">
        <f t="shared" si="56"/>
        <v>559.59619142068141</v>
      </c>
      <c r="V207" s="224"/>
      <c r="AI207" s="260"/>
      <c r="AJ207" s="260"/>
    </row>
    <row r="208" spans="1:36">
      <c r="A208" s="26" t="str">
        <f t="shared" si="41"/>
        <v/>
      </c>
      <c r="B208" s="27" t="str">
        <f t="shared" ref="B208:G208" si="58">B49</f>
        <v>Lớp 3</v>
      </c>
      <c r="C208" s="27" t="str">
        <f t="shared" si="58"/>
        <v>Sét</v>
      </c>
      <c r="D208" s="27" t="str">
        <f t="shared" si="58"/>
        <v>D</v>
      </c>
      <c r="E208" s="27">
        <f t="shared" si="58"/>
        <v>10</v>
      </c>
      <c r="F208" s="27">
        <f t="shared" si="58"/>
        <v>0.5</v>
      </c>
      <c r="G208" s="27">
        <f t="shared" si="58"/>
        <v>7.333333333333333</v>
      </c>
      <c r="H208" s="266">
        <f t="shared" si="45"/>
        <v>0.57499999999999996</v>
      </c>
      <c r="I208" s="25">
        <f t="shared" si="46"/>
        <v>60</v>
      </c>
      <c r="J208" s="25">
        <f t="shared" si="47"/>
        <v>8</v>
      </c>
      <c r="K208" s="25">
        <f t="shared" si="48"/>
        <v>0.5</v>
      </c>
      <c r="L208" s="255">
        <f t="shared" si="49"/>
        <v>134.4</v>
      </c>
      <c r="M208" s="31">
        <f t="shared" si="50"/>
        <v>215.9844949342982</v>
      </c>
      <c r="N208" s="255">
        <f t="shared" si="51"/>
        <v>17.170000000000002</v>
      </c>
      <c r="O208" s="257">
        <f t="shared" si="52"/>
        <v>0.94214641203703708</v>
      </c>
      <c r="P208" s="31">
        <f t="shared" si="53"/>
        <v>67.829672319326832</v>
      </c>
      <c r="Q208" s="31" t="str">
        <f t="shared" si="54"/>
        <v>-</v>
      </c>
      <c r="R208" s="31">
        <f t="shared" si="55"/>
        <v>568.52100148519958</v>
      </c>
      <c r="S208" s="31">
        <f t="shared" si="56"/>
        <v>784.50549641949783</v>
      </c>
      <c r="V208" s="224"/>
      <c r="AI208" s="260"/>
      <c r="AJ208" s="260"/>
    </row>
    <row r="209" spans="1:36">
      <c r="A209" s="26" t="str">
        <f t="shared" si="41"/>
        <v>Lớp 4</v>
      </c>
      <c r="B209" s="27" t="str">
        <f t="shared" ref="B209:G209" si="59">B50</f>
        <v>Lớp 4</v>
      </c>
      <c r="C209" s="27" t="str">
        <f t="shared" si="59"/>
        <v>Sét</v>
      </c>
      <c r="D209" s="27" t="str">
        <f t="shared" si="59"/>
        <v>D</v>
      </c>
      <c r="E209" s="27">
        <f t="shared" si="59"/>
        <v>10.5</v>
      </c>
      <c r="F209" s="27">
        <f t="shared" si="59"/>
        <v>1.7</v>
      </c>
      <c r="G209" s="27">
        <f t="shared" si="59"/>
        <v>8</v>
      </c>
      <c r="H209" s="266">
        <f t="shared" si="45"/>
        <v>0.57499999999999996</v>
      </c>
      <c r="I209" s="25">
        <f t="shared" si="46"/>
        <v>60</v>
      </c>
      <c r="J209" s="25">
        <f t="shared" si="47"/>
        <v>8</v>
      </c>
      <c r="K209" s="25">
        <f t="shared" si="48"/>
        <v>0.5</v>
      </c>
      <c r="L209" s="255">
        <f t="shared" si="49"/>
        <v>134.4</v>
      </c>
      <c r="M209" s="31">
        <f t="shared" si="50"/>
        <v>235.61944901923439</v>
      </c>
      <c r="N209" s="255">
        <f t="shared" si="51"/>
        <v>9.35</v>
      </c>
      <c r="O209" s="257">
        <f t="shared" si="52"/>
        <v>0.89799999999999991</v>
      </c>
      <c r="P209" s="31">
        <f t="shared" si="53"/>
        <v>239.79776724850868</v>
      </c>
      <c r="Q209" s="31" t="str">
        <f t="shared" si="54"/>
        <v>-</v>
      </c>
      <c r="R209" s="31">
        <f t="shared" si="55"/>
        <v>808.31876873370823</v>
      </c>
      <c r="S209" s="31">
        <f t="shared" si="56"/>
        <v>1043.9382177529426</v>
      </c>
      <c r="V209" s="224"/>
      <c r="AI209" s="260"/>
      <c r="AJ209" s="260"/>
    </row>
    <row r="210" spans="1:36">
      <c r="A210" s="26" t="str">
        <f t="shared" si="41"/>
        <v>Lớp 5</v>
      </c>
      <c r="B210" s="27" t="str">
        <f t="shared" ref="B210:G210" si="60">B51</f>
        <v>Lớp 5</v>
      </c>
      <c r="C210" s="27" t="str">
        <f t="shared" si="60"/>
        <v>Cát</v>
      </c>
      <c r="D210" s="27" t="str">
        <f t="shared" si="60"/>
        <v>R</v>
      </c>
      <c r="E210" s="27">
        <f t="shared" si="60"/>
        <v>12.2</v>
      </c>
      <c r="F210" s="27">
        <f t="shared" si="60"/>
        <v>3</v>
      </c>
      <c r="G210" s="27">
        <f t="shared" si="60"/>
        <v>12</v>
      </c>
      <c r="H210" s="266">
        <f t="shared" si="45"/>
        <v>0.57499999999999996</v>
      </c>
      <c r="I210" s="25">
        <f t="shared" si="46"/>
        <v>60</v>
      </c>
      <c r="J210" s="25">
        <f t="shared" si="47"/>
        <v>8</v>
      </c>
      <c r="K210" s="25">
        <f t="shared" si="48"/>
        <v>0.5</v>
      </c>
      <c r="L210" s="255">
        <f t="shared" si="49"/>
        <v>134.4</v>
      </c>
      <c r="M210" s="31">
        <f t="shared" si="50"/>
        <v>6333.4507896370205</v>
      </c>
      <c r="N210" s="255">
        <f t="shared" si="51"/>
        <v>9.2200000000000006</v>
      </c>
      <c r="O210" s="257">
        <f t="shared" si="52"/>
        <v>0.68112499999999987</v>
      </c>
      <c r="P210" s="31" t="str">
        <f t="shared" si="53"/>
        <v>-</v>
      </c>
      <c r="Q210" s="31">
        <f t="shared" si="54"/>
        <v>102.80641063233354</v>
      </c>
      <c r="R210" s="31">
        <f t="shared" si="55"/>
        <v>911.12517936604172</v>
      </c>
      <c r="S210" s="31">
        <f t="shared" si="56"/>
        <v>7244.5759690030627</v>
      </c>
      <c r="V210" s="224"/>
      <c r="AI210" s="260"/>
      <c r="AJ210" s="260"/>
    </row>
    <row r="211" spans="1:36">
      <c r="A211" s="26" t="str">
        <f t="shared" si="41"/>
        <v/>
      </c>
      <c r="B211" s="27" t="str">
        <f t="shared" ref="B211:G211" si="61">B52</f>
        <v>Lớp 5</v>
      </c>
      <c r="C211" s="27" t="str">
        <f t="shared" si="61"/>
        <v>Cát</v>
      </c>
      <c r="D211" s="27" t="str">
        <f t="shared" si="61"/>
        <v>R</v>
      </c>
      <c r="E211" s="27">
        <f t="shared" si="61"/>
        <v>15.2</v>
      </c>
      <c r="F211" s="27">
        <f t="shared" si="61"/>
        <v>0.30000000000000099</v>
      </c>
      <c r="G211" s="27">
        <f t="shared" si="61"/>
        <v>13</v>
      </c>
      <c r="H211" s="266">
        <f t="shared" si="45"/>
        <v>0.57499999999999996</v>
      </c>
      <c r="I211" s="25">
        <f t="shared" si="46"/>
        <v>60</v>
      </c>
      <c r="J211" s="25">
        <f t="shared" si="47"/>
        <v>8</v>
      </c>
      <c r="K211" s="25">
        <f t="shared" si="48"/>
        <v>0.5</v>
      </c>
      <c r="L211" s="255">
        <f t="shared" si="49"/>
        <v>134.4</v>
      </c>
      <c r="M211" s="31">
        <f t="shared" si="50"/>
        <v>6333.4507896370205</v>
      </c>
      <c r="N211" s="255">
        <f t="shared" si="51"/>
        <v>9.2200000000000006</v>
      </c>
      <c r="O211" s="257">
        <f t="shared" si="52"/>
        <v>0.63838085937499989</v>
      </c>
      <c r="P211" s="31" t="str">
        <f t="shared" si="53"/>
        <v>-</v>
      </c>
      <c r="Q211" s="31">
        <f t="shared" si="54"/>
        <v>10.280641063233388</v>
      </c>
      <c r="R211" s="31">
        <f t="shared" si="55"/>
        <v>921.40582042927508</v>
      </c>
      <c r="S211" s="31">
        <f t="shared" si="56"/>
        <v>7254.8566100662956</v>
      </c>
      <c r="V211" s="224"/>
      <c r="AI211" s="260"/>
      <c r="AJ211" s="260"/>
    </row>
    <row r="212" spans="1:36">
      <c r="A212" s="26" t="str">
        <f t="shared" si="41"/>
        <v/>
      </c>
      <c r="B212" s="27" t="str">
        <f t="shared" ref="B212:G212" si="62">B53</f>
        <v>Lớp 5</v>
      </c>
      <c r="C212" s="27" t="str">
        <f t="shared" si="62"/>
        <v>Cát</v>
      </c>
      <c r="D212" s="27" t="str">
        <f t="shared" si="62"/>
        <v>R</v>
      </c>
      <c r="E212" s="27">
        <f t="shared" si="62"/>
        <v>15.5</v>
      </c>
      <c r="F212" s="27">
        <f t="shared" si="62"/>
        <v>3</v>
      </c>
      <c r="G212" s="27">
        <f t="shared" si="62"/>
        <v>13</v>
      </c>
      <c r="H212" s="266">
        <f t="shared" si="45"/>
        <v>0.57499999999999996</v>
      </c>
      <c r="I212" s="25">
        <f t="shared" si="46"/>
        <v>60</v>
      </c>
      <c r="J212" s="25">
        <f t="shared" si="47"/>
        <v>8</v>
      </c>
      <c r="K212" s="25">
        <f t="shared" si="48"/>
        <v>0.5</v>
      </c>
      <c r="L212" s="255">
        <f t="shared" si="49"/>
        <v>134.4</v>
      </c>
      <c r="M212" s="31">
        <f t="shared" si="50"/>
        <v>6333.4507896370205</v>
      </c>
      <c r="N212" s="255">
        <f t="shared" si="51"/>
        <v>9.2200000000000006</v>
      </c>
      <c r="O212" s="257">
        <f t="shared" si="52"/>
        <v>0.63838085937499989</v>
      </c>
      <c r="P212" s="31" t="str">
        <f t="shared" si="53"/>
        <v>-</v>
      </c>
      <c r="Q212" s="31">
        <f t="shared" si="54"/>
        <v>102.80641063233354</v>
      </c>
      <c r="R212" s="31">
        <f t="shared" si="55"/>
        <v>1024.2122310616087</v>
      </c>
      <c r="S212" s="31">
        <f t="shared" si="56"/>
        <v>7357.6630206986292</v>
      </c>
      <c r="V212" s="224"/>
      <c r="AI212" s="260"/>
      <c r="AJ212" s="260"/>
    </row>
    <row r="213" spans="1:36">
      <c r="A213" s="26" t="str">
        <f t="shared" si="41"/>
        <v/>
      </c>
      <c r="B213" s="27" t="str">
        <f t="shared" ref="B213:G213" si="63">B54</f>
        <v>Lớp 5</v>
      </c>
      <c r="C213" s="27" t="str">
        <f t="shared" si="63"/>
        <v>Cát</v>
      </c>
      <c r="D213" s="27" t="str">
        <f t="shared" si="63"/>
        <v>R</v>
      </c>
      <c r="E213" s="27">
        <f t="shared" si="63"/>
        <v>18.5</v>
      </c>
      <c r="F213" s="27">
        <f t="shared" si="63"/>
        <v>3</v>
      </c>
      <c r="G213" s="27">
        <f t="shared" si="63"/>
        <v>13.15</v>
      </c>
      <c r="H213" s="266">
        <f t="shared" si="45"/>
        <v>0.57499999999999996</v>
      </c>
      <c r="I213" s="25">
        <f t="shared" si="46"/>
        <v>60</v>
      </c>
      <c r="J213" s="25">
        <f t="shared" si="47"/>
        <v>8</v>
      </c>
      <c r="K213" s="25">
        <f t="shared" si="48"/>
        <v>0.5</v>
      </c>
      <c r="L213" s="255">
        <f t="shared" si="49"/>
        <v>134.4</v>
      </c>
      <c r="M213" s="31">
        <f t="shared" si="50"/>
        <v>6333.4507896370205</v>
      </c>
      <c r="N213" s="255">
        <f t="shared" si="51"/>
        <v>9.2200000000000006</v>
      </c>
      <c r="O213" s="257">
        <f t="shared" si="52"/>
        <v>0.63232173461914054</v>
      </c>
      <c r="P213" s="31" t="str">
        <f t="shared" si="53"/>
        <v>-</v>
      </c>
      <c r="Q213" s="31">
        <f t="shared" si="54"/>
        <v>102.80641063233354</v>
      </c>
      <c r="R213" s="31">
        <f t="shared" si="55"/>
        <v>1127.0186416939423</v>
      </c>
      <c r="S213" s="31">
        <f t="shared" si="56"/>
        <v>7460.4694313309628</v>
      </c>
      <c r="V213" s="224"/>
      <c r="AI213" s="260"/>
      <c r="AJ213" s="260"/>
    </row>
    <row r="214" spans="1:36">
      <c r="A214" s="26" t="str">
        <f t="shared" si="41"/>
        <v/>
      </c>
      <c r="B214" s="27" t="str">
        <f t="shared" ref="B214:G214" si="64">B55</f>
        <v>Lớp 5</v>
      </c>
      <c r="C214" s="27" t="str">
        <f t="shared" si="64"/>
        <v>Cát</v>
      </c>
      <c r="D214" s="27" t="str">
        <f t="shared" si="64"/>
        <v>R</v>
      </c>
      <c r="E214" s="27">
        <f t="shared" si="64"/>
        <v>21.5</v>
      </c>
      <c r="F214" s="27">
        <f t="shared" si="64"/>
        <v>3</v>
      </c>
      <c r="G214" s="27">
        <f t="shared" si="64"/>
        <v>14</v>
      </c>
      <c r="H214" s="266">
        <f t="shared" si="45"/>
        <v>0.57499999999999996</v>
      </c>
      <c r="I214" s="25">
        <f t="shared" si="46"/>
        <v>60</v>
      </c>
      <c r="J214" s="25">
        <f t="shared" si="47"/>
        <v>8</v>
      </c>
      <c r="K214" s="25">
        <f t="shared" si="48"/>
        <v>0.5</v>
      </c>
      <c r="L214" s="255">
        <f t="shared" si="49"/>
        <v>134.4</v>
      </c>
      <c r="M214" s="31">
        <f t="shared" si="50"/>
        <v>6333.4507896370205</v>
      </c>
      <c r="N214" s="255">
        <f t="shared" si="51"/>
        <v>9.2200000000000006</v>
      </c>
      <c r="O214" s="257">
        <f t="shared" si="52"/>
        <v>0.59964062499999993</v>
      </c>
      <c r="P214" s="31" t="str">
        <f t="shared" si="53"/>
        <v>-</v>
      </c>
      <c r="Q214" s="31">
        <f t="shared" si="54"/>
        <v>102.80641063233354</v>
      </c>
      <c r="R214" s="31">
        <f t="shared" si="55"/>
        <v>1229.8250523262759</v>
      </c>
      <c r="S214" s="31">
        <f t="shared" si="56"/>
        <v>7563.2758419632964</v>
      </c>
      <c r="V214" s="224"/>
    </row>
    <row r="215" spans="1:36">
      <c r="A215" s="26" t="str">
        <f t="shared" si="41"/>
        <v/>
      </c>
      <c r="B215" s="27" t="str">
        <f t="shared" ref="B215:G215" si="65">B56</f>
        <v>Lớp 5</v>
      </c>
      <c r="C215" s="27" t="str">
        <f t="shared" si="65"/>
        <v>Cát</v>
      </c>
      <c r="D215" s="27" t="str">
        <f t="shared" si="65"/>
        <v>R</v>
      </c>
      <c r="E215" s="27">
        <f t="shared" si="65"/>
        <v>24.5</v>
      </c>
      <c r="F215" s="27">
        <f t="shared" si="65"/>
        <v>2.5</v>
      </c>
      <c r="G215" s="27">
        <f t="shared" si="65"/>
        <v>15</v>
      </c>
      <c r="H215" s="266">
        <f t="shared" si="45"/>
        <v>0.57499999999999996</v>
      </c>
      <c r="I215" s="25">
        <f t="shared" si="46"/>
        <v>60</v>
      </c>
      <c r="J215" s="25">
        <f t="shared" si="47"/>
        <v>8</v>
      </c>
      <c r="K215" s="25">
        <f t="shared" si="48"/>
        <v>0.5</v>
      </c>
      <c r="L215" s="255">
        <f t="shared" si="49"/>
        <v>134.4</v>
      </c>
      <c r="M215" s="31">
        <f t="shared" si="50"/>
        <v>6333.4507896370205</v>
      </c>
      <c r="N215" s="255">
        <f t="shared" si="51"/>
        <v>9.2200000000000006</v>
      </c>
      <c r="O215" s="257">
        <f t="shared" si="52"/>
        <v>0.56461132812499981</v>
      </c>
      <c r="P215" s="31" t="str">
        <f t="shared" si="53"/>
        <v>-</v>
      </c>
      <c r="Q215" s="31">
        <f t="shared" si="54"/>
        <v>85.672008860277941</v>
      </c>
      <c r="R215" s="31">
        <f t="shared" si="55"/>
        <v>1315.4970611865538</v>
      </c>
      <c r="S215" s="31">
        <f t="shared" si="56"/>
        <v>7648.9478508235743</v>
      </c>
      <c r="V215" s="224"/>
    </row>
    <row r="216" spans="1:36">
      <c r="A216" s="26" t="str">
        <f t="shared" si="41"/>
        <v>Lớp 6</v>
      </c>
      <c r="B216" s="27" t="str">
        <f t="shared" ref="B216:G216" si="66">B57</f>
        <v>Lớp 6</v>
      </c>
      <c r="C216" s="27" t="str">
        <f t="shared" si="66"/>
        <v>Cát</v>
      </c>
      <c r="D216" s="27" t="str">
        <f t="shared" si="66"/>
        <v>R</v>
      </c>
      <c r="E216" s="27">
        <f t="shared" si="66"/>
        <v>27</v>
      </c>
      <c r="F216" s="27">
        <f t="shared" si="66"/>
        <v>3</v>
      </c>
      <c r="G216" s="27">
        <f t="shared" si="66"/>
        <v>17</v>
      </c>
      <c r="H216" s="266">
        <f t="shared" si="45"/>
        <v>0.57499999999999996</v>
      </c>
      <c r="I216" s="25">
        <f t="shared" si="46"/>
        <v>60</v>
      </c>
      <c r="J216" s="25">
        <f t="shared" si="47"/>
        <v>8</v>
      </c>
      <c r="K216" s="25">
        <f t="shared" si="48"/>
        <v>0.5</v>
      </c>
      <c r="L216" s="255">
        <f t="shared" si="49"/>
        <v>134.4</v>
      </c>
      <c r="M216" s="31">
        <f t="shared" si="50"/>
        <v>6333.4507896370205</v>
      </c>
      <c r="N216" s="255">
        <f t="shared" si="51"/>
        <v>15.5</v>
      </c>
      <c r="O216" s="257">
        <f t="shared" si="52"/>
        <v>0.50451367187499985</v>
      </c>
      <c r="P216" s="31" t="str">
        <f t="shared" si="53"/>
        <v>-</v>
      </c>
      <c r="Q216" s="31">
        <f t="shared" si="54"/>
        <v>175.64213525615094</v>
      </c>
      <c r="R216" s="31">
        <f t="shared" si="55"/>
        <v>1491.1391964427048</v>
      </c>
      <c r="S216" s="31">
        <f t="shared" si="56"/>
        <v>7824.5899860797253</v>
      </c>
      <c r="V216" s="224"/>
    </row>
    <row r="217" spans="1:36">
      <c r="A217" s="26" t="str">
        <f t="shared" si="41"/>
        <v/>
      </c>
      <c r="B217" s="27" t="str">
        <f t="shared" ref="B217:G217" si="67">B58</f>
        <v>Lớp 6</v>
      </c>
      <c r="C217" s="27" t="str">
        <f t="shared" si="67"/>
        <v>Cát</v>
      </c>
      <c r="D217" s="27" t="str">
        <f t="shared" si="67"/>
        <v>R</v>
      </c>
      <c r="E217" s="27">
        <f t="shared" si="67"/>
        <v>30</v>
      </c>
      <c r="F217" s="27">
        <f t="shared" si="67"/>
        <v>3</v>
      </c>
      <c r="G217" s="27">
        <f t="shared" si="67"/>
        <v>22.5</v>
      </c>
      <c r="H217" s="266">
        <f t="shared" si="45"/>
        <v>0.57499999999999996</v>
      </c>
      <c r="I217" s="25">
        <f t="shared" si="46"/>
        <v>60</v>
      </c>
      <c r="J217" s="25">
        <f t="shared" si="47"/>
        <v>8</v>
      </c>
      <c r="K217" s="25">
        <f t="shared" si="48"/>
        <v>0.5</v>
      </c>
      <c r="L217" s="255">
        <f t="shared" si="49"/>
        <v>134.4</v>
      </c>
      <c r="M217" s="31">
        <f t="shared" si="50"/>
        <v>6333.4507896370205</v>
      </c>
      <c r="N217" s="255">
        <f t="shared" si="51"/>
        <v>15.5</v>
      </c>
      <c r="O217" s="257">
        <f t="shared" si="52"/>
        <v>0.39060620117187472</v>
      </c>
      <c r="P217" s="31" t="str">
        <f t="shared" si="53"/>
        <v>-</v>
      </c>
      <c r="Q217" s="31">
        <f t="shared" si="54"/>
        <v>175.64213525615094</v>
      </c>
      <c r="R217" s="31">
        <f t="shared" si="55"/>
        <v>1666.7813316988559</v>
      </c>
      <c r="S217" s="31">
        <f t="shared" si="56"/>
        <v>8000.2321213358764</v>
      </c>
      <c r="V217" s="224"/>
    </row>
    <row r="218" spans="1:36">
      <c r="A218" s="26" t="str">
        <f t="shared" si="41"/>
        <v/>
      </c>
      <c r="B218" s="27" t="str">
        <f t="shared" ref="B218:G218" si="68">B59</f>
        <v>Lớp 6</v>
      </c>
      <c r="C218" s="27" t="str">
        <f t="shared" si="68"/>
        <v>Cát</v>
      </c>
      <c r="D218" s="27" t="str">
        <f t="shared" si="68"/>
        <v>R</v>
      </c>
      <c r="E218" s="27">
        <f t="shared" si="68"/>
        <v>33</v>
      </c>
      <c r="F218" s="27">
        <f t="shared" si="68"/>
        <v>3</v>
      </c>
      <c r="G218" s="27">
        <f t="shared" si="68"/>
        <v>20</v>
      </c>
      <c r="H218" s="266">
        <f t="shared" si="45"/>
        <v>0.57499999999999996</v>
      </c>
      <c r="I218" s="25">
        <f t="shared" si="46"/>
        <v>60</v>
      </c>
      <c r="J218" s="25">
        <f t="shared" si="47"/>
        <v>8</v>
      </c>
      <c r="K218" s="25">
        <f t="shared" si="48"/>
        <v>0.5</v>
      </c>
      <c r="L218" s="255">
        <f t="shared" si="49"/>
        <v>134.4</v>
      </c>
      <c r="M218" s="31">
        <f t="shared" si="50"/>
        <v>6333.4507896370205</v>
      </c>
      <c r="N218" s="255">
        <f t="shared" si="51"/>
        <v>15.5</v>
      </c>
      <c r="O218" s="257">
        <f t="shared" si="52"/>
        <v>0.4348749999999999</v>
      </c>
      <c r="P218" s="31" t="str">
        <f t="shared" si="53"/>
        <v>-</v>
      </c>
      <c r="Q218" s="31">
        <f t="shared" si="54"/>
        <v>175.64213525615094</v>
      </c>
      <c r="R218" s="31">
        <f t="shared" si="55"/>
        <v>1842.4234669550069</v>
      </c>
      <c r="S218" s="31">
        <f t="shared" si="56"/>
        <v>8175.8742565920275</v>
      </c>
      <c r="V218" s="224"/>
    </row>
    <row r="219" spans="1:36">
      <c r="A219" s="26" t="str">
        <f t="shared" si="41"/>
        <v/>
      </c>
      <c r="B219" s="27" t="str">
        <f t="shared" ref="B219:G219" si="69">B60</f>
        <v>Lớp 6</v>
      </c>
      <c r="C219" s="27" t="str">
        <f t="shared" si="69"/>
        <v>Cát</v>
      </c>
      <c r="D219" s="27" t="str">
        <f t="shared" si="69"/>
        <v>R</v>
      </c>
      <c r="E219" s="27">
        <f t="shared" si="69"/>
        <v>36</v>
      </c>
      <c r="F219" s="27">
        <f t="shared" si="69"/>
        <v>2.2000000000000002</v>
      </c>
      <c r="G219" s="27">
        <f t="shared" si="69"/>
        <v>28.5</v>
      </c>
      <c r="H219" s="266">
        <f t="shared" si="45"/>
        <v>0.57499999999999996</v>
      </c>
      <c r="I219" s="25">
        <f t="shared" si="46"/>
        <v>60</v>
      </c>
      <c r="J219" s="25">
        <f t="shared" si="47"/>
        <v>8</v>
      </c>
      <c r="K219" s="25">
        <f t="shared" si="48"/>
        <v>0.5</v>
      </c>
      <c r="L219" s="255">
        <f t="shared" si="49"/>
        <v>134.4</v>
      </c>
      <c r="M219" s="31">
        <f t="shared" si="50"/>
        <v>6333.4507896370205</v>
      </c>
      <c r="N219" s="255">
        <f t="shared" si="51"/>
        <v>15.5</v>
      </c>
      <c r="O219" s="257">
        <f t="shared" si="52"/>
        <v>0.30677319335937447</v>
      </c>
      <c r="P219" s="31" t="str">
        <f t="shared" si="53"/>
        <v>-</v>
      </c>
      <c r="Q219" s="31">
        <f t="shared" si="54"/>
        <v>128.80423252117737</v>
      </c>
      <c r="R219" s="31">
        <f t="shared" si="55"/>
        <v>1971.2276994761842</v>
      </c>
      <c r="S219" s="31">
        <f t="shared" si="56"/>
        <v>8304.6784891132047</v>
      </c>
      <c r="V219" s="224"/>
    </row>
    <row r="220" spans="1:36">
      <c r="A220" s="26" t="str">
        <f t="shared" si="41"/>
        <v>Lớp 7</v>
      </c>
      <c r="B220" s="27" t="str">
        <f t="shared" ref="B220:G220" si="70">B61</f>
        <v>Lớp 7</v>
      </c>
      <c r="C220" s="27" t="str">
        <f t="shared" si="70"/>
        <v>Cuội Sỏi</v>
      </c>
      <c r="D220" s="27" t="str">
        <f t="shared" si="70"/>
        <v>R</v>
      </c>
      <c r="E220" s="27">
        <f t="shared" si="70"/>
        <v>38.200000000000003</v>
      </c>
      <c r="F220" s="27">
        <f t="shared" si="70"/>
        <v>3</v>
      </c>
      <c r="G220" s="27">
        <f t="shared" si="70"/>
        <v>24</v>
      </c>
      <c r="H220" s="266">
        <f t="shared" si="45"/>
        <v>0.82499999999999996</v>
      </c>
      <c r="I220" s="25">
        <f t="shared" si="46"/>
        <v>100</v>
      </c>
      <c r="J220" s="25">
        <f t="shared" si="47"/>
        <v>15</v>
      </c>
      <c r="K220" s="25">
        <f t="shared" si="48"/>
        <v>0.8</v>
      </c>
      <c r="L220" s="255">
        <f t="shared" si="49"/>
        <v>178.75</v>
      </c>
      <c r="M220" s="31">
        <f t="shared" si="50"/>
        <v>14038.992170729382</v>
      </c>
      <c r="N220" s="255">
        <f t="shared" si="51"/>
        <v>25.3</v>
      </c>
      <c r="O220" s="257">
        <f t="shared" si="52"/>
        <v>0.36799999999999988</v>
      </c>
      <c r="P220" s="31" t="str">
        <f t="shared" si="53"/>
        <v>-</v>
      </c>
      <c r="Q220" s="31">
        <f t="shared" si="54"/>
        <v>637.07531490634665</v>
      </c>
      <c r="R220" s="31">
        <f t="shared" si="55"/>
        <v>2608.3030143825308</v>
      </c>
      <c r="S220" s="31">
        <f t="shared" si="56"/>
        <v>16647.295185111914</v>
      </c>
      <c r="V220" s="224"/>
    </row>
    <row r="221" spans="1:36">
      <c r="A221" s="26" t="str">
        <f t="shared" si="41"/>
        <v/>
      </c>
      <c r="B221" s="27" t="str">
        <f t="shared" ref="B221:G221" si="71">B62</f>
        <v>Lớp 7</v>
      </c>
      <c r="C221" s="27" t="str">
        <f t="shared" si="71"/>
        <v>Cuội Sỏi</v>
      </c>
      <c r="D221" s="27" t="str">
        <f t="shared" si="71"/>
        <v>R</v>
      </c>
      <c r="E221" s="27">
        <f t="shared" si="71"/>
        <v>41.2</v>
      </c>
      <c r="F221" s="27">
        <f t="shared" si="71"/>
        <v>2</v>
      </c>
      <c r="G221" s="27">
        <f t="shared" si="71"/>
        <v>50</v>
      </c>
      <c r="H221" s="266">
        <f t="shared" si="45"/>
        <v>0.82499999999999996</v>
      </c>
      <c r="I221" s="25">
        <f t="shared" si="46"/>
        <v>100</v>
      </c>
      <c r="J221" s="25">
        <f t="shared" si="47"/>
        <v>15</v>
      </c>
      <c r="K221" s="25">
        <f t="shared" si="48"/>
        <v>0.8</v>
      </c>
      <c r="L221" s="255">
        <f t="shared" si="49"/>
        <v>178.75</v>
      </c>
      <c r="M221" s="31">
        <f t="shared" si="50"/>
        <v>14038.992170729382</v>
      </c>
      <c r="N221" s="255">
        <f t="shared" si="51"/>
        <v>25.3</v>
      </c>
      <c r="O221" s="257">
        <f t="shared" si="52"/>
        <v>0.32</v>
      </c>
      <c r="P221" s="31" t="str">
        <f t="shared" si="53"/>
        <v>-</v>
      </c>
      <c r="Q221" s="31">
        <f t="shared" si="54"/>
        <v>424.71687660423106</v>
      </c>
      <c r="R221" s="31">
        <f t="shared" si="55"/>
        <v>3033.0198909867618</v>
      </c>
      <c r="S221" s="31">
        <f t="shared" si="56"/>
        <v>17072.012061716145</v>
      </c>
      <c r="V221" s="224"/>
    </row>
    <row r="222" spans="1:36">
      <c r="A222" s="26" t="str">
        <f t="shared" si="41"/>
        <v/>
      </c>
      <c r="B222" s="27" t="str">
        <f t="shared" ref="B222:G222" si="72">B63</f>
        <v>Lớp 7</v>
      </c>
      <c r="C222" s="27" t="str">
        <f t="shared" si="72"/>
        <v>Cuội Sỏi</v>
      </c>
      <c r="D222" s="27" t="str">
        <f t="shared" si="72"/>
        <v>R</v>
      </c>
      <c r="E222" s="27">
        <f t="shared" si="72"/>
        <v>43.2</v>
      </c>
      <c r="F222" s="27">
        <f t="shared" si="72"/>
        <v>0</v>
      </c>
      <c r="G222" s="27">
        <f t="shared" si="72"/>
        <v>43.5</v>
      </c>
      <c r="H222" s="266">
        <f t="shared" si="45"/>
        <v>0.82499999999999996</v>
      </c>
      <c r="I222" s="25">
        <f t="shared" si="46"/>
        <v>100</v>
      </c>
      <c r="J222" s="25">
        <f t="shared" si="47"/>
        <v>15</v>
      </c>
      <c r="K222" s="25">
        <f t="shared" si="48"/>
        <v>0.8</v>
      </c>
      <c r="L222" s="255">
        <f t="shared" si="49"/>
        <v>178.75</v>
      </c>
      <c r="M222" s="31">
        <f t="shared" si="50"/>
        <v>14038.992170729382</v>
      </c>
      <c r="N222" s="255">
        <f t="shared" si="51"/>
        <v>25.3</v>
      </c>
      <c r="O222" s="257">
        <f t="shared" si="52"/>
        <v>0.32</v>
      </c>
      <c r="P222" s="31" t="str">
        <f t="shared" si="53"/>
        <v>-</v>
      </c>
      <c r="Q222" s="31">
        <f t="shared" si="54"/>
        <v>0</v>
      </c>
      <c r="R222" s="31">
        <f t="shared" si="55"/>
        <v>3033.0198909867618</v>
      </c>
      <c r="S222" s="31">
        <f t="shared" si="56"/>
        <v>17072.012061716145</v>
      </c>
      <c r="V222" s="224"/>
    </row>
    <row r="223" spans="1:36">
      <c r="A223" s="26"/>
      <c r="B223" s="27"/>
      <c r="C223" s="27"/>
      <c r="D223" s="27"/>
      <c r="E223" s="27"/>
      <c r="F223" s="27"/>
      <c r="G223" s="27"/>
      <c r="H223" s="266"/>
      <c r="I223" s="25"/>
      <c r="J223" s="25"/>
      <c r="K223" s="25"/>
      <c r="L223" s="255"/>
      <c r="M223" s="31"/>
      <c r="N223" s="255"/>
      <c r="O223" s="257"/>
      <c r="P223" s="31"/>
      <c r="Q223" s="31"/>
      <c r="R223" s="31"/>
      <c r="S223" s="31"/>
      <c r="V223" s="224"/>
    </row>
    <row r="224" spans="1:36">
      <c r="A224" s="26"/>
      <c r="B224" s="27"/>
      <c r="C224" s="27"/>
      <c r="D224" s="27"/>
      <c r="E224" s="27"/>
      <c r="F224" s="27"/>
      <c r="G224" s="27"/>
      <c r="H224" s="266"/>
      <c r="I224" s="25"/>
      <c r="J224" s="25"/>
      <c r="K224" s="25"/>
      <c r="L224" s="255"/>
      <c r="M224" s="31"/>
      <c r="N224" s="255"/>
      <c r="O224" s="257"/>
      <c r="P224" s="31"/>
      <c r="Q224" s="31"/>
      <c r="R224" s="31"/>
      <c r="S224" s="31"/>
      <c r="V224" s="224"/>
    </row>
    <row r="225" spans="1:22">
      <c r="A225" s="26"/>
      <c r="B225" s="27"/>
      <c r="C225" s="27"/>
      <c r="D225" s="27"/>
      <c r="E225" s="27"/>
      <c r="F225" s="27"/>
      <c r="G225" s="27"/>
      <c r="H225" s="266"/>
      <c r="I225" s="25"/>
      <c r="J225" s="25"/>
      <c r="K225" s="25"/>
      <c r="L225" s="255"/>
      <c r="M225" s="31"/>
      <c r="N225" s="255"/>
      <c r="O225" s="257"/>
      <c r="P225" s="31"/>
      <c r="Q225" s="31"/>
      <c r="R225" s="31"/>
      <c r="S225" s="31"/>
      <c r="V225" s="224"/>
    </row>
    <row r="226" spans="1:22">
      <c r="A226" s="26"/>
      <c r="B226" s="27"/>
      <c r="C226" s="27"/>
      <c r="D226" s="27"/>
      <c r="E226" s="27"/>
      <c r="F226" s="27"/>
      <c r="G226" s="27"/>
      <c r="H226" s="266"/>
      <c r="I226" s="25"/>
      <c r="J226" s="25"/>
      <c r="K226" s="25"/>
      <c r="L226" s="255"/>
      <c r="M226" s="31"/>
      <c r="N226" s="255"/>
      <c r="O226" s="257"/>
      <c r="P226" s="31"/>
      <c r="Q226" s="31"/>
      <c r="R226" s="31"/>
      <c r="S226" s="31"/>
      <c r="V226" s="224"/>
    </row>
    <row r="227" spans="1:22">
      <c r="A227" s="26"/>
      <c r="B227" s="27"/>
      <c r="C227" s="27"/>
      <c r="D227" s="27"/>
      <c r="E227" s="27"/>
      <c r="F227" s="27"/>
      <c r="G227" s="27"/>
      <c r="H227" s="266"/>
      <c r="I227" s="25"/>
      <c r="J227" s="25"/>
      <c r="K227" s="25"/>
      <c r="L227" s="255"/>
      <c r="M227" s="31"/>
      <c r="N227" s="255"/>
      <c r="O227" s="257"/>
      <c r="P227" s="31"/>
      <c r="Q227" s="31"/>
      <c r="R227" s="31"/>
      <c r="S227" s="31"/>
      <c r="V227" s="224"/>
    </row>
    <row r="228" spans="1:22">
      <c r="A228" s="26"/>
      <c r="B228" s="27"/>
      <c r="C228" s="27"/>
      <c r="D228" s="27"/>
      <c r="E228" s="27"/>
      <c r="F228" s="27"/>
      <c r="G228" s="27"/>
      <c r="H228" s="266"/>
      <c r="I228" s="25"/>
      <c r="J228" s="25"/>
      <c r="K228" s="25"/>
      <c r="L228" s="255"/>
      <c r="M228" s="31"/>
      <c r="N228" s="255"/>
      <c r="O228" s="257"/>
      <c r="P228" s="31"/>
      <c r="Q228" s="31"/>
      <c r="R228" s="31"/>
      <c r="S228" s="31"/>
      <c r="V228" s="224"/>
    </row>
    <row r="229" spans="1:22">
      <c r="A229" s="26"/>
      <c r="B229" s="27"/>
      <c r="C229" s="27"/>
      <c r="D229" s="27"/>
      <c r="E229" s="27"/>
      <c r="F229" s="27"/>
      <c r="G229" s="27"/>
      <c r="H229" s="266"/>
      <c r="I229" s="25"/>
      <c r="J229" s="25"/>
      <c r="K229" s="25"/>
      <c r="L229" s="255"/>
      <c r="M229" s="31"/>
      <c r="N229" s="255"/>
      <c r="O229" s="257"/>
      <c r="P229" s="31"/>
      <c r="Q229" s="31"/>
      <c r="R229" s="31"/>
      <c r="S229" s="31"/>
      <c r="V229" s="224"/>
    </row>
    <row r="230" spans="1:22">
      <c r="A230" s="26"/>
      <c r="B230" s="27"/>
      <c r="C230" s="27"/>
      <c r="D230" s="27"/>
      <c r="E230" s="27"/>
      <c r="F230" s="27"/>
      <c r="G230" s="27"/>
      <c r="H230" s="266"/>
      <c r="I230" s="25"/>
      <c r="J230" s="25"/>
      <c r="K230" s="25"/>
      <c r="L230" s="255"/>
      <c r="M230" s="31"/>
      <c r="N230" s="255"/>
      <c r="O230" s="257"/>
      <c r="P230" s="31"/>
      <c r="Q230" s="31"/>
      <c r="R230" s="31"/>
      <c r="S230" s="31"/>
      <c r="V230" s="224"/>
    </row>
    <row r="231" spans="1:22">
      <c r="A231" s="26"/>
      <c r="B231" s="27"/>
      <c r="C231" s="27"/>
      <c r="D231" s="27"/>
      <c r="E231" s="27"/>
      <c r="F231" s="27"/>
      <c r="G231" s="27"/>
      <c r="H231" s="266"/>
      <c r="I231" s="25"/>
      <c r="J231" s="25"/>
      <c r="K231" s="25"/>
      <c r="L231" s="255"/>
      <c r="M231" s="31"/>
      <c r="N231" s="255"/>
      <c r="O231" s="257"/>
      <c r="P231" s="31"/>
      <c r="Q231" s="31"/>
      <c r="R231" s="31"/>
      <c r="S231" s="31"/>
      <c r="V231" s="224"/>
    </row>
    <row r="232" spans="1:22">
      <c r="A232" s="26"/>
      <c r="B232" s="27"/>
      <c r="C232" s="27"/>
      <c r="D232" s="27"/>
      <c r="E232" s="27"/>
      <c r="F232" s="27"/>
      <c r="G232" s="27"/>
      <c r="H232" s="266"/>
      <c r="I232" s="25"/>
      <c r="J232" s="25"/>
      <c r="K232" s="25"/>
      <c r="L232" s="255"/>
      <c r="M232" s="31"/>
      <c r="N232" s="255"/>
      <c r="O232" s="257"/>
      <c r="P232" s="31"/>
      <c r="Q232" s="31"/>
      <c r="R232" s="31"/>
      <c r="S232" s="31"/>
      <c r="V232" s="224"/>
    </row>
    <row r="233" spans="1:22">
      <c r="A233" s="26"/>
      <c r="B233" s="27"/>
      <c r="C233" s="27"/>
      <c r="D233" s="27"/>
      <c r="E233" s="27"/>
      <c r="F233" s="27"/>
      <c r="G233" s="27"/>
      <c r="H233" s="266"/>
      <c r="I233" s="25"/>
      <c r="J233" s="25"/>
      <c r="K233" s="25"/>
      <c r="L233" s="255"/>
      <c r="M233" s="31"/>
      <c r="N233" s="255"/>
      <c r="O233" s="257"/>
      <c r="P233" s="31"/>
      <c r="Q233" s="31"/>
      <c r="R233" s="31"/>
      <c r="S233" s="31"/>
      <c r="V233" s="224"/>
    </row>
    <row r="234" spans="1:22">
      <c r="A234" s="26"/>
      <c r="B234" s="27"/>
      <c r="C234" s="27"/>
      <c r="D234" s="27"/>
      <c r="E234" s="27"/>
      <c r="F234" s="27"/>
      <c r="G234" s="27"/>
      <c r="H234" s="266"/>
      <c r="I234" s="25"/>
      <c r="J234" s="25"/>
      <c r="K234" s="25"/>
      <c r="L234" s="255"/>
      <c r="M234" s="31"/>
      <c r="N234" s="255"/>
      <c r="O234" s="257"/>
      <c r="P234" s="31"/>
      <c r="Q234" s="31"/>
      <c r="R234" s="31"/>
      <c r="S234" s="31"/>
      <c r="V234" s="224"/>
    </row>
    <row r="235" spans="1:22">
      <c r="A235" s="26"/>
      <c r="B235" s="27"/>
      <c r="C235" s="27"/>
      <c r="D235" s="27"/>
      <c r="E235" s="27"/>
      <c r="F235" s="27"/>
      <c r="G235" s="27"/>
      <c r="H235" s="266"/>
      <c r="I235" s="25"/>
      <c r="J235" s="25"/>
      <c r="K235" s="25"/>
      <c r="L235" s="255"/>
      <c r="M235" s="31"/>
      <c r="N235" s="255"/>
      <c r="O235" s="257"/>
      <c r="P235" s="31"/>
      <c r="Q235" s="31"/>
      <c r="R235" s="31"/>
      <c r="S235" s="31"/>
      <c r="V235" s="224"/>
    </row>
    <row r="236" spans="1:22">
      <c r="A236" s="26"/>
      <c r="B236" s="27"/>
      <c r="C236" s="27"/>
      <c r="D236" s="27"/>
      <c r="E236" s="27"/>
      <c r="F236" s="27"/>
      <c r="G236" s="27"/>
      <c r="H236" s="266"/>
      <c r="I236" s="25"/>
      <c r="J236" s="25"/>
      <c r="K236" s="25"/>
      <c r="L236" s="255"/>
      <c r="M236" s="31"/>
      <c r="N236" s="255"/>
      <c r="O236" s="257"/>
      <c r="P236" s="31"/>
      <c r="Q236" s="31"/>
      <c r="R236" s="31"/>
      <c r="S236" s="31"/>
      <c r="V236" s="224"/>
    </row>
    <row r="237" spans="1:22">
      <c r="A237" s="26"/>
      <c r="B237" s="27"/>
      <c r="C237" s="27"/>
      <c r="D237" s="27"/>
      <c r="E237" s="27"/>
      <c r="F237" s="27"/>
      <c r="G237" s="27"/>
      <c r="H237" s="266"/>
      <c r="I237" s="25"/>
      <c r="J237" s="25"/>
      <c r="K237" s="25"/>
      <c r="L237" s="255"/>
      <c r="M237" s="31"/>
      <c r="N237" s="255"/>
      <c r="O237" s="257"/>
      <c r="P237" s="31"/>
      <c r="Q237" s="31"/>
      <c r="R237" s="31"/>
      <c r="S237" s="31"/>
      <c r="V237" s="224"/>
    </row>
    <row r="238" spans="1:22">
      <c r="A238" s="26"/>
      <c r="B238" s="27"/>
      <c r="C238" s="27"/>
      <c r="D238" s="27"/>
      <c r="E238" s="27"/>
      <c r="F238" s="27"/>
      <c r="G238" s="27"/>
      <c r="H238" s="266"/>
      <c r="I238" s="25"/>
      <c r="J238" s="25"/>
      <c r="K238" s="25"/>
      <c r="L238" s="255"/>
      <c r="M238" s="31"/>
      <c r="N238" s="255"/>
      <c r="O238" s="257"/>
      <c r="P238" s="31"/>
      <c r="Q238" s="31"/>
      <c r="R238" s="31"/>
      <c r="S238" s="31"/>
      <c r="V238" s="224"/>
    </row>
    <row r="239" spans="1:22">
      <c r="A239" s="26"/>
      <c r="B239" s="27"/>
      <c r="C239" s="27"/>
      <c r="D239" s="27"/>
      <c r="E239" s="27"/>
      <c r="F239" s="27"/>
      <c r="G239" s="27"/>
      <c r="H239" s="266"/>
      <c r="I239" s="25"/>
      <c r="J239" s="25"/>
      <c r="K239" s="25"/>
      <c r="L239" s="255"/>
      <c r="M239" s="31"/>
      <c r="N239" s="255"/>
      <c r="O239" s="257"/>
      <c r="P239" s="31"/>
      <c r="Q239" s="31"/>
      <c r="R239" s="31"/>
      <c r="S239" s="31"/>
      <c r="V239" s="224"/>
    </row>
    <row r="240" spans="1:22">
      <c r="A240" s="26"/>
      <c r="B240" s="27"/>
      <c r="C240" s="27"/>
      <c r="D240" s="27"/>
      <c r="E240" s="27"/>
      <c r="F240" s="27"/>
      <c r="G240" s="27"/>
      <c r="H240" s="266"/>
      <c r="I240" s="25"/>
      <c r="J240" s="25"/>
      <c r="K240" s="25"/>
      <c r="L240" s="255"/>
      <c r="M240" s="31"/>
      <c r="N240" s="255"/>
      <c r="O240" s="257"/>
      <c r="P240" s="31"/>
      <c r="Q240" s="31"/>
      <c r="R240" s="31"/>
      <c r="S240" s="31"/>
      <c r="V240" s="224"/>
    </row>
    <row r="241" spans="1:22">
      <c r="A241" s="26"/>
      <c r="B241" s="27"/>
      <c r="C241" s="27"/>
      <c r="D241" s="27"/>
      <c r="E241" s="27"/>
      <c r="F241" s="27"/>
      <c r="G241" s="27"/>
      <c r="H241" s="266"/>
      <c r="I241" s="25"/>
      <c r="J241" s="25"/>
      <c r="K241" s="25"/>
      <c r="L241" s="255"/>
      <c r="M241" s="31"/>
      <c r="N241" s="255"/>
      <c r="O241" s="257"/>
      <c r="P241" s="31"/>
      <c r="Q241" s="31"/>
      <c r="R241" s="31"/>
      <c r="S241" s="31"/>
      <c r="V241" s="224"/>
    </row>
    <row r="242" spans="1:22" hidden="1">
      <c r="A242" s="26"/>
      <c r="B242" s="27"/>
      <c r="C242" s="27"/>
      <c r="D242" s="27"/>
      <c r="E242" s="27"/>
      <c r="F242" s="27"/>
      <c r="G242" s="27"/>
      <c r="H242" s="266"/>
      <c r="I242" s="25"/>
      <c r="J242" s="25"/>
      <c r="K242" s="25"/>
      <c r="L242" s="255"/>
      <c r="M242" s="31"/>
      <c r="N242" s="255"/>
      <c r="O242" s="257"/>
      <c r="P242" s="31"/>
      <c r="Q242" s="31"/>
      <c r="R242" s="31"/>
      <c r="S242" s="31"/>
      <c r="V242" s="224"/>
    </row>
    <row r="243" spans="1:22" hidden="1">
      <c r="A243" s="26"/>
      <c r="B243" s="27"/>
      <c r="C243" s="27"/>
      <c r="D243" s="27"/>
      <c r="E243" s="27"/>
      <c r="F243" s="27"/>
      <c r="G243" s="27"/>
      <c r="H243" s="266"/>
      <c r="I243" s="25"/>
      <c r="J243" s="25"/>
      <c r="K243" s="25"/>
      <c r="L243" s="255"/>
      <c r="M243" s="31"/>
      <c r="N243" s="255"/>
      <c r="O243" s="257"/>
      <c r="P243" s="31"/>
      <c r="Q243" s="31"/>
      <c r="R243" s="31"/>
      <c r="S243" s="31"/>
      <c r="V243" s="224"/>
    </row>
    <row r="244" spans="1:22" hidden="1">
      <c r="A244" s="26"/>
      <c r="B244" s="27"/>
      <c r="C244" s="27"/>
      <c r="D244" s="27"/>
      <c r="E244" s="27"/>
      <c r="F244" s="27"/>
      <c r="G244" s="27"/>
      <c r="H244" s="266"/>
      <c r="I244" s="25"/>
      <c r="J244" s="25"/>
      <c r="K244" s="25"/>
      <c r="L244" s="255"/>
      <c r="M244" s="31"/>
      <c r="N244" s="255"/>
      <c r="O244" s="257"/>
      <c r="P244" s="31"/>
      <c r="Q244" s="31"/>
      <c r="R244" s="31"/>
      <c r="S244" s="31"/>
      <c r="V244" s="224"/>
    </row>
    <row r="245" spans="1:22" hidden="1">
      <c r="A245" s="26"/>
      <c r="B245" s="27"/>
      <c r="C245" s="27"/>
      <c r="D245" s="27"/>
      <c r="E245" s="27"/>
      <c r="F245" s="27"/>
      <c r="G245" s="27"/>
      <c r="H245" s="266"/>
      <c r="I245" s="25"/>
      <c r="J245" s="25"/>
      <c r="K245" s="25"/>
      <c r="L245" s="255"/>
      <c r="M245" s="31"/>
      <c r="N245" s="255"/>
      <c r="O245" s="257"/>
      <c r="P245" s="31"/>
      <c r="Q245" s="31"/>
      <c r="R245" s="31"/>
      <c r="S245" s="31"/>
      <c r="V245" s="224"/>
    </row>
    <row r="246" spans="1:22" hidden="1">
      <c r="A246" s="26"/>
      <c r="B246" s="27"/>
      <c r="C246" s="27"/>
      <c r="D246" s="27"/>
      <c r="E246" s="27"/>
      <c r="F246" s="27"/>
      <c r="G246" s="27"/>
      <c r="H246" s="266"/>
      <c r="I246" s="25"/>
      <c r="J246" s="25"/>
      <c r="K246" s="25"/>
      <c r="L246" s="255"/>
      <c r="M246" s="31"/>
      <c r="N246" s="255"/>
      <c r="O246" s="257"/>
      <c r="P246" s="31"/>
      <c r="Q246" s="31"/>
      <c r="R246" s="31"/>
      <c r="S246" s="31"/>
      <c r="V246" s="224"/>
    </row>
    <row r="247" spans="1:22" hidden="1">
      <c r="A247" s="26"/>
      <c r="B247" s="27"/>
      <c r="C247" s="27"/>
      <c r="D247" s="27"/>
      <c r="E247" s="27"/>
      <c r="F247" s="27"/>
      <c r="G247" s="27"/>
      <c r="H247" s="266"/>
      <c r="I247" s="25"/>
      <c r="J247" s="25"/>
      <c r="K247" s="25"/>
      <c r="L247" s="255"/>
      <c r="M247" s="31"/>
      <c r="N247" s="255"/>
      <c r="O247" s="257"/>
      <c r="P247" s="31"/>
      <c r="Q247" s="31"/>
      <c r="R247" s="31"/>
      <c r="S247" s="31"/>
      <c r="V247" s="224"/>
    </row>
    <row r="248" spans="1:22" hidden="1">
      <c r="A248" s="26"/>
      <c r="B248" s="27"/>
      <c r="C248" s="27"/>
      <c r="D248" s="27"/>
      <c r="E248" s="27"/>
      <c r="F248" s="27"/>
      <c r="G248" s="27"/>
      <c r="H248" s="266"/>
      <c r="I248" s="25"/>
      <c r="J248" s="25"/>
      <c r="K248" s="25"/>
      <c r="L248" s="255"/>
      <c r="M248" s="31"/>
      <c r="N248" s="255"/>
      <c r="O248" s="257"/>
      <c r="P248" s="31"/>
      <c r="Q248" s="31"/>
      <c r="R248" s="31"/>
      <c r="S248" s="31"/>
      <c r="V248" s="224"/>
    </row>
    <row r="249" spans="1:22" hidden="1">
      <c r="A249" s="26"/>
      <c r="B249" s="27"/>
      <c r="C249" s="27"/>
      <c r="D249" s="27"/>
      <c r="E249" s="27"/>
      <c r="F249" s="27"/>
      <c r="G249" s="27"/>
      <c r="H249" s="266"/>
      <c r="I249" s="25"/>
      <c r="J249" s="25"/>
      <c r="K249" s="25"/>
      <c r="L249" s="255"/>
      <c r="M249" s="31"/>
      <c r="N249" s="255"/>
      <c r="O249" s="257"/>
      <c r="P249" s="31"/>
      <c r="Q249" s="31"/>
      <c r="R249" s="31"/>
      <c r="S249" s="31"/>
      <c r="V249" s="224"/>
    </row>
    <row r="250" spans="1:22" hidden="1">
      <c r="A250" s="26"/>
      <c r="B250" s="27"/>
      <c r="C250" s="27"/>
      <c r="D250" s="27"/>
      <c r="E250" s="27"/>
      <c r="F250" s="27"/>
      <c r="G250" s="27"/>
      <c r="H250" s="266"/>
      <c r="I250" s="25"/>
      <c r="J250" s="25"/>
      <c r="K250" s="25"/>
      <c r="L250" s="255"/>
      <c r="M250" s="31"/>
      <c r="N250" s="255"/>
      <c r="O250" s="257"/>
      <c r="P250" s="31"/>
      <c r="Q250" s="31"/>
      <c r="R250" s="31"/>
      <c r="S250" s="31"/>
      <c r="V250" s="224"/>
    </row>
    <row r="251" spans="1:22" hidden="1">
      <c r="A251" s="26"/>
      <c r="B251" s="27"/>
      <c r="C251" s="27"/>
      <c r="D251" s="27"/>
      <c r="E251" s="27"/>
      <c r="F251" s="27"/>
      <c r="G251" s="27"/>
      <c r="H251" s="266"/>
      <c r="I251" s="25"/>
      <c r="J251" s="25"/>
      <c r="K251" s="25"/>
      <c r="L251" s="255"/>
      <c r="M251" s="31"/>
      <c r="N251" s="255"/>
      <c r="O251" s="257"/>
      <c r="P251" s="31"/>
      <c r="Q251" s="31"/>
      <c r="R251" s="31"/>
      <c r="S251" s="31"/>
      <c r="V251" s="224"/>
    </row>
    <row r="252" spans="1:22" hidden="1">
      <c r="A252" s="26"/>
      <c r="B252" s="27"/>
      <c r="C252" s="27"/>
      <c r="D252" s="27"/>
      <c r="E252" s="27"/>
      <c r="F252" s="27"/>
      <c r="G252" s="27"/>
      <c r="H252" s="266"/>
      <c r="I252" s="25"/>
      <c r="J252" s="25"/>
      <c r="K252" s="25"/>
      <c r="L252" s="255"/>
      <c r="M252" s="31"/>
      <c r="N252" s="255"/>
      <c r="O252" s="257"/>
      <c r="P252" s="31"/>
      <c r="Q252" s="31"/>
      <c r="R252" s="31"/>
      <c r="S252" s="31"/>
      <c r="V252" s="224"/>
    </row>
    <row r="253" spans="1:22" hidden="1">
      <c r="A253" s="26"/>
      <c r="B253" s="27"/>
      <c r="C253" s="27"/>
      <c r="D253" s="27"/>
      <c r="E253" s="27"/>
      <c r="F253" s="27"/>
      <c r="G253" s="27"/>
      <c r="H253" s="266"/>
      <c r="I253" s="25"/>
      <c r="J253" s="25"/>
      <c r="K253" s="25"/>
      <c r="L253" s="255"/>
      <c r="M253" s="31"/>
      <c r="N253" s="255"/>
      <c r="O253" s="257"/>
      <c r="P253" s="31"/>
      <c r="Q253" s="31"/>
      <c r="R253" s="31"/>
      <c r="S253" s="31"/>
      <c r="V253" s="224"/>
    </row>
    <row r="254" spans="1:22" hidden="1">
      <c r="A254" s="26"/>
      <c r="B254" s="30"/>
      <c r="C254" s="31"/>
      <c r="D254" s="31"/>
      <c r="E254" s="31"/>
      <c r="F254" s="31"/>
      <c r="G254" s="31"/>
      <c r="H254" s="266"/>
      <c r="I254" s="25"/>
      <c r="J254" s="25"/>
      <c r="K254" s="25"/>
      <c r="L254" s="255"/>
      <c r="M254" s="31"/>
      <c r="N254" s="255"/>
      <c r="O254" s="257"/>
      <c r="P254" s="31"/>
      <c r="Q254" s="31"/>
      <c r="R254" s="31"/>
      <c r="S254" s="31"/>
      <c r="V254" s="224"/>
    </row>
    <row r="255" spans="1:22" hidden="1">
      <c r="A255" s="26"/>
      <c r="B255" s="30"/>
      <c r="C255" s="31"/>
      <c r="D255" s="31"/>
      <c r="E255" s="31"/>
      <c r="F255" s="31"/>
      <c r="G255" s="31"/>
      <c r="H255" s="266"/>
      <c r="I255" s="25"/>
      <c r="J255" s="25"/>
      <c r="K255" s="25"/>
      <c r="L255" s="255"/>
      <c r="M255" s="31"/>
      <c r="N255" s="255"/>
      <c r="O255" s="257"/>
      <c r="P255" s="31"/>
      <c r="Q255" s="31"/>
      <c r="R255" s="31"/>
      <c r="S255" s="31"/>
      <c r="V255" s="224"/>
    </row>
    <row r="256" spans="1:22" hidden="1">
      <c r="A256" s="26"/>
      <c r="B256" s="30"/>
      <c r="C256" s="31"/>
      <c r="D256" s="31"/>
      <c r="E256" s="31"/>
      <c r="F256" s="31"/>
      <c r="G256" s="31"/>
      <c r="H256" s="266"/>
      <c r="I256" s="25"/>
      <c r="J256" s="25"/>
      <c r="K256" s="25"/>
      <c r="L256" s="255"/>
      <c r="M256" s="31"/>
      <c r="N256" s="255"/>
      <c r="O256" s="257"/>
      <c r="P256" s="31"/>
      <c r="Q256" s="31"/>
      <c r="R256" s="31"/>
      <c r="S256" s="31"/>
      <c r="V256" s="224"/>
    </row>
    <row r="257" spans="1:22" hidden="1">
      <c r="A257" s="26"/>
      <c r="B257" s="30"/>
      <c r="C257" s="31"/>
      <c r="D257" s="31"/>
      <c r="E257" s="31"/>
      <c r="F257" s="31"/>
      <c r="G257" s="31"/>
      <c r="H257" s="266"/>
      <c r="I257" s="25"/>
      <c r="J257" s="25"/>
      <c r="K257" s="25"/>
      <c r="L257" s="255"/>
      <c r="M257" s="31"/>
      <c r="N257" s="255"/>
      <c r="O257" s="257"/>
      <c r="P257" s="31"/>
      <c r="Q257" s="31"/>
      <c r="R257" s="31"/>
      <c r="S257" s="31"/>
      <c r="V257" s="224"/>
    </row>
    <row r="258" spans="1:22" hidden="1">
      <c r="A258" s="26"/>
      <c r="B258" s="30"/>
      <c r="C258" s="31"/>
      <c r="D258" s="31"/>
      <c r="E258" s="31"/>
      <c r="F258" s="31"/>
      <c r="G258" s="31"/>
      <c r="H258" s="266"/>
      <c r="I258" s="25"/>
      <c r="J258" s="25"/>
      <c r="K258" s="25"/>
      <c r="L258" s="255"/>
      <c r="M258" s="31"/>
      <c r="N258" s="255"/>
      <c r="O258" s="257"/>
      <c r="P258" s="31"/>
      <c r="Q258" s="31"/>
      <c r="R258" s="31"/>
      <c r="S258" s="31"/>
      <c r="V258" s="224"/>
    </row>
    <row r="259" spans="1:22" hidden="1">
      <c r="A259" s="26"/>
      <c r="B259" s="30"/>
      <c r="C259" s="31"/>
      <c r="D259" s="31"/>
      <c r="E259" s="31"/>
      <c r="F259" s="31"/>
      <c r="G259" s="31"/>
      <c r="H259" s="266"/>
      <c r="I259" s="25"/>
      <c r="J259" s="25"/>
      <c r="K259" s="25"/>
      <c r="L259" s="255"/>
      <c r="M259" s="31"/>
      <c r="N259" s="255"/>
      <c r="O259" s="257"/>
      <c r="P259" s="31"/>
      <c r="Q259" s="31"/>
      <c r="R259" s="31"/>
      <c r="S259" s="31"/>
      <c r="V259" s="224"/>
    </row>
    <row r="260" spans="1:22" hidden="1">
      <c r="A260" s="26"/>
      <c r="B260" s="30"/>
      <c r="C260" s="31"/>
      <c r="D260" s="31"/>
      <c r="E260" s="31"/>
      <c r="F260" s="31"/>
      <c r="G260" s="31"/>
      <c r="H260" s="266"/>
      <c r="I260" s="25"/>
      <c r="J260" s="25"/>
      <c r="K260" s="25"/>
      <c r="L260" s="255"/>
      <c r="M260" s="31"/>
      <c r="N260" s="255"/>
      <c r="O260" s="257"/>
      <c r="P260" s="31"/>
      <c r="Q260" s="31"/>
      <c r="R260" s="31"/>
      <c r="S260" s="31"/>
      <c r="V260" s="224"/>
    </row>
    <row r="261" spans="1:22" hidden="1">
      <c r="A261" s="26"/>
      <c r="B261" s="30"/>
      <c r="C261" s="31"/>
      <c r="D261" s="31"/>
      <c r="E261" s="31"/>
      <c r="F261" s="31"/>
      <c r="G261" s="31"/>
      <c r="H261" s="266"/>
      <c r="I261" s="25"/>
      <c r="J261" s="25"/>
      <c r="K261" s="25"/>
      <c r="L261" s="255"/>
      <c r="M261" s="31"/>
      <c r="N261" s="255"/>
      <c r="O261" s="257"/>
      <c r="P261" s="31"/>
      <c r="Q261" s="31"/>
      <c r="R261" s="31"/>
      <c r="S261" s="31"/>
      <c r="V261" s="224"/>
    </row>
    <row r="262" spans="1:22" hidden="1">
      <c r="A262" s="26"/>
      <c r="B262" s="30"/>
      <c r="C262" s="31"/>
      <c r="D262" s="31"/>
      <c r="E262" s="31"/>
      <c r="F262" s="31"/>
      <c r="G262" s="31"/>
      <c r="H262" s="266"/>
      <c r="I262" s="25"/>
      <c r="J262" s="25"/>
      <c r="K262" s="25"/>
      <c r="L262" s="255"/>
      <c r="M262" s="31"/>
      <c r="N262" s="255"/>
      <c r="O262" s="257"/>
      <c r="P262" s="31"/>
      <c r="Q262" s="31"/>
      <c r="R262" s="31"/>
      <c r="S262" s="31"/>
      <c r="V262" s="224"/>
    </row>
    <row r="263" spans="1:22" hidden="1">
      <c r="A263" s="26"/>
      <c r="B263" s="30"/>
      <c r="C263" s="31"/>
      <c r="D263" s="31"/>
      <c r="E263" s="31"/>
      <c r="F263" s="31"/>
      <c r="G263" s="31"/>
      <c r="H263" s="266"/>
      <c r="I263" s="25"/>
      <c r="J263" s="25"/>
      <c r="K263" s="25"/>
      <c r="L263" s="255"/>
      <c r="M263" s="31"/>
      <c r="N263" s="255"/>
      <c r="O263" s="257"/>
      <c r="P263" s="31"/>
      <c r="Q263" s="31"/>
      <c r="R263" s="31"/>
      <c r="S263" s="31"/>
      <c r="V263" s="224"/>
    </row>
    <row r="264" spans="1:22" hidden="1">
      <c r="A264" s="26"/>
      <c r="B264" s="30"/>
      <c r="C264" s="31"/>
      <c r="D264" s="31"/>
      <c r="E264" s="31"/>
      <c r="F264" s="31"/>
      <c r="G264" s="31"/>
      <c r="H264" s="266"/>
      <c r="I264" s="25"/>
      <c r="J264" s="25"/>
      <c r="K264" s="25"/>
      <c r="L264" s="255"/>
      <c r="M264" s="31"/>
      <c r="N264" s="255"/>
      <c r="O264" s="257"/>
      <c r="P264" s="31"/>
      <c r="Q264" s="31"/>
      <c r="R264" s="31"/>
      <c r="S264" s="31"/>
      <c r="V264" s="224"/>
    </row>
    <row r="265" spans="1:22" hidden="1">
      <c r="A265" s="26"/>
      <c r="B265" s="30"/>
      <c r="C265" s="31"/>
      <c r="D265" s="31"/>
      <c r="E265" s="31"/>
      <c r="F265" s="31"/>
      <c r="G265" s="31"/>
      <c r="H265" s="266"/>
      <c r="I265" s="25"/>
      <c r="J265" s="25"/>
      <c r="K265" s="25"/>
      <c r="L265" s="255"/>
      <c r="M265" s="31"/>
      <c r="N265" s="255"/>
      <c r="O265" s="257"/>
      <c r="P265" s="31"/>
      <c r="Q265" s="31"/>
      <c r="R265" s="31"/>
      <c r="S265" s="31"/>
      <c r="V265" s="224"/>
    </row>
    <row r="266" spans="1:22" hidden="1">
      <c r="A266" s="26"/>
      <c r="B266" s="30"/>
      <c r="C266" s="31"/>
      <c r="D266" s="31"/>
      <c r="E266" s="31"/>
      <c r="F266" s="31"/>
      <c r="G266" s="31"/>
      <c r="H266" s="266"/>
      <c r="I266" s="25"/>
      <c r="J266" s="25"/>
      <c r="K266" s="25"/>
      <c r="L266" s="255"/>
      <c r="M266" s="31"/>
      <c r="N266" s="255"/>
      <c r="O266" s="257"/>
      <c r="P266" s="31"/>
      <c r="Q266" s="31"/>
      <c r="R266" s="31"/>
      <c r="S266" s="31"/>
      <c r="V266" s="224"/>
    </row>
    <row r="267" spans="1:22" hidden="1">
      <c r="A267" s="26"/>
      <c r="B267" s="30"/>
      <c r="C267" s="31"/>
      <c r="D267" s="31"/>
      <c r="E267" s="31"/>
      <c r="F267" s="31"/>
      <c r="G267" s="31"/>
      <c r="H267" s="266"/>
      <c r="I267" s="25"/>
      <c r="J267" s="25"/>
      <c r="K267" s="25"/>
      <c r="L267" s="255"/>
      <c r="M267" s="31"/>
      <c r="N267" s="255"/>
      <c r="O267" s="257"/>
      <c r="P267" s="31"/>
      <c r="Q267" s="31"/>
      <c r="R267" s="31"/>
      <c r="S267" s="31"/>
      <c r="V267" s="224"/>
    </row>
    <row r="268" spans="1:22" hidden="1">
      <c r="A268" s="26"/>
      <c r="B268" s="30"/>
      <c r="C268" s="31"/>
      <c r="D268" s="31"/>
      <c r="E268" s="31"/>
      <c r="F268" s="31"/>
      <c r="G268" s="31"/>
      <c r="H268" s="266"/>
      <c r="I268" s="25"/>
      <c r="J268" s="25"/>
      <c r="K268" s="25"/>
      <c r="L268" s="255"/>
      <c r="M268" s="31"/>
      <c r="N268" s="255"/>
      <c r="O268" s="257"/>
      <c r="P268" s="31"/>
      <c r="Q268" s="31"/>
      <c r="R268" s="31"/>
      <c r="S268" s="31"/>
      <c r="V268" s="224"/>
    </row>
    <row r="269" spans="1:22" hidden="1">
      <c r="A269" s="26"/>
      <c r="B269" s="30"/>
      <c r="C269" s="31"/>
      <c r="D269" s="31"/>
      <c r="E269" s="31"/>
      <c r="F269" s="31"/>
      <c r="G269" s="31"/>
      <c r="H269" s="266"/>
      <c r="I269" s="25"/>
      <c r="J269" s="25"/>
      <c r="K269" s="25"/>
      <c r="L269" s="255"/>
      <c r="M269" s="31"/>
      <c r="N269" s="255"/>
      <c r="O269" s="257"/>
      <c r="P269" s="31"/>
      <c r="Q269" s="31"/>
      <c r="R269" s="31"/>
      <c r="S269" s="31"/>
      <c r="V269" s="224"/>
    </row>
    <row r="270" spans="1:22" hidden="1">
      <c r="A270" s="26"/>
      <c r="B270" s="30"/>
      <c r="C270" s="31"/>
      <c r="D270" s="31"/>
      <c r="E270" s="31"/>
      <c r="F270" s="31"/>
      <c r="G270" s="31"/>
      <c r="H270" s="266"/>
      <c r="I270" s="25"/>
      <c r="J270" s="25"/>
      <c r="K270" s="25"/>
      <c r="L270" s="255"/>
      <c r="M270" s="31"/>
      <c r="N270" s="255"/>
      <c r="O270" s="257"/>
      <c r="P270" s="31"/>
      <c r="Q270" s="31"/>
      <c r="R270" s="31"/>
      <c r="S270" s="31"/>
      <c r="V270" s="224"/>
    </row>
    <row r="271" spans="1:22" hidden="1">
      <c r="A271" s="26"/>
      <c r="B271" s="30"/>
      <c r="C271" s="31"/>
      <c r="D271" s="31"/>
      <c r="E271" s="31"/>
      <c r="F271" s="31"/>
      <c r="G271" s="31"/>
      <c r="H271" s="266"/>
      <c r="I271" s="25"/>
      <c r="J271" s="25"/>
      <c r="K271" s="25"/>
      <c r="L271" s="255"/>
      <c r="M271" s="31"/>
      <c r="N271" s="255"/>
      <c r="O271" s="257"/>
      <c r="P271" s="31"/>
      <c r="Q271" s="31"/>
      <c r="R271" s="31"/>
      <c r="S271" s="31"/>
      <c r="V271" s="224"/>
    </row>
    <row r="272" spans="1:22" hidden="1">
      <c r="A272" s="26"/>
      <c r="B272" s="30"/>
      <c r="C272" s="31"/>
      <c r="D272" s="31"/>
      <c r="E272" s="31"/>
      <c r="F272" s="31"/>
      <c r="G272" s="31"/>
      <c r="H272" s="266"/>
      <c r="I272" s="25"/>
      <c r="J272" s="25"/>
      <c r="K272" s="25"/>
      <c r="L272" s="255"/>
      <c r="M272" s="31"/>
      <c r="N272" s="255"/>
      <c r="O272" s="257"/>
      <c r="P272" s="31"/>
      <c r="Q272" s="31"/>
      <c r="R272" s="31"/>
      <c r="S272" s="31"/>
      <c r="V272" s="224"/>
    </row>
    <row r="273" spans="1:22" hidden="1">
      <c r="A273" s="26"/>
      <c r="B273" s="30"/>
      <c r="C273" s="31"/>
      <c r="D273" s="31"/>
      <c r="E273" s="31"/>
      <c r="F273" s="31"/>
      <c r="G273" s="31"/>
      <c r="H273" s="266"/>
      <c r="I273" s="25"/>
      <c r="J273" s="25"/>
      <c r="K273" s="25"/>
      <c r="L273" s="255"/>
      <c r="M273" s="31"/>
      <c r="N273" s="255"/>
      <c r="O273" s="257"/>
      <c r="P273" s="31"/>
      <c r="Q273" s="31"/>
      <c r="R273" s="31"/>
      <c r="S273" s="31"/>
      <c r="V273" s="224"/>
    </row>
    <row r="274" spans="1:22" hidden="1">
      <c r="A274" s="26"/>
      <c r="B274" s="30"/>
      <c r="C274" s="31"/>
      <c r="D274" s="31"/>
      <c r="E274" s="31"/>
      <c r="F274" s="31"/>
      <c r="G274" s="31"/>
      <c r="H274" s="266"/>
      <c r="I274" s="25"/>
      <c r="J274" s="25"/>
      <c r="K274" s="25"/>
      <c r="L274" s="255"/>
      <c r="M274" s="31"/>
      <c r="N274" s="255"/>
      <c r="O274" s="257"/>
      <c r="P274" s="31"/>
      <c r="Q274" s="31"/>
      <c r="R274" s="31"/>
      <c r="S274" s="31"/>
      <c r="V274" s="224"/>
    </row>
    <row r="275" spans="1:22" hidden="1">
      <c r="A275" s="26"/>
      <c r="B275" s="30"/>
      <c r="C275" s="31"/>
      <c r="D275" s="31"/>
      <c r="E275" s="31"/>
      <c r="F275" s="31"/>
      <c r="G275" s="31"/>
      <c r="H275" s="266"/>
      <c r="I275" s="25"/>
      <c r="J275" s="25"/>
      <c r="K275" s="25"/>
      <c r="L275" s="255"/>
      <c r="M275" s="31"/>
      <c r="N275" s="255"/>
      <c r="O275" s="257"/>
      <c r="P275" s="31"/>
      <c r="Q275" s="31"/>
      <c r="R275" s="31"/>
      <c r="S275" s="31"/>
      <c r="V275" s="224"/>
    </row>
    <row r="276" spans="1:22" hidden="1">
      <c r="A276" s="26"/>
      <c r="B276" s="30"/>
      <c r="C276" s="31"/>
      <c r="D276" s="31"/>
      <c r="E276" s="31"/>
      <c r="F276" s="31"/>
      <c r="G276" s="31"/>
      <c r="H276" s="266"/>
      <c r="I276" s="25"/>
      <c r="J276" s="25"/>
      <c r="K276" s="25"/>
      <c r="L276" s="255"/>
      <c r="M276" s="31"/>
      <c r="N276" s="255"/>
      <c r="O276" s="257"/>
      <c r="P276" s="31"/>
      <c r="Q276" s="31"/>
      <c r="R276" s="31"/>
      <c r="S276" s="31"/>
      <c r="V276" s="224"/>
    </row>
    <row r="277" spans="1:22" hidden="1">
      <c r="A277" s="26"/>
      <c r="B277" s="30"/>
      <c r="C277" s="31"/>
      <c r="D277" s="31"/>
      <c r="E277" s="31"/>
      <c r="F277" s="31"/>
      <c r="G277" s="31"/>
      <c r="H277" s="266"/>
      <c r="I277" s="25"/>
      <c r="J277" s="25"/>
      <c r="K277" s="25"/>
      <c r="L277" s="255"/>
      <c r="M277" s="31"/>
      <c r="N277" s="255"/>
      <c r="O277" s="257"/>
      <c r="P277" s="31"/>
      <c r="Q277" s="31"/>
      <c r="R277" s="31"/>
      <c r="S277" s="31"/>
      <c r="V277" s="224"/>
    </row>
    <row r="278" spans="1:22" hidden="1">
      <c r="A278" s="26"/>
      <c r="B278" s="30"/>
      <c r="C278" s="31"/>
      <c r="D278" s="31"/>
      <c r="E278" s="31"/>
      <c r="F278" s="31"/>
      <c r="G278" s="31"/>
      <c r="H278" s="266"/>
      <c r="I278" s="25"/>
      <c r="J278" s="25"/>
      <c r="K278" s="25"/>
      <c r="L278" s="255"/>
      <c r="M278" s="31"/>
      <c r="N278" s="255"/>
      <c r="O278" s="257"/>
      <c r="P278" s="31"/>
      <c r="Q278" s="31"/>
      <c r="R278" s="31"/>
      <c r="S278" s="31"/>
      <c r="V278" s="224"/>
    </row>
    <row r="279" spans="1:22" hidden="1">
      <c r="A279" s="26"/>
      <c r="B279" s="30"/>
      <c r="C279" s="31"/>
      <c r="D279" s="31"/>
      <c r="E279" s="31"/>
      <c r="F279" s="31"/>
      <c r="G279" s="31"/>
      <c r="H279" s="266"/>
      <c r="I279" s="25"/>
      <c r="J279" s="25"/>
      <c r="K279" s="25"/>
      <c r="L279" s="255"/>
      <c r="M279" s="31"/>
      <c r="N279" s="255"/>
      <c r="O279" s="257"/>
      <c r="P279" s="31"/>
      <c r="Q279" s="31"/>
      <c r="R279" s="31"/>
      <c r="S279" s="31"/>
      <c r="V279" s="224"/>
    </row>
    <row r="280" spans="1:22" hidden="1">
      <c r="A280" s="26"/>
      <c r="B280" s="30"/>
      <c r="C280" s="31"/>
      <c r="D280" s="31"/>
      <c r="E280" s="31"/>
      <c r="F280" s="31"/>
      <c r="G280" s="31"/>
      <c r="H280" s="266"/>
      <c r="I280" s="25"/>
      <c r="J280" s="25"/>
      <c r="K280" s="25"/>
      <c r="L280" s="255"/>
      <c r="M280" s="31"/>
      <c r="N280" s="255"/>
      <c r="O280" s="257"/>
      <c r="P280" s="31"/>
      <c r="Q280" s="31"/>
      <c r="R280" s="31"/>
      <c r="S280" s="31"/>
      <c r="V280" s="224"/>
    </row>
    <row r="281" spans="1:22" hidden="1">
      <c r="A281" s="26"/>
      <c r="B281" s="30"/>
      <c r="C281" s="31"/>
      <c r="D281" s="31"/>
      <c r="E281" s="31"/>
      <c r="F281" s="31"/>
      <c r="G281" s="31"/>
      <c r="H281" s="266"/>
      <c r="I281" s="25"/>
      <c r="J281" s="25"/>
      <c r="K281" s="25"/>
      <c r="L281" s="255"/>
      <c r="M281" s="31"/>
      <c r="N281" s="255"/>
      <c r="O281" s="257"/>
      <c r="P281" s="31"/>
      <c r="Q281" s="31"/>
      <c r="R281" s="31"/>
      <c r="S281" s="31"/>
      <c r="V281" s="224"/>
    </row>
    <row r="282" spans="1:22" hidden="1">
      <c r="A282" s="26"/>
      <c r="B282" s="30"/>
      <c r="C282" s="31"/>
      <c r="D282" s="31"/>
      <c r="E282" s="31"/>
      <c r="F282" s="31"/>
      <c r="G282" s="31"/>
      <c r="H282" s="266"/>
      <c r="I282" s="25"/>
      <c r="J282" s="25"/>
      <c r="K282" s="25"/>
      <c r="L282" s="255"/>
      <c r="M282" s="31"/>
      <c r="N282" s="255"/>
      <c r="O282" s="257"/>
      <c r="P282" s="31"/>
      <c r="Q282" s="31"/>
      <c r="R282" s="31"/>
      <c r="S282" s="31"/>
      <c r="V282" s="224"/>
    </row>
    <row r="283" spans="1:22" hidden="1">
      <c r="A283" s="26"/>
      <c r="B283" s="30"/>
      <c r="C283" s="31"/>
      <c r="D283" s="31"/>
      <c r="E283" s="31"/>
      <c r="F283" s="31"/>
      <c r="G283" s="31"/>
      <c r="H283" s="266"/>
      <c r="I283" s="25"/>
      <c r="J283" s="25"/>
      <c r="K283" s="25"/>
      <c r="L283" s="255"/>
      <c r="M283" s="31"/>
      <c r="N283" s="255"/>
      <c r="O283" s="257"/>
      <c r="P283" s="31"/>
      <c r="Q283" s="31"/>
      <c r="R283" s="31"/>
      <c r="S283" s="31"/>
      <c r="V283" s="224"/>
    </row>
    <row r="284" spans="1:22" hidden="1">
      <c r="A284" s="26"/>
      <c r="B284" s="30"/>
      <c r="C284" s="31"/>
      <c r="D284" s="31"/>
      <c r="E284" s="31"/>
      <c r="F284" s="31"/>
      <c r="G284" s="31"/>
      <c r="H284" s="266"/>
      <c r="I284" s="25"/>
      <c r="J284" s="25"/>
      <c r="K284" s="25"/>
      <c r="L284" s="255"/>
      <c r="M284" s="31"/>
      <c r="N284" s="255"/>
      <c r="O284" s="257"/>
      <c r="P284" s="31"/>
      <c r="Q284" s="31"/>
      <c r="R284" s="31"/>
      <c r="S284" s="31"/>
      <c r="V284" s="224"/>
    </row>
    <row r="285" spans="1:22" hidden="1">
      <c r="A285" s="26"/>
      <c r="B285" s="30"/>
      <c r="C285" s="31"/>
      <c r="D285" s="31"/>
      <c r="E285" s="31"/>
      <c r="F285" s="31"/>
      <c r="G285" s="31"/>
      <c r="H285" s="266"/>
      <c r="I285" s="25"/>
      <c r="J285" s="25"/>
      <c r="K285" s="25"/>
      <c r="L285" s="255"/>
      <c r="M285" s="31"/>
      <c r="N285" s="255"/>
      <c r="O285" s="257"/>
      <c r="P285" s="31"/>
      <c r="Q285" s="31"/>
      <c r="R285" s="31"/>
      <c r="S285" s="31"/>
      <c r="V285" s="224"/>
    </row>
    <row r="286" spans="1:22" hidden="1">
      <c r="A286" s="26"/>
      <c r="B286" s="30"/>
      <c r="C286" s="31"/>
      <c r="D286" s="31"/>
      <c r="E286" s="31"/>
      <c r="F286" s="31"/>
      <c r="G286" s="31"/>
      <c r="H286" s="266"/>
      <c r="I286" s="25"/>
      <c r="J286" s="25"/>
      <c r="K286" s="25"/>
      <c r="L286" s="255"/>
      <c r="M286" s="31"/>
      <c r="N286" s="255"/>
      <c r="O286" s="257"/>
      <c r="P286" s="31"/>
      <c r="Q286" s="31"/>
      <c r="R286" s="31"/>
      <c r="S286" s="31"/>
      <c r="V286" s="224"/>
    </row>
    <row r="287" spans="1:22" hidden="1">
      <c r="A287" s="26"/>
      <c r="B287" s="30"/>
      <c r="C287" s="31"/>
      <c r="D287" s="31"/>
      <c r="E287" s="31"/>
      <c r="F287" s="31"/>
      <c r="G287" s="31"/>
      <c r="H287" s="266"/>
      <c r="I287" s="25"/>
      <c r="J287" s="25"/>
      <c r="K287" s="25"/>
      <c r="L287" s="255"/>
      <c r="M287" s="31"/>
      <c r="N287" s="255"/>
      <c r="O287" s="257"/>
      <c r="P287" s="31"/>
      <c r="Q287" s="31"/>
      <c r="R287" s="31"/>
      <c r="S287" s="31"/>
      <c r="V287" s="224"/>
    </row>
    <row r="288" spans="1:22" hidden="1">
      <c r="A288" s="26"/>
      <c r="B288" s="30"/>
      <c r="C288" s="31"/>
      <c r="D288" s="31"/>
      <c r="E288" s="31"/>
      <c r="F288" s="31"/>
      <c r="G288" s="31"/>
      <c r="H288" s="266"/>
      <c r="I288" s="25"/>
      <c r="J288" s="25"/>
      <c r="K288" s="25"/>
      <c r="L288" s="255"/>
      <c r="M288" s="31"/>
      <c r="N288" s="255"/>
      <c r="O288" s="257"/>
      <c r="P288" s="31"/>
      <c r="Q288" s="31"/>
      <c r="R288" s="31"/>
      <c r="S288" s="31"/>
      <c r="V288" s="224"/>
    </row>
    <row r="289" spans="1:22" hidden="1">
      <c r="A289" s="26"/>
      <c r="B289" s="30"/>
      <c r="C289" s="31"/>
      <c r="D289" s="31"/>
      <c r="E289" s="31"/>
      <c r="F289" s="31"/>
      <c r="G289" s="31"/>
      <c r="H289" s="266"/>
      <c r="I289" s="25"/>
      <c r="J289" s="25"/>
      <c r="K289" s="25"/>
      <c r="L289" s="255"/>
      <c r="M289" s="31"/>
      <c r="N289" s="255"/>
      <c r="O289" s="257"/>
      <c r="P289" s="31"/>
      <c r="Q289" s="31"/>
      <c r="R289" s="31"/>
      <c r="S289" s="31"/>
      <c r="V289" s="224"/>
    </row>
    <row r="290" spans="1:22" hidden="1">
      <c r="A290" s="26"/>
      <c r="B290" s="30"/>
      <c r="C290" s="31"/>
      <c r="D290" s="31"/>
      <c r="E290" s="31"/>
      <c r="F290" s="31"/>
      <c r="G290" s="31"/>
      <c r="H290" s="266"/>
      <c r="I290" s="25"/>
      <c r="J290" s="25"/>
      <c r="K290" s="25"/>
      <c r="L290" s="255"/>
      <c r="M290" s="31"/>
      <c r="N290" s="255"/>
      <c r="O290" s="257"/>
      <c r="P290" s="31"/>
      <c r="Q290" s="31"/>
      <c r="R290" s="31"/>
      <c r="S290" s="31"/>
      <c r="V290" s="224"/>
    </row>
    <row r="291" spans="1:22" hidden="1">
      <c r="A291" s="26"/>
      <c r="B291" s="30"/>
      <c r="C291" s="31"/>
      <c r="D291" s="31"/>
      <c r="E291" s="31"/>
      <c r="F291" s="31"/>
      <c r="G291" s="31"/>
      <c r="H291" s="266"/>
      <c r="I291" s="25"/>
      <c r="J291" s="25"/>
      <c r="K291" s="25"/>
      <c r="L291" s="255"/>
      <c r="M291" s="31"/>
      <c r="N291" s="255"/>
      <c r="O291" s="257"/>
      <c r="P291" s="31"/>
      <c r="Q291" s="31"/>
      <c r="R291" s="31"/>
      <c r="S291" s="31"/>
      <c r="V291" s="224"/>
    </row>
    <row r="292" spans="1:22" hidden="1">
      <c r="A292" s="26"/>
      <c r="B292" s="30"/>
      <c r="C292" s="31"/>
      <c r="D292" s="31"/>
      <c r="E292" s="31"/>
      <c r="F292" s="31"/>
      <c r="G292" s="31"/>
      <c r="H292" s="266"/>
      <c r="I292" s="25"/>
      <c r="J292" s="25"/>
      <c r="K292" s="25"/>
      <c r="L292" s="255"/>
      <c r="M292" s="31"/>
      <c r="N292" s="255"/>
      <c r="O292" s="257"/>
      <c r="P292" s="31"/>
      <c r="Q292" s="31"/>
      <c r="R292" s="31"/>
      <c r="S292" s="31"/>
      <c r="V292" s="224"/>
    </row>
    <row r="293" spans="1:22" hidden="1">
      <c r="A293" s="26"/>
      <c r="B293" s="30"/>
      <c r="C293" s="31"/>
      <c r="D293" s="31"/>
      <c r="E293" s="31"/>
      <c r="F293" s="31"/>
      <c r="G293" s="31"/>
      <c r="H293" s="266"/>
      <c r="I293" s="25"/>
      <c r="J293" s="25"/>
      <c r="K293" s="25"/>
      <c r="L293" s="255"/>
      <c r="M293" s="31"/>
      <c r="N293" s="255"/>
      <c r="O293" s="257"/>
      <c r="P293" s="31"/>
      <c r="Q293" s="31"/>
      <c r="R293" s="31"/>
      <c r="S293" s="31"/>
      <c r="V293" s="224"/>
    </row>
    <row r="294" spans="1:22" hidden="1">
      <c r="A294" s="267"/>
      <c r="B294" s="260"/>
      <c r="C294" s="260"/>
      <c r="D294" s="260"/>
      <c r="E294" s="260"/>
      <c r="F294" s="260"/>
      <c r="G294" s="260"/>
      <c r="H294" s="260"/>
      <c r="I294" s="260"/>
      <c r="J294" s="260"/>
      <c r="K294" s="260"/>
      <c r="L294" s="235"/>
      <c r="M294" s="235"/>
      <c r="N294" s="235"/>
      <c r="O294" s="260"/>
      <c r="P294" s="260"/>
      <c r="Q294" s="260"/>
      <c r="R294" s="260"/>
      <c r="S294" s="260"/>
      <c r="V294" s="224"/>
    </row>
    <row r="295" spans="1:22" hidden="1">
      <c r="A295" s="267"/>
      <c r="B295" s="260"/>
      <c r="C295" s="260"/>
      <c r="D295" s="260"/>
      <c r="E295" s="260"/>
      <c r="F295" s="260"/>
      <c r="G295" s="260"/>
      <c r="H295" s="260"/>
      <c r="I295" s="260"/>
      <c r="J295" s="260"/>
      <c r="K295" s="260"/>
      <c r="L295" s="235"/>
      <c r="M295" s="235"/>
      <c r="N295" s="235"/>
      <c r="O295" s="260"/>
      <c r="P295" s="260"/>
      <c r="Q295" s="260"/>
      <c r="R295" s="260"/>
      <c r="S295" s="260"/>
      <c r="V295" s="224"/>
    </row>
    <row r="296" spans="1:22" hidden="1">
      <c r="A296" s="267"/>
      <c r="B296" s="260"/>
      <c r="C296" s="260"/>
      <c r="D296" s="260"/>
      <c r="E296" s="260"/>
      <c r="F296" s="260"/>
      <c r="G296" s="260"/>
      <c r="H296" s="260"/>
      <c r="I296" s="260"/>
      <c r="J296" s="260"/>
      <c r="K296" s="260"/>
      <c r="L296" s="235"/>
      <c r="M296" s="235"/>
      <c r="N296" s="235"/>
      <c r="O296" s="260"/>
      <c r="P296" s="260"/>
      <c r="Q296" s="260"/>
      <c r="R296" s="260"/>
      <c r="S296" s="260"/>
      <c r="V296" s="224"/>
    </row>
    <row r="297" spans="1:22" hidden="1">
      <c r="A297" s="267"/>
      <c r="B297" s="260"/>
      <c r="C297" s="260"/>
      <c r="D297" s="260"/>
      <c r="E297" s="260"/>
      <c r="F297" s="260"/>
      <c r="G297" s="260"/>
      <c r="H297" s="260"/>
      <c r="I297" s="260"/>
      <c r="J297" s="260"/>
      <c r="K297" s="260"/>
      <c r="L297" s="235"/>
      <c r="M297" s="235"/>
      <c r="N297" s="235"/>
      <c r="O297" s="260"/>
      <c r="P297" s="260"/>
      <c r="Q297" s="260"/>
      <c r="R297" s="260"/>
      <c r="S297" s="260"/>
      <c r="V297" s="224"/>
    </row>
    <row r="298" spans="1:22" hidden="1">
      <c r="A298" s="267"/>
      <c r="B298" s="260"/>
      <c r="C298" s="260"/>
      <c r="D298" s="260"/>
      <c r="E298" s="260"/>
      <c r="F298" s="260"/>
      <c r="G298" s="260"/>
      <c r="H298" s="260"/>
      <c r="I298" s="260"/>
      <c r="J298" s="260"/>
      <c r="K298" s="260"/>
      <c r="L298" s="235"/>
      <c r="M298" s="235"/>
      <c r="N298" s="235"/>
      <c r="O298" s="260"/>
      <c r="P298" s="260"/>
      <c r="Q298" s="260"/>
      <c r="R298" s="260"/>
      <c r="S298" s="260"/>
      <c r="V298" s="224"/>
    </row>
    <row r="299" spans="1:22" hidden="1">
      <c r="A299" s="267"/>
      <c r="B299" s="260"/>
      <c r="C299" s="260"/>
      <c r="D299" s="260"/>
      <c r="E299" s="260"/>
      <c r="F299" s="260"/>
      <c r="G299" s="260"/>
      <c r="H299" s="260"/>
      <c r="I299" s="260"/>
      <c r="J299" s="260"/>
      <c r="K299" s="260"/>
      <c r="L299" s="235"/>
      <c r="M299" s="235"/>
      <c r="N299" s="235"/>
      <c r="O299" s="260"/>
      <c r="P299" s="260"/>
      <c r="Q299" s="260"/>
      <c r="R299" s="260"/>
      <c r="S299" s="260"/>
      <c r="V299" s="224"/>
    </row>
    <row r="300" spans="1:22" hidden="1">
      <c r="A300" s="267"/>
      <c r="B300" s="260"/>
      <c r="C300" s="260"/>
      <c r="D300" s="260"/>
      <c r="E300" s="260"/>
      <c r="F300" s="260"/>
      <c r="G300" s="260"/>
      <c r="H300" s="260"/>
      <c r="I300" s="260"/>
      <c r="J300" s="260"/>
      <c r="K300" s="260"/>
      <c r="L300" s="235"/>
      <c r="M300" s="235"/>
      <c r="N300" s="235"/>
      <c r="O300" s="260"/>
      <c r="P300" s="260"/>
      <c r="Q300" s="260"/>
      <c r="R300" s="260"/>
      <c r="S300" s="260"/>
      <c r="V300" s="224"/>
    </row>
    <row r="301" spans="1:22" hidden="1">
      <c r="A301" s="267"/>
      <c r="B301" s="260"/>
      <c r="C301" s="260"/>
      <c r="D301" s="260"/>
      <c r="E301" s="260"/>
      <c r="F301" s="260"/>
      <c r="G301" s="260"/>
      <c r="H301" s="260"/>
      <c r="I301" s="260"/>
      <c r="J301" s="260"/>
      <c r="K301" s="260"/>
      <c r="L301" s="235"/>
      <c r="M301" s="235"/>
      <c r="N301" s="235"/>
      <c r="O301" s="260"/>
      <c r="P301" s="260"/>
      <c r="Q301" s="260"/>
      <c r="R301" s="260"/>
      <c r="S301" s="260"/>
      <c r="V301" s="224"/>
    </row>
    <row r="302" spans="1:22" hidden="1">
      <c r="A302" s="267"/>
      <c r="B302" s="260"/>
      <c r="C302" s="260"/>
      <c r="D302" s="260"/>
      <c r="E302" s="260"/>
      <c r="F302" s="260"/>
      <c r="G302" s="260"/>
      <c r="H302" s="260"/>
      <c r="I302" s="260"/>
      <c r="J302" s="260"/>
      <c r="K302" s="260"/>
      <c r="L302" s="235"/>
      <c r="M302" s="235"/>
      <c r="N302" s="235"/>
      <c r="O302" s="260"/>
      <c r="P302" s="260"/>
      <c r="Q302" s="260"/>
      <c r="R302" s="260"/>
      <c r="S302" s="260"/>
      <c r="V302" s="224"/>
    </row>
    <row r="303" spans="1:22" hidden="1">
      <c r="A303" s="267"/>
      <c r="B303" s="260"/>
      <c r="C303" s="260"/>
      <c r="D303" s="260"/>
      <c r="E303" s="260"/>
      <c r="F303" s="260"/>
      <c r="G303" s="260"/>
      <c r="H303" s="260"/>
      <c r="I303" s="260"/>
      <c r="J303" s="260"/>
      <c r="K303" s="260"/>
      <c r="L303" s="235"/>
      <c r="M303" s="235"/>
      <c r="N303" s="235"/>
      <c r="O303" s="260"/>
      <c r="P303" s="260"/>
      <c r="Q303" s="260"/>
      <c r="R303" s="260"/>
      <c r="S303" s="260"/>
      <c r="V303" s="224"/>
    </row>
    <row r="304" spans="1:22" hidden="1">
      <c r="A304" s="267"/>
      <c r="B304" s="260"/>
      <c r="C304" s="260"/>
      <c r="D304" s="260"/>
      <c r="E304" s="260"/>
      <c r="F304" s="260"/>
      <c r="G304" s="260"/>
      <c r="H304" s="260"/>
      <c r="I304" s="260"/>
      <c r="J304" s="260"/>
      <c r="K304" s="260"/>
      <c r="L304" s="235"/>
      <c r="M304" s="235"/>
      <c r="N304" s="235"/>
      <c r="O304" s="260"/>
      <c r="P304" s="260"/>
      <c r="Q304" s="260"/>
      <c r="R304" s="260"/>
      <c r="S304" s="260"/>
      <c r="V304" s="224"/>
    </row>
    <row r="305" spans="1:22" hidden="1">
      <c r="A305" s="267"/>
      <c r="B305" s="260"/>
      <c r="C305" s="260"/>
      <c r="D305" s="260"/>
      <c r="E305" s="260"/>
      <c r="F305" s="260"/>
      <c r="G305" s="260"/>
      <c r="H305" s="260"/>
      <c r="I305" s="260"/>
      <c r="J305" s="260"/>
      <c r="K305" s="260"/>
      <c r="L305" s="235"/>
      <c r="M305" s="235"/>
      <c r="N305" s="235"/>
      <c r="O305" s="260"/>
      <c r="P305" s="260"/>
      <c r="Q305" s="260"/>
      <c r="R305" s="260"/>
      <c r="S305" s="260"/>
      <c r="V305" s="224"/>
    </row>
    <row r="306" spans="1:22" hidden="1">
      <c r="A306" s="267"/>
      <c r="B306" s="260"/>
      <c r="C306" s="260"/>
      <c r="D306" s="260"/>
      <c r="E306" s="260"/>
      <c r="F306" s="260"/>
      <c r="G306" s="260"/>
      <c r="H306" s="260"/>
      <c r="I306" s="260"/>
      <c r="J306" s="260"/>
      <c r="K306" s="260"/>
      <c r="L306" s="235"/>
      <c r="M306" s="235"/>
      <c r="N306" s="235"/>
      <c r="O306" s="260"/>
      <c r="P306" s="260"/>
      <c r="Q306" s="260"/>
      <c r="R306" s="260"/>
      <c r="S306" s="260"/>
      <c r="V306" s="224"/>
    </row>
    <row r="307" spans="1:22" hidden="1">
      <c r="A307" s="267"/>
      <c r="B307" s="260"/>
      <c r="C307" s="260"/>
      <c r="D307" s="260"/>
      <c r="E307" s="260"/>
      <c r="F307" s="260"/>
      <c r="G307" s="260"/>
      <c r="H307" s="260"/>
      <c r="I307" s="260"/>
      <c r="J307" s="260"/>
      <c r="K307" s="260"/>
      <c r="L307" s="235"/>
      <c r="M307" s="235"/>
      <c r="N307" s="235"/>
      <c r="O307" s="260"/>
      <c r="P307" s="260"/>
      <c r="Q307" s="260"/>
      <c r="R307" s="260"/>
      <c r="S307" s="260"/>
      <c r="V307" s="224"/>
    </row>
    <row r="308" spans="1:22" hidden="1">
      <c r="A308" s="267"/>
      <c r="B308" s="260"/>
      <c r="C308" s="260"/>
      <c r="D308" s="260"/>
      <c r="E308" s="260"/>
      <c r="F308" s="260"/>
      <c r="G308" s="260"/>
      <c r="H308" s="260"/>
      <c r="I308" s="260"/>
      <c r="J308" s="260"/>
      <c r="K308" s="260"/>
      <c r="L308" s="235"/>
      <c r="M308" s="235"/>
      <c r="N308" s="235"/>
      <c r="O308" s="260"/>
      <c r="P308" s="260"/>
      <c r="Q308" s="260"/>
      <c r="R308" s="260"/>
      <c r="S308" s="260"/>
      <c r="V308" s="224"/>
    </row>
    <row r="309" spans="1:22" hidden="1">
      <c r="A309" s="267"/>
      <c r="B309" s="260"/>
      <c r="C309" s="260"/>
      <c r="D309" s="260"/>
      <c r="E309" s="260"/>
      <c r="F309" s="260"/>
      <c r="G309" s="260"/>
      <c r="H309" s="260"/>
      <c r="I309" s="260"/>
      <c r="J309" s="260"/>
      <c r="K309" s="260"/>
      <c r="L309" s="235"/>
      <c r="M309" s="235"/>
      <c r="N309" s="235"/>
      <c r="O309" s="260"/>
      <c r="P309" s="260"/>
      <c r="Q309" s="260"/>
      <c r="R309" s="260"/>
      <c r="S309" s="260"/>
      <c r="V309" s="224"/>
    </row>
    <row r="310" spans="1:22" hidden="1">
      <c r="A310" s="267"/>
      <c r="B310" s="260"/>
      <c r="C310" s="260"/>
      <c r="D310" s="260"/>
      <c r="E310" s="260"/>
      <c r="F310" s="260"/>
      <c r="G310" s="260"/>
      <c r="H310" s="260"/>
      <c r="I310" s="260"/>
      <c r="J310" s="260"/>
      <c r="K310" s="260"/>
      <c r="L310" s="235"/>
      <c r="M310" s="235"/>
      <c r="N310" s="235"/>
      <c r="O310" s="260"/>
      <c r="P310" s="260"/>
      <c r="Q310" s="260"/>
      <c r="R310" s="260"/>
      <c r="S310" s="260"/>
      <c r="V310" s="224"/>
    </row>
    <row r="311" spans="1:22" hidden="1">
      <c r="A311" s="267"/>
      <c r="B311" s="260"/>
      <c r="C311" s="260"/>
      <c r="D311" s="260"/>
      <c r="E311" s="260"/>
      <c r="F311" s="260"/>
      <c r="G311" s="260"/>
      <c r="H311" s="260"/>
      <c r="I311" s="260"/>
      <c r="J311" s="260"/>
      <c r="K311" s="260"/>
      <c r="L311" s="235"/>
      <c r="M311" s="235"/>
      <c r="N311" s="235"/>
      <c r="O311" s="260"/>
      <c r="P311" s="260"/>
      <c r="Q311" s="260"/>
      <c r="R311" s="260"/>
      <c r="S311" s="260"/>
      <c r="V311" s="224"/>
    </row>
    <row r="312" spans="1:22" hidden="1">
      <c r="A312" s="267"/>
      <c r="B312" s="260"/>
      <c r="C312" s="260"/>
      <c r="D312" s="260"/>
      <c r="E312" s="260"/>
      <c r="F312" s="260"/>
      <c r="G312" s="260"/>
      <c r="H312" s="260"/>
      <c r="I312" s="260"/>
      <c r="J312" s="260"/>
      <c r="K312" s="260"/>
      <c r="L312" s="235"/>
      <c r="M312" s="235"/>
      <c r="N312" s="235"/>
      <c r="O312" s="260"/>
      <c r="P312" s="260"/>
      <c r="Q312" s="260"/>
      <c r="R312" s="260"/>
      <c r="S312" s="260"/>
      <c r="V312" s="224"/>
    </row>
    <row r="313" spans="1:22" hidden="1">
      <c r="A313" s="267"/>
      <c r="B313" s="260"/>
      <c r="C313" s="260"/>
      <c r="D313" s="260"/>
      <c r="E313" s="260"/>
      <c r="F313" s="260"/>
      <c r="G313" s="260"/>
      <c r="H313" s="260"/>
      <c r="I313" s="260"/>
      <c r="J313" s="260"/>
      <c r="K313" s="260"/>
      <c r="L313" s="235"/>
      <c r="M313" s="235"/>
      <c r="N313" s="235"/>
      <c r="O313" s="260"/>
      <c r="P313" s="260"/>
      <c r="Q313" s="260"/>
      <c r="R313" s="260"/>
      <c r="S313" s="260"/>
      <c r="V313" s="224"/>
    </row>
    <row r="314" spans="1:22" hidden="1">
      <c r="A314" s="267"/>
      <c r="B314" s="260"/>
      <c r="C314" s="260"/>
      <c r="D314" s="260"/>
      <c r="E314" s="260"/>
      <c r="F314" s="260"/>
      <c r="G314" s="260"/>
      <c r="H314" s="260"/>
      <c r="I314" s="260"/>
      <c r="J314" s="260"/>
      <c r="K314" s="260"/>
      <c r="L314" s="235"/>
      <c r="M314" s="235"/>
      <c r="N314" s="235"/>
      <c r="O314" s="260"/>
      <c r="P314" s="260"/>
      <c r="Q314" s="260"/>
      <c r="R314" s="260"/>
      <c r="S314" s="260"/>
      <c r="V314" s="224"/>
    </row>
    <row r="315" spans="1:22" hidden="1">
      <c r="A315" s="267"/>
      <c r="B315" s="260"/>
      <c r="C315" s="260"/>
      <c r="D315" s="260"/>
      <c r="E315" s="260"/>
      <c r="F315" s="260"/>
      <c r="G315" s="260"/>
      <c r="H315" s="260"/>
      <c r="I315" s="260"/>
      <c r="J315" s="260"/>
      <c r="K315" s="260"/>
      <c r="L315" s="235"/>
      <c r="M315" s="235"/>
      <c r="N315" s="235"/>
      <c r="O315" s="260"/>
      <c r="P315" s="260"/>
      <c r="Q315" s="260"/>
      <c r="R315" s="260"/>
      <c r="S315" s="260"/>
      <c r="V315" s="224"/>
    </row>
    <row r="316" spans="1:22" hidden="1">
      <c r="A316" s="267"/>
      <c r="B316" s="260"/>
      <c r="C316" s="260"/>
      <c r="D316" s="260"/>
      <c r="E316" s="260"/>
      <c r="F316" s="260"/>
      <c r="G316" s="260"/>
      <c r="H316" s="260"/>
      <c r="I316" s="260"/>
      <c r="J316" s="260"/>
      <c r="K316" s="260"/>
      <c r="L316" s="235"/>
      <c r="M316" s="235"/>
      <c r="N316" s="235"/>
      <c r="O316" s="260"/>
      <c r="P316" s="260"/>
      <c r="Q316" s="260"/>
      <c r="R316" s="260"/>
      <c r="S316" s="260"/>
      <c r="V316" s="224"/>
    </row>
    <row r="317" spans="1:22" hidden="1">
      <c r="A317" s="267"/>
      <c r="B317" s="260"/>
      <c r="C317" s="260"/>
      <c r="D317" s="260"/>
      <c r="E317" s="260"/>
      <c r="F317" s="260"/>
      <c r="G317" s="260"/>
      <c r="H317" s="260"/>
      <c r="I317" s="260"/>
      <c r="J317" s="260"/>
      <c r="K317" s="260"/>
      <c r="L317" s="235"/>
      <c r="M317" s="235"/>
      <c r="N317" s="235"/>
      <c r="O317" s="260"/>
      <c r="P317" s="260"/>
      <c r="Q317" s="260"/>
      <c r="R317" s="260"/>
      <c r="S317" s="260"/>
      <c r="V317" s="224"/>
    </row>
    <row r="318" spans="1:22" hidden="1">
      <c r="A318" s="267"/>
      <c r="B318" s="260"/>
      <c r="C318" s="260"/>
      <c r="D318" s="260"/>
      <c r="E318" s="260"/>
      <c r="F318" s="260"/>
      <c r="G318" s="260"/>
      <c r="H318" s="260"/>
      <c r="I318" s="260"/>
      <c r="J318" s="260"/>
      <c r="K318" s="260"/>
      <c r="L318" s="235"/>
      <c r="M318" s="235"/>
      <c r="N318" s="235"/>
      <c r="O318" s="260"/>
      <c r="P318" s="260"/>
      <c r="Q318" s="260"/>
      <c r="R318" s="260"/>
      <c r="S318" s="260"/>
      <c r="V318" s="224"/>
    </row>
    <row r="319" spans="1:22" hidden="1">
      <c r="A319" s="267"/>
      <c r="B319" s="260"/>
      <c r="C319" s="260"/>
      <c r="D319" s="260"/>
      <c r="E319" s="260"/>
      <c r="F319" s="260"/>
      <c r="G319" s="260"/>
      <c r="H319" s="260"/>
      <c r="I319" s="260"/>
      <c r="J319" s="260"/>
      <c r="K319" s="260"/>
      <c r="L319" s="235"/>
      <c r="M319" s="235"/>
      <c r="N319" s="235"/>
      <c r="O319" s="260"/>
      <c r="P319" s="260"/>
      <c r="Q319" s="260"/>
      <c r="R319" s="260"/>
      <c r="S319" s="260"/>
      <c r="V319" s="224"/>
    </row>
    <row r="320" spans="1:22" hidden="1">
      <c r="A320" s="267"/>
      <c r="B320" s="260"/>
      <c r="C320" s="260"/>
      <c r="D320" s="260"/>
      <c r="E320" s="260"/>
      <c r="F320" s="260"/>
      <c r="G320" s="260"/>
      <c r="H320" s="260"/>
      <c r="I320" s="260"/>
      <c r="J320" s="260"/>
      <c r="K320" s="260"/>
      <c r="L320" s="235"/>
      <c r="M320" s="235"/>
      <c r="N320" s="235"/>
      <c r="O320" s="260"/>
      <c r="P320" s="260"/>
      <c r="Q320" s="260"/>
      <c r="R320" s="260"/>
      <c r="S320" s="260"/>
      <c r="V320" s="224"/>
    </row>
    <row r="321" spans="1:22" hidden="1">
      <c r="A321" s="267"/>
      <c r="B321" s="260"/>
      <c r="C321" s="260"/>
      <c r="D321" s="260"/>
      <c r="E321" s="260"/>
      <c r="F321" s="260"/>
      <c r="G321" s="260"/>
      <c r="H321" s="260"/>
      <c r="I321" s="260"/>
      <c r="J321" s="260"/>
      <c r="K321" s="260"/>
      <c r="L321" s="235"/>
      <c r="M321" s="235"/>
      <c r="N321" s="235"/>
      <c r="O321" s="260"/>
      <c r="P321" s="260"/>
      <c r="Q321" s="260"/>
      <c r="R321" s="260"/>
      <c r="S321" s="260"/>
      <c r="V321" s="224"/>
    </row>
    <row r="322" spans="1:22" hidden="1">
      <c r="A322" s="267"/>
      <c r="B322" s="260"/>
      <c r="C322" s="260"/>
      <c r="D322" s="260"/>
      <c r="E322" s="260"/>
      <c r="F322" s="260"/>
      <c r="G322" s="260"/>
      <c r="H322" s="260"/>
      <c r="I322" s="260"/>
      <c r="J322" s="260"/>
      <c r="K322" s="260"/>
      <c r="L322" s="235"/>
      <c r="M322" s="235"/>
      <c r="N322" s="235"/>
      <c r="O322" s="260"/>
      <c r="P322" s="260"/>
      <c r="Q322" s="260"/>
      <c r="R322" s="260"/>
      <c r="S322" s="260"/>
      <c r="V322" s="224"/>
    </row>
    <row r="323" spans="1:22" hidden="1">
      <c r="A323" s="267"/>
      <c r="B323" s="260"/>
      <c r="C323" s="260"/>
      <c r="D323" s="260"/>
      <c r="E323" s="260"/>
      <c r="F323" s="260"/>
      <c r="G323" s="260"/>
      <c r="H323" s="260"/>
      <c r="I323" s="260"/>
      <c r="J323" s="260"/>
      <c r="K323" s="260"/>
      <c r="L323" s="235"/>
      <c r="M323" s="235"/>
      <c r="N323" s="235"/>
      <c r="O323" s="260"/>
      <c r="P323" s="260"/>
      <c r="Q323" s="260"/>
      <c r="R323" s="260"/>
      <c r="S323" s="260"/>
      <c r="V323" s="224"/>
    </row>
    <row r="324" spans="1:22" hidden="1">
      <c r="A324" s="267"/>
      <c r="B324" s="260"/>
      <c r="C324" s="260"/>
      <c r="D324" s="260"/>
      <c r="E324" s="260"/>
      <c r="F324" s="260"/>
      <c r="G324" s="260"/>
      <c r="H324" s="260"/>
      <c r="I324" s="260"/>
      <c r="J324" s="260"/>
      <c r="K324" s="260"/>
      <c r="L324" s="235"/>
      <c r="M324" s="235"/>
      <c r="N324" s="235"/>
      <c r="O324" s="260"/>
      <c r="P324" s="260"/>
      <c r="Q324" s="260"/>
      <c r="R324" s="260"/>
      <c r="S324" s="260"/>
      <c r="V324" s="224"/>
    </row>
    <row r="325" spans="1:22" hidden="1">
      <c r="A325" s="267"/>
      <c r="B325" s="260"/>
      <c r="C325" s="260"/>
      <c r="D325" s="260"/>
      <c r="E325" s="260"/>
      <c r="F325" s="260"/>
      <c r="G325" s="260"/>
      <c r="H325" s="260"/>
      <c r="I325" s="260"/>
      <c r="J325" s="260"/>
      <c r="K325" s="260"/>
      <c r="L325" s="235"/>
      <c r="M325" s="235"/>
      <c r="N325" s="235"/>
      <c r="O325" s="260"/>
      <c r="P325" s="260"/>
      <c r="Q325" s="260"/>
      <c r="R325" s="260"/>
      <c r="S325" s="260"/>
      <c r="V325" s="224"/>
    </row>
    <row r="326" spans="1:22" hidden="1">
      <c r="A326" s="267"/>
      <c r="B326" s="260"/>
      <c r="C326" s="260"/>
      <c r="D326" s="260"/>
      <c r="E326" s="260"/>
      <c r="F326" s="260"/>
      <c r="G326" s="260"/>
      <c r="H326" s="260"/>
      <c r="I326" s="260"/>
      <c r="J326" s="260"/>
      <c r="K326" s="260"/>
      <c r="L326" s="235"/>
      <c r="M326" s="235"/>
      <c r="N326" s="235"/>
      <c r="O326" s="260"/>
      <c r="P326" s="260"/>
      <c r="Q326" s="260"/>
      <c r="R326" s="260"/>
      <c r="S326" s="260"/>
      <c r="V326" s="224"/>
    </row>
    <row r="327" spans="1:22" hidden="1">
      <c r="A327" s="267"/>
      <c r="B327" s="260"/>
      <c r="C327" s="260"/>
      <c r="D327" s="260"/>
      <c r="E327" s="260"/>
      <c r="F327" s="260"/>
      <c r="G327" s="260"/>
      <c r="H327" s="260"/>
      <c r="I327" s="260"/>
      <c r="J327" s="260"/>
      <c r="K327" s="260"/>
      <c r="L327" s="235"/>
      <c r="M327" s="235"/>
      <c r="N327" s="235"/>
      <c r="O327" s="260"/>
      <c r="P327" s="260"/>
      <c r="Q327" s="260"/>
      <c r="R327" s="260"/>
      <c r="S327" s="260"/>
      <c r="V327" s="224"/>
    </row>
    <row r="328" spans="1:22" hidden="1">
      <c r="A328" s="267"/>
      <c r="B328" s="260"/>
      <c r="C328" s="260"/>
      <c r="D328" s="260"/>
      <c r="E328" s="260"/>
      <c r="F328" s="260"/>
      <c r="G328" s="260"/>
      <c r="H328" s="260"/>
      <c r="I328" s="260"/>
      <c r="J328" s="260"/>
      <c r="K328" s="260"/>
      <c r="L328" s="235"/>
      <c r="M328" s="235"/>
      <c r="N328" s="235"/>
      <c r="O328" s="260"/>
      <c r="P328" s="260"/>
      <c r="Q328" s="260"/>
      <c r="R328" s="260"/>
      <c r="S328" s="260"/>
      <c r="V328" s="224"/>
    </row>
    <row r="329" spans="1:22" hidden="1">
      <c r="A329" s="267"/>
      <c r="B329" s="260"/>
      <c r="C329" s="260"/>
      <c r="D329" s="260"/>
      <c r="E329" s="260"/>
      <c r="F329" s="260"/>
      <c r="G329" s="260"/>
      <c r="H329" s="260"/>
      <c r="I329" s="260"/>
      <c r="J329" s="260"/>
      <c r="K329" s="260"/>
      <c r="L329" s="235"/>
      <c r="M329" s="235"/>
      <c r="N329" s="235"/>
      <c r="O329" s="260"/>
      <c r="P329" s="260"/>
      <c r="Q329" s="260"/>
      <c r="R329" s="260"/>
      <c r="S329" s="260"/>
      <c r="V329" s="224"/>
    </row>
    <row r="330" spans="1:22" hidden="1">
      <c r="A330" s="267"/>
      <c r="B330" s="260"/>
      <c r="C330" s="260"/>
      <c r="D330" s="260"/>
      <c r="E330" s="260"/>
      <c r="F330" s="260"/>
      <c r="G330" s="260"/>
      <c r="H330" s="260"/>
      <c r="I330" s="260"/>
      <c r="J330" s="260"/>
      <c r="K330" s="260"/>
      <c r="L330" s="235"/>
      <c r="M330" s="235"/>
      <c r="N330" s="235"/>
      <c r="O330" s="260"/>
      <c r="P330" s="260"/>
      <c r="Q330" s="260"/>
      <c r="R330" s="260"/>
      <c r="S330" s="260"/>
      <c r="V330" s="224"/>
    </row>
    <row r="331" spans="1:22" hidden="1">
      <c r="A331" s="267"/>
      <c r="B331" s="260"/>
      <c r="C331" s="260"/>
      <c r="D331" s="260"/>
      <c r="E331" s="260"/>
      <c r="F331" s="260"/>
      <c r="G331" s="260"/>
      <c r="H331" s="260"/>
      <c r="I331" s="260"/>
      <c r="J331" s="260"/>
      <c r="K331" s="260"/>
      <c r="L331" s="235"/>
      <c r="M331" s="235"/>
      <c r="N331" s="235"/>
      <c r="O331" s="260"/>
      <c r="P331" s="260"/>
      <c r="Q331" s="260"/>
      <c r="R331" s="260"/>
      <c r="S331" s="260"/>
      <c r="V331" s="224"/>
    </row>
    <row r="332" spans="1:22" hidden="1">
      <c r="A332" s="267"/>
      <c r="B332" s="260"/>
      <c r="C332" s="260"/>
      <c r="D332" s="260"/>
      <c r="E332" s="260"/>
      <c r="F332" s="260"/>
      <c r="G332" s="260"/>
      <c r="H332" s="260"/>
      <c r="I332" s="260"/>
      <c r="J332" s="260"/>
      <c r="K332" s="260"/>
      <c r="L332" s="235"/>
      <c r="M332" s="235"/>
      <c r="N332" s="235"/>
      <c r="O332" s="260"/>
      <c r="P332" s="260"/>
      <c r="Q332" s="260"/>
      <c r="R332" s="260"/>
      <c r="S332" s="260"/>
      <c r="V332" s="224"/>
    </row>
    <row r="333" spans="1:22" hidden="1">
      <c r="A333" s="267"/>
      <c r="B333" s="260"/>
      <c r="C333" s="260"/>
      <c r="D333" s="260"/>
      <c r="E333" s="260"/>
      <c r="F333" s="260"/>
      <c r="G333" s="260"/>
      <c r="H333" s="260"/>
      <c r="I333" s="260"/>
      <c r="J333" s="260"/>
      <c r="K333" s="260"/>
      <c r="L333" s="235"/>
      <c r="M333" s="235"/>
      <c r="N333" s="235"/>
      <c r="O333" s="260"/>
      <c r="P333" s="260"/>
      <c r="Q333" s="260"/>
      <c r="R333" s="260"/>
      <c r="S333" s="260"/>
      <c r="V333" s="224"/>
    </row>
    <row r="334" spans="1:22" hidden="1">
      <c r="A334" s="267"/>
      <c r="B334" s="260"/>
      <c r="C334" s="260"/>
      <c r="D334" s="260"/>
      <c r="E334" s="260"/>
      <c r="F334" s="260"/>
      <c r="G334" s="260"/>
      <c r="H334" s="260"/>
      <c r="I334" s="260"/>
      <c r="J334" s="260"/>
      <c r="K334" s="260"/>
      <c r="L334" s="235"/>
      <c r="M334" s="235"/>
      <c r="N334" s="235"/>
      <c r="O334" s="260"/>
      <c r="P334" s="260"/>
      <c r="Q334" s="260"/>
      <c r="R334" s="260"/>
      <c r="S334" s="260"/>
      <c r="V334" s="224"/>
    </row>
    <row r="335" spans="1:22" hidden="1">
      <c r="A335" s="267"/>
      <c r="B335" s="260"/>
      <c r="C335" s="260"/>
      <c r="D335" s="260"/>
      <c r="E335" s="260"/>
      <c r="F335" s="260"/>
      <c r="G335" s="260"/>
      <c r="H335" s="260"/>
      <c r="I335" s="260"/>
      <c r="J335" s="260"/>
      <c r="K335" s="260"/>
      <c r="L335" s="235"/>
      <c r="M335" s="235"/>
      <c r="N335" s="235"/>
      <c r="O335" s="260"/>
      <c r="P335" s="260"/>
      <c r="Q335" s="260"/>
      <c r="R335" s="260"/>
      <c r="S335" s="260"/>
      <c r="V335" s="224"/>
    </row>
    <row r="336" spans="1:22" hidden="1">
      <c r="A336" s="267"/>
      <c r="B336" s="260"/>
      <c r="C336" s="260"/>
      <c r="D336" s="260"/>
      <c r="E336" s="260"/>
      <c r="F336" s="260"/>
      <c r="G336" s="260"/>
      <c r="H336" s="260"/>
      <c r="I336" s="260"/>
      <c r="J336" s="260"/>
      <c r="K336" s="260"/>
      <c r="L336" s="235"/>
      <c r="M336" s="235"/>
      <c r="N336" s="235"/>
      <c r="O336" s="260"/>
      <c r="P336" s="260"/>
      <c r="Q336" s="260"/>
      <c r="R336" s="260"/>
      <c r="S336" s="260"/>
      <c r="V336" s="224"/>
    </row>
    <row r="337" spans="1:22" hidden="1">
      <c r="A337" s="267"/>
      <c r="B337" s="260"/>
      <c r="C337" s="260"/>
      <c r="D337" s="260"/>
      <c r="E337" s="260"/>
      <c r="F337" s="260"/>
      <c r="G337" s="260"/>
      <c r="H337" s="260"/>
      <c r="I337" s="260"/>
      <c r="J337" s="260"/>
      <c r="K337" s="260"/>
      <c r="L337" s="235"/>
      <c r="M337" s="235"/>
      <c r="N337" s="235"/>
      <c r="O337" s="260"/>
      <c r="P337" s="260"/>
      <c r="Q337" s="260"/>
      <c r="R337" s="260"/>
      <c r="S337" s="260"/>
      <c r="V337" s="224"/>
    </row>
    <row r="338" spans="1:22" hidden="1">
      <c r="A338" s="267"/>
      <c r="B338" s="260"/>
      <c r="C338" s="260"/>
      <c r="D338" s="260"/>
      <c r="E338" s="260"/>
      <c r="F338" s="260"/>
      <c r="G338" s="260"/>
      <c r="H338" s="260"/>
      <c r="I338" s="260"/>
      <c r="J338" s="260"/>
      <c r="K338" s="260"/>
      <c r="L338" s="235"/>
      <c r="M338" s="235"/>
      <c r="N338" s="235"/>
      <c r="O338" s="260"/>
      <c r="P338" s="260"/>
      <c r="Q338" s="260"/>
      <c r="R338" s="260"/>
      <c r="S338" s="260"/>
      <c r="V338" s="224"/>
    </row>
    <row r="339" spans="1:22" hidden="1">
      <c r="A339" s="267"/>
      <c r="B339" s="260"/>
      <c r="C339" s="260"/>
      <c r="D339" s="260"/>
      <c r="E339" s="260"/>
      <c r="F339" s="260"/>
      <c r="G339" s="260"/>
      <c r="H339" s="260"/>
      <c r="I339" s="260"/>
      <c r="J339" s="260"/>
      <c r="K339" s="260"/>
      <c r="L339" s="235"/>
      <c r="M339" s="235"/>
      <c r="N339" s="235"/>
      <c r="O339" s="260"/>
      <c r="P339" s="260"/>
      <c r="Q339" s="260"/>
      <c r="R339" s="260"/>
      <c r="S339" s="260"/>
      <c r="V339" s="224"/>
    </row>
    <row r="340" spans="1:22" hidden="1">
      <c r="A340" s="267"/>
      <c r="B340" s="260"/>
      <c r="C340" s="260"/>
      <c r="D340" s="260"/>
      <c r="E340" s="260"/>
      <c r="F340" s="260"/>
      <c r="G340" s="260"/>
      <c r="H340" s="260"/>
      <c r="I340" s="260"/>
      <c r="J340" s="260"/>
      <c r="K340" s="260"/>
      <c r="L340" s="235"/>
      <c r="M340" s="235"/>
      <c r="N340" s="235"/>
      <c r="O340" s="260"/>
      <c r="P340" s="260"/>
      <c r="Q340" s="260"/>
      <c r="R340" s="260"/>
      <c r="S340" s="260"/>
      <c r="V340" s="224"/>
    </row>
    <row r="341" spans="1:22" hidden="1">
      <c r="A341" s="267"/>
      <c r="B341" s="260"/>
      <c r="C341" s="260"/>
      <c r="D341" s="260"/>
      <c r="E341" s="260"/>
      <c r="F341" s="260"/>
      <c r="G341" s="260"/>
      <c r="H341" s="260"/>
      <c r="I341" s="260"/>
      <c r="J341" s="260"/>
      <c r="K341" s="260"/>
      <c r="L341" s="235"/>
      <c r="M341" s="235"/>
      <c r="N341" s="235"/>
      <c r="O341" s="260"/>
      <c r="P341" s="260"/>
      <c r="Q341" s="260"/>
      <c r="R341" s="260"/>
      <c r="S341" s="260"/>
      <c r="V341" s="224"/>
    </row>
    <row r="342" spans="1:22" hidden="1">
      <c r="A342" s="267"/>
      <c r="B342" s="260"/>
      <c r="C342" s="260"/>
      <c r="D342" s="260"/>
      <c r="E342" s="260"/>
      <c r="F342" s="260"/>
      <c r="G342" s="260"/>
      <c r="H342" s="260"/>
      <c r="I342" s="260"/>
      <c r="J342" s="260"/>
      <c r="K342" s="260"/>
      <c r="L342" s="235"/>
      <c r="M342" s="235"/>
      <c r="N342" s="235"/>
      <c r="O342" s="260"/>
      <c r="P342" s="260"/>
      <c r="Q342" s="260"/>
      <c r="R342" s="260"/>
      <c r="S342" s="260"/>
      <c r="V342" s="224"/>
    </row>
    <row r="343" spans="1:22" hidden="1">
      <c r="A343" s="267"/>
      <c r="B343" s="260"/>
      <c r="C343" s="260"/>
      <c r="D343" s="260"/>
      <c r="E343" s="260"/>
      <c r="F343" s="260"/>
      <c r="G343" s="260"/>
      <c r="H343" s="260"/>
      <c r="I343" s="260"/>
      <c r="J343" s="260"/>
      <c r="K343" s="260"/>
      <c r="L343" s="235"/>
      <c r="M343" s="235"/>
      <c r="N343" s="235"/>
      <c r="O343" s="260"/>
      <c r="P343" s="260"/>
      <c r="Q343" s="260"/>
      <c r="R343" s="260"/>
      <c r="S343" s="260"/>
      <c r="V343" s="224"/>
    </row>
    <row r="344" spans="1:22" hidden="1">
      <c r="A344" s="267"/>
      <c r="B344" s="260"/>
      <c r="C344" s="260"/>
      <c r="D344" s="260"/>
      <c r="E344" s="260"/>
      <c r="F344" s="260"/>
      <c r="G344" s="260"/>
      <c r="H344" s="260"/>
      <c r="I344" s="260"/>
      <c r="J344" s="260"/>
      <c r="K344" s="260"/>
      <c r="L344" s="235"/>
      <c r="M344" s="235"/>
      <c r="N344" s="235"/>
      <c r="O344" s="260"/>
      <c r="P344" s="260"/>
      <c r="Q344" s="260"/>
      <c r="R344" s="260"/>
      <c r="S344" s="260"/>
      <c r="V344" s="224"/>
    </row>
    <row r="345" spans="1:22" hidden="1">
      <c r="A345" s="267"/>
      <c r="B345" s="260"/>
      <c r="C345" s="260"/>
      <c r="D345" s="260"/>
      <c r="E345" s="260"/>
      <c r="F345" s="260"/>
      <c r="G345" s="260"/>
      <c r="H345" s="260"/>
      <c r="I345" s="260"/>
      <c r="J345" s="260"/>
      <c r="K345" s="260"/>
      <c r="L345" s="235"/>
      <c r="M345" s="235"/>
      <c r="N345" s="235"/>
      <c r="O345" s="260"/>
      <c r="P345" s="260"/>
      <c r="Q345" s="260"/>
      <c r="R345" s="260"/>
      <c r="S345" s="260"/>
      <c r="V345" s="224"/>
    </row>
    <row r="346" spans="1:22" hidden="1">
      <c r="A346" s="267"/>
      <c r="B346" s="260"/>
      <c r="C346" s="260"/>
      <c r="D346" s="260"/>
      <c r="E346" s="260"/>
      <c r="F346" s="260"/>
      <c r="G346" s="260"/>
      <c r="H346" s="260"/>
      <c r="I346" s="260"/>
      <c r="J346" s="260"/>
      <c r="K346" s="260"/>
      <c r="L346" s="235"/>
      <c r="M346" s="235"/>
      <c r="N346" s="235"/>
      <c r="O346" s="260"/>
      <c r="P346" s="260"/>
      <c r="Q346" s="260"/>
      <c r="R346" s="260"/>
      <c r="S346" s="260"/>
      <c r="V346" s="224"/>
    </row>
    <row r="347" spans="1:22" hidden="1">
      <c r="A347" s="267"/>
      <c r="B347" s="260"/>
      <c r="C347" s="260"/>
      <c r="D347" s="260"/>
      <c r="E347" s="260"/>
      <c r="F347" s="260"/>
      <c r="G347" s="260"/>
      <c r="H347" s="260"/>
      <c r="I347" s="260"/>
      <c r="J347" s="260"/>
      <c r="K347" s="260"/>
      <c r="L347" s="235"/>
      <c r="M347" s="235"/>
      <c r="N347" s="235"/>
      <c r="O347" s="260"/>
      <c r="P347" s="260"/>
      <c r="Q347" s="260"/>
      <c r="R347" s="260"/>
      <c r="S347" s="260"/>
      <c r="V347" s="224"/>
    </row>
    <row r="348" spans="1:22" hidden="1">
      <c r="A348" s="267"/>
      <c r="B348" s="260"/>
      <c r="C348" s="260"/>
      <c r="D348" s="260"/>
      <c r="E348" s="260"/>
      <c r="F348" s="260"/>
      <c r="G348" s="260"/>
      <c r="H348" s="260"/>
      <c r="I348" s="260"/>
      <c r="J348" s="260"/>
      <c r="K348" s="260"/>
      <c r="L348" s="235"/>
      <c r="M348" s="235"/>
      <c r="N348" s="235"/>
      <c r="O348" s="260"/>
      <c r="P348" s="260"/>
      <c r="Q348" s="260"/>
      <c r="R348" s="260"/>
      <c r="S348" s="260"/>
      <c r="V348" s="224"/>
    </row>
    <row r="349" spans="1:22" hidden="1">
      <c r="A349" s="267"/>
      <c r="B349" s="260"/>
      <c r="C349" s="260"/>
      <c r="D349" s="260"/>
      <c r="E349" s="260"/>
      <c r="F349" s="260"/>
      <c r="G349" s="260"/>
      <c r="H349" s="260"/>
      <c r="I349" s="260"/>
      <c r="J349" s="260"/>
      <c r="K349" s="260"/>
      <c r="L349" s="235"/>
      <c r="M349" s="235"/>
      <c r="N349" s="235"/>
      <c r="O349" s="260"/>
      <c r="P349" s="260"/>
      <c r="Q349" s="260"/>
      <c r="R349" s="260"/>
      <c r="S349" s="260"/>
      <c r="V349" s="224"/>
    </row>
    <row r="350" spans="1:22" hidden="1">
      <c r="A350" s="267"/>
      <c r="B350" s="260"/>
      <c r="C350" s="260"/>
      <c r="D350" s="260"/>
      <c r="E350" s="260"/>
      <c r="F350" s="260"/>
      <c r="G350" s="260"/>
      <c r="H350" s="260"/>
      <c r="I350" s="260"/>
      <c r="J350" s="260"/>
      <c r="K350" s="260"/>
      <c r="L350" s="235"/>
      <c r="M350" s="235"/>
      <c r="N350" s="235"/>
      <c r="O350" s="260"/>
      <c r="P350" s="260"/>
      <c r="Q350" s="260"/>
      <c r="R350" s="260"/>
      <c r="S350" s="260"/>
      <c r="V350" s="224"/>
    </row>
    <row r="351" spans="1:22" hidden="1">
      <c r="A351" s="267"/>
      <c r="B351" s="260"/>
      <c r="C351" s="260"/>
      <c r="D351" s="260"/>
      <c r="E351" s="260"/>
      <c r="F351" s="260"/>
      <c r="G351" s="260"/>
      <c r="H351" s="260"/>
      <c r="I351" s="260"/>
      <c r="J351" s="260"/>
      <c r="K351" s="260"/>
      <c r="L351" s="235"/>
      <c r="M351" s="235"/>
      <c r="N351" s="235"/>
      <c r="O351" s="260"/>
      <c r="P351" s="260"/>
      <c r="Q351" s="260"/>
      <c r="R351" s="260"/>
      <c r="S351" s="260"/>
      <c r="V351" s="224"/>
    </row>
    <row r="352" spans="1:22" hidden="1">
      <c r="A352" s="267"/>
      <c r="B352" s="260"/>
      <c r="C352" s="260"/>
      <c r="D352" s="260"/>
      <c r="E352" s="260"/>
      <c r="F352" s="260"/>
      <c r="G352" s="260"/>
      <c r="H352" s="260"/>
      <c r="I352" s="260"/>
      <c r="J352" s="260"/>
      <c r="K352" s="260"/>
      <c r="L352" s="235"/>
      <c r="M352" s="235"/>
      <c r="N352" s="235"/>
      <c r="O352" s="260"/>
      <c r="P352" s="260"/>
      <c r="Q352" s="260"/>
      <c r="R352" s="260"/>
      <c r="S352" s="260"/>
      <c r="V352" s="224"/>
    </row>
    <row r="353" spans="1:22" hidden="1">
      <c r="A353" s="267"/>
      <c r="B353" s="260"/>
      <c r="C353" s="260"/>
      <c r="D353" s="260"/>
      <c r="E353" s="260"/>
      <c r="F353" s="260"/>
      <c r="G353" s="260"/>
      <c r="H353" s="260"/>
      <c r="I353" s="260"/>
      <c r="J353" s="260"/>
      <c r="K353" s="260"/>
      <c r="L353" s="235"/>
      <c r="M353" s="235"/>
      <c r="N353" s="235"/>
      <c r="O353" s="260"/>
      <c r="P353" s="260"/>
      <c r="Q353" s="260"/>
      <c r="R353" s="260"/>
      <c r="S353" s="260"/>
      <c r="V353" s="224"/>
    </row>
    <row r="354" spans="1:22" hidden="1">
      <c r="A354" s="267"/>
      <c r="B354" s="260"/>
      <c r="C354" s="260"/>
      <c r="D354" s="260"/>
      <c r="E354" s="260"/>
      <c r="F354" s="260"/>
      <c r="G354" s="260"/>
      <c r="H354" s="260"/>
      <c r="I354" s="260"/>
      <c r="J354" s="260"/>
      <c r="K354" s="260"/>
      <c r="L354" s="235"/>
      <c r="M354" s="235"/>
      <c r="N354" s="235"/>
      <c r="O354" s="260"/>
      <c r="P354" s="260"/>
      <c r="Q354" s="260"/>
      <c r="R354" s="260"/>
      <c r="S354" s="260"/>
      <c r="V354" s="224"/>
    </row>
    <row r="355" spans="1:22" hidden="1">
      <c r="A355" s="267"/>
      <c r="B355" s="260"/>
      <c r="C355" s="260"/>
      <c r="D355" s="260"/>
      <c r="E355" s="260"/>
      <c r="F355" s="260"/>
      <c r="G355" s="260"/>
      <c r="H355" s="260"/>
      <c r="I355" s="260"/>
      <c r="J355" s="260"/>
      <c r="K355" s="260"/>
      <c r="L355" s="235"/>
      <c r="M355" s="235"/>
      <c r="N355" s="235"/>
      <c r="O355" s="260"/>
      <c r="P355" s="260"/>
      <c r="Q355" s="260"/>
      <c r="R355" s="260"/>
      <c r="S355" s="260"/>
      <c r="V355" s="224"/>
    </row>
    <row r="356" spans="1:22" hidden="1">
      <c r="A356" s="267"/>
      <c r="B356" s="260"/>
      <c r="C356" s="260"/>
      <c r="D356" s="260"/>
      <c r="E356" s="260"/>
      <c r="F356" s="260"/>
      <c r="G356" s="260"/>
      <c r="H356" s="260"/>
      <c r="I356" s="260"/>
      <c r="J356" s="260"/>
      <c r="K356" s="260"/>
      <c r="L356" s="235"/>
      <c r="M356" s="235"/>
      <c r="N356" s="235"/>
      <c r="O356" s="260"/>
      <c r="P356" s="260"/>
      <c r="Q356" s="260"/>
      <c r="R356" s="260"/>
      <c r="S356" s="260"/>
      <c r="V356" s="224"/>
    </row>
    <row r="357" spans="1:22" hidden="1">
      <c r="A357" s="267"/>
      <c r="B357" s="260"/>
      <c r="C357" s="260"/>
      <c r="D357" s="260"/>
      <c r="E357" s="260"/>
      <c r="F357" s="260"/>
      <c r="G357" s="260"/>
      <c r="H357" s="260"/>
      <c r="I357" s="260"/>
      <c r="J357" s="260"/>
      <c r="K357" s="260"/>
      <c r="L357" s="235"/>
      <c r="M357" s="235"/>
      <c r="N357" s="235"/>
      <c r="O357" s="260"/>
      <c r="P357" s="260"/>
      <c r="Q357" s="260"/>
      <c r="R357" s="260"/>
      <c r="S357" s="260"/>
      <c r="V357" s="224"/>
    </row>
    <row r="358" spans="1:22" hidden="1">
      <c r="A358" s="267"/>
      <c r="B358" s="260"/>
      <c r="C358" s="260"/>
      <c r="D358" s="260"/>
      <c r="E358" s="260"/>
      <c r="F358" s="260"/>
      <c r="G358" s="260"/>
      <c r="H358" s="260"/>
      <c r="I358" s="260"/>
      <c r="J358" s="260"/>
      <c r="K358" s="260"/>
      <c r="L358" s="235"/>
      <c r="M358" s="235"/>
      <c r="N358" s="235"/>
      <c r="O358" s="260"/>
      <c r="P358" s="260"/>
      <c r="Q358" s="260"/>
      <c r="R358" s="260"/>
      <c r="S358" s="260"/>
      <c r="V358" s="224"/>
    </row>
    <row r="359" spans="1:22" hidden="1">
      <c r="A359" s="267"/>
      <c r="B359" s="260"/>
      <c r="C359" s="260"/>
      <c r="D359" s="260"/>
      <c r="E359" s="260"/>
      <c r="F359" s="260"/>
      <c r="G359" s="260"/>
      <c r="H359" s="260"/>
      <c r="I359" s="260"/>
      <c r="J359" s="260"/>
      <c r="K359" s="260"/>
      <c r="L359" s="235"/>
      <c r="M359" s="235"/>
      <c r="N359" s="235"/>
      <c r="O359" s="260"/>
      <c r="P359" s="260"/>
      <c r="Q359" s="260"/>
      <c r="R359" s="260"/>
      <c r="S359" s="260"/>
      <c r="V359" s="224"/>
    </row>
    <row r="360" spans="1:22" hidden="1">
      <c r="A360" s="267"/>
      <c r="B360" s="260"/>
      <c r="C360" s="260"/>
      <c r="D360" s="260"/>
      <c r="E360" s="260"/>
      <c r="F360" s="260"/>
      <c r="G360" s="260"/>
      <c r="H360" s="260"/>
      <c r="I360" s="260"/>
      <c r="J360" s="260"/>
      <c r="K360" s="260"/>
      <c r="L360" s="235"/>
      <c r="M360" s="235"/>
      <c r="N360" s="235"/>
      <c r="O360" s="260"/>
      <c r="P360" s="260"/>
      <c r="Q360" s="260"/>
      <c r="R360" s="260"/>
      <c r="S360" s="260"/>
      <c r="V360" s="224"/>
    </row>
    <row r="361" spans="1:22" hidden="1">
      <c r="A361" s="267"/>
      <c r="B361" s="260"/>
      <c r="C361" s="260"/>
      <c r="D361" s="260"/>
      <c r="E361" s="260"/>
      <c r="F361" s="260"/>
      <c r="G361" s="260"/>
      <c r="H361" s="260"/>
      <c r="I361" s="260"/>
      <c r="J361" s="260"/>
      <c r="K361" s="260"/>
      <c r="L361" s="235"/>
      <c r="M361" s="235"/>
      <c r="N361" s="235"/>
      <c r="O361" s="260"/>
      <c r="P361" s="260"/>
      <c r="Q361" s="260"/>
      <c r="R361" s="260"/>
      <c r="S361" s="260"/>
      <c r="V361" s="224"/>
    </row>
    <row r="362" spans="1:22" hidden="1">
      <c r="A362" s="267"/>
      <c r="B362" s="260"/>
      <c r="C362" s="260"/>
      <c r="D362" s="260"/>
      <c r="E362" s="260"/>
      <c r="F362" s="260"/>
      <c r="G362" s="260"/>
      <c r="H362" s="260"/>
      <c r="I362" s="260"/>
      <c r="J362" s="260"/>
      <c r="K362" s="260"/>
      <c r="L362" s="235"/>
      <c r="M362" s="235"/>
      <c r="N362" s="235"/>
      <c r="O362" s="260"/>
      <c r="P362" s="260"/>
      <c r="Q362" s="260"/>
      <c r="R362" s="260"/>
      <c r="S362" s="260"/>
      <c r="V362" s="224"/>
    </row>
    <row r="363" spans="1:22" hidden="1">
      <c r="A363" s="267"/>
      <c r="B363" s="260"/>
      <c r="C363" s="260"/>
      <c r="D363" s="260"/>
      <c r="E363" s="260"/>
      <c r="F363" s="260"/>
      <c r="G363" s="260"/>
      <c r="H363" s="260"/>
      <c r="I363" s="260"/>
      <c r="J363" s="260"/>
      <c r="K363" s="260"/>
      <c r="L363" s="235"/>
      <c r="M363" s="235"/>
      <c r="N363" s="235"/>
      <c r="O363" s="260"/>
      <c r="P363" s="260"/>
      <c r="Q363" s="260"/>
      <c r="R363" s="260"/>
      <c r="S363" s="260"/>
      <c r="V363" s="224"/>
    </row>
    <row r="364" spans="1:22" hidden="1">
      <c r="A364" s="267"/>
      <c r="B364" s="260"/>
      <c r="C364" s="260"/>
      <c r="D364" s="260"/>
      <c r="E364" s="260"/>
      <c r="F364" s="260"/>
      <c r="G364" s="260"/>
      <c r="H364" s="260"/>
      <c r="I364" s="260"/>
      <c r="J364" s="260"/>
      <c r="K364" s="260"/>
      <c r="L364" s="235"/>
      <c r="M364" s="235"/>
      <c r="N364" s="235"/>
      <c r="O364" s="260"/>
      <c r="P364" s="260"/>
      <c r="Q364" s="260"/>
      <c r="R364" s="260"/>
      <c r="S364" s="260"/>
      <c r="V364" s="224"/>
    </row>
    <row r="365" spans="1:22" hidden="1">
      <c r="A365" s="267"/>
      <c r="B365" s="260"/>
      <c r="C365" s="260"/>
      <c r="D365" s="260"/>
      <c r="E365" s="260"/>
      <c r="F365" s="260"/>
      <c r="G365" s="260"/>
      <c r="H365" s="260"/>
      <c r="I365" s="260"/>
      <c r="J365" s="260"/>
      <c r="K365" s="260"/>
      <c r="L365" s="235"/>
      <c r="M365" s="235"/>
      <c r="N365" s="235"/>
      <c r="O365" s="260"/>
      <c r="P365" s="260"/>
      <c r="Q365" s="260"/>
      <c r="R365" s="260"/>
      <c r="S365" s="260"/>
      <c r="V365" s="224"/>
    </row>
    <row r="366" spans="1:22" hidden="1">
      <c r="A366" s="267"/>
      <c r="B366" s="260"/>
      <c r="C366" s="260"/>
      <c r="D366" s="260"/>
      <c r="E366" s="260"/>
      <c r="F366" s="260"/>
      <c r="G366" s="260"/>
      <c r="H366" s="260"/>
      <c r="I366" s="260"/>
      <c r="J366" s="260"/>
      <c r="K366" s="260"/>
      <c r="L366" s="235"/>
      <c r="M366" s="235"/>
      <c r="N366" s="235"/>
      <c r="O366" s="260"/>
      <c r="P366" s="260"/>
      <c r="Q366" s="260"/>
      <c r="R366" s="260"/>
      <c r="S366" s="260"/>
      <c r="V366" s="224"/>
    </row>
    <row r="367" spans="1:22" hidden="1">
      <c r="A367" s="267"/>
      <c r="B367" s="260"/>
      <c r="C367" s="260"/>
      <c r="D367" s="260"/>
      <c r="E367" s="260"/>
      <c r="F367" s="260"/>
      <c r="G367" s="260"/>
      <c r="H367" s="260"/>
      <c r="I367" s="260"/>
      <c r="J367" s="260"/>
      <c r="K367" s="260"/>
      <c r="L367" s="235"/>
      <c r="M367" s="235"/>
      <c r="N367" s="235"/>
      <c r="O367" s="260"/>
      <c r="P367" s="260"/>
      <c r="Q367" s="260"/>
      <c r="R367" s="260"/>
      <c r="S367" s="260"/>
      <c r="V367" s="224"/>
    </row>
    <row r="368" spans="1:22" hidden="1">
      <c r="A368" s="267"/>
      <c r="B368" s="260"/>
      <c r="C368" s="260"/>
      <c r="D368" s="260"/>
      <c r="E368" s="260"/>
      <c r="F368" s="260"/>
      <c r="G368" s="260"/>
      <c r="H368" s="260"/>
      <c r="I368" s="260"/>
      <c r="J368" s="260"/>
      <c r="K368" s="260"/>
      <c r="L368" s="235"/>
      <c r="M368" s="235"/>
      <c r="N368" s="235"/>
      <c r="O368" s="260"/>
      <c r="P368" s="260"/>
      <c r="Q368" s="260"/>
      <c r="R368" s="260"/>
      <c r="S368" s="260"/>
      <c r="V368" s="224"/>
    </row>
    <row r="369" spans="1:22" hidden="1">
      <c r="A369" s="267"/>
      <c r="B369" s="260"/>
      <c r="C369" s="260"/>
      <c r="D369" s="260"/>
      <c r="E369" s="260"/>
      <c r="F369" s="260"/>
      <c r="G369" s="260"/>
      <c r="H369" s="260"/>
      <c r="I369" s="260"/>
      <c r="J369" s="260"/>
      <c r="K369" s="260"/>
      <c r="L369" s="235"/>
      <c r="M369" s="235"/>
      <c r="N369" s="235"/>
      <c r="O369" s="260"/>
      <c r="P369" s="260"/>
      <c r="Q369" s="260"/>
      <c r="R369" s="260"/>
      <c r="S369" s="260"/>
      <c r="V369" s="224"/>
    </row>
    <row r="370" spans="1:22" hidden="1">
      <c r="A370" s="267"/>
      <c r="B370" s="260"/>
      <c r="C370" s="260"/>
      <c r="D370" s="260"/>
      <c r="E370" s="260"/>
      <c r="F370" s="260"/>
      <c r="G370" s="260"/>
      <c r="H370" s="260"/>
      <c r="I370" s="260"/>
      <c r="J370" s="260"/>
      <c r="K370" s="260"/>
      <c r="L370" s="235"/>
      <c r="M370" s="235"/>
      <c r="N370" s="235"/>
      <c r="O370" s="260"/>
      <c r="P370" s="260"/>
      <c r="Q370" s="260"/>
      <c r="R370" s="260"/>
      <c r="S370" s="260"/>
      <c r="V370" s="224"/>
    </row>
    <row r="371" spans="1:22" hidden="1">
      <c r="A371" s="267"/>
      <c r="B371" s="260"/>
      <c r="C371" s="260"/>
      <c r="D371" s="260"/>
      <c r="E371" s="260"/>
      <c r="F371" s="260"/>
      <c r="G371" s="260"/>
      <c r="H371" s="260"/>
      <c r="I371" s="260"/>
      <c r="J371" s="260"/>
      <c r="K371" s="260"/>
      <c r="L371" s="235"/>
      <c r="M371" s="235"/>
      <c r="N371" s="235"/>
      <c r="O371" s="260"/>
      <c r="P371" s="260"/>
      <c r="Q371" s="260"/>
      <c r="R371" s="260"/>
      <c r="S371" s="260"/>
      <c r="V371" s="224"/>
    </row>
    <row r="372" spans="1:22" hidden="1">
      <c r="A372" s="267"/>
      <c r="B372" s="260"/>
      <c r="C372" s="260"/>
      <c r="D372" s="260"/>
      <c r="E372" s="260"/>
      <c r="F372" s="260"/>
      <c r="G372" s="260"/>
      <c r="H372" s="260"/>
      <c r="I372" s="260"/>
      <c r="J372" s="260"/>
      <c r="K372" s="260"/>
      <c r="L372" s="235"/>
      <c r="M372" s="235"/>
      <c r="N372" s="235"/>
      <c r="O372" s="260"/>
      <c r="P372" s="260"/>
      <c r="Q372" s="260"/>
      <c r="R372" s="260"/>
      <c r="S372" s="260"/>
      <c r="V372" s="224"/>
    </row>
    <row r="373" spans="1:22" hidden="1">
      <c r="A373" s="267"/>
      <c r="B373" s="260"/>
      <c r="C373" s="260"/>
      <c r="D373" s="260"/>
      <c r="E373" s="260"/>
      <c r="F373" s="260"/>
      <c r="G373" s="260"/>
      <c r="H373" s="260"/>
      <c r="I373" s="260"/>
      <c r="J373" s="260"/>
      <c r="K373" s="260"/>
      <c r="L373" s="235"/>
      <c r="M373" s="235"/>
      <c r="N373" s="235"/>
      <c r="O373" s="260"/>
      <c r="P373" s="260"/>
      <c r="Q373" s="260"/>
      <c r="R373" s="260"/>
      <c r="S373" s="260"/>
      <c r="V373" s="224"/>
    </row>
    <row r="374" spans="1:22" hidden="1">
      <c r="A374" s="267"/>
      <c r="B374" s="260"/>
      <c r="C374" s="260"/>
      <c r="D374" s="260"/>
      <c r="E374" s="260"/>
      <c r="F374" s="260"/>
      <c r="G374" s="260"/>
      <c r="H374" s="260"/>
      <c r="I374" s="260"/>
      <c r="J374" s="260"/>
      <c r="K374" s="260"/>
      <c r="L374" s="235"/>
      <c r="M374" s="235"/>
      <c r="N374" s="235"/>
      <c r="O374" s="260"/>
      <c r="P374" s="260"/>
      <c r="Q374" s="260"/>
      <c r="R374" s="260"/>
      <c r="S374" s="260"/>
      <c r="V374" s="224"/>
    </row>
    <row r="375" spans="1:22" hidden="1">
      <c r="A375" s="267"/>
      <c r="B375" s="260"/>
      <c r="C375" s="260"/>
      <c r="D375" s="260"/>
      <c r="E375" s="260"/>
      <c r="F375" s="260"/>
      <c r="G375" s="260"/>
      <c r="H375" s="260"/>
      <c r="I375" s="260"/>
      <c r="J375" s="260"/>
      <c r="K375" s="260"/>
      <c r="L375" s="235"/>
      <c r="M375" s="235"/>
      <c r="N375" s="235"/>
      <c r="O375" s="260"/>
      <c r="P375" s="260"/>
      <c r="Q375" s="260"/>
      <c r="R375" s="260"/>
      <c r="S375" s="260"/>
      <c r="V375" s="224"/>
    </row>
    <row r="376" spans="1:22" hidden="1">
      <c r="A376" s="267"/>
      <c r="B376" s="260"/>
      <c r="C376" s="260"/>
      <c r="D376" s="260"/>
      <c r="E376" s="260"/>
      <c r="F376" s="260"/>
      <c r="G376" s="260"/>
      <c r="H376" s="260"/>
      <c r="I376" s="260"/>
      <c r="J376" s="260"/>
      <c r="K376" s="260"/>
      <c r="L376" s="235"/>
      <c r="M376" s="235"/>
      <c r="N376" s="235"/>
      <c r="O376" s="260"/>
      <c r="P376" s="260"/>
      <c r="Q376" s="260"/>
      <c r="R376" s="260"/>
      <c r="S376" s="260"/>
      <c r="V376" s="224"/>
    </row>
    <row r="377" spans="1:22" hidden="1">
      <c r="A377" s="267"/>
      <c r="B377" s="260"/>
      <c r="C377" s="260"/>
      <c r="D377" s="260"/>
      <c r="E377" s="260"/>
      <c r="F377" s="260"/>
      <c r="G377" s="260"/>
      <c r="H377" s="260"/>
      <c r="I377" s="260"/>
      <c r="J377" s="260"/>
      <c r="K377" s="260"/>
      <c r="L377" s="235"/>
      <c r="M377" s="235"/>
      <c r="N377" s="235"/>
      <c r="O377" s="260"/>
      <c r="P377" s="260"/>
      <c r="Q377" s="260"/>
      <c r="R377" s="260"/>
      <c r="S377" s="260"/>
      <c r="V377" s="224"/>
    </row>
    <row r="378" spans="1:22" hidden="1">
      <c r="A378" s="267"/>
      <c r="B378" s="260"/>
      <c r="C378" s="260"/>
      <c r="D378" s="260"/>
      <c r="E378" s="260"/>
      <c r="F378" s="260"/>
      <c r="G378" s="260"/>
      <c r="H378" s="260"/>
      <c r="I378" s="260"/>
      <c r="J378" s="260"/>
      <c r="K378" s="260"/>
      <c r="L378" s="235"/>
      <c r="M378" s="235"/>
      <c r="N378" s="235"/>
      <c r="O378" s="260"/>
      <c r="P378" s="260"/>
      <c r="Q378" s="260"/>
      <c r="R378" s="260"/>
      <c r="S378" s="260"/>
      <c r="V378" s="224"/>
    </row>
    <row r="379" spans="1:22" hidden="1">
      <c r="A379" s="267"/>
      <c r="B379" s="260"/>
      <c r="C379" s="260"/>
      <c r="D379" s="260"/>
      <c r="E379" s="260"/>
      <c r="F379" s="260"/>
      <c r="G379" s="260"/>
      <c r="H379" s="260"/>
      <c r="I379" s="260"/>
      <c r="J379" s="260"/>
      <c r="K379" s="260"/>
      <c r="L379" s="235"/>
      <c r="M379" s="235"/>
      <c r="N379" s="235"/>
      <c r="O379" s="260"/>
      <c r="P379" s="260"/>
      <c r="Q379" s="260"/>
      <c r="R379" s="260"/>
      <c r="S379" s="260"/>
      <c r="V379" s="224"/>
    </row>
    <row r="380" spans="1:22" hidden="1">
      <c r="A380" s="267"/>
      <c r="B380" s="260"/>
      <c r="C380" s="260"/>
      <c r="D380" s="260"/>
      <c r="E380" s="260"/>
      <c r="F380" s="260"/>
      <c r="G380" s="260"/>
      <c r="H380" s="260"/>
      <c r="I380" s="260"/>
      <c r="J380" s="260"/>
      <c r="K380" s="260"/>
      <c r="L380" s="235"/>
      <c r="M380" s="235"/>
      <c r="N380" s="235"/>
      <c r="O380" s="260"/>
      <c r="P380" s="260"/>
      <c r="Q380" s="260"/>
      <c r="R380" s="260"/>
      <c r="S380" s="260"/>
      <c r="V380" s="224"/>
    </row>
    <row r="381" spans="1:22" hidden="1">
      <c r="A381" s="267"/>
      <c r="B381" s="260"/>
      <c r="C381" s="260"/>
      <c r="D381" s="260"/>
      <c r="E381" s="260"/>
      <c r="F381" s="260"/>
      <c r="G381" s="260"/>
      <c r="H381" s="260"/>
      <c r="I381" s="260"/>
      <c r="J381" s="260"/>
      <c r="K381" s="260"/>
      <c r="L381" s="235"/>
      <c r="M381" s="235"/>
      <c r="N381" s="235"/>
      <c r="O381" s="260"/>
      <c r="P381" s="260"/>
      <c r="Q381" s="260"/>
      <c r="R381" s="260"/>
      <c r="S381" s="260"/>
      <c r="V381" s="224"/>
    </row>
    <row r="382" spans="1:22" hidden="1">
      <c r="A382" s="267"/>
      <c r="B382" s="260"/>
      <c r="C382" s="260"/>
      <c r="D382" s="260"/>
      <c r="E382" s="260"/>
      <c r="F382" s="260"/>
      <c r="G382" s="260"/>
      <c r="H382" s="260"/>
      <c r="I382" s="260"/>
      <c r="J382" s="260"/>
      <c r="K382" s="260"/>
      <c r="L382" s="235"/>
      <c r="M382" s="235"/>
      <c r="N382" s="235"/>
      <c r="O382" s="260"/>
      <c r="P382" s="260"/>
      <c r="Q382" s="260"/>
      <c r="R382" s="260"/>
      <c r="S382" s="260"/>
      <c r="V382" s="224"/>
    </row>
    <row r="383" spans="1:22" hidden="1">
      <c r="A383" s="267"/>
      <c r="B383" s="260"/>
      <c r="C383" s="260"/>
      <c r="D383" s="260"/>
      <c r="E383" s="260"/>
      <c r="F383" s="260"/>
      <c r="G383" s="260"/>
      <c r="H383" s="260"/>
      <c r="I383" s="260"/>
      <c r="J383" s="260"/>
      <c r="K383" s="260"/>
      <c r="L383" s="235"/>
      <c r="M383" s="235"/>
      <c r="N383" s="235"/>
      <c r="O383" s="260"/>
      <c r="P383" s="260"/>
      <c r="Q383" s="260"/>
      <c r="R383" s="260"/>
      <c r="S383" s="260"/>
      <c r="V383" s="224"/>
    </row>
    <row r="384" spans="1:22" hidden="1">
      <c r="A384" s="267"/>
      <c r="B384" s="260"/>
      <c r="C384" s="260"/>
      <c r="D384" s="260"/>
      <c r="E384" s="260"/>
      <c r="F384" s="260"/>
      <c r="G384" s="260"/>
      <c r="H384" s="260"/>
      <c r="I384" s="260"/>
      <c r="J384" s="260"/>
      <c r="K384" s="260"/>
      <c r="L384" s="235"/>
      <c r="M384" s="235"/>
      <c r="N384" s="235"/>
      <c r="O384" s="260"/>
      <c r="P384" s="260"/>
      <c r="Q384" s="260"/>
      <c r="R384" s="260"/>
      <c r="S384" s="260"/>
      <c r="V384" s="224"/>
    </row>
    <row r="385" spans="1:22" hidden="1">
      <c r="A385" s="267"/>
      <c r="B385" s="260"/>
      <c r="C385" s="260"/>
      <c r="D385" s="260"/>
      <c r="E385" s="260"/>
      <c r="F385" s="260"/>
      <c r="G385" s="260"/>
      <c r="H385" s="260"/>
      <c r="I385" s="260"/>
      <c r="J385" s="260"/>
      <c r="K385" s="260"/>
      <c r="L385" s="235"/>
      <c r="M385" s="235"/>
      <c r="N385" s="235"/>
      <c r="O385" s="260"/>
      <c r="P385" s="260"/>
      <c r="Q385" s="260"/>
      <c r="R385" s="260"/>
      <c r="S385" s="260"/>
      <c r="V385" s="224"/>
    </row>
    <row r="386" spans="1:22" hidden="1">
      <c r="A386" s="267"/>
      <c r="B386" s="260"/>
      <c r="C386" s="260"/>
      <c r="D386" s="260"/>
      <c r="E386" s="260"/>
      <c r="F386" s="260"/>
      <c r="G386" s="260"/>
      <c r="H386" s="260"/>
      <c r="I386" s="260"/>
      <c r="J386" s="260"/>
      <c r="K386" s="260"/>
      <c r="L386" s="235"/>
      <c r="M386" s="235"/>
      <c r="N386" s="235"/>
      <c r="O386" s="260"/>
      <c r="P386" s="260"/>
      <c r="Q386" s="260"/>
      <c r="R386" s="260"/>
      <c r="S386" s="260"/>
      <c r="V386" s="224"/>
    </row>
    <row r="387" spans="1:22" hidden="1">
      <c r="A387" s="267"/>
      <c r="B387" s="260"/>
      <c r="C387" s="260"/>
      <c r="D387" s="260"/>
      <c r="E387" s="260"/>
      <c r="F387" s="260"/>
      <c r="G387" s="260"/>
      <c r="H387" s="260"/>
      <c r="I387" s="260"/>
      <c r="J387" s="260"/>
      <c r="K387" s="260"/>
      <c r="L387" s="235"/>
      <c r="M387" s="235"/>
      <c r="N387" s="235"/>
      <c r="O387" s="260"/>
      <c r="P387" s="260"/>
      <c r="Q387" s="260"/>
      <c r="R387" s="260"/>
      <c r="S387" s="260"/>
      <c r="V387" s="224"/>
    </row>
    <row r="388" spans="1:22" hidden="1">
      <c r="A388" s="267"/>
      <c r="B388" s="260"/>
      <c r="C388" s="260"/>
      <c r="D388" s="260"/>
      <c r="E388" s="260"/>
      <c r="F388" s="260"/>
      <c r="G388" s="260"/>
      <c r="H388" s="260"/>
      <c r="I388" s="260"/>
      <c r="J388" s="260"/>
      <c r="K388" s="260"/>
      <c r="L388" s="235"/>
      <c r="M388" s="235"/>
      <c r="N388" s="235"/>
      <c r="O388" s="260"/>
      <c r="P388" s="260"/>
      <c r="Q388" s="260"/>
      <c r="R388" s="260"/>
      <c r="S388" s="260"/>
      <c r="V388" s="224"/>
    </row>
    <row r="389" spans="1:22" hidden="1">
      <c r="A389" s="267"/>
      <c r="B389" s="260"/>
      <c r="C389" s="260"/>
      <c r="D389" s="260"/>
      <c r="E389" s="260"/>
      <c r="F389" s="260"/>
      <c r="G389" s="260"/>
      <c r="H389" s="260"/>
      <c r="I389" s="260"/>
      <c r="J389" s="260"/>
      <c r="K389" s="260"/>
      <c r="L389" s="235"/>
      <c r="M389" s="235"/>
      <c r="N389" s="235"/>
      <c r="O389" s="260"/>
      <c r="P389" s="260"/>
      <c r="Q389" s="260"/>
      <c r="R389" s="260"/>
      <c r="S389" s="260"/>
      <c r="V389" s="224"/>
    </row>
    <row r="390" spans="1:22" hidden="1">
      <c r="A390" s="267"/>
      <c r="B390" s="260"/>
      <c r="C390" s="260"/>
      <c r="D390" s="260"/>
      <c r="E390" s="260"/>
      <c r="F390" s="260"/>
      <c r="G390" s="260"/>
      <c r="H390" s="260"/>
      <c r="I390" s="260"/>
      <c r="J390" s="260"/>
      <c r="K390" s="260"/>
      <c r="L390" s="235"/>
      <c r="M390" s="235"/>
      <c r="N390" s="235"/>
      <c r="O390" s="260"/>
      <c r="P390" s="260"/>
      <c r="Q390" s="260"/>
      <c r="R390" s="260"/>
      <c r="S390" s="260"/>
      <c r="V390" s="224"/>
    </row>
    <row r="391" spans="1:22" hidden="1">
      <c r="A391" s="267"/>
      <c r="B391" s="260"/>
      <c r="C391" s="260"/>
      <c r="D391" s="260"/>
      <c r="E391" s="260"/>
      <c r="F391" s="260"/>
      <c r="G391" s="260"/>
      <c r="H391" s="260"/>
      <c r="I391" s="260"/>
      <c r="J391" s="260"/>
      <c r="K391" s="260"/>
      <c r="L391" s="235"/>
      <c r="M391" s="235"/>
      <c r="N391" s="235"/>
      <c r="O391" s="260"/>
      <c r="P391" s="260"/>
      <c r="Q391" s="260"/>
      <c r="R391" s="260"/>
      <c r="S391" s="260"/>
      <c r="V391" s="224"/>
    </row>
    <row r="392" spans="1:22" hidden="1">
      <c r="A392" s="267"/>
      <c r="B392" s="260"/>
      <c r="C392" s="260"/>
      <c r="D392" s="260"/>
      <c r="E392" s="260"/>
      <c r="F392" s="260"/>
      <c r="G392" s="260"/>
      <c r="H392" s="260"/>
      <c r="I392" s="260"/>
      <c r="J392" s="260"/>
      <c r="K392" s="260"/>
      <c r="L392" s="235"/>
      <c r="M392" s="235"/>
      <c r="N392" s="235"/>
      <c r="O392" s="260"/>
      <c r="P392" s="260"/>
      <c r="Q392" s="260"/>
      <c r="R392" s="260"/>
      <c r="S392" s="260"/>
      <c r="V392" s="224"/>
    </row>
    <row r="393" spans="1:22" hidden="1">
      <c r="A393" s="267"/>
      <c r="B393" s="260"/>
      <c r="C393" s="260"/>
      <c r="D393" s="260"/>
      <c r="E393" s="260"/>
      <c r="F393" s="260"/>
      <c r="G393" s="260"/>
      <c r="H393" s="260"/>
      <c r="I393" s="260"/>
      <c r="J393" s="260"/>
      <c r="K393" s="260"/>
      <c r="L393" s="235"/>
      <c r="M393" s="235"/>
      <c r="N393" s="235"/>
      <c r="O393" s="260"/>
      <c r="P393" s="260"/>
      <c r="Q393" s="260"/>
      <c r="R393" s="260"/>
      <c r="S393" s="260"/>
      <c r="V393" s="224"/>
    </row>
    <row r="394" spans="1:22" hidden="1">
      <c r="A394" s="267"/>
      <c r="B394" s="260"/>
      <c r="C394" s="260"/>
      <c r="D394" s="260"/>
      <c r="E394" s="260"/>
      <c r="F394" s="260"/>
      <c r="G394" s="260"/>
      <c r="H394" s="260"/>
      <c r="I394" s="260"/>
      <c r="J394" s="260"/>
      <c r="K394" s="260"/>
      <c r="L394" s="235"/>
      <c r="M394" s="235"/>
      <c r="N394" s="235"/>
      <c r="O394" s="260"/>
      <c r="P394" s="260"/>
      <c r="Q394" s="260"/>
      <c r="R394" s="260"/>
      <c r="S394" s="260"/>
      <c r="V394" s="224"/>
    </row>
    <row r="395" spans="1:22" hidden="1">
      <c r="A395" s="267"/>
      <c r="B395" s="260"/>
      <c r="C395" s="260"/>
      <c r="D395" s="260"/>
      <c r="E395" s="260"/>
      <c r="F395" s="260"/>
      <c r="G395" s="260"/>
      <c r="H395" s="260"/>
      <c r="I395" s="260"/>
      <c r="J395" s="260"/>
      <c r="K395" s="260"/>
      <c r="L395" s="235"/>
      <c r="M395" s="235"/>
      <c r="N395" s="235"/>
      <c r="O395" s="260"/>
      <c r="P395" s="260"/>
      <c r="Q395" s="260"/>
      <c r="R395" s="260"/>
      <c r="S395" s="260"/>
      <c r="V395" s="224"/>
    </row>
    <row r="396" spans="1:22" hidden="1">
      <c r="A396" s="267"/>
      <c r="B396" s="260"/>
      <c r="C396" s="260"/>
      <c r="D396" s="260"/>
      <c r="E396" s="260"/>
      <c r="F396" s="260"/>
      <c r="G396" s="260"/>
      <c r="H396" s="260"/>
      <c r="I396" s="260"/>
      <c r="J396" s="260"/>
      <c r="K396" s="260"/>
      <c r="L396" s="235"/>
      <c r="M396" s="235"/>
      <c r="N396" s="235"/>
      <c r="O396" s="260"/>
      <c r="P396" s="260"/>
      <c r="Q396" s="260"/>
      <c r="R396" s="260"/>
      <c r="S396" s="260"/>
      <c r="V396" s="224"/>
    </row>
    <row r="397" spans="1:22" hidden="1">
      <c r="A397" s="267"/>
      <c r="B397" s="260"/>
      <c r="C397" s="260"/>
      <c r="D397" s="260"/>
      <c r="E397" s="260"/>
      <c r="F397" s="260"/>
      <c r="G397" s="260"/>
      <c r="H397" s="260"/>
      <c r="I397" s="260"/>
      <c r="J397" s="260"/>
      <c r="K397" s="260"/>
      <c r="L397" s="235"/>
      <c r="M397" s="235"/>
      <c r="N397" s="235"/>
      <c r="O397" s="260"/>
      <c r="P397" s="260"/>
      <c r="Q397" s="260"/>
      <c r="R397" s="260"/>
      <c r="S397" s="260"/>
      <c r="V397" s="224"/>
    </row>
    <row r="398" spans="1:22" hidden="1">
      <c r="A398" s="267"/>
      <c r="B398" s="260"/>
      <c r="C398" s="260"/>
      <c r="D398" s="260"/>
      <c r="E398" s="260"/>
      <c r="F398" s="260"/>
      <c r="G398" s="260"/>
      <c r="H398" s="260"/>
      <c r="I398" s="260"/>
      <c r="J398" s="260"/>
      <c r="K398" s="260"/>
      <c r="L398" s="235"/>
      <c r="M398" s="235"/>
      <c r="N398" s="235"/>
      <c r="O398" s="260"/>
      <c r="P398" s="260"/>
      <c r="Q398" s="260"/>
      <c r="R398" s="260"/>
      <c r="S398" s="260"/>
      <c r="V398" s="224"/>
    </row>
    <row r="399" spans="1:22" hidden="1">
      <c r="A399" s="267"/>
      <c r="B399" s="260"/>
      <c r="C399" s="260"/>
      <c r="D399" s="260"/>
      <c r="E399" s="260"/>
      <c r="F399" s="260"/>
      <c r="G399" s="260"/>
      <c r="H399" s="260"/>
      <c r="I399" s="260"/>
      <c r="J399" s="260"/>
      <c r="K399" s="260"/>
      <c r="L399" s="235"/>
      <c r="M399" s="235"/>
      <c r="N399" s="235"/>
      <c r="O399" s="260"/>
      <c r="P399" s="260"/>
      <c r="Q399" s="260"/>
      <c r="R399" s="260"/>
      <c r="S399" s="260"/>
      <c r="V399" s="224"/>
    </row>
    <row r="400" spans="1:22" ht="15" customHeight="1">
      <c r="A400" s="482" t="s">
        <v>359</v>
      </c>
      <c r="B400" s="482"/>
      <c r="C400" s="482"/>
      <c r="D400" s="482"/>
      <c r="E400" s="482"/>
      <c r="F400" s="482"/>
      <c r="G400" s="482"/>
      <c r="H400" s="482"/>
      <c r="I400" s="482"/>
      <c r="J400" s="482"/>
      <c r="K400" s="482"/>
      <c r="L400" s="482"/>
      <c r="M400" s="482" t="s">
        <v>391</v>
      </c>
      <c r="N400" s="482"/>
      <c r="O400" s="482"/>
      <c r="P400" s="482"/>
      <c r="Q400" s="482"/>
      <c r="R400" s="482"/>
      <c r="S400" s="482"/>
      <c r="V400" s="224"/>
    </row>
    <row r="401" spans="1:22">
      <c r="A401" s="482"/>
      <c r="B401" s="482"/>
      <c r="C401" s="482"/>
      <c r="D401" s="482"/>
      <c r="E401" s="482"/>
      <c r="F401" s="482"/>
      <c r="G401" s="482"/>
      <c r="H401" s="482"/>
      <c r="I401" s="482"/>
      <c r="J401" s="482"/>
      <c r="K401" s="482"/>
      <c r="L401" s="482"/>
      <c r="M401" s="482"/>
      <c r="N401" s="482"/>
      <c r="O401" s="482"/>
      <c r="P401" s="482"/>
      <c r="Q401" s="482"/>
      <c r="R401" s="482"/>
      <c r="S401" s="482"/>
      <c r="V401" s="224"/>
    </row>
    <row r="402" spans="1:22" ht="14.25" customHeight="1">
      <c r="A402" s="484" t="s">
        <v>363</v>
      </c>
      <c r="B402" s="468" t="s">
        <v>229</v>
      </c>
      <c r="C402" s="468" t="s">
        <v>230</v>
      </c>
      <c r="D402" s="467" t="s">
        <v>364</v>
      </c>
      <c r="E402" s="467" t="s">
        <v>365</v>
      </c>
      <c r="F402" s="467" t="s">
        <v>366</v>
      </c>
      <c r="G402" s="468" t="s">
        <v>367</v>
      </c>
      <c r="H402" s="247" t="s">
        <v>368</v>
      </c>
      <c r="I402" s="248" t="s">
        <v>369</v>
      </c>
      <c r="J402" s="248" t="s">
        <v>370</v>
      </c>
      <c r="K402" s="248" t="s">
        <v>371</v>
      </c>
      <c r="L402" s="472" t="s">
        <v>372</v>
      </c>
      <c r="M402" s="478" t="s">
        <v>392</v>
      </c>
      <c r="N402" s="478" t="s">
        <v>393</v>
      </c>
      <c r="O402" s="249" t="s">
        <v>375</v>
      </c>
      <c r="P402" s="249" t="s">
        <v>376</v>
      </c>
      <c r="Q402" s="470" t="s">
        <v>377</v>
      </c>
      <c r="R402" s="247" t="s">
        <v>378</v>
      </c>
      <c r="S402" s="247" t="s">
        <v>379</v>
      </c>
      <c r="V402" s="224"/>
    </row>
    <row r="403" spans="1:22" ht="14.25">
      <c r="A403" s="484"/>
      <c r="B403" s="468"/>
      <c r="C403" s="468"/>
      <c r="D403" s="467"/>
      <c r="E403" s="467"/>
      <c r="F403" s="467"/>
      <c r="G403" s="468"/>
      <c r="H403" s="247" t="s">
        <v>380</v>
      </c>
      <c r="I403" s="247" t="s">
        <v>381</v>
      </c>
      <c r="J403" s="247" t="s">
        <v>381</v>
      </c>
      <c r="K403" s="247" t="s">
        <v>380</v>
      </c>
      <c r="L403" s="472"/>
      <c r="M403" s="478"/>
      <c r="N403" s="478"/>
      <c r="O403" s="247" t="s">
        <v>382</v>
      </c>
      <c r="P403" s="247" t="s">
        <v>382</v>
      </c>
      <c r="Q403" s="470"/>
      <c r="R403" s="247" t="s">
        <v>382</v>
      </c>
      <c r="S403" s="247" t="s">
        <v>382</v>
      </c>
      <c r="V403" s="224"/>
    </row>
    <row r="404" spans="1:22">
      <c r="A404" s="26" t="str">
        <f>IF(A45="","",A45)</f>
        <v>Lớp 1</v>
      </c>
      <c r="B404" s="27" t="str">
        <f>B45</f>
        <v>Lớp 1</v>
      </c>
      <c r="C404" s="27" t="str">
        <f t="shared" ref="C404:L404" si="73">C45</f>
        <v>San lấp</v>
      </c>
      <c r="D404" s="27" t="str">
        <f t="shared" si="73"/>
        <v>D</v>
      </c>
      <c r="E404" s="27">
        <f t="shared" si="73"/>
        <v>0</v>
      </c>
      <c r="F404" s="27">
        <f t="shared" si="73"/>
        <v>1.5</v>
      </c>
      <c r="G404" s="28">
        <f t="shared" ref="G404:G422" si="74">NoiSuyMeyerhof(E404,$U$12:$V$200,$F$15,$X$7)</f>
        <v>0</v>
      </c>
      <c r="H404" s="27">
        <f t="shared" si="73"/>
        <v>0</v>
      </c>
      <c r="I404" s="27">
        <f t="shared" si="73"/>
        <v>18</v>
      </c>
      <c r="J404" s="27">
        <f t="shared" si="73"/>
        <v>8</v>
      </c>
      <c r="K404" s="27">
        <f t="shared" si="73"/>
        <v>27</v>
      </c>
      <c r="L404" s="27">
        <f t="shared" si="73"/>
        <v>0</v>
      </c>
      <c r="M404" s="29">
        <f>IF($E$12=3,1,2)</f>
        <v>1</v>
      </c>
      <c r="N404" s="30">
        <f t="shared" ref="N404:N405" si="75">IF($E$12=3,120,MIN(400,40*E45/$X$7))</f>
        <v>120</v>
      </c>
      <c r="O404" s="31">
        <f>IF(D45="D",$F$18*H45*M45*N45*F45,"-")</f>
        <v>0</v>
      </c>
      <c r="P404" s="31" t="str">
        <f>IF(D45="R",$F$18*F45*MIN(G45,50)*M404,"-")</f>
        <v>-</v>
      </c>
      <c r="Q404" s="258">
        <f>IF(D45="R",P404,O404)+0</f>
        <v>0</v>
      </c>
      <c r="R404" s="31">
        <f>IF(D45="R",MIN(G45,50)*N404*($X$8),0)</f>
        <v>0</v>
      </c>
      <c r="S404" s="31">
        <f>R404+Q404</f>
        <v>0</v>
      </c>
      <c r="V404" s="224"/>
    </row>
    <row r="405" spans="1:22">
      <c r="A405" s="26" t="str">
        <f t="shared" ref="A405:A422" si="76">IF(A46="","",A46)</f>
        <v>Lớp 2</v>
      </c>
      <c r="B405" s="27" t="str">
        <f t="shared" ref="B405:L405" si="77">B46</f>
        <v>Lớp 2</v>
      </c>
      <c r="C405" s="27" t="str">
        <f t="shared" si="77"/>
        <v>Sét</v>
      </c>
      <c r="D405" s="27" t="str">
        <f t="shared" si="77"/>
        <v>D</v>
      </c>
      <c r="E405" s="27">
        <f t="shared" si="77"/>
        <v>1.5</v>
      </c>
      <c r="F405" s="27">
        <f t="shared" si="77"/>
        <v>3</v>
      </c>
      <c r="G405" s="28">
        <f t="shared" si="74"/>
        <v>4</v>
      </c>
      <c r="H405" s="27">
        <f t="shared" si="77"/>
        <v>25</v>
      </c>
      <c r="I405" s="27">
        <f t="shared" si="77"/>
        <v>19</v>
      </c>
      <c r="J405" s="27">
        <f t="shared" si="77"/>
        <v>9</v>
      </c>
      <c r="K405" s="27">
        <f t="shared" si="77"/>
        <v>84</v>
      </c>
      <c r="L405" s="27">
        <f t="shared" si="77"/>
        <v>0.29761904761904762</v>
      </c>
      <c r="M405" s="29">
        <f t="shared" ref="M405:M422" si="78">IF($E$12=3,1,2)</f>
        <v>1</v>
      </c>
      <c r="N405" s="30">
        <f t="shared" si="75"/>
        <v>120</v>
      </c>
      <c r="O405" s="31">
        <f>IF(D46="D",$F$18*H46*M46*N46*F46,"-")</f>
        <v>235.61944901923425</v>
      </c>
      <c r="P405" s="31" t="str">
        <f>IF(D46="R",$F$18*F46*MIN(G46,50)*M405,"-")</f>
        <v>-</v>
      </c>
      <c r="Q405" s="31">
        <f>IF(D46="R",P405,O405)+Q404</f>
        <v>235.61944901923425</v>
      </c>
      <c r="R405" s="31">
        <f t="shared" ref="R405" si="79">IF(D46="R",MIN(G46,50)*N405*($X$8),0)</f>
        <v>0</v>
      </c>
      <c r="S405" s="31">
        <f t="shared" ref="S405" si="80">R405+Q405</f>
        <v>235.61944901923425</v>
      </c>
      <c r="V405" s="224"/>
    </row>
    <row r="406" spans="1:22">
      <c r="A406" s="26" t="str">
        <f t="shared" si="76"/>
        <v/>
      </c>
      <c r="B406" s="27" t="str">
        <f t="shared" ref="B406:F406" si="81">B47</f>
        <v>Lớp 2</v>
      </c>
      <c r="C406" s="27" t="str">
        <f t="shared" si="81"/>
        <v>Sét</v>
      </c>
      <c r="D406" s="27" t="str">
        <f t="shared" si="81"/>
        <v>D</v>
      </c>
      <c r="E406" s="27">
        <f t="shared" si="81"/>
        <v>4.5</v>
      </c>
      <c r="F406" s="27">
        <f t="shared" si="81"/>
        <v>2.5</v>
      </c>
      <c r="G406" s="28">
        <f t="shared" si="74"/>
        <v>3</v>
      </c>
      <c r="H406" s="27">
        <f t="shared" ref="H406:L406" si="82">H47</f>
        <v>18.75</v>
      </c>
      <c r="I406" s="27">
        <f t="shared" si="82"/>
        <v>19</v>
      </c>
      <c r="J406" s="27">
        <f t="shared" si="82"/>
        <v>9</v>
      </c>
      <c r="K406" s="27">
        <f t="shared" si="82"/>
        <v>106.5</v>
      </c>
      <c r="L406" s="27">
        <f t="shared" si="82"/>
        <v>0.176056338028169</v>
      </c>
      <c r="M406" s="29">
        <f t="shared" si="78"/>
        <v>1</v>
      </c>
      <c r="N406" s="30">
        <f t="shared" ref="N406:N422" si="83">IF($E$12=3,120,MIN(400,40*E47/$X$7))</f>
        <v>120</v>
      </c>
      <c r="O406" s="31">
        <f t="shared" ref="O406:O422" si="84">IF(D47="D",$F$18*H47*M47*N47*F47,"-")</f>
        <v>147.26215563702141</v>
      </c>
      <c r="P406" s="31" t="str">
        <f t="shared" ref="P406:P422" si="85">IF(D47="R",$F$18*F47*MIN(G47,50)*M406,"-")</f>
        <v>-</v>
      </c>
      <c r="Q406" s="31">
        <f t="shared" ref="Q406:Q422" si="86">IF(D47="R",P406,O406)+Q405</f>
        <v>382.88160465625566</v>
      </c>
      <c r="R406" s="31">
        <f t="shared" ref="R406:R422" si="87">IF(D47="R",MIN(G47,50)*N406*($X$8),0)</f>
        <v>0</v>
      </c>
      <c r="S406" s="31">
        <f t="shared" ref="S406:S422" si="88">R406+Q406</f>
        <v>382.88160465625566</v>
      </c>
      <c r="V406" s="224"/>
    </row>
    <row r="407" spans="1:22">
      <c r="A407" s="26" t="str">
        <f t="shared" si="76"/>
        <v>Lớp 3</v>
      </c>
      <c r="B407" s="27" t="str">
        <f t="shared" ref="B407:F407" si="89">B48</f>
        <v>Lớp 3</v>
      </c>
      <c r="C407" s="27" t="str">
        <f t="shared" si="89"/>
        <v>Sét</v>
      </c>
      <c r="D407" s="27" t="str">
        <f t="shared" si="89"/>
        <v>D</v>
      </c>
      <c r="E407" s="27">
        <f t="shared" si="89"/>
        <v>7</v>
      </c>
      <c r="F407" s="27">
        <f t="shared" si="89"/>
        <v>3</v>
      </c>
      <c r="G407" s="28">
        <f t="shared" si="74"/>
        <v>2</v>
      </c>
      <c r="H407" s="27">
        <f t="shared" ref="H407:L407" si="90">H48</f>
        <v>12.5</v>
      </c>
      <c r="I407" s="27">
        <f t="shared" si="90"/>
        <v>19.3</v>
      </c>
      <c r="J407" s="27">
        <f t="shared" si="90"/>
        <v>9.3000000000000007</v>
      </c>
      <c r="K407" s="27">
        <f t="shared" si="90"/>
        <v>134.4</v>
      </c>
      <c r="L407" s="27">
        <f t="shared" si="90"/>
        <v>9.3005952380952384E-2</v>
      </c>
      <c r="M407" s="29">
        <f t="shared" si="78"/>
        <v>1</v>
      </c>
      <c r="N407" s="30">
        <f t="shared" si="83"/>
        <v>120</v>
      </c>
      <c r="O407" s="31">
        <f t="shared" si="84"/>
        <v>117.80972450961713</v>
      </c>
      <c r="P407" s="31" t="str">
        <f t="shared" si="85"/>
        <v>-</v>
      </c>
      <c r="Q407" s="31">
        <f t="shared" si="86"/>
        <v>500.69132916587279</v>
      </c>
      <c r="R407" s="31">
        <f t="shared" si="87"/>
        <v>0</v>
      </c>
      <c r="S407" s="31">
        <f t="shared" si="88"/>
        <v>500.69132916587279</v>
      </c>
      <c r="V407" s="224"/>
    </row>
    <row r="408" spans="1:22">
      <c r="A408" s="26" t="str">
        <f t="shared" si="76"/>
        <v/>
      </c>
      <c r="B408" s="27" t="str">
        <f t="shared" ref="B408:F408" si="91">B49</f>
        <v>Lớp 3</v>
      </c>
      <c r="C408" s="27" t="str">
        <f t="shared" si="91"/>
        <v>Sét</v>
      </c>
      <c r="D408" s="27" t="str">
        <f t="shared" si="91"/>
        <v>D</v>
      </c>
      <c r="E408" s="27">
        <f t="shared" si="91"/>
        <v>10</v>
      </c>
      <c r="F408" s="27">
        <f t="shared" si="91"/>
        <v>0.5</v>
      </c>
      <c r="G408" s="28">
        <f t="shared" si="74"/>
        <v>7.333333333333333</v>
      </c>
      <c r="H408" s="27">
        <f t="shared" ref="H408:L408" si="92">H49</f>
        <v>45.833333333333329</v>
      </c>
      <c r="I408" s="27">
        <f t="shared" si="92"/>
        <v>19.3</v>
      </c>
      <c r="J408" s="27">
        <f t="shared" si="92"/>
        <v>9.3000000000000007</v>
      </c>
      <c r="K408" s="27">
        <f t="shared" si="92"/>
        <v>139.05000000000001</v>
      </c>
      <c r="L408" s="27">
        <f t="shared" si="92"/>
        <v>0.32961764353350109</v>
      </c>
      <c r="M408" s="29">
        <f t="shared" si="78"/>
        <v>1</v>
      </c>
      <c r="N408" s="30">
        <f t="shared" si="83"/>
        <v>120</v>
      </c>
      <c r="O408" s="31">
        <f t="shared" si="84"/>
        <v>71.994831644766009</v>
      </c>
      <c r="P408" s="31" t="str">
        <f t="shared" si="85"/>
        <v>-</v>
      </c>
      <c r="Q408" s="31">
        <f t="shared" si="86"/>
        <v>572.68616081063874</v>
      </c>
      <c r="R408" s="31">
        <f t="shared" si="87"/>
        <v>0</v>
      </c>
      <c r="S408" s="31">
        <f t="shared" si="88"/>
        <v>572.68616081063874</v>
      </c>
      <c r="V408" s="224"/>
    </row>
    <row r="409" spans="1:22">
      <c r="A409" s="26" t="str">
        <f t="shared" si="76"/>
        <v>Lớp 4</v>
      </c>
      <c r="B409" s="27" t="str">
        <f t="shared" ref="B409:F409" si="93">B50</f>
        <v>Lớp 4</v>
      </c>
      <c r="C409" s="27" t="str">
        <f t="shared" si="93"/>
        <v>Sét</v>
      </c>
      <c r="D409" s="27" t="str">
        <f t="shared" si="93"/>
        <v>D</v>
      </c>
      <c r="E409" s="27">
        <f t="shared" si="93"/>
        <v>10.5</v>
      </c>
      <c r="F409" s="27">
        <f t="shared" si="93"/>
        <v>1.7</v>
      </c>
      <c r="G409" s="28">
        <f t="shared" si="74"/>
        <v>8</v>
      </c>
      <c r="H409" s="27">
        <f t="shared" ref="H409:L409" si="94">H50</f>
        <v>50</v>
      </c>
      <c r="I409" s="27">
        <f t="shared" si="94"/>
        <v>18</v>
      </c>
      <c r="J409" s="27">
        <f t="shared" si="94"/>
        <v>8</v>
      </c>
      <c r="K409" s="27">
        <f t="shared" si="94"/>
        <v>152.65</v>
      </c>
      <c r="L409" s="27">
        <f t="shared" si="94"/>
        <v>0.32754667540124466</v>
      </c>
      <c r="M409" s="29">
        <f t="shared" si="78"/>
        <v>1</v>
      </c>
      <c r="N409" s="30">
        <f t="shared" si="83"/>
        <v>120</v>
      </c>
      <c r="O409" s="31">
        <f t="shared" si="84"/>
        <v>267.03537555513213</v>
      </c>
      <c r="P409" s="31" t="str">
        <f t="shared" si="85"/>
        <v>-</v>
      </c>
      <c r="Q409" s="31">
        <f t="shared" si="86"/>
        <v>839.72153636577082</v>
      </c>
      <c r="R409" s="31">
        <f t="shared" si="87"/>
        <v>0</v>
      </c>
      <c r="S409" s="31">
        <f t="shared" si="88"/>
        <v>839.72153636577082</v>
      </c>
      <c r="V409" s="224"/>
    </row>
    <row r="410" spans="1:22">
      <c r="A410" s="26" t="str">
        <f t="shared" si="76"/>
        <v>Lớp 5</v>
      </c>
      <c r="B410" s="27" t="str">
        <f t="shared" ref="B410:F410" si="95">B51</f>
        <v>Lớp 5</v>
      </c>
      <c r="C410" s="27" t="str">
        <f t="shared" si="95"/>
        <v>Cát</v>
      </c>
      <c r="D410" s="27" t="str">
        <f t="shared" si="95"/>
        <v>R</v>
      </c>
      <c r="E410" s="27">
        <f t="shared" si="95"/>
        <v>12.2</v>
      </c>
      <c r="F410" s="27">
        <f t="shared" si="95"/>
        <v>3</v>
      </c>
      <c r="G410" s="28">
        <f t="shared" si="74"/>
        <v>12</v>
      </c>
      <c r="H410" s="27">
        <f t="shared" ref="H410:L410" si="96">H51</f>
        <v>75</v>
      </c>
      <c r="I410" s="27">
        <f t="shared" si="96"/>
        <v>18.7</v>
      </c>
      <c r="J410" s="27">
        <f t="shared" si="96"/>
        <v>8.6999999999999993</v>
      </c>
      <c r="K410" s="27">
        <f t="shared" si="96"/>
        <v>178.75</v>
      </c>
      <c r="L410" s="27">
        <f t="shared" si="96"/>
        <v>0.41958041958041958</v>
      </c>
      <c r="M410" s="29">
        <f t="shared" si="78"/>
        <v>1</v>
      </c>
      <c r="N410" s="30">
        <f t="shared" si="83"/>
        <v>120</v>
      </c>
      <c r="O410" s="31" t="str">
        <f t="shared" si="84"/>
        <v>-</v>
      </c>
      <c r="P410" s="31">
        <f t="shared" si="85"/>
        <v>113.09733552923245</v>
      </c>
      <c r="Q410" s="31">
        <f t="shared" si="86"/>
        <v>952.81887189500321</v>
      </c>
      <c r="R410" s="31">
        <f t="shared" si="87"/>
        <v>1130.9733552923251</v>
      </c>
      <c r="S410" s="31">
        <f t="shared" si="88"/>
        <v>2083.7922271873285</v>
      </c>
      <c r="V410" s="224"/>
    </row>
    <row r="411" spans="1:22">
      <c r="A411" s="26" t="str">
        <f t="shared" si="76"/>
        <v/>
      </c>
      <c r="B411" s="27" t="str">
        <f t="shared" ref="B411:F411" si="97">B52</f>
        <v>Lớp 5</v>
      </c>
      <c r="C411" s="27" t="str">
        <f t="shared" si="97"/>
        <v>Cát</v>
      </c>
      <c r="D411" s="27" t="str">
        <f t="shared" si="97"/>
        <v>R</v>
      </c>
      <c r="E411" s="27">
        <f t="shared" si="97"/>
        <v>15.2</v>
      </c>
      <c r="F411" s="27">
        <f t="shared" si="97"/>
        <v>0.30000000000000099</v>
      </c>
      <c r="G411" s="28">
        <f t="shared" si="74"/>
        <v>13</v>
      </c>
      <c r="H411" s="27">
        <f t="shared" ref="H411:L411" si="98">H52</f>
        <v>81.25</v>
      </c>
      <c r="I411" s="27">
        <f t="shared" si="98"/>
        <v>18.7</v>
      </c>
      <c r="J411" s="27">
        <f t="shared" si="98"/>
        <v>8.6999999999999993</v>
      </c>
      <c r="K411" s="27">
        <f t="shared" si="98"/>
        <v>181.36</v>
      </c>
      <c r="L411" s="27">
        <f t="shared" si="98"/>
        <v>0.44800397000441106</v>
      </c>
      <c r="M411" s="29">
        <f t="shared" si="78"/>
        <v>1</v>
      </c>
      <c r="N411" s="30">
        <f t="shared" si="83"/>
        <v>120</v>
      </c>
      <c r="O411" s="31" t="str">
        <f t="shared" si="84"/>
        <v>-</v>
      </c>
      <c r="P411" s="31">
        <f t="shared" si="85"/>
        <v>12.252211349000222</v>
      </c>
      <c r="Q411" s="31">
        <f t="shared" si="86"/>
        <v>965.07108324400349</v>
      </c>
      <c r="R411" s="31">
        <f t="shared" si="87"/>
        <v>1225.2211349000188</v>
      </c>
      <c r="S411" s="31">
        <f t="shared" si="88"/>
        <v>2190.2922181440222</v>
      </c>
      <c r="V411" s="224"/>
    </row>
    <row r="412" spans="1:22">
      <c r="A412" s="26" t="str">
        <f t="shared" si="76"/>
        <v/>
      </c>
      <c r="B412" s="27" t="str">
        <f t="shared" ref="B412:F412" si="99">B53</f>
        <v>Lớp 5</v>
      </c>
      <c r="C412" s="27" t="str">
        <f t="shared" si="99"/>
        <v>Cát</v>
      </c>
      <c r="D412" s="27" t="str">
        <f t="shared" si="99"/>
        <v>R</v>
      </c>
      <c r="E412" s="27">
        <f t="shared" si="99"/>
        <v>15.5</v>
      </c>
      <c r="F412" s="27">
        <f t="shared" si="99"/>
        <v>3</v>
      </c>
      <c r="G412" s="28">
        <f t="shared" si="74"/>
        <v>13</v>
      </c>
      <c r="H412" s="27">
        <f t="shared" ref="H412:L412" si="100">H53</f>
        <v>81.25</v>
      </c>
      <c r="I412" s="27">
        <f t="shared" si="100"/>
        <v>18.7</v>
      </c>
      <c r="J412" s="27">
        <f t="shared" si="100"/>
        <v>8.6999999999999993</v>
      </c>
      <c r="K412" s="27">
        <f t="shared" si="100"/>
        <v>207.46</v>
      </c>
      <c r="L412" s="27">
        <f t="shared" si="100"/>
        <v>0.39164176226742503</v>
      </c>
      <c r="M412" s="29">
        <f t="shared" si="78"/>
        <v>1</v>
      </c>
      <c r="N412" s="30">
        <f t="shared" si="83"/>
        <v>120</v>
      </c>
      <c r="O412" s="31" t="str">
        <f t="shared" si="84"/>
        <v>-</v>
      </c>
      <c r="P412" s="31">
        <f t="shared" si="85"/>
        <v>122.52211349000181</v>
      </c>
      <c r="Q412" s="31">
        <f t="shared" si="86"/>
        <v>1087.5931967340052</v>
      </c>
      <c r="R412" s="31">
        <f t="shared" si="87"/>
        <v>1225.2211349000188</v>
      </c>
      <c r="S412" s="31">
        <f t="shared" si="88"/>
        <v>2312.8143316340238</v>
      </c>
      <c r="V412" s="224"/>
    </row>
    <row r="413" spans="1:22">
      <c r="A413" s="26" t="str">
        <f t="shared" si="76"/>
        <v/>
      </c>
      <c r="B413" s="27" t="str">
        <f t="shared" ref="B413:F413" si="101">B54</f>
        <v>Lớp 5</v>
      </c>
      <c r="C413" s="27" t="str">
        <f t="shared" si="101"/>
        <v>Cát</v>
      </c>
      <c r="D413" s="27" t="str">
        <f t="shared" si="101"/>
        <v>R</v>
      </c>
      <c r="E413" s="27">
        <f t="shared" si="101"/>
        <v>18.5</v>
      </c>
      <c r="F413" s="27">
        <f t="shared" si="101"/>
        <v>3</v>
      </c>
      <c r="G413" s="28">
        <f t="shared" si="74"/>
        <v>13.15</v>
      </c>
      <c r="H413" s="27">
        <f t="shared" ref="H413:L413" si="102">H54</f>
        <v>82.1875</v>
      </c>
      <c r="I413" s="27">
        <f t="shared" si="102"/>
        <v>18.7</v>
      </c>
      <c r="J413" s="27">
        <f t="shared" si="102"/>
        <v>8.6999999999999993</v>
      </c>
      <c r="K413" s="27">
        <f t="shared" si="102"/>
        <v>233.56</v>
      </c>
      <c r="L413" s="27">
        <f t="shared" si="102"/>
        <v>0.35189030655934234</v>
      </c>
      <c r="M413" s="29">
        <f t="shared" si="78"/>
        <v>1</v>
      </c>
      <c r="N413" s="30">
        <f t="shared" si="83"/>
        <v>120</v>
      </c>
      <c r="O413" s="31" t="str">
        <f t="shared" si="84"/>
        <v>-</v>
      </c>
      <c r="P413" s="31">
        <f t="shared" si="85"/>
        <v>123.93583018411722</v>
      </c>
      <c r="Q413" s="31">
        <f t="shared" si="86"/>
        <v>1211.5290269181226</v>
      </c>
      <c r="R413" s="31">
        <f t="shared" si="87"/>
        <v>1239.3583018411728</v>
      </c>
      <c r="S413" s="31">
        <f t="shared" si="88"/>
        <v>2450.8873287592951</v>
      </c>
      <c r="V413" s="224"/>
    </row>
    <row r="414" spans="1:22">
      <c r="A414" s="26" t="str">
        <f t="shared" si="76"/>
        <v/>
      </c>
      <c r="B414" s="27" t="str">
        <f t="shared" ref="B414:F414" si="103">B55</f>
        <v>Lớp 5</v>
      </c>
      <c r="C414" s="27" t="str">
        <f t="shared" si="103"/>
        <v>Cát</v>
      </c>
      <c r="D414" s="27" t="str">
        <f t="shared" si="103"/>
        <v>R</v>
      </c>
      <c r="E414" s="27">
        <f t="shared" si="103"/>
        <v>21.5</v>
      </c>
      <c r="F414" s="27">
        <f t="shared" si="103"/>
        <v>3</v>
      </c>
      <c r="G414" s="28">
        <f t="shared" si="74"/>
        <v>14</v>
      </c>
      <c r="H414" s="27">
        <f t="shared" ref="H414:L414" si="104">H55</f>
        <v>87.5</v>
      </c>
      <c r="I414" s="27">
        <f t="shared" si="104"/>
        <v>18.7</v>
      </c>
      <c r="J414" s="27">
        <f t="shared" si="104"/>
        <v>8.6999999999999993</v>
      </c>
      <c r="K414" s="27">
        <f t="shared" si="104"/>
        <v>259.66000000000003</v>
      </c>
      <c r="L414" s="27">
        <f t="shared" si="104"/>
        <v>0.33697912655010392</v>
      </c>
      <c r="M414" s="29">
        <f t="shared" si="78"/>
        <v>1</v>
      </c>
      <c r="N414" s="30">
        <f t="shared" si="83"/>
        <v>120</v>
      </c>
      <c r="O414" s="31" t="str">
        <f t="shared" si="84"/>
        <v>-</v>
      </c>
      <c r="P414" s="31">
        <f t="shared" si="85"/>
        <v>131.94689145077118</v>
      </c>
      <c r="Q414" s="31">
        <f t="shared" si="86"/>
        <v>1343.4759183688936</v>
      </c>
      <c r="R414" s="31">
        <f t="shared" si="87"/>
        <v>1319.4689145077125</v>
      </c>
      <c r="S414" s="31">
        <f t="shared" si="88"/>
        <v>2662.9448328766061</v>
      </c>
      <c r="V414" s="224"/>
    </row>
    <row r="415" spans="1:22">
      <c r="A415" s="26" t="str">
        <f t="shared" si="76"/>
        <v/>
      </c>
      <c r="B415" s="27" t="str">
        <f t="shared" ref="B415:F415" si="105">B56</f>
        <v>Lớp 5</v>
      </c>
      <c r="C415" s="27" t="str">
        <f t="shared" si="105"/>
        <v>Cát</v>
      </c>
      <c r="D415" s="27" t="str">
        <f t="shared" si="105"/>
        <v>R</v>
      </c>
      <c r="E415" s="27">
        <f t="shared" si="105"/>
        <v>24.5</v>
      </c>
      <c r="F415" s="27">
        <f t="shared" si="105"/>
        <v>2.5</v>
      </c>
      <c r="G415" s="28">
        <f t="shared" si="74"/>
        <v>15</v>
      </c>
      <c r="H415" s="27">
        <f t="shared" ref="H415:L415" si="106">H56</f>
        <v>93.75</v>
      </c>
      <c r="I415" s="27">
        <f t="shared" si="106"/>
        <v>18.7</v>
      </c>
      <c r="J415" s="27">
        <f t="shared" si="106"/>
        <v>8.6999999999999993</v>
      </c>
      <c r="K415" s="27">
        <f t="shared" si="106"/>
        <v>281.41000000000003</v>
      </c>
      <c r="L415" s="27">
        <f t="shared" si="106"/>
        <v>0.33314381152055716</v>
      </c>
      <c r="M415" s="29">
        <f t="shared" si="78"/>
        <v>1</v>
      </c>
      <c r="N415" s="30">
        <f t="shared" si="83"/>
        <v>120</v>
      </c>
      <c r="O415" s="31" t="str">
        <f t="shared" si="84"/>
        <v>-</v>
      </c>
      <c r="P415" s="31">
        <f t="shared" si="85"/>
        <v>117.80972450961713</v>
      </c>
      <c r="Q415" s="31">
        <f t="shared" si="86"/>
        <v>1461.2856428785108</v>
      </c>
      <c r="R415" s="31">
        <f t="shared" si="87"/>
        <v>1413.7166941154062</v>
      </c>
      <c r="S415" s="31">
        <f t="shared" si="88"/>
        <v>2875.0023369939172</v>
      </c>
      <c r="V415" s="224"/>
    </row>
    <row r="416" spans="1:22">
      <c r="A416" s="26" t="str">
        <f t="shared" si="76"/>
        <v>Lớp 6</v>
      </c>
      <c r="B416" s="27" t="str">
        <f t="shared" ref="B416:F416" si="107">B57</f>
        <v>Lớp 6</v>
      </c>
      <c r="C416" s="27" t="str">
        <f t="shared" si="107"/>
        <v>Cát</v>
      </c>
      <c r="D416" s="27" t="str">
        <f t="shared" si="107"/>
        <v>R</v>
      </c>
      <c r="E416" s="27">
        <f t="shared" si="107"/>
        <v>27</v>
      </c>
      <c r="F416" s="27">
        <f t="shared" si="107"/>
        <v>3</v>
      </c>
      <c r="G416" s="28">
        <f t="shared" si="74"/>
        <v>17</v>
      </c>
      <c r="H416" s="27">
        <f t="shared" ref="H416:L416" si="108">H57</f>
        <v>106.25</v>
      </c>
      <c r="I416" s="27">
        <f t="shared" si="108"/>
        <v>19</v>
      </c>
      <c r="J416" s="27">
        <f t="shared" si="108"/>
        <v>9</v>
      </c>
      <c r="K416" s="27">
        <f t="shared" si="108"/>
        <v>308.41000000000003</v>
      </c>
      <c r="L416" s="27">
        <f t="shared" si="108"/>
        <v>0.34450893291397811</v>
      </c>
      <c r="M416" s="29">
        <f t="shared" si="78"/>
        <v>1</v>
      </c>
      <c r="N416" s="30">
        <f t="shared" si="83"/>
        <v>120</v>
      </c>
      <c r="O416" s="31" t="str">
        <f t="shared" si="84"/>
        <v>-</v>
      </c>
      <c r="P416" s="31">
        <f t="shared" si="85"/>
        <v>160.2212253330793</v>
      </c>
      <c r="Q416" s="31">
        <f t="shared" si="86"/>
        <v>1621.50686821159</v>
      </c>
      <c r="R416" s="31">
        <f t="shared" si="87"/>
        <v>1602.2122533307938</v>
      </c>
      <c r="S416" s="31">
        <f t="shared" si="88"/>
        <v>3223.7191215423836</v>
      </c>
      <c r="V416" s="224"/>
    </row>
    <row r="417" spans="1:22">
      <c r="A417" s="26" t="str">
        <f t="shared" si="76"/>
        <v/>
      </c>
      <c r="B417" s="27" t="str">
        <f t="shared" ref="B417:F417" si="109">B58</f>
        <v>Lớp 6</v>
      </c>
      <c r="C417" s="27" t="str">
        <f t="shared" si="109"/>
        <v>Cát</v>
      </c>
      <c r="D417" s="27" t="str">
        <f t="shared" si="109"/>
        <v>R</v>
      </c>
      <c r="E417" s="27">
        <f t="shared" si="109"/>
        <v>30</v>
      </c>
      <c r="F417" s="27">
        <f t="shared" si="109"/>
        <v>3</v>
      </c>
      <c r="G417" s="28">
        <f t="shared" si="74"/>
        <v>22.5</v>
      </c>
      <c r="H417" s="27">
        <f t="shared" ref="H417:L417" si="110">H58</f>
        <v>140.625</v>
      </c>
      <c r="I417" s="27">
        <f t="shared" si="110"/>
        <v>19</v>
      </c>
      <c r="J417" s="27">
        <f t="shared" si="110"/>
        <v>9</v>
      </c>
      <c r="K417" s="27">
        <f t="shared" si="110"/>
        <v>335.41</v>
      </c>
      <c r="L417" s="27">
        <f t="shared" si="110"/>
        <v>0.41926299156256519</v>
      </c>
      <c r="M417" s="29">
        <f t="shared" si="78"/>
        <v>1</v>
      </c>
      <c r="N417" s="30">
        <f t="shared" si="83"/>
        <v>120</v>
      </c>
      <c r="O417" s="31" t="str">
        <f t="shared" si="84"/>
        <v>-</v>
      </c>
      <c r="P417" s="31">
        <f t="shared" si="85"/>
        <v>212.05750411731083</v>
      </c>
      <c r="Q417" s="31">
        <f t="shared" si="86"/>
        <v>1833.5643723289008</v>
      </c>
      <c r="R417" s="31">
        <f t="shared" si="87"/>
        <v>2120.5750411731096</v>
      </c>
      <c r="S417" s="31">
        <f t="shared" si="88"/>
        <v>3954.1394135020105</v>
      </c>
      <c r="V417" s="224"/>
    </row>
    <row r="418" spans="1:22">
      <c r="A418" s="26" t="str">
        <f t="shared" si="76"/>
        <v/>
      </c>
      <c r="B418" s="27" t="str">
        <f t="shared" ref="B418:F418" si="111">B59</f>
        <v>Lớp 6</v>
      </c>
      <c r="C418" s="27" t="str">
        <f t="shared" si="111"/>
        <v>Cát</v>
      </c>
      <c r="D418" s="27" t="str">
        <f t="shared" si="111"/>
        <v>R</v>
      </c>
      <c r="E418" s="27">
        <f t="shared" si="111"/>
        <v>33</v>
      </c>
      <c r="F418" s="27">
        <f t="shared" si="111"/>
        <v>3</v>
      </c>
      <c r="G418" s="28">
        <f t="shared" si="74"/>
        <v>20</v>
      </c>
      <c r="H418" s="27">
        <f t="shared" ref="H418:L418" si="112">H59</f>
        <v>125</v>
      </c>
      <c r="I418" s="27">
        <f t="shared" si="112"/>
        <v>19</v>
      </c>
      <c r="J418" s="27">
        <f t="shared" si="112"/>
        <v>9</v>
      </c>
      <c r="K418" s="27">
        <f t="shared" si="112"/>
        <v>362.41</v>
      </c>
      <c r="L418" s="27">
        <f t="shared" si="112"/>
        <v>0.34491321983388978</v>
      </c>
      <c r="M418" s="29">
        <f t="shared" si="78"/>
        <v>1</v>
      </c>
      <c r="N418" s="30">
        <f t="shared" si="83"/>
        <v>120</v>
      </c>
      <c r="O418" s="31" t="str">
        <f t="shared" si="84"/>
        <v>-</v>
      </c>
      <c r="P418" s="31">
        <f t="shared" si="85"/>
        <v>188.4955592153874</v>
      </c>
      <c r="Q418" s="31">
        <f t="shared" si="86"/>
        <v>2022.0599315442882</v>
      </c>
      <c r="R418" s="31">
        <f t="shared" si="87"/>
        <v>1884.9555921538752</v>
      </c>
      <c r="S418" s="31">
        <f t="shared" si="88"/>
        <v>3907.0155236981636</v>
      </c>
      <c r="V418" s="224"/>
    </row>
    <row r="419" spans="1:22">
      <c r="A419" s="26" t="str">
        <f t="shared" si="76"/>
        <v/>
      </c>
      <c r="B419" s="27" t="str">
        <f t="shared" ref="B419:F419" si="113">B60</f>
        <v>Lớp 6</v>
      </c>
      <c r="C419" s="27" t="str">
        <f t="shared" si="113"/>
        <v>Cát</v>
      </c>
      <c r="D419" s="27" t="str">
        <f t="shared" si="113"/>
        <v>R</v>
      </c>
      <c r="E419" s="27">
        <f t="shared" si="113"/>
        <v>36</v>
      </c>
      <c r="F419" s="27">
        <f t="shared" si="113"/>
        <v>2.2000000000000002</v>
      </c>
      <c r="G419" s="28">
        <f t="shared" si="74"/>
        <v>28.5</v>
      </c>
      <c r="H419" s="27">
        <f t="shared" ref="H419:L419" si="114">H60</f>
        <v>178.125</v>
      </c>
      <c r="I419" s="27">
        <f t="shared" si="114"/>
        <v>19</v>
      </c>
      <c r="J419" s="27">
        <f t="shared" si="114"/>
        <v>9</v>
      </c>
      <c r="K419" s="27">
        <f t="shared" si="114"/>
        <v>382.21</v>
      </c>
      <c r="L419" s="27">
        <f t="shared" si="114"/>
        <v>0.4660396117317705</v>
      </c>
      <c r="M419" s="29">
        <f t="shared" si="78"/>
        <v>1</v>
      </c>
      <c r="N419" s="30">
        <f t="shared" si="83"/>
        <v>120</v>
      </c>
      <c r="O419" s="31" t="str">
        <f t="shared" si="84"/>
        <v>-</v>
      </c>
      <c r="P419" s="31">
        <f t="shared" si="85"/>
        <v>196.97785938007985</v>
      </c>
      <c r="Q419" s="31">
        <f t="shared" si="86"/>
        <v>2219.037790924368</v>
      </c>
      <c r="R419" s="31">
        <f t="shared" si="87"/>
        <v>2686.0617188192718</v>
      </c>
      <c r="S419" s="31">
        <f t="shared" si="88"/>
        <v>4905.0995097436398</v>
      </c>
      <c r="V419" s="224"/>
    </row>
    <row r="420" spans="1:22">
      <c r="A420" s="26" t="str">
        <f t="shared" si="76"/>
        <v>Lớp 7</v>
      </c>
      <c r="B420" s="27" t="str">
        <f t="shared" ref="B420:F420" si="115">B61</f>
        <v>Lớp 7</v>
      </c>
      <c r="C420" s="27" t="str">
        <f t="shared" si="115"/>
        <v>Cuội Sỏi</v>
      </c>
      <c r="D420" s="27" t="str">
        <f t="shared" si="115"/>
        <v>R</v>
      </c>
      <c r="E420" s="27">
        <f t="shared" si="115"/>
        <v>38.200000000000003</v>
      </c>
      <c r="F420" s="27">
        <f t="shared" si="115"/>
        <v>3</v>
      </c>
      <c r="G420" s="28">
        <f t="shared" si="74"/>
        <v>24</v>
      </c>
      <c r="H420" s="27">
        <f t="shared" ref="H420:L420" si="116">H61</f>
        <v>150</v>
      </c>
      <c r="I420" s="27">
        <f t="shared" si="116"/>
        <v>19</v>
      </c>
      <c r="J420" s="27">
        <f t="shared" si="116"/>
        <v>9</v>
      </c>
      <c r="K420" s="27">
        <f t="shared" si="116"/>
        <v>409.21</v>
      </c>
      <c r="L420" s="27">
        <f t="shared" si="116"/>
        <v>0.36655995699029842</v>
      </c>
      <c r="M420" s="29">
        <f t="shared" si="78"/>
        <v>1</v>
      </c>
      <c r="N420" s="30">
        <f t="shared" si="83"/>
        <v>120</v>
      </c>
      <c r="O420" s="31" t="str">
        <f t="shared" si="84"/>
        <v>-</v>
      </c>
      <c r="P420" s="31">
        <f t="shared" si="85"/>
        <v>226.19467105846491</v>
      </c>
      <c r="Q420" s="31">
        <f t="shared" si="86"/>
        <v>2445.2324619828328</v>
      </c>
      <c r="R420" s="31">
        <f t="shared" si="87"/>
        <v>2261.9467105846502</v>
      </c>
      <c r="S420" s="31">
        <f t="shared" si="88"/>
        <v>4707.179172567483</v>
      </c>
      <c r="V420" s="224"/>
    </row>
    <row r="421" spans="1:22">
      <c r="A421" s="26" t="str">
        <f t="shared" si="76"/>
        <v/>
      </c>
      <c r="B421" s="27" t="str">
        <f t="shared" ref="B421:F421" si="117">B62</f>
        <v>Lớp 7</v>
      </c>
      <c r="C421" s="27" t="str">
        <f t="shared" si="117"/>
        <v>Cuội Sỏi</v>
      </c>
      <c r="D421" s="27" t="str">
        <f t="shared" si="117"/>
        <v>R</v>
      </c>
      <c r="E421" s="27">
        <f t="shared" si="117"/>
        <v>41.2</v>
      </c>
      <c r="F421" s="27">
        <f t="shared" si="117"/>
        <v>2</v>
      </c>
      <c r="G421" s="28">
        <f t="shared" si="74"/>
        <v>50</v>
      </c>
      <c r="H421" s="27">
        <f t="shared" ref="H421:L421" si="118">H62</f>
        <v>312.5</v>
      </c>
      <c r="I421" s="27">
        <f t="shared" si="118"/>
        <v>19</v>
      </c>
      <c r="J421" s="27">
        <f t="shared" si="118"/>
        <v>9</v>
      </c>
      <c r="K421" s="27">
        <f t="shared" si="118"/>
        <v>427.21</v>
      </c>
      <c r="L421" s="27">
        <f t="shared" si="118"/>
        <v>0.73149036773483767</v>
      </c>
      <c r="M421" s="29">
        <f t="shared" si="78"/>
        <v>1</v>
      </c>
      <c r="N421" s="30">
        <f t="shared" si="83"/>
        <v>120</v>
      </c>
      <c r="O421" s="31" t="str">
        <f t="shared" si="84"/>
        <v>-</v>
      </c>
      <c r="P421" s="31">
        <f t="shared" si="85"/>
        <v>314.15926535897898</v>
      </c>
      <c r="Q421" s="31">
        <f t="shared" si="86"/>
        <v>2759.3917273418119</v>
      </c>
      <c r="R421" s="31">
        <f t="shared" si="87"/>
        <v>4712.3889803846878</v>
      </c>
      <c r="S421" s="31">
        <f t="shared" si="88"/>
        <v>7471.7807077264997</v>
      </c>
      <c r="V421" s="224"/>
    </row>
    <row r="422" spans="1:22">
      <c r="A422" s="26" t="str">
        <f t="shared" si="76"/>
        <v/>
      </c>
      <c r="B422" s="27" t="str">
        <f t="shared" ref="B422:F422" si="119">B63</f>
        <v>Lớp 7</v>
      </c>
      <c r="C422" s="27" t="str">
        <f t="shared" si="119"/>
        <v>Cuội Sỏi</v>
      </c>
      <c r="D422" s="27" t="str">
        <f t="shared" si="119"/>
        <v>R</v>
      </c>
      <c r="E422" s="27">
        <f t="shared" si="119"/>
        <v>43.2</v>
      </c>
      <c r="F422" s="27">
        <f t="shared" si="119"/>
        <v>0</v>
      </c>
      <c r="G422" s="28">
        <f t="shared" si="74"/>
        <v>50</v>
      </c>
      <c r="H422" s="27">
        <f t="shared" ref="H422:L422" si="120">H63</f>
        <v>271.875</v>
      </c>
      <c r="I422" s="27">
        <f t="shared" si="120"/>
        <v>19</v>
      </c>
      <c r="J422" s="27">
        <f t="shared" si="120"/>
        <v>9</v>
      </c>
      <c r="K422" s="27">
        <f t="shared" si="120"/>
        <v>427.21</v>
      </c>
      <c r="L422" s="27">
        <f t="shared" si="120"/>
        <v>0.63639661992930885</v>
      </c>
      <c r="M422" s="29">
        <f t="shared" si="78"/>
        <v>1</v>
      </c>
      <c r="N422" s="30">
        <f t="shared" si="83"/>
        <v>120</v>
      </c>
      <c r="O422" s="31" t="str">
        <f t="shared" si="84"/>
        <v>-</v>
      </c>
      <c r="P422" s="31">
        <f t="shared" si="85"/>
        <v>0</v>
      </c>
      <c r="Q422" s="31">
        <f t="shared" si="86"/>
        <v>2759.3917273418119</v>
      </c>
      <c r="R422" s="31">
        <f t="shared" si="87"/>
        <v>4099.7784129346783</v>
      </c>
      <c r="S422" s="31">
        <f t="shared" si="88"/>
        <v>6859.1701402764902</v>
      </c>
      <c r="V422" s="224"/>
    </row>
    <row r="423" spans="1:22">
      <c r="A423" s="26"/>
      <c r="B423" s="27"/>
      <c r="C423" s="27"/>
      <c r="D423" s="27"/>
      <c r="E423" s="27"/>
      <c r="F423" s="27"/>
      <c r="G423" s="28"/>
      <c r="H423" s="27"/>
      <c r="I423" s="27"/>
      <c r="J423" s="27"/>
      <c r="K423" s="27"/>
      <c r="L423" s="27"/>
      <c r="M423" s="29"/>
      <c r="N423" s="30"/>
      <c r="O423" s="31"/>
      <c r="P423" s="31"/>
      <c r="Q423" s="31"/>
      <c r="R423" s="31"/>
      <c r="S423" s="31"/>
      <c r="V423" s="224"/>
    </row>
    <row r="424" spans="1:22">
      <c r="A424" s="26"/>
      <c r="B424" s="27"/>
      <c r="C424" s="27"/>
      <c r="D424" s="27"/>
      <c r="E424" s="27"/>
      <c r="F424" s="27"/>
      <c r="G424" s="28"/>
      <c r="H424" s="27"/>
      <c r="I424" s="27"/>
      <c r="J424" s="27"/>
      <c r="K424" s="27"/>
      <c r="L424" s="27"/>
      <c r="M424" s="29"/>
      <c r="N424" s="30"/>
      <c r="O424" s="31"/>
      <c r="P424" s="31"/>
      <c r="Q424" s="31"/>
      <c r="R424" s="31"/>
      <c r="S424" s="31"/>
    </row>
    <row r="425" spans="1:22">
      <c r="A425" s="26"/>
      <c r="B425" s="27"/>
      <c r="C425" s="27"/>
      <c r="D425" s="27"/>
      <c r="E425" s="27"/>
      <c r="F425" s="27"/>
      <c r="G425" s="28"/>
      <c r="H425" s="27"/>
      <c r="I425" s="27"/>
      <c r="J425" s="27"/>
      <c r="K425" s="27"/>
      <c r="L425" s="27"/>
      <c r="M425" s="29"/>
      <c r="N425" s="30"/>
      <c r="O425" s="31"/>
      <c r="P425" s="31"/>
      <c r="Q425" s="31"/>
      <c r="R425" s="31"/>
      <c r="S425" s="31"/>
    </row>
    <row r="426" spans="1:22">
      <c r="A426" s="26"/>
      <c r="B426" s="27"/>
      <c r="C426" s="27"/>
      <c r="D426" s="27"/>
      <c r="E426" s="27"/>
      <c r="F426" s="27"/>
      <c r="G426" s="28"/>
      <c r="H426" s="27"/>
      <c r="I426" s="27"/>
      <c r="J426" s="27"/>
      <c r="K426" s="27"/>
      <c r="L426" s="27"/>
      <c r="M426" s="29"/>
      <c r="N426" s="30"/>
      <c r="O426" s="31"/>
      <c r="P426" s="31"/>
      <c r="Q426" s="31"/>
      <c r="R426" s="31"/>
      <c r="S426" s="31"/>
    </row>
    <row r="427" spans="1:22">
      <c r="A427" s="26"/>
      <c r="B427" s="27"/>
      <c r="C427" s="27"/>
      <c r="D427" s="27"/>
      <c r="E427" s="27"/>
      <c r="F427" s="27"/>
      <c r="G427" s="28"/>
      <c r="H427" s="27"/>
      <c r="I427" s="27"/>
      <c r="J427" s="27"/>
      <c r="K427" s="27"/>
      <c r="L427" s="27"/>
      <c r="M427" s="29"/>
      <c r="N427" s="30"/>
      <c r="O427" s="31"/>
      <c r="P427" s="31"/>
      <c r="Q427" s="31"/>
      <c r="R427" s="31"/>
      <c r="S427" s="31"/>
    </row>
    <row r="428" spans="1:22">
      <c r="A428" s="26"/>
      <c r="B428" s="27"/>
      <c r="C428" s="27"/>
      <c r="D428" s="27"/>
      <c r="E428" s="27"/>
      <c r="F428" s="27"/>
      <c r="G428" s="28"/>
      <c r="H428" s="27"/>
      <c r="I428" s="27"/>
      <c r="J428" s="27"/>
      <c r="K428" s="27"/>
      <c r="L428" s="27"/>
      <c r="M428" s="29"/>
      <c r="N428" s="30"/>
      <c r="O428" s="31"/>
      <c r="P428" s="31"/>
      <c r="Q428" s="31"/>
      <c r="R428" s="31"/>
      <c r="S428" s="31"/>
    </row>
    <row r="429" spans="1:22">
      <c r="A429" s="26"/>
      <c r="B429" s="27"/>
      <c r="C429" s="27"/>
      <c r="D429" s="27"/>
      <c r="E429" s="27"/>
      <c r="F429" s="27"/>
      <c r="G429" s="28"/>
      <c r="H429" s="27"/>
      <c r="I429" s="27"/>
      <c r="J429" s="27"/>
      <c r="K429" s="27"/>
      <c r="L429" s="27"/>
      <c r="M429" s="29"/>
      <c r="N429" s="30"/>
      <c r="O429" s="31"/>
      <c r="P429" s="31"/>
      <c r="Q429" s="31"/>
      <c r="R429" s="31"/>
      <c r="S429" s="31"/>
    </row>
    <row r="430" spans="1:22">
      <c r="A430" s="26"/>
      <c r="B430" s="27"/>
      <c r="C430" s="27"/>
      <c r="D430" s="27"/>
      <c r="E430" s="27"/>
      <c r="F430" s="27"/>
      <c r="G430" s="28"/>
      <c r="H430" s="27"/>
      <c r="I430" s="27"/>
      <c r="J430" s="27"/>
      <c r="K430" s="27"/>
      <c r="L430" s="27"/>
      <c r="M430" s="29"/>
      <c r="N430" s="30"/>
      <c r="O430" s="31"/>
      <c r="P430" s="31"/>
      <c r="Q430" s="31"/>
      <c r="R430" s="31"/>
      <c r="S430" s="31"/>
    </row>
    <row r="431" spans="1:22">
      <c r="A431" s="26"/>
      <c r="B431" s="27"/>
      <c r="C431" s="27"/>
      <c r="D431" s="27"/>
      <c r="E431" s="27"/>
      <c r="F431" s="27"/>
      <c r="G431" s="28"/>
      <c r="H431" s="27"/>
      <c r="I431" s="27"/>
      <c r="J431" s="27"/>
      <c r="K431" s="27"/>
      <c r="L431" s="27"/>
      <c r="M431" s="29"/>
      <c r="N431" s="30"/>
      <c r="O431" s="31"/>
      <c r="P431" s="31"/>
      <c r="Q431" s="31"/>
      <c r="R431" s="31"/>
      <c r="S431" s="31"/>
    </row>
    <row r="432" spans="1:22">
      <c r="A432" s="26"/>
      <c r="B432" s="27"/>
      <c r="C432" s="27"/>
      <c r="D432" s="27"/>
      <c r="E432" s="27"/>
      <c r="F432" s="27"/>
      <c r="G432" s="28"/>
      <c r="H432" s="27"/>
      <c r="I432" s="27"/>
      <c r="J432" s="27"/>
      <c r="K432" s="27"/>
      <c r="L432" s="27"/>
      <c r="M432" s="29"/>
      <c r="N432" s="30"/>
      <c r="O432" s="31"/>
      <c r="P432" s="31"/>
      <c r="Q432" s="31"/>
      <c r="R432" s="31"/>
      <c r="S432" s="31"/>
    </row>
    <row r="433" spans="1:19">
      <c r="A433" s="26"/>
      <c r="B433" s="27"/>
      <c r="C433" s="27"/>
      <c r="D433" s="27"/>
      <c r="E433" s="27"/>
      <c r="F433" s="27"/>
      <c r="G433" s="28"/>
      <c r="H433" s="27"/>
      <c r="I433" s="27"/>
      <c r="J433" s="27"/>
      <c r="K433" s="27"/>
      <c r="L433" s="27"/>
      <c r="M433" s="29"/>
      <c r="N433" s="30"/>
      <c r="O433" s="31"/>
      <c r="P433" s="31"/>
      <c r="Q433" s="31"/>
      <c r="R433" s="31"/>
      <c r="S433" s="31"/>
    </row>
    <row r="434" spans="1:19">
      <c r="A434" s="26"/>
      <c r="B434" s="27"/>
      <c r="C434" s="27"/>
      <c r="D434" s="27"/>
      <c r="E434" s="27"/>
      <c r="F434" s="27"/>
      <c r="G434" s="28"/>
      <c r="H434" s="27"/>
      <c r="I434" s="27"/>
      <c r="J434" s="27"/>
      <c r="K434" s="27"/>
      <c r="L434" s="27"/>
      <c r="M434" s="29"/>
      <c r="N434" s="30"/>
      <c r="O434" s="31"/>
      <c r="P434" s="31"/>
      <c r="Q434" s="31"/>
      <c r="R434" s="31"/>
      <c r="S434" s="31"/>
    </row>
    <row r="435" spans="1:19">
      <c r="A435" s="26"/>
      <c r="B435" s="27"/>
      <c r="C435" s="27"/>
      <c r="D435" s="27"/>
      <c r="E435" s="27"/>
      <c r="F435" s="27"/>
      <c r="G435" s="28"/>
      <c r="H435" s="27"/>
      <c r="I435" s="27"/>
      <c r="J435" s="27"/>
      <c r="K435" s="27"/>
      <c r="L435" s="27"/>
      <c r="M435" s="29"/>
      <c r="N435" s="30"/>
      <c r="O435" s="31"/>
      <c r="P435" s="31"/>
      <c r="Q435" s="31"/>
      <c r="R435" s="31"/>
      <c r="S435" s="31"/>
    </row>
    <row r="436" spans="1:19">
      <c r="A436" s="26"/>
      <c r="B436" s="27"/>
      <c r="C436" s="27"/>
      <c r="D436" s="27"/>
      <c r="E436" s="27"/>
      <c r="F436" s="27"/>
      <c r="G436" s="28"/>
      <c r="H436" s="27"/>
      <c r="I436" s="27"/>
      <c r="J436" s="27"/>
      <c r="K436" s="27"/>
      <c r="L436" s="27"/>
      <c r="M436" s="29"/>
      <c r="N436" s="30"/>
      <c r="O436" s="31"/>
      <c r="P436" s="31"/>
      <c r="Q436" s="31"/>
      <c r="R436" s="31"/>
      <c r="S436" s="31"/>
    </row>
    <row r="437" spans="1:19">
      <c r="A437" s="26"/>
      <c r="B437" s="27"/>
      <c r="C437" s="27"/>
      <c r="D437" s="27"/>
      <c r="E437" s="27"/>
      <c r="F437" s="27"/>
      <c r="G437" s="28"/>
      <c r="H437" s="27"/>
      <c r="I437" s="27"/>
      <c r="J437" s="27"/>
      <c r="K437" s="27"/>
      <c r="L437" s="27"/>
      <c r="M437" s="29"/>
      <c r="N437" s="30"/>
      <c r="O437" s="31"/>
      <c r="P437" s="31"/>
      <c r="Q437" s="31"/>
      <c r="R437" s="31"/>
      <c r="S437" s="31"/>
    </row>
    <row r="438" spans="1:19">
      <c r="A438" s="26"/>
      <c r="B438" s="27"/>
      <c r="C438" s="27"/>
      <c r="D438" s="27"/>
      <c r="E438" s="27"/>
      <c r="F438" s="27"/>
      <c r="G438" s="28"/>
      <c r="H438" s="27"/>
      <c r="I438" s="27"/>
      <c r="J438" s="27"/>
      <c r="K438" s="27"/>
      <c r="L438" s="27"/>
      <c r="M438" s="29"/>
      <c r="N438" s="30"/>
      <c r="O438" s="31"/>
      <c r="P438" s="31"/>
      <c r="Q438" s="31"/>
      <c r="R438" s="31"/>
      <c r="S438" s="31"/>
    </row>
    <row r="439" spans="1:19">
      <c r="A439" s="26"/>
      <c r="B439" s="27"/>
      <c r="C439" s="27"/>
      <c r="D439" s="27"/>
      <c r="E439" s="27"/>
      <c r="F439" s="27"/>
      <c r="G439" s="28"/>
      <c r="H439" s="27"/>
      <c r="I439" s="27"/>
      <c r="J439" s="27"/>
      <c r="K439" s="27"/>
      <c r="L439" s="27"/>
      <c r="M439" s="29"/>
      <c r="N439" s="30"/>
      <c r="O439" s="31"/>
      <c r="P439" s="31"/>
      <c r="Q439" s="31"/>
      <c r="R439" s="31"/>
      <c r="S439" s="31"/>
    </row>
    <row r="440" spans="1:19">
      <c r="A440" s="26"/>
      <c r="B440" s="27"/>
      <c r="C440" s="27"/>
      <c r="D440" s="27"/>
      <c r="E440" s="27"/>
      <c r="F440" s="27"/>
      <c r="G440" s="28"/>
      <c r="H440" s="27"/>
      <c r="I440" s="27"/>
      <c r="J440" s="27"/>
      <c r="K440" s="27"/>
      <c r="L440" s="27"/>
      <c r="M440" s="29"/>
      <c r="N440" s="30"/>
      <c r="O440" s="31"/>
      <c r="P440" s="31"/>
      <c r="Q440" s="31"/>
      <c r="R440" s="31"/>
      <c r="S440" s="31"/>
    </row>
    <row r="441" spans="1:19">
      <c r="A441" s="26"/>
      <c r="B441" s="27"/>
      <c r="C441" s="27"/>
      <c r="D441" s="27"/>
      <c r="E441" s="27"/>
      <c r="F441" s="27"/>
      <c r="G441" s="28"/>
      <c r="H441" s="27"/>
      <c r="I441" s="27"/>
      <c r="J441" s="27"/>
      <c r="K441" s="27"/>
      <c r="L441" s="27"/>
      <c r="M441" s="29"/>
      <c r="N441" s="30"/>
      <c r="O441" s="31"/>
      <c r="P441" s="31"/>
      <c r="Q441" s="31"/>
      <c r="R441" s="31"/>
      <c r="S441" s="31"/>
    </row>
    <row r="442" spans="1:19">
      <c r="A442" s="26"/>
      <c r="B442" s="27"/>
      <c r="C442" s="27"/>
      <c r="D442" s="27"/>
      <c r="E442" s="27"/>
      <c r="F442" s="27"/>
      <c r="G442" s="28"/>
      <c r="H442" s="27"/>
      <c r="I442" s="27"/>
      <c r="J442" s="27"/>
      <c r="K442" s="27"/>
      <c r="L442" s="27"/>
      <c r="M442" s="29"/>
      <c r="N442" s="30"/>
      <c r="O442" s="31"/>
      <c r="P442" s="31"/>
      <c r="Q442" s="31"/>
      <c r="R442" s="31"/>
      <c r="S442" s="31"/>
    </row>
    <row r="443" spans="1:19">
      <c r="A443" s="26"/>
      <c r="B443" s="27"/>
      <c r="C443" s="27"/>
      <c r="D443" s="27"/>
      <c r="E443" s="27"/>
      <c r="F443" s="27"/>
      <c r="G443" s="28"/>
      <c r="H443" s="27"/>
      <c r="I443" s="27"/>
      <c r="J443" s="27"/>
      <c r="K443" s="27"/>
      <c r="L443" s="27"/>
      <c r="M443" s="29"/>
      <c r="N443" s="30"/>
      <c r="O443" s="31"/>
      <c r="P443" s="31"/>
      <c r="Q443" s="31"/>
      <c r="R443" s="31"/>
      <c r="S443" s="31"/>
    </row>
    <row r="444" spans="1:19">
      <c r="A444" s="26"/>
      <c r="B444" s="27"/>
      <c r="C444" s="27"/>
      <c r="D444" s="27"/>
      <c r="E444" s="27"/>
      <c r="F444" s="27"/>
      <c r="G444" s="28"/>
      <c r="H444" s="27"/>
      <c r="I444" s="27"/>
      <c r="J444" s="27"/>
      <c r="K444" s="27"/>
      <c r="L444" s="27"/>
      <c r="M444" s="29"/>
      <c r="N444" s="30"/>
      <c r="O444" s="31"/>
      <c r="P444" s="31"/>
      <c r="Q444" s="31"/>
      <c r="R444" s="31"/>
      <c r="S444" s="31"/>
    </row>
    <row r="445" spans="1:19">
      <c r="A445" s="26"/>
      <c r="B445" s="27"/>
      <c r="C445" s="27"/>
      <c r="D445" s="27"/>
      <c r="E445" s="27"/>
      <c r="F445" s="27"/>
      <c r="G445" s="28"/>
      <c r="H445" s="27"/>
      <c r="I445" s="27"/>
      <c r="J445" s="27"/>
      <c r="K445" s="27"/>
      <c r="L445" s="27"/>
      <c r="M445" s="29"/>
      <c r="N445" s="30"/>
      <c r="O445" s="31"/>
      <c r="P445" s="31"/>
      <c r="Q445" s="31"/>
      <c r="R445" s="31"/>
      <c r="S445" s="31"/>
    </row>
    <row r="446" spans="1:19">
      <c r="A446" s="26"/>
      <c r="B446" s="27"/>
      <c r="C446" s="27"/>
      <c r="D446" s="27"/>
      <c r="E446" s="27"/>
      <c r="F446" s="27"/>
      <c r="G446" s="28"/>
      <c r="H446" s="27"/>
      <c r="I446" s="27"/>
      <c r="J446" s="27"/>
      <c r="K446" s="27"/>
      <c r="L446" s="27"/>
      <c r="M446" s="29"/>
      <c r="N446" s="30"/>
      <c r="O446" s="31"/>
      <c r="P446" s="31"/>
      <c r="Q446" s="31"/>
      <c r="R446" s="31"/>
      <c r="S446" s="31"/>
    </row>
    <row r="447" spans="1:19">
      <c r="A447" s="26"/>
      <c r="B447" s="27"/>
      <c r="C447" s="27"/>
      <c r="D447" s="27"/>
      <c r="E447" s="27"/>
      <c r="F447" s="27"/>
      <c r="G447" s="28"/>
      <c r="H447" s="27"/>
      <c r="I447" s="27"/>
      <c r="J447" s="27"/>
      <c r="K447" s="27"/>
      <c r="L447" s="27"/>
      <c r="M447" s="29"/>
      <c r="N447" s="30"/>
      <c r="O447" s="31"/>
      <c r="P447" s="31"/>
      <c r="Q447" s="31"/>
      <c r="R447" s="31"/>
      <c r="S447" s="31"/>
    </row>
    <row r="448" spans="1:19">
      <c r="A448" s="26"/>
      <c r="B448" s="27"/>
      <c r="C448" s="27"/>
      <c r="D448" s="27"/>
      <c r="E448" s="27"/>
      <c r="F448" s="27"/>
      <c r="G448" s="28"/>
      <c r="H448" s="27"/>
      <c r="I448" s="27"/>
      <c r="J448" s="27"/>
      <c r="K448" s="27"/>
      <c r="L448" s="27"/>
      <c r="M448" s="29"/>
      <c r="N448" s="30"/>
      <c r="O448" s="31"/>
      <c r="P448" s="31"/>
      <c r="Q448" s="31"/>
      <c r="R448" s="31"/>
      <c r="S448" s="31"/>
    </row>
    <row r="449" spans="1:19">
      <c r="A449" s="26"/>
      <c r="B449" s="27"/>
      <c r="C449" s="27"/>
      <c r="D449" s="27"/>
      <c r="E449" s="27"/>
      <c r="F449" s="27"/>
      <c r="G449" s="28"/>
      <c r="H449" s="27"/>
      <c r="I449" s="27"/>
      <c r="J449" s="27"/>
      <c r="K449" s="27"/>
      <c r="L449" s="27"/>
      <c r="M449" s="29"/>
      <c r="N449" s="30"/>
      <c r="O449" s="31"/>
      <c r="P449" s="31"/>
      <c r="Q449" s="31"/>
      <c r="R449" s="31"/>
      <c r="S449" s="31"/>
    </row>
    <row r="450" spans="1:19">
      <c r="A450" s="26"/>
      <c r="B450" s="27"/>
      <c r="C450" s="27"/>
      <c r="D450" s="27"/>
      <c r="E450" s="27"/>
      <c r="F450" s="27"/>
      <c r="G450" s="28"/>
      <c r="H450" s="27"/>
      <c r="I450" s="27"/>
      <c r="J450" s="27"/>
      <c r="K450" s="27"/>
      <c r="L450" s="27"/>
      <c r="M450" s="29"/>
      <c r="N450" s="30"/>
      <c r="O450" s="31"/>
      <c r="P450" s="31"/>
      <c r="Q450" s="31"/>
      <c r="R450" s="31"/>
      <c r="S450" s="31"/>
    </row>
    <row r="451" spans="1:19">
      <c r="A451" s="26"/>
      <c r="B451" s="27"/>
      <c r="C451" s="27"/>
      <c r="D451" s="27"/>
      <c r="E451" s="27"/>
      <c r="F451" s="27"/>
      <c r="G451" s="28"/>
      <c r="H451" s="27"/>
      <c r="I451" s="27"/>
      <c r="J451" s="27"/>
      <c r="K451" s="27"/>
      <c r="L451" s="27"/>
      <c r="M451" s="29"/>
      <c r="N451" s="30"/>
      <c r="O451" s="31"/>
      <c r="P451" s="31"/>
      <c r="Q451" s="31"/>
      <c r="R451" s="31"/>
      <c r="S451" s="31"/>
    </row>
    <row r="452" spans="1:19">
      <c r="A452" s="26"/>
      <c r="B452" s="27"/>
      <c r="C452" s="27"/>
      <c r="D452" s="27"/>
      <c r="E452" s="27"/>
      <c r="F452" s="27"/>
      <c r="G452" s="28"/>
      <c r="H452" s="27"/>
      <c r="I452" s="27"/>
      <c r="J452" s="27"/>
      <c r="K452" s="27"/>
      <c r="L452" s="27"/>
      <c r="M452" s="29"/>
      <c r="N452" s="30"/>
      <c r="O452" s="31"/>
      <c r="P452" s="31"/>
      <c r="Q452" s="31"/>
      <c r="R452" s="31"/>
      <c r="S452" s="31"/>
    </row>
    <row r="453" spans="1:19">
      <c r="A453" s="32"/>
      <c r="B453" s="25"/>
      <c r="C453" s="25"/>
      <c r="D453" s="25"/>
      <c r="E453" s="25"/>
      <c r="F453" s="25"/>
      <c r="G453" s="33"/>
      <c r="H453" s="25"/>
      <c r="I453" s="25"/>
      <c r="J453" s="25"/>
      <c r="K453" s="25"/>
      <c r="L453" s="34"/>
      <c r="M453" s="34"/>
      <c r="N453" s="34"/>
      <c r="O453" s="25"/>
      <c r="P453" s="25"/>
      <c r="Q453" s="25"/>
      <c r="R453" s="25"/>
      <c r="S453" s="25"/>
    </row>
    <row r="454" spans="1:19">
      <c r="A454" s="32"/>
      <c r="B454" s="25"/>
      <c r="C454" s="25"/>
      <c r="D454" s="25"/>
      <c r="E454" s="25"/>
      <c r="F454" s="25"/>
      <c r="G454" s="33"/>
      <c r="H454" s="25"/>
      <c r="I454" s="25"/>
      <c r="J454" s="25"/>
      <c r="K454" s="25"/>
      <c r="L454" s="34"/>
      <c r="M454" s="34"/>
      <c r="N454" s="34"/>
      <c r="O454" s="25"/>
      <c r="P454" s="25"/>
      <c r="Q454" s="25"/>
      <c r="R454" s="25"/>
      <c r="S454" s="25"/>
    </row>
    <row r="455" spans="1:19">
      <c r="A455" s="32"/>
      <c r="B455" s="25"/>
      <c r="C455" s="25"/>
      <c r="D455" s="25"/>
      <c r="E455" s="25"/>
      <c r="F455" s="25"/>
      <c r="G455" s="33"/>
      <c r="H455" s="25"/>
      <c r="I455" s="25"/>
      <c r="J455" s="25"/>
      <c r="K455" s="25"/>
      <c r="L455" s="34"/>
      <c r="M455" s="34"/>
      <c r="N455" s="34"/>
      <c r="O455" s="25"/>
      <c r="P455" s="25"/>
      <c r="Q455" s="25"/>
      <c r="R455" s="25"/>
      <c r="S455" s="25"/>
    </row>
    <row r="456" spans="1:19">
      <c r="A456" s="32"/>
      <c r="B456" s="25"/>
      <c r="C456" s="25"/>
      <c r="D456" s="25"/>
      <c r="E456" s="25"/>
      <c r="F456" s="25"/>
      <c r="G456" s="33"/>
      <c r="H456" s="25"/>
      <c r="I456" s="25"/>
      <c r="J456" s="25"/>
      <c r="K456" s="25"/>
      <c r="L456" s="34"/>
      <c r="M456" s="34"/>
      <c r="N456" s="34"/>
      <c r="O456" s="25"/>
      <c r="P456" s="25"/>
      <c r="Q456" s="25"/>
      <c r="R456" s="25"/>
      <c r="S456" s="25"/>
    </row>
    <row r="457" spans="1:19">
      <c r="A457" s="32"/>
      <c r="B457" s="25"/>
      <c r="C457" s="25"/>
      <c r="D457" s="25"/>
      <c r="E457" s="25"/>
      <c r="F457" s="25"/>
      <c r="G457" s="33"/>
      <c r="H457" s="25"/>
      <c r="I457" s="25"/>
      <c r="J457" s="25"/>
      <c r="K457" s="25"/>
      <c r="L457" s="34"/>
      <c r="M457" s="34"/>
      <c r="N457" s="34"/>
      <c r="O457" s="25"/>
      <c r="P457" s="25"/>
      <c r="Q457" s="25"/>
      <c r="R457" s="25"/>
      <c r="S457" s="25"/>
    </row>
    <row r="458" spans="1:19">
      <c r="A458" s="32"/>
      <c r="B458" s="25"/>
      <c r="C458" s="25"/>
      <c r="D458" s="25"/>
      <c r="E458" s="25"/>
      <c r="F458" s="25"/>
      <c r="G458" s="33"/>
      <c r="H458" s="25"/>
      <c r="I458" s="25"/>
      <c r="J458" s="25"/>
      <c r="K458" s="25"/>
      <c r="L458" s="34"/>
      <c r="M458" s="34"/>
      <c r="N458" s="34"/>
      <c r="O458" s="25"/>
      <c r="P458" s="25"/>
      <c r="Q458" s="25"/>
      <c r="R458" s="25"/>
      <c r="S458" s="25"/>
    </row>
    <row r="459" spans="1:19">
      <c r="A459" s="32"/>
      <c r="B459" s="25"/>
      <c r="C459" s="25"/>
      <c r="D459" s="25"/>
      <c r="E459" s="25"/>
      <c r="F459" s="25"/>
      <c r="G459" s="33"/>
      <c r="H459" s="25"/>
      <c r="I459" s="25"/>
      <c r="J459" s="25"/>
      <c r="K459" s="25"/>
      <c r="L459" s="34"/>
      <c r="M459" s="34"/>
      <c r="N459" s="34"/>
      <c r="O459" s="25"/>
      <c r="P459" s="25"/>
      <c r="Q459" s="25"/>
      <c r="R459" s="25"/>
      <c r="S459" s="25"/>
    </row>
    <row r="460" spans="1:19">
      <c r="A460" s="32"/>
      <c r="B460" s="25"/>
      <c r="C460" s="25"/>
      <c r="D460" s="25"/>
      <c r="E460" s="25"/>
      <c r="F460" s="25"/>
      <c r="G460" s="33"/>
      <c r="H460" s="25"/>
      <c r="I460" s="25"/>
      <c r="J460" s="25"/>
      <c r="K460" s="25"/>
      <c r="L460" s="34"/>
      <c r="M460" s="34"/>
      <c r="N460" s="34"/>
      <c r="O460" s="25"/>
      <c r="P460" s="25"/>
      <c r="Q460" s="25"/>
      <c r="R460" s="25"/>
      <c r="S460" s="25"/>
    </row>
    <row r="461" spans="1:19">
      <c r="A461" s="32"/>
      <c r="B461" s="25"/>
      <c r="C461" s="25"/>
      <c r="D461" s="25"/>
      <c r="E461" s="25"/>
      <c r="F461" s="25"/>
      <c r="G461" s="33"/>
      <c r="H461" s="25"/>
      <c r="I461" s="25"/>
      <c r="J461" s="25"/>
      <c r="K461" s="25"/>
      <c r="L461" s="34"/>
      <c r="M461" s="34"/>
      <c r="N461" s="34"/>
      <c r="O461" s="25"/>
      <c r="P461" s="25"/>
      <c r="Q461" s="25"/>
      <c r="R461" s="25"/>
      <c r="S461" s="25"/>
    </row>
    <row r="462" spans="1:19">
      <c r="A462" s="32"/>
      <c r="B462" s="25"/>
      <c r="C462" s="25"/>
      <c r="D462" s="25"/>
      <c r="E462" s="25"/>
      <c r="F462" s="25"/>
      <c r="G462" s="33"/>
      <c r="H462" s="25"/>
      <c r="I462" s="25"/>
      <c r="J462" s="25"/>
      <c r="K462" s="25"/>
      <c r="L462" s="34"/>
      <c r="M462" s="34"/>
      <c r="N462" s="34"/>
      <c r="O462" s="25"/>
      <c r="P462" s="25"/>
      <c r="Q462" s="25"/>
      <c r="R462" s="25"/>
      <c r="S462" s="25"/>
    </row>
    <row r="463" spans="1:19">
      <c r="A463" s="32"/>
      <c r="B463" s="25"/>
      <c r="C463" s="25"/>
      <c r="D463" s="25"/>
      <c r="E463" s="25"/>
      <c r="F463" s="25"/>
      <c r="G463" s="33"/>
      <c r="H463" s="25"/>
      <c r="I463" s="25"/>
      <c r="J463" s="25"/>
      <c r="K463" s="25"/>
      <c r="L463" s="34"/>
      <c r="M463" s="34"/>
      <c r="N463" s="34"/>
      <c r="O463" s="25"/>
      <c r="P463" s="25"/>
      <c r="Q463" s="25"/>
      <c r="R463" s="25"/>
      <c r="S463" s="25"/>
    </row>
    <row r="464" spans="1:19">
      <c r="A464" s="32"/>
      <c r="B464" s="25"/>
      <c r="C464" s="25"/>
      <c r="D464" s="25"/>
      <c r="E464" s="25"/>
      <c r="F464" s="25"/>
      <c r="G464" s="33"/>
      <c r="H464" s="25"/>
      <c r="I464" s="25"/>
      <c r="J464" s="25"/>
      <c r="K464" s="25"/>
      <c r="L464" s="34"/>
      <c r="M464" s="34"/>
      <c r="N464" s="34"/>
      <c r="O464" s="25"/>
      <c r="P464" s="25"/>
      <c r="Q464" s="25"/>
      <c r="R464" s="25"/>
      <c r="S464" s="25"/>
    </row>
    <row r="465" spans="1:19">
      <c r="A465" s="32"/>
      <c r="B465" s="25"/>
      <c r="C465" s="25"/>
      <c r="D465" s="25"/>
      <c r="E465" s="25"/>
      <c r="F465" s="25"/>
      <c r="G465" s="33"/>
      <c r="H465" s="25"/>
      <c r="I465" s="25"/>
      <c r="J465" s="25"/>
      <c r="K465" s="25"/>
      <c r="L465" s="34"/>
      <c r="M465" s="34"/>
      <c r="N465" s="34"/>
      <c r="O465" s="25"/>
      <c r="P465" s="25"/>
      <c r="Q465" s="25"/>
      <c r="R465" s="25"/>
      <c r="S465" s="25"/>
    </row>
    <row r="466" spans="1:19">
      <c r="A466" s="32"/>
      <c r="B466" s="25"/>
      <c r="C466" s="25"/>
      <c r="D466" s="25"/>
      <c r="E466" s="25"/>
      <c r="F466" s="25"/>
      <c r="G466" s="33"/>
      <c r="H466" s="25"/>
      <c r="I466" s="25"/>
      <c r="J466" s="25"/>
      <c r="K466" s="25"/>
      <c r="L466" s="34"/>
      <c r="M466" s="34"/>
      <c r="N466" s="34"/>
      <c r="O466" s="25"/>
      <c r="P466" s="25"/>
      <c r="Q466" s="25"/>
      <c r="R466" s="25"/>
      <c r="S466" s="25"/>
    </row>
    <row r="467" spans="1:19">
      <c r="A467" s="32"/>
      <c r="B467" s="25"/>
      <c r="C467" s="25"/>
      <c r="D467" s="25"/>
      <c r="E467" s="25"/>
      <c r="F467" s="25"/>
      <c r="G467" s="33"/>
      <c r="H467" s="25"/>
      <c r="I467" s="25"/>
      <c r="J467" s="25"/>
      <c r="K467" s="25"/>
      <c r="L467" s="34"/>
      <c r="M467" s="34"/>
      <c r="N467" s="34"/>
      <c r="O467" s="25"/>
      <c r="P467" s="25"/>
      <c r="Q467" s="25"/>
      <c r="R467" s="25"/>
      <c r="S467" s="25"/>
    </row>
    <row r="468" spans="1:19">
      <c r="A468" s="32"/>
      <c r="B468" s="25"/>
      <c r="C468" s="25"/>
      <c r="D468" s="25"/>
      <c r="E468" s="25"/>
      <c r="F468" s="25"/>
      <c r="G468" s="33"/>
      <c r="H468" s="25"/>
      <c r="I468" s="25"/>
      <c r="J468" s="25"/>
      <c r="K468" s="25"/>
      <c r="L468" s="34"/>
      <c r="M468" s="34"/>
      <c r="N468" s="34"/>
      <c r="O468" s="25"/>
      <c r="P468" s="25"/>
      <c r="Q468" s="25"/>
      <c r="R468" s="25"/>
      <c r="S468" s="25"/>
    </row>
    <row r="469" spans="1:19">
      <c r="A469" s="32"/>
      <c r="B469" s="25"/>
      <c r="C469" s="25"/>
      <c r="D469" s="25"/>
      <c r="E469" s="25"/>
      <c r="F469" s="25"/>
      <c r="G469" s="33"/>
      <c r="H469" s="25"/>
      <c r="I469" s="25"/>
      <c r="J469" s="25"/>
      <c r="K469" s="25"/>
      <c r="L469" s="34"/>
      <c r="M469" s="34"/>
      <c r="N469" s="34"/>
      <c r="O469" s="25"/>
      <c r="P469" s="25"/>
      <c r="Q469" s="25"/>
      <c r="R469" s="25"/>
      <c r="S469" s="25"/>
    </row>
    <row r="470" spans="1:19">
      <c r="A470" s="32"/>
      <c r="B470" s="25"/>
      <c r="C470" s="25"/>
      <c r="D470" s="25"/>
      <c r="E470" s="25"/>
      <c r="F470" s="25"/>
      <c r="G470" s="33"/>
      <c r="H470" s="25"/>
      <c r="I470" s="25"/>
      <c r="J470" s="25"/>
      <c r="K470" s="25"/>
      <c r="L470" s="34"/>
      <c r="M470" s="34"/>
      <c r="N470" s="34"/>
      <c r="O470" s="25"/>
      <c r="P470" s="25"/>
      <c r="Q470" s="25"/>
      <c r="R470" s="25"/>
      <c r="S470" s="25"/>
    </row>
    <row r="471" spans="1:19">
      <c r="A471" s="32"/>
      <c r="B471" s="25"/>
      <c r="C471" s="25"/>
      <c r="D471" s="25"/>
      <c r="E471" s="25"/>
      <c r="F471" s="25"/>
      <c r="G471" s="33"/>
      <c r="H471" s="25"/>
      <c r="I471" s="25"/>
      <c r="J471" s="25"/>
      <c r="K471" s="25"/>
      <c r="L471" s="34"/>
      <c r="M471" s="34"/>
      <c r="N471" s="34"/>
      <c r="O471" s="25"/>
      <c r="P471" s="25"/>
      <c r="Q471" s="25"/>
      <c r="R471" s="25"/>
      <c r="S471" s="25"/>
    </row>
    <row r="472" spans="1:19">
      <c r="A472" s="32"/>
      <c r="B472" s="25"/>
      <c r="C472" s="25"/>
      <c r="D472" s="25"/>
      <c r="E472" s="25"/>
      <c r="F472" s="25"/>
      <c r="G472" s="33"/>
      <c r="H472" s="25"/>
      <c r="I472" s="25"/>
      <c r="J472" s="25"/>
      <c r="K472" s="25"/>
      <c r="L472" s="34"/>
      <c r="M472" s="34"/>
      <c r="N472" s="34"/>
      <c r="O472" s="25"/>
      <c r="P472" s="25"/>
      <c r="Q472" s="25"/>
      <c r="R472" s="25"/>
      <c r="S472" s="25"/>
    </row>
    <row r="473" spans="1:19">
      <c r="A473" s="32"/>
      <c r="B473" s="25"/>
      <c r="C473" s="25"/>
      <c r="D473" s="25"/>
      <c r="E473" s="25"/>
      <c r="F473" s="25"/>
      <c r="G473" s="33"/>
      <c r="H473" s="25"/>
      <c r="I473" s="25"/>
      <c r="J473" s="25"/>
      <c r="K473" s="25"/>
      <c r="L473" s="34"/>
      <c r="M473" s="34"/>
      <c r="N473" s="34"/>
      <c r="O473" s="25"/>
      <c r="P473" s="25"/>
      <c r="Q473" s="25"/>
      <c r="R473" s="25"/>
      <c r="S473" s="25"/>
    </row>
    <row r="474" spans="1:19">
      <c r="A474" s="32"/>
      <c r="B474" s="25"/>
      <c r="C474" s="25"/>
      <c r="D474" s="25"/>
      <c r="E474" s="25"/>
      <c r="F474" s="25"/>
      <c r="G474" s="33"/>
      <c r="H474" s="25"/>
      <c r="I474" s="25"/>
      <c r="J474" s="25"/>
      <c r="K474" s="25"/>
      <c r="L474" s="34"/>
      <c r="M474" s="34"/>
      <c r="N474" s="34"/>
      <c r="O474" s="25"/>
      <c r="P474" s="25"/>
      <c r="Q474" s="25"/>
      <c r="R474" s="25"/>
      <c r="S474" s="25"/>
    </row>
    <row r="475" spans="1:19">
      <c r="A475" s="32"/>
      <c r="B475" s="25"/>
      <c r="C475" s="25"/>
      <c r="D475" s="25"/>
      <c r="E475" s="25"/>
      <c r="F475" s="25"/>
      <c r="G475" s="33"/>
      <c r="H475" s="25"/>
      <c r="I475" s="25"/>
      <c r="J475" s="25"/>
      <c r="K475" s="25"/>
      <c r="L475" s="34"/>
      <c r="M475" s="34"/>
      <c r="N475" s="34"/>
      <c r="O475" s="25"/>
      <c r="P475" s="25"/>
      <c r="Q475" s="25"/>
      <c r="R475" s="25"/>
      <c r="S475" s="25"/>
    </row>
    <row r="476" spans="1:19">
      <c r="A476" s="32"/>
      <c r="B476" s="25"/>
      <c r="C476" s="25"/>
      <c r="D476" s="25"/>
      <c r="E476" s="25"/>
      <c r="F476" s="25"/>
      <c r="G476" s="33"/>
      <c r="H476" s="25"/>
      <c r="I476" s="25"/>
      <c r="J476" s="25"/>
      <c r="K476" s="25"/>
      <c r="L476" s="34"/>
      <c r="M476" s="34"/>
      <c r="N476" s="34"/>
      <c r="O476" s="25"/>
      <c r="P476" s="25"/>
      <c r="Q476" s="25"/>
      <c r="R476" s="25"/>
      <c r="S476" s="25"/>
    </row>
    <row r="477" spans="1:19">
      <c r="A477" s="32"/>
      <c r="B477" s="25"/>
      <c r="C477" s="25"/>
      <c r="D477" s="25"/>
      <c r="E477" s="25"/>
      <c r="F477" s="25"/>
      <c r="G477" s="33"/>
      <c r="H477" s="25"/>
      <c r="I477" s="25"/>
      <c r="J477" s="25"/>
      <c r="K477" s="25"/>
      <c r="L477" s="34"/>
      <c r="M477" s="34"/>
      <c r="N477" s="34"/>
      <c r="O477" s="25"/>
      <c r="P477" s="25"/>
      <c r="Q477" s="25"/>
      <c r="R477" s="25"/>
      <c r="S477" s="25"/>
    </row>
    <row r="478" spans="1:19">
      <c r="A478" s="32"/>
      <c r="B478" s="25"/>
      <c r="C478" s="25"/>
      <c r="D478" s="25"/>
      <c r="E478" s="25"/>
      <c r="F478" s="25"/>
      <c r="G478" s="33"/>
      <c r="H478" s="25"/>
      <c r="I478" s="25"/>
      <c r="J478" s="25"/>
      <c r="K478" s="25"/>
      <c r="L478" s="34"/>
      <c r="M478" s="34"/>
      <c r="N478" s="34"/>
      <c r="O478" s="25"/>
      <c r="P478" s="25"/>
      <c r="Q478" s="25"/>
      <c r="R478" s="25"/>
      <c r="S478" s="25"/>
    </row>
    <row r="479" spans="1:19">
      <c r="A479" s="32"/>
      <c r="B479" s="25"/>
      <c r="C479" s="25"/>
      <c r="D479" s="25"/>
      <c r="E479" s="25"/>
      <c r="F479" s="25"/>
      <c r="G479" s="33"/>
      <c r="H479" s="25"/>
      <c r="I479" s="25"/>
      <c r="J479" s="25"/>
      <c r="K479" s="25"/>
      <c r="L479" s="34"/>
      <c r="M479" s="34"/>
      <c r="N479" s="34"/>
      <c r="O479" s="25"/>
      <c r="P479" s="25"/>
      <c r="Q479" s="25"/>
      <c r="R479" s="25"/>
      <c r="S479" s="25"/>
    </row>
    <row r="480" spans="1:19">
      <c r="A480" s="32"/>
      <c r="B480" s="25"/>
      <c r="C480" s="25"/>
      <c r="D480" s="25"/>
      <c r="E480" s="25"/>
      <c r="F480" s="25"/>
      <c r="G480" s="33"/>
      <c r="H480" s="25"/>
      <c r="I480" s="25"/>
      <c r="J480" s="25"/>
      <c r="K480" s="25"/>
      <c r="L480" s="34"/>
      <c r="M480" s="34"/>
      <c r="N480" s="34"/>
      <c r="O480" s="25"/>
      <c r="P480" s="25"/>
      <c r="Q480" s="25"/>
      <c r="R480" s="25"/>
      <c r="S480" s="25"/>
    </row>
    <row r="481" spans="1:19">
      <c r="A481" s="32"/>
      <c r="B481" s="25"/>
      <c r="C481" s="25"/>
      <c r="D481" s="25"/>
      <c r="E481" s="25"/>
      <c r="F481" s="25"/>
      <c r="G481" s="33"/>
      <c r="H481" s="25"/>
      <c r="I481" s="25"/>
      <c r="J481" s="25"/>
      <c r="K481" s="25"/>
      <c r="L481" s="34"/>
      <c r="M481" s="34"/>
      <c r="N481" s="34"/>
      <c r="O481" s="25"/>
      <c r="P481" s="25"/>
      <c r="Q481" s="25"/>
      <c r="R481" s="25"/>
      <c r="S481" s="25"/>
    </row>
    <row r="482" spans="1:19">
      <c r="A482" s="32"/>
      <c r="B482" s="25"/>
      <c r="C482" s="25"/>
      <c r="D482" s="25"/>
      <c r="E482" s="25"/>
      <c r="F482" s="25"/>
      <c r="G482" s="33"/>
      <c r="H482" s="25"/>
      <c r="I482" s="25"/>
      <c r="J482" s="25"/>
      <c r="K482" s="25"/>
      <c r="L482" s="34"/>
      <c r="M482" s="34"/>
      <c r="N482" s="34"/>
      <c r="O482" s="25"/>
      <c r="P482" s="25"/>
      <c r="Q482" s="25"/>
      <c r="R482" s="25"/>
      <c r="S482" s="25"/>
    </row>
    <row r="483" spans="1:19">
      <c r="A483" s="32"/>
      <c r="B483" s="25"/>
      <c r="C483" s="25"/>
      <c r="D483" s="25"/>
      <c r="E483" s="25"/>
      <c r="F483" s="25"/>
      <c r="G483" s="33"/>
      <c r="H483" s="25"/>
      <c r="I483" s="25"/>
      <c r="J483" s="25"/>
      <c r="K483" s="25"/>
      <c r="L483" s="34"/>
      <c r="M483" s="34"/>
      <c r="N483" s="34"/>
      <c r="O483" s="25"/>
      <c r="P483" s="25"/>
      <c r="Q483" s="25"/>
      <c r="R483" s="25"/>
      <c r="S483" s="25"/>
    </row>
    <row r="484" spans="1:19">
      <c r="A484" s="32"/>
      <c r="B484" s="25"/>
      <c r="C484" s="25"/>
      <c r="D484" s="25"/>
      <c r="E484" s="25"/>
      <c r="F484" s="25"/>
      <c r="G484" s="33"/>
      <c r="H484" s="25"/>
      <c r="I484" s="25"/>
      <c r="J484" s="25"/>
      <c r="K484" s="25"/>
      <c r="L484" s="34"/>
      <c r="M484" s="34"/>
      <c r="N484" s="34"/>
      <c r="O484" s="25"/>
      <c r="P484" s="25"/>
      <c r="Q484" s="25"/>
      <c r="R484" s="25"/>
      <c r="S484" s="25"/>
    </row>
    <row r="485" spans="1:19">
      <c r="A485" s="32"/>
      <c r="B485" s="25"/>
      <c r="C485" s="25"/>
      <c r="D485" s="25"/>
      <c r="E485" s="25"/>
      <c r="F485" s="25"/>
      <c r="G485" s="33"/>
      <c r="H485" s="25"/>
      <c r="I485" s="25"/>
      <c r="J485" s="25"/>
      <c r="K485" s="25"/>
      <c r="L485" s="34"/>
      <c r="M485" s="34"/>
      <c r="N485" s="34"/>
      <c r="O485" s="25"/>
      <c r="P485" s="25"/>
      <c r="Q485" s="25"/>
      <c r="R485" s="25"/>
      <c r="S485" s="25"/>
    </row>
    <row r="486" spans="1:19">
      <c r="A486" s="32"/>
      <c r="B486" s="25"/>
      <c r="C486" s="25"/>
      <c r="D486" s="25"/>
      <c r="E486" s="25"/>
      <c r="F486" s="25"/>
      <c r="G486" s="33"/>
      <c r="H486" s="25"/>
      <c r="I486" s="25"/>
      <c r="J486" s="25"/>
      <c r="K486" s="25"/>
      <c r="L486" s="34"/>
      <c r="M486" s="34"/>
      <c r="N486" s="34"/>
      <c r="O486" s="25"/>
      <c r="P486" s="25"/>
      <c r="Q486" s="25"/>
      <c r="R486" s="25"/>
      <c r="S486" s="25"/>
    </row>
    <row r="487" spans="1:19">
      <c r="A487" s="32"/>
      <c r="B487" s="25"/>
      <c r="C487" s="25"/>
      <c r="D487" s="25"/>
      <c r="E487" s="25"/>
      <c r="F487" s="25"/>
      <c r="G487" s="33"/>
      <c r="H487" s="25"/>
      <c r="I487" s="25"/>
      <c r="J487" s="25"/>
      <c r="K487" s="25"/>
      <c r="L487" s="34"/>
      <c r="M487" s="34"/>
      <c r="N487" s="34"/>
      <c r="O487" s="25"/>
      <c r="P487" s="25"/>
      <c r="Q487" s="25"/>
      <c r="R487" s="25"/>
      <c r="S487" s="25"/>
    </row>
    <row r="488" spans="1:19">
      <c r="A488" s="32"/>
      <c r="B488" s="25"/>
      <c r="C488" s="25"/>
      <c r="D488" s="25"/>
      <c r="E488" s="25"/>
      <c r="F488" s="25"/>
      <c r="G488" s="33"/>
      <c r="H488" s="25"/>
      <c r="I488" s="25"/>
      <c r="J488" s="25"/>
      <c r="K488" s="25"/>
      <c r="L488" s="34"/>
      <c r="M488" s="34"/>
      <c r="N488" s="34"/>
      <c r="O488" s="25"/>
      <c r="P488" s="25"/>
      <c r="Q488" s="25"/>
      <c r="R488" s="25"/>
      <c r="S488" s="25"/>
    </row>
    <row r="489" spans="1:19">
      <c r="A489" s="32"/>
      <c r="B489" s="25"/>
      <c r="C489" s="25"/>
      <c r="D489" s="25"/>
      <c r="E489" s="25"/>
      <c r="F489" s="25"/>
      <c r="G489" s="33"/>
      <c r="H489" s="25"/>
      <c r="I489" s="25"/>
      <c r="J489" s="25"/>
      <c r="K489" s="25"/>
      <c r="L489" s="34"/>
      <c r="M489" s="34"/>
      <c r="N489" s="34"/>
      <c r="O489" s="25"/>
      <c r="P489" s="25"/>
      <c r="Q489" s="25"/>
      <c r="R489" s="25"/>
      <c r="S489" s="25"/>
    </row>
    <row r="490" spans="1:19">
      <c r="A490" s="32"/>
      <c r="B490" s="25"/>
      <c r="C490" s="25"/>
      <c r="D490" s="25"/>
      <c r="E490" s="25"/>
      <c r="F490" s="25"/>
      <c r="G490" s="33"/>
      <c r="H490" s="25"/>
      <c r="I490" s="25"/>
      <c r="J490" s="25"/>
      <c r="K490" s="25"/>
      <c r="L490" s="34"/>
      <c r="M490" s="34"/>
      <c r="N490" s="34"/>
      <c r="O490" s="25"/>
      <c r="P490" s="25"/>
      <c r="Q490" s="25"/>
      <c r="R490" s="25"/>
      <c r="S490" s="25"/>
    </row>
    <row r="491" spans="1:19">
      <c r="A491" s="32"/>
      <c r="B491" s="25"/>
      <c r="C491" s="25"/>
      <c r="D491" s="25"/>
      <c r="E491" s="25"/>
      <c r="F491" s="25"/>
      <c r="G491" s="33"/>
      <c r="H491" s="25"/>
      <c r="I491" s="25"/>
      <c r="J491" s="25"/>
      <c r="K491" s="25"/>
      <c r="L491" s="34"/>
      <c r="M491" s="34"/>
      <c r="N491" s="34"/>
      <c r="O491" s="25"/>
      <c r="P491" s="25"/>
      <c r="Q491" s="25"/>
      <c r="R491" s="25"/>
      <c r="S491" s="25"/>
    </row>
    <row r="492" spans="1:19">
      <c r="A492" s="32"/>
      <c r="B492" s="25"/>
      <c r="C492" s="25"/>
      <c r="D492" s="25"/>
      <c r="E492" s="25"/>
      <c r="F492" s="25"/>
      <c r="G492" s="33"/>
      <c r="H492" s="25"/>
      <c r="I492" s="25"/>
      <c r="J492" s="25"/>
      <c r="K492" s="25"/>
      <c r="L492" s="34"/>
      <c r="M492" s="34"/>
      <c r="N492" s="34"/>
      <c r="O492" s="25"/>
      <c r="P492" s="25"/>
      <c r="Q492" s="25"/>
      <c r="R492" s="25"/>
      <c r="S492" s="25"/>
    </row>
    <row r="493" spans="1:19">
      <c r="A493" s="32"/>
      <c r="B493" s="25"/>
      <c r="C493" s="25"/>
      <c r="D493" s="25"/>
      <c r="E493" s="25"/>
      <c r="F493" s="25"/>
      <c r="G493" s="33"/>
      <c r="H493" s="25"/>
      <c r="I493" s="25"/>
      <c r="J493" s="25"/>
      <c r="K493" s="25"/>
      <c r="L493" s="34"/>
      <c r="M493" s="34"/>
      <c r="N493" s="34"/>
      <c r="O493" s="25"/>
      <c r="P493" s="25"/>
      <c r="Q493" s="25"/>
      <c r="R493" s="25"/>
      <c r="S493" s="25"/>
    </row>
    <row r="494" spans="1:19">
      <c r="A494" s="32"/>
      <c r="B494" s="25"/>
      <c r="C494" s="25"/>
      <c r="D494" s="25"/>
      <c r="E494" s="25"/>
      <c r="F494" s="25"/>
      <c r="G494" s="33"/>
      <c r="H494" s="25"/>
      <c r="I494" s="25"/>
      <c r="J494" s="25"/>
      <c r="K494" s="25"/>
      <c r="L494" s="34"/>
      <c r="M494" s="34"/>
      <c r="N494" s="34"/>
      <c r="O494" s="25"/>
      <c r="P494" s="25"/>
      <c r="Q494" s="25"/>
      <c r="R494" s="25"/>
      <c r="S494" s="25"/>
    </row>
    <row r="495" spans="1:19">
      <c r="A495" s="32"/>
      <c r="B495" s="25"/>
      <c r="C495" s="25"/>
      <c r="D495" s="25"/>
      <c r="E495" s="25"/>
      <c r="F495" s="25"/>
      <c r="G495" s="33"/>
      <c r="H495" s="25"/>
      <c r="I495" s="25"/>
      <c r="J495" s="25"/>
      <c r="K495" s="25"/>
      <c r="L495" s="34"/>
      <c r="M495" s="34"/>
      <c r="N495" s="34"/>
      <c r="O495" s="25"/>
      <c r="P495" s="25"/>
      <c r="Q495" s="25"/>
      <c r="R495" s="25"/>
      <c r="S495" s="25"/>
    </row>
    <row r="496" spans="1:19">
      <c r="A496" s="32"/>
      <c r="B496" s="25"/>
      <c r="C496" s="25"/>
      <c r="D496" s="25"/>
      <c r="E496" s="25"/>
      <c r="F496" s="25"/>
      <c r="G496" s="33"/>
      <c r="H496" s="25"/>
      <c r="I496" s="25"/>
      <c r="J496" s="25"/>
      <c r="K496" s="25"/>
      <c r="L496" s="34"/>
      <c r="M496" s="34"/>
      <c r="N496" s="34"/>
      <c r="O496" s="25"/>
      <c r="P496" s="25"/>
      <c r="Q496" s="25"/>
      <c r="R496" s="25"/>
      <c r="S496" s="25"/>
    </row>
    <row r="497" spans="1:19">
      <c r="A497" s="32"/>
      <c r="B497" s="25"/>
      <c r="C497" s="25"/>
      <c r="D497" s="25"/>
      <c r="E497" s="25"/>
      <c r="F497" s="25"/>
      <c r="G497" s="33"/>
      <c r="H497" s="25"/>
      <c r="I497" s="25"/>
      <c r="J497" s="25"/>
      <c r="K497" s="25"/>
      <c r="L497" s="34"/>
      <c r="M497" s="34"/>
      <c r="N497" s="34"/>
      <c r="O497" s="25"/>
      <c r="P497" s="25"/>
      <c r="Q497" s="25"/>
      <c r="R497" s="25"/>
      <c r="S497" s="25"/>
    </row>
    <row r="498" spans="1:19">
      <c r="A498" s="32"/>
      <c r="B498" s="25"/>
      <c r="C498" s="25"/>
      <c r="D498" s="25"/>
      <c r="E498" s="25"/>
      <c r="F498" s="25"/>
      <c r="G498" s="33"/>
      <c r="H498" s="25"/>
      <c r="I498" s="25"/>
      <c r="J498" s="25"/>
      <c r="K498" s="25"/>
      <c r="L498" s="34"/>
      <c r="M498" s="34"/>
      <c r="N498" s="34"/>
      <c r="O498" s="25"/>
      <c r="P498" s="25"/>
      <c r="Q498" s="25"/>
      <c r="R498" s="25"/>
      <c r="S498" s="25"/>
    </row>
    <row r="499" spans="1:19">
      <c r="A499" s="32"/>
      <c r="B499" s="25"/>
      <c r="C499" s="25"/>
      <c r="D499" s="25"/>
      <c r="E499" s="25"/>
      <c r="F499" s="25"/>
      <c r="G499" s="33"/>
      <c r="H499" s="25"/>
      <c r="I499" s="25"/>
      <c r="J499" s="25"/>
      <c r="K499" s="25"/>
      <c r="L499" s="34"/>
      <c r="M499" s="34"/>
      <c r="N499" s="34"/>
      <c r="O499" s="25"/>
      <c r="P499" s="25"/>
      <c r="Q499" s="25"/>
      <c r="R499" s="25"/>
      <c r="S499" s="25"/>
    </row>
    <row r="500" spans="1:19">
      <c r="A500" s="32"/>
      <c r="B500" s="25"/>
      <c r="C500" s="25"/>
      <c r="D500" s="25"/>
      <c r="E500" s="25"/>
      <c r="F500" s="25"/>
      <c r="G500" s="33"/>
      <c r="H500" s="25"/>
      <c r="I500" s="25"/>
      <c r="J500" s="25"/>
      <c r="K500" s="25"/>
      <c r="L500" s="34"/>
      <c r="M500" s="34"/>
      <c r="N500" s="34"/>
      <c r="O500" s="25"/>
      <c r="P500" s="25"/>
      <c r="Q500" s="25"/>
      <c r="R500" s="25"/>
      <c r="S500" s="25"/>
    </row>
    <row r="501" spans="1:19">
      <c r="A501" s="32"/>
      <c r="B501" s="25"/>
      <c r="C501" s="25"/>
      <c r="D501" s="25"/>
      <c r="E501" s="25"/>
      <c r="F501" s="25"/>
      <c r="G501" s="33"/>
      <c r="H501" s="25"/>
      <c r="I501" s="25"/>
      <c r="J501" s="25"/>
      <c r="K501" s="25"/>
      <c r="L501" s="34"/>
      <c r="M501" s="34"/>
      <c r="N501" s="34"/>
      <c r="O501" s="25"/>
      <c r="P501" s="25"/>
      <c r="Q501" s="25"/>
      <c r="R501" s="25"/>
      <c r="S501" s="25"/>
    </row>
    <row r="502" spans="1:19">
      <c r="A502" s="32"/>
      <c r="B502" s="25"/>
      <c r="C502" s="25"/>
      <c r="D502" s="25"/>
      <c r="E502" s="25"/>
      <c r="F502" s="25"/>
      <c r="G502" s="33"/>
      <c r="H502" s="25"/>
      <c r="I502" s="25"/>
      <c r="J502" s="25"/>
      <c r="K502" s="25"/>
      <c r="L502" s="34"/>
      <c r="M502" s="34"/>
      <c r="N502" s="34"/>
      <c r="O502" s="25"/>
      <c r="P502" s="25"/>
      <c r="Q502" s="25"/>
      <c r="R502" s="25"/>
      <c r="S502" s="25"/>
    </row>
    <row r="503" spans="1:19">
      <c r="A503" s="32"/>
      <c r="B503" s="25"/>
      <c r="C503" s="25"/>
      <c r="D503" s="25"/>
      <c r="E503" s="25"/>
      <c r="F503" s="25"/>
      <c r="G503" s="33"/>
      <c r="H503" s="25"/>
      <c r="I503" s="25"/>
      <c r="J503" s="25"/>
      <c r="K503" s="25"/>
      <c r="L503" s="34"/>
      <c r="M503" s="34"/>
      <c r="N503" s="34"/>
      <c r="O503" s="25"/>
      <c r="P503" s="25"/>
      <c r="Q503" s="25"/>
      <c r="R503" s="25"/>
      <c r="S503" s="25"/>
    </row>
    <row r="504" spans="1:19">
      <c r="A504" s="32"/>
      <c r="B504" s="25"/>
      <c r="C504" s="25"/>
      <c r="D504" s="25"/>
      <c r="E504" s="25"/>
      <c r="F504" s="25"/>
      <c r="G504" s="33"/>
      <c r="H504" s="25"/>
      <c r="I504" s="25"/>
      <c r="J504" s="25"/>
      <c r="K504" s="25"/>
      <c r="L504" s="34"/>
      <c r="M504" s="34"/>
      <c r="N504" s="34"/>
      <c r="O504" s="25"/>
      <c r="P504" s="25"/>
      <c r="Q504" s="25"/>
      <c r="R504" s="25"/>
      <c r="S504" s="25"/>
    </row>
    <row r="505" spans="1:19">
      <c r="A505" s="32"/>
      <c r="B505" s="25"/>
      <c r="C505" s="25"/>
      <c r="D505" s="25"/>
      <c r="E505" s="25"/>
      <c r="F505" s="25"/>
      <c r="G505" s="33"/>
      <c r="H505" s="25"/>
      <c r="I505" s="25"/>
      <c r="J505" s="25"/>
      <c r="K505" s="25"/>
      <c r="L505" s="34"/>
      <c r="M505" s="34"/>
      <c r="N505" s="34"/>
      <c r="O505" s="25"/>
      <c r="P505" s="25"/>
      <c r="Q505" s="25"/>
      <c r="R505" s="25"/>
      <c r="S505" s="25"/>
    </row>
    <row r="506" spans="1:19">
      <c r="A506" s="32"/>
      <c r="B506" s="25"/>
      <c r="C506" s="25"/>
      <c r="D506" s="25"/>
      <c r="E506" s="25"/>
      <c r="F506" s="25"/>
      <c r="G506" s="33"/>
      <c r="H506" s="25"/>
      <c r="I506" s="25"/>
      <c r="J506" s="25"/>
      <c r="K506" s="25"/>
      <c r="L506" s="34"/>
      <c r="M506" s="34"/>
      <c r="N506" s="34"/>
      <c r="O506" s="25"/>
      <c r="P506" s="25"/>
      <c r="Q506" s="25"/>
      <c r="R506" s="25"/>
      <c r="S506" s="25"/>
    </row>
    <row r="507" spans="1:19">
      <c r="A507" s="32"/>
      <c r="B507" s="25"/>
      <c r="C507" s="25"/>
      <c r="D507" s="25"/>
      <c r="E507" s="25"/>
      <c r="F507" s="25"/>
      <c r="G507" s="33"/>
      <c r="H507" s="25"/>
      <c r="I507" s="25"/>
      <c r="J507" s="25"/>
      <c r="K507" s="25"/>
      <c r="L507" s="34"/>
      <c r="M507" s="34"/>
      <c r="N507" s="34"/>
      <c r="O507" s="25"/>
      <c r="P507" s="25"/>
      <c r="Q507" s="25"/>
      <c r="R507" s="25"/>
      <c r="S507" s="25"/>
    </row>
    <row r="508" spans="1:19">
      <c r="A508" s="32"/>
      <c r="B508" s="25"/>
      <c r="C508" s="25"/>
      <c r="D508" s="25"/>
      <c r="E508" s="25"/>
      <c r="F508" s="25"/>
      <c r="G508" s="33"/>
      <c r="H508" s="25"/>
      <c r="I508" s="25"/>
      <c r="J508" s="25"/>
      <c r="K508" s="25"/>
      <c r="L508" s="34"/>
      <c r="M508" s="34"/>
      <c r="N508" s="34"/>
      <c r="O508" s="25"/>
      <c r="P508" s="25"/>
      <c r="Q508" s="25"/>
      <c r="R508" s="25"/>
      <c r="S508" s="25"/>
    </row>
    <row r="509" spans="1:19">
      <c r="A509" s="32"/>
      <c r="B509" s="25"/>
      <c r="C509" s="25"/>
      <c r="D509" s="25"/>
      <c r="E509" s="25"/>
      <c r="F509" s="25"/>
      <c r="G509" s="33"/>
      <c r="H509" s="25"/>
      <c r="I509" s="25"/>
      <c r="J509" s="25"/>
      <c r="K509" s="25"/>
      <c r="L509" s="34"/>
      <c r="M509" s="34"/>
      <c r="N509" s="34"/>
      <c r="O509" s="25"/>
      <c r="P509" s="25"/>
      <c r="Q509" s="25"/>
      <c r="R509" s="25"/>
      <c r="S509" s="25"/>
    </row>
    <row r="510" spans="1:19">
      <c r="A510" s="32"/>
      <c r="B510" s="25"/>
      <c r="C510" s="25"/>
      <c r="D510" s="25"/>
      <c r="E510" s="25"/>
      <c r="F510" s="25"/>
      <c r="G510" s="33"/>
      <c r="H510" s="25"/>
      <c r="I510" s="25"/>
      <c r="J510" s="25"/>
      <c r="K510" s="25"/>
      <c r="L510" s="34"/>
      <c r="M510" s="34"/>
      <c r="N510" s="34"/>
      <c r="O510" s="25"/>
      <c r="P510" s="25"/>
      <c r="Q510" s="25"/>
      <c r="R510" s="25"/>
      <c r="S510" s="25"/>
    </row>
    <row r="511" spans="1:19">
      <c r="A511" s="32"/>
      <c r="B511" s="25"/>
      <c r="C511" s="25"/>
      <c r="D511" s="25"/>
      <c r="E511" s="25"/>
      <c r="F511" s="25"/>
      <c r="G511" s="33"/>
      <c r="H511" s="25"/>
      <c r="I511" s="25"/>
      <c r="J511" s="25"/>
      <c r="K511" s="25"/>
      <c r="L511" s="34"/>
      <c r="M511" s="34"/>
      <c r="N511" s="34"/>
      <c r="O511" s="25"/>
      <c r="P511" s="25"/>
      <c r="Q511" s="25"/>
      <c r="R511" s="25"/>
      <c r="S511" s="25"/>
    </row>
    <row r="512" spans="1:19">
      <c r="A512" s="32"/>
      <c r="B512" s="25"/>
      <c r="C512" s="25"/>
      <c r="D512" s="25"/>
      <c r="E512" s="25"/>
      <c r="F512" s="25"/>
      <c r="G512" s="33"/>
      <c r="H512" s="25"/>
      <c r="I512" s="25"/>
      <c r="J512" s="25"/>
      <c r="K512" s="25"/>
      <c r="L512" s="34"/>
      <c r="M512" s="34"/>
      <c r="N512" s="34"/>
      <c r="O512" s="25"/>
      <c r="P512" s="25"/>
      <c r="Q512" s="25"/>
      <c r="R512" s="25"/>
      <c r="S512" s="25"/>
    </row>
    <row r="513" spans="1:19">
      <c r="A513" s="32"/>
      <c r="B513" s="25"/>
      <c r="C513" s="25"/>
      <c r="D513" s="25"/>
      <c r="E513" s="25"/>
      <c r="F513" s="25"/>
      <c r="G513" s="33"/>
      <c r="H513" s="25"/>
      <c r="I513" s="25"/>
      <c r="J513" s="25"/>
      <c r="K513" s="25"/>
      <c r="L513" s="34"/>
      <c r="M513" s="34"/>
      <c r="N513" s="34"/>
      <c r="O513" s="25"/>
      <c r="P513" s="25"/>
      <c r="Q513" s="25"/>
      <c r="R513" s="25"/>
      <c r="S513" s="25"/>
    </row>
    <row r="514" spans="1:19">
      <c r="A514" s="32"/>
      <c r="B514" s="25"/>
      <c r="C514" s="25"/>
      <c r="D514" s="25"/>
      <c r="E514" s="25"/>
      <c r="F514" s="25"/>
      <c r="G514" s="33"/>
      <c r="H514" s="25"/>
      <c r="I514" s="25"/>
      <c r="J514" s="25"/>
      <c r="K514" s="25"/>
      <c r="L514" s="34"/>
      <c r="M514" s="34"/>
      <c r="N514" s="34"/>
      <c r="O514" s="25"/>
      <c r="P514" s="25"/>
      <c r="Q514" s="25"/>
      <c r="R514" s="25"/>
      <c r="S514" s="25"/>
    </row>
    <row r="515" spans="1:19">
      <c r="A515" s="32"/>
      <c r="B515" s="25"/>
      <c r="C515" s="25"/>
      <c r="D515" s="25"/>
      <c r="E515" s="25"/>
      <c r="F515" s="25"/>
      <c r="G515" s="33"/>
      <c r="H515" s="25"/>
      <c r="I515" s="25"/>
      <c r="J515" s="25"/>
      <c r="K515" s="25"/>
      <c r="L515" s="34"/>
      <c r="M515" s="34"/>
      <c r="N515" s="34"/>
      <c r="O515" s="25"/>
      <c r="P515" s="25"/>
      <c r="Q515" s="25"/>
      <c r="R515" s="25"/>
      <c r="S515" s="25"/>
    </row>
    <row r="516" spans="1:19">
      <c r="A516" s="32"/>
      <c r="B516" s="25"/>
      <c r="C516" s="25"/>
      <c r="D516" s="25"/>
      <c r="E516" s="25"/>
      <c r="F516" s="25"/>
      <c r="G516" s="33"/>
      <c r="H516" s="25"/>
      <c r="I516" s="25"/>
      <c r="J516" s="25"/>
      <c r="K516" s="25"/>
      <c r="L516" s="34"/>
      <c r="M516" s="34"/>
      <c r="N516" s="34"/>
      <c r="O516" s="25"/>
      <c r="P516" s="25"/>
      <c r="Q516" s="25"/>
      <c r="R516" s="25"/>
      <c r="S516" s="25"/>
    </row>
    <row r="517" spans="1:19">
      <c r="A517" s="32"/>
      <c r="B517" s="25"/>
      <c r="C517" s="25"/>
      <c r="D517" s="25"/>
      <c r="E517" s="25"/>
      <c r="F517" s="25"/>
      <c r="G517" s="33"/>
      <c r="H517" s="25"/>
      <c r="I517" s="25"/>
      <c r="J517" s="25"/>
      <c r="K517" s="25"/>
      <c r="L517" s="34"/>
      <c r="M517" s="34"/>
      <c r="N517" s="34"/>
      <c r="O517" s="25"/>
      <c r="P517" s="25"/>
      <c r="Q517" s="25"/>
      <c r="R517" s="25"/>
      <c r="S517" s="25"/>
    </row>
    <row r="518" spans="1:19">
      <c r="A518" s="32"/>
      <c r="B518" s="25"/>
      <c r="C518" s="25"/>
      <c r="D518" s="25"/>
      <c r="E518" s="25"/>
      <c r="F518" s="25"/>
      <c r="G518" s="33"/>
      <c r="H518" s="25"/>
      <c r="I518" s="25"/>
      <c r="J518" s="25"/>
      <c r="K518" s="25"/>
      <c r="L518" s="34"/>
      <c r="M518" s="34"/>
      <c r="N518" s="34"/>
      <c r="O518" s="25"/>
      <c r="P518" s="25"/>
      <c r="Q518" s="25"/>
      <c r="R518" s="25"/>
      <c r="S518" s="25"/>
    </row>
    <row r="519" spans="1:19">
      <c r="A519" s="32"/>
      <c r="B519" s="25"/>
      <c r="C519" s="25"/>
      <c r="D519" s="25"/>
      <c r="E519" s="25"/>
      <c r="F519" s="25"/>
      <c r="G519" s="33"/>
      <c r="H519" s="25"/>
      <c r="I519" s="25"/>
      <c r="J519" s="25"/>
      <c r="K519" s="25"/>
      <c r="L519" s="34"/>
      <c r="M519" s="34"/>
      <c r="N519" s="34"/>
      <c r="O519" s="25"/>
      <c r="P519" s="25"/>
      <c r="Q519" s="25"/>
      <c r="R519" s="25"/>
      <c r="S519" s="25"/>
    </row>
    <row r="520" spans="1:19">
      <c r="A520" s="32"/>
      <c r="B520" s="25"/>
      <c r="C520" s="25"/>
      <c r="D520" s="25"/>
      <c r="E520" s="25"/>
      <c r="F520" s="25"/>
      <c r="G520" s="33"/>
      <c r="H520" s="25"/>
      <c r="I520" s="25"/>
      <c r="J520" s="25"/>
      <c r="K520" s="25"/>
      <c r="L520" s="34"/>
      <c r="M520" s="34"/>
      <c r="N520" s="34"/>
      <c r="O520" s="25"/>
      <c r="P520" s="25"/>
      <c r="Q520" s="25"/>
      <c r="R520" s="25"/>
      <c r="S520" s="25"/>
    </row>
    <row r="521" spans="1:19">
      <c r="A521" s="32"/>
      <c r="B521" s="25"/>
      <c r="C521" s="25"/>
      <c r="D521" s="25"/>
      <c r="E521" s="25"/>
      <c r="F521" s="25"/>
      <c r="G521" s="33"/>
      <c r="H521" s="25"/>
      <c r="I521" s="25"/>
      <c r="J521" s="25"/>
      <c r="K521" s="25"/>
      <c r="L521" s="34"/>
      <c r="M521" s="34"/>
      <c r="N521" s="34"/>
      <c r="O521" s="25"/>
      <c r="P521" s="25"/>
      <c r="Q521" s="25"/>
      <c r="R521" s="25"/>
      <c r="S521" s="25"/>
    </row>
    <row r="522" spans="1:19">
      <c r="A522" s="32"/>
      <c r="B522" s="25"/>
      <c r="C522" s="25"/>
      <c r="D522" s="25"/>
      <c r="E522" s="25"/>
      <c r="F522" s="25"/>
      <c r="G522" s="33"/>
      <c r="H522" s="25"/>
      <c r="I522" s="25"/>
      <c r="J522" s="25"/>
      <c r="K522" s="25"/>
      <c r="L522" s="34"/>
      <c r="M522" s="34"/>
      <c r="N522" s="34"/>
      <c r="O522" s="25"/>
      <c r="P522" s="25"/>
      <c r="Q522" s="25"/>
      <c r="R522" s="25"/>
      <c r="S522" s="25"/>
    </row>
    <row r="523" spans="1:19">
      <c r="A523" s="32"/>
      <c r="B523" s="25"/>
      <c r="C523" s="25"/>
      <c r="D523" s="25"/>
      <c r="E523" s="25"/>
      <c r="F523" s="25"/>
      <c r="G523" s="33"/>
      <c r="H523" s="25"/>
      <c r="I523" s="25"/>
      <c r="J523" s="25"/>
      <c r="K523" s="25"/>
      <c r="L523" s="34"/>
      <c r="M523" s="34"/>
      <c r="N523" s="34"/>
      <c r="O523" s="25"/>
      <c r="P523" s="25"/>
      <c r="Q523" s="25"/>
      <c r="R523" s="25"/>
      <c r="S523" s="25"/>
    </row>
    <row r="524" spans="1:19">
      <c r="A524" s="32"/>
      <c r="B524" s="25"/>
      <c r="C524" s="25"/>
      <c r="D524" s="25"/>
      <c r="E524" s="25"/>
      <c r="F524" s="25"/>
      <c r="G524" s="33"/>
      <c r="H524" s="25"/>
      <c r="I524" s="25"/>
      <c r="J524" s="25"/>
      <c r="K524" s="25"/>
      <c r="L524" s="34"/>
      <c r="M524" s="34"/>
      <c r="N524" s="34"/>
      <c r="O524" s="25"/>
      <c r="P524" s="25"/>
      <c r="Q524" s="25"/>
      <c r="R524" s="25"/>
      <c r="S524" s="25"/>
    </row>
    <row r="525" spans="1:19">
      <c r="A525" s="32"/>
      <c r="B525" s="25"/>
      <c r="C525" s="25"/>
      <c r="D525" s="25"/>
      <c r="E525" s="25"/>
      <c r="F525" s="25"/>
      <c r="G525" s="33"/>
      <c r="H525" s="25"/>
      <c r="I525" s="25"/>
      <c r="J525" s="25"/>
      <c r="K525" s="25"/>
      <c r="L525" s="34"/>
      <c r="M525" s="34"/>
      <c r="N525" s="34"/>
      <c r="O525" s="25"/>
      <c r="P525" s="25"/>
      <c r="Q525" s="25"/>
      <c r="R525" s="25"/>
      <c r="S525" s="25"/>
    </row>
    <row r="526" spans="1:19">
      <c r="A526" s="32"/>
      <c r="B526" s="25"/>
      <c r="C526" s="25"/>
      <c r="D526" s="25"/>
      <c r="E526" s="25"/>
      <c r="F526" s="25"/>
      <c r="G526" s="33"/>
      <c r="H526" s="25"/>
      <c r="I526" s="25"/>
      <c r="J526" s="25"/>
      <c r="K526" s="25"/>
      <c r="L526" s="34"/>
      <c r="M526" s="34"/>
      <c r="N526" s="34"/>
      <c r="O526" s="25"/>
      <c r="P526" s="25"/>
      <c r="Q526" s="25"/>
      <c r="R526" s="25"/>
      <c r="S526" s="25"/>
    </row>
    <row r="527" spans="1:19">
      <c r="A527" s="32"/>
      <c r="B527" s="25"/>
      <c r="C527" s="25"/>
      <c r="D527" s="25"/>
      <c r="E527" s="25"/>
      <c r="F527" s="25"/>
      <c r="G527" s="33"/>
      <c r="H527" s="25"/>
      <c r="I527" s="25"/>
      <c r="J527" s="25"/>
      <c r="K527" s="25"/>
      <c r="L527" s="34"/>
      <c r="M527" s="34"/>
      <c r="N527" s="34"/>
      <c r="O527" s="25"/>
      <c r="P527" s="25"/>
      <c r="Q527" s="25"/>
      <c r="R527" s="25"/>
      <c r="S527" s="25"/>
    </row>
    <row r="528" spans="1:19">
      <c r="A528" s="32"/>
      <c r="B528" s="25"/>
      <c r="C528" s="25"/>
      <c r="D528" s="25"/>
      <c r="E528" s="25"/>
      <c r="F528" s="25"/>
      <c r="G528" s="33"/>
      <c r="H528" s="25"/>
      <c r="I528" s="25"/>
      <c r="J528" s="25"/>
      <c r="K528" s="25"/>
      <c r="L528" s="34"/>
      <c r="M528" s="34"/>
      <c r="N528" s="34"/>
      <c r="O528" s="25"/>
      <c r="P528" s="25"/>
      <c r="Q528" s="25"/>
      <c r="R528" s="25"/>
      <c r="S528" s="25"/>
    </row>
    <row r="529" spans="1:19">
      <c r="A529" s="32"/>
      <c r="B529" s="25"/>
      <c r="C529" s="25"/>
      <c r="D529" s="25"/>
      <c r="E529" s="25"/>
      <c r="F529" s="25"/>
      <c r="G529" s="33"/>
      <c r="H529" s="25"/>
      <c r="I529" s="25"/>
      <c r="J529" s="25"/>
      <c r="K529" s="25"/>
      <c r="L529" s="34"/>
      <c r="M529" s="34"/>
      <c r="N529" s="34"/>
      <c r="O529" s="25"/>
      <c r="P529" s="25"/>
      <c r="Q529" s="25"/>
      <c r="R529" s="25"/>
      <c r="S529" s="25"/>
    </row>
    <row r="530" spans="1:19">
      <c r="A530" s="32"/>
      <c r="B530" s="25"/>
      <c r="C530" s="25"/>
      <c r="D530" s="25"/>
      <c r="E530" s="25"/>
      <c r="F530" s="25"/>
      <c r="G530" s="33"/>
      <c r="H530" s="25"/>
      <c r="I530" s="25"/>
      <c r="J530" s="25"/>
      <c r="K530" s="25"/>
      <c r="L530" s="34"/>
      <c r="M530" s="34"/>
      <c r="N530" s="34"/>
      <c r="O530" s="25"/>
      <c r="P530" s="25"/>
      <c r="Q530" s="25"/>
      <c r="R530" s="25"/>
      <c r="S530" s="25"/>
    </row>
    <row r="531" spans="1:19">
      <c r="A531" s="32"/>
      <c r="B531" s="25"/>
      <c r="C531" s="25"/>
      <c r="D531" s="25"/>
      <c r="E531" s="25"/>
      <c r="F531" s="25"/>
      <c r="G531" s="33"/>
      <c r="H531" s="25"/>
      <c r="I531" s="25"/>
      <c r="J531" s="25"/>
      <c r="K531" s="25"/>
      <c r="L531" s="34"/>
      <c r="M531" s="34"/>
      <c r="N531" s="34"/>
      <c r="O531" s="25"/>
      <c r="P531" s="25"/>
      <c r="Q531" s="25"/>
      <c r="R531" s="25"/>
      <c r="S531" s="25"/>
    </row>
    <row r="532" spans="1:19">
      <c r="A532" s="32"/>
      <c r="B532" s="25"/>
      <c r="C532" s="25"/>
      <c r="D532" s="25"/>
      <c r="E532" s="25"/>
      <c r="F532" s="25"/>
      <c r="G532" s="33"/>
      <c r="H532" s="25"/>
      <c r="I532" s="25"/>
      <c r="J532" s="25"/>
      <c r="K532" s="25"/>
      <c r="L532" s="34"/>
      <c r="M532" s="34"/>
      <c r="N532" s="34"/>
      <c r="O532" s="25"/>
      <c r="P532" s="25"/>
      <c r="Q532" s="25"/>
      <c r="R532" s="25"/>
      <c r="S532" s="25"/>
    </row>
    <row r="533" spans="1:19">
      <c r="A533" s="32"/>
      <c r="B533" s="25"/>
      <c r="C533" s="25"/>
      <c r="D533" s="25"/>
      <c r="E533" s="25"/>
      <c r="F533" s="25"/>
      <c r="G533" s="33"/>
      <c r="H533" s="25"/>
      <c r="I533" s="25"/>
      <c r="J533" s="25"/>
      <c r="K533" s="25"/>
      <c r="L533" s="34"/>
      <c r="M533" s="34"/>
      <c r="N533" s="34"/>
      <c r="O533" s="25"/>
      <c r="P533" s="25"/>
      <c r="Q533" s="25"/>
      <c r="R533" s="25"/>
      <c r="S533" s="25"/>
    </row>
    <row r="534" spans="1:19">
      <c r="A534" s="32"/>
      <c r="B534" s="25"/>
      <c r="C534" s="25"/>
      <c r="D534" s="25"/>
      <c r="E534" s="25"/>
      <c r="F534" s="25"/>
      <c r="G534" s="33"/>
      <c r="H534" s="25"/>
      <c r="I534" s="25"/>
      <c r="J534" s="25"/>
      <c r="K534" s="25"/>
      <c r="L534" s="34"/>
      <c r="M534" s="34"/>
      <c r="N534" s="34"/>
      <c r="O534" s="25"/>
      <c r="P534" s="25"/>
      <c r="Q534" s="25"/>
      <c r="R534" s="25"/>
      <c r="S534" s="25"/>
    </row>
    <row r="535" spans="1:19">
      <c r="A535" s="32"/>
      <c r="B535" s="25"/>
      <c r="C535" s="25"/>
      <c r="D535" s="25"/>
      <c r="E535" s="25"/>
      <c r="F535" s="25"/>
      <c r="G535" s="33"/>
      <c r="H535" s="25"/>
      <c r="I535" s="25"/>
      <c r="J535" s="25"/>
      <c r="K535" s="25"/>
      <c r="L535" s="34"/>
      <c r="M535" s="34"/>
      <c r="N535" s="34"/>
      <c r="O535" s="25"/>
      <c r="P535" s="25"/>
      <c r="Q535" s="25"/>
      <c r="R535" s="25"/>
      <c r="S535" s="25"/>
    </row>
    <row r="536" spans="1:19">
      <c r="A536" s="32"/>
      <c r="B536" s="25"/>
      <c r="C536" s="25"/>
      <c r="D536" s="25"/>
      <c r="E536" s="25"/>
      <c r="F536" s="25"/>
      <c r="G536" s="33"/>
      <c r="H536" s="25"/>
      <c r="I536" s="25"/>
      <c r="J536" s="25"/>
      <c r="K536" s="25"/>
      <c r="L536" s="34"/>
      <c r="M536" s="34"/>
      <c r="N536" s="34"/>
      <c r="O536" s="25"/>
      <c r="P536" s="25"/>
      <c r="Q536" s="25"/>
      <c r="R536" s="25"/>
      <c r="S536" s="25"/>
    </row>
    <row r="537" spans="1:19">
      <c r="A537" s="32"/>
      <c r="B537" s="25"/>
      <c r="C537" s="25"/>
      <c r="D537" s="25"/>
      <c r="E537" s="25"/>
      <c r="F537" s="25"/>
      <c r="G537" s="33"/>
      <c r="H537" s="25"/>
      <c r="I537" s="25"/>
      <c r="J537" s="25"/>
      <c r="K537" s="25"/>
      <c r="L537" s="34"/>
      <c r="M537" s="34"/>
      <c r="N537" s="34"/>
      <c r="O537" s="25"/>
      <c r="P537" s="25"/>
      <c r="Q537" s="25"/>
      <c r="R537" s="25"/>
      <c r="S537" s="25"/>
    </row>
    <row r="538" spans="1:19">
      <c r="A538" s="32"/>
      <c r="B538" s="25"/>
      <c r="C538" s="25"/>
      <c r="D538" s="25"/>
      <c r="E538" s="25"/>
      <c r="F538" s="25"/>
      <c r="G538" s="33"/>
      <c r="H538" s="25"/>
      <c r="I538" s="25"/>
      <c r="J538" s="25"/>
      <c r="K538" s="25"/>
      <c r="L538" s="34"/>
      <c r="M538" s="34"/>
      <c r="N538" s="34"/>
      <c r="O538" s="25"/>
      <c r="P538" s="25"/>
      <c r="Q538" s="25"/>
      <c r="R538" s="25"/>
      <c r="S538" s="25"/>
    </row>
  </sheetData>
  <mergeCells count="206">
    <mergeCell ref="AT1:AT2"/>
    <mergeCell ref="AU1:AU3"/>
    <mergeCell ref="AV1:AV3"/>
    <mergeCell ref="AW1:AW3"/>
    <mergeCell ref="AX1:AX3"/>
    <mergeCell ref="A400:L401"/>
    <mergeCell ref="M400:S401"/>
    <mergeCell ref="A41:L42"/>
    <mergeCell ref="A200:G201"/>
    <mergeCell ref="A34:G36"/>
    <mergeCell ref="A25:B28"/>
    <mergeCell ref="P10:Q11"/>
    <mergeCell ref="O202:O203"/>
    <mergeCell ref="Q43:Q44"/>
    <mergeCell ref="B43:B44"/>
    <mergeCell ref="B202:B203"/>
    <mergeCell ref="F43:F44"/>
    <mergeCell ref="F202:F203"/>
    <mergeCell ref="A33:G33"/>
    <mergeCell ref="H33:I33"/>
    <mergeCell ref="J33:K33"/>
    <mergeCell ref="L33:M33"/>
    <mergeCell ref="N33:O33"/>
    <mergeCell ref="P33:Q33"/>
    <mergeCell ref="AA1:AA3"/>
    <mergeCell ref="AB1:AB3"/>
    <mergeCell ref="AC1:AC3"/>
    <mergeCell ref="AD1:AD3"/>
    <mergeCell ref="G402:G403"/>
    <mergeCell ref="H202:H203"/>
    <mergeCell ref="I202:I203"/>
    <mergeCell ref="J202:J203"/>
    <mergeCell ref="K202:K203"/>
    <mergeCell ref="L43:L44"/>
    <mergeCell ref="L402:L403"/>
    <mergeCell ref="M402:M403"/>
    <mergeCell ref="N202:N203"/>
    <mergeCell ref="N402:N403"/>
    <mergeCell ref="A39:S39"/>
    <mergeCell ref="M41:S41"/>
    <mergeCell ref="H200:S200"/>
    <mergeCell ref="M201:N201"/>
    <mergeCell ref="A43:A44"/>
    <mergeCell ref="A202:A203"/>
    <mergeCell ref="A402:A403"/>
    <mergeCell ref="B402:B403"/>
    <mergeCell ref="C43:C44"/>
    <mergeCell ref="C202:C203"/>
    <mergeCell ref="C402:C403"/>
    <mergeCell ref="D43:D44"/>
    <mergeCell ref="D202:D203"/>
    <mergeCell ref="D402:D403"/>
    <mergeCell ref="E43:E44"/>
    <mergeCell ref="E202:E203"/>
    <mergeCell ref="E402:E403"/>
    <mergeCell ref="F402:F403"/>
    <mergeCell ref="G43:G44"/>
    <mergeCell ref="G202:G203"/>
    <mergeCell ref="H35:I35"/>
    <mergeCell ref="J35:K35"/>
    <mergeCell ref="L35:M35"/>
    <mergeCell ref="N35:O35"/>
    <mergeCell ref="P35:Q35"/>
    <mergeCell ref="R35:S35"/>
    <mergeCell ref="H36:I36"/>
    <mergeCell ref="J36:K36"/>
    <mergeCell ref="L36:M36"/>
    <mergeCell ref="N36:O36"/>
    <mergeCell ref="P36:Q36"/>
    <mergeCell ref="R36:S36"/>
    <mergeCell ref="Q402:Q403"/>
    <mergeCell ref="R202:R203"/>
    <mergeCell ref="R33:S33"/>
    <mergeCell ref="H34:I34"/>
    <mergeCell ref="J34:K34"/>
    <mergeCell ref="L34:M34"/>
    <mergeCell ref="N34:O34"/>
    <mergeCell ref="P34:Q34"/>
    <mergeCell ref="R34:S34"/>
    <mergeCell ref="A31:G31"/>
    <mergeCell ref="H31:I31"/>
    <mergeCell ref="J31:K31"/>
    <mergeCell ref="L31:M31"/>
    <mergeCell ref="N31:O31"/>
    <mergeCell ref="P31:Q31"/>
    <mergeCell ref="R31:S31"/>
    <mergeCell ref="A32:G32"/>
    <mergeCell ref="H32:I32"/>
    <mergeCell ref="J32:K32"/>
    <mergeCell ref="L32:M32"/>
    <mergeCell ref="N32:O32"/>
    <mergeCell ref="P32:Q32"/>
    <mergeCell ref="R32:S32"/>
    <mergeCell ref="C27:H27"/>
    <mergeCell ref="M27:N27"/>
    <mergeCell ref="C28:I28"/>
    <mergeCell ref="J28:Q28"/>
    <mergeCell ref="A29:S29"/>
    <mergeCell ref="A30:G30"/>
    <mergeCell ref="H30:I30"/>
    <mergeCell ref="J30:K30"/>
    <mergeCell ref="L30:M30"/>
    <mergeCell ref="N30:O30"/>
    <mergeCell ref="P30:Q30"/>
    <mergeCell ref="R30:S30"/>
    <mergeCell ref="A23:B23"/>
    <mergeCell ref="D23:E23"/>
    <mergeCell ref="F23:G23"/>
    <mergeCell ref="I23:O23"/>
    <mergeCell ref="P23:Q23"/>
    <mergeCell ref="A24:S24"/>
    <mergeCell ref="C25:H25"/>
    <mergeCell ref="M25:N25"/>
    <mergeCell ref="C26:H26"/>
    <mergeCell ref="M26:N26"/>
    <mergeCell ref="A20:E20"/>
    <mergeCell ref="F20:G20"/>
    <mergeCell ref="I20:O20"/>
    <mergeCell ref="P20:Q20"/>
    <mergeCell ref="A21:E21"/>
    <mergeCell ref="F21:G21"/>
    <mergeCell ref="I21:O21"/>
    <mergeCell ref="P21:Q21"/>
    <mergeCell ref="A22:B22"/>
    <mergeCell ref="D22:E22"/>
    <mergeCell ref="F22:G22"/>
    <mergeCell ref="I22:R22"/>
    <mergeCell ref="A17:E17"/>
    <mergeCell ref="F17:G17"/>
    <mergeCell ref="I17:O17"/>
    <mergeCell ref="P17:Q17"/>
    <mergeCell ref="A18:E18"/>
    <mergeCell ref="F18:G18"/>
    <mergeCell ref="I18:O18"/>
    <mergeCell ref="P18:Q18"/>
    <mergeCell ref="A19:E19"/>
    <mergeCell ref="F19:G19"/>
    <mergeCell ref="I19:O19"/>
    <mergeCell ref="P19:Q19"/>
    <mergeCell ref="A14:E14"/>
    <mergeCell ref="F14:G14"/>
    <mergeCell ref="I14:O14"/>
    <mergeCell ref="P14:Q14"/>
    <mergeCell ref="A15:E15"/>
    <mergeCell ref="F15:G15"/>
    <mergeCell ref="I15:O15"/>
    <mergeCell ref="P15:Q15"/>
    <mergeCell ref="A16:E16"/>
    <mergeCell ref="F16:G16"/>
    <mergeCell ref="I16:O16"/>
    <mergeCell ref="P16:Q16"/>
    <mergeCell ref="A11:E11"/>
    <mergeCell ref="F11:G11"/>
    <mergeCell ref="I11:N11"/>
    <mergeCell ref="A12:D12"/>
    <mergeCell ref="F12:G12"/>
    <mergeCell ref="I12:O12"/>
    <mergeCell ref="P12:Q12"/>
    <mergeCell ref="D13:E13"/>
    <mergeCell ref="F13:G13"/>
    <mergeCell ref="I13:O13"/>
    <mergeCell ref="P13:Q13"/>
    <mergeCell ref="A6:S6"/>
    <mergeCell ref="A7:S7"/>
    <mergeCell ref="U7:V7"/>
    <mergeCell ref="A8:S8"/>
    <mergeCell ref="A9:G9"/>
    <mergeCell ref="I9:R9"/>
    <mergeCell ref="A10:E10"/>
    <mergeCell ref="F10:G10"/>
    <mergeCell ref="I10:N10"/>
    <mergeCell ref="R10:R11"/>
    <mergeCell ref="AR3:AT3"/>
    <mergeCell ref="A4:C4"/>
    <mergeCell ref="D4:J4"/>
    <mergeCell ref="K4:N4"/>
    <mergeCell ref="O4:S4"/>
    <mergeCell ref="A5:C5"/>
    <mergeCell ref="D5:J5"/>
    <mergeCell ref="K5:N5"/>
    <mergeCell ref="O5:S5"/>
    <mergeCell ref="AE1:AE3"/>
    <mergeCell ref="AF1:AF3"/>
    <mergeCell ref="AG1:AG3"/>
    <mergeCell ref="AH1:AH3"/>
    <mergeCell ref="AI1:AI3"/>
    <mergeCell ref="AJ1:AJ3"/>
    <mergeCell ref="AK1:AK3"/>
    <mergeCell ref="AL1:AL3"/>
    <mergeCell ref="AM1:AM3"/>
    <mergeCell ref="AN1:AN3"/>
    <mergeCell ref="AO1:AO3"/>
    <mergeCell ref="AP1:AP3"/>
    <mergeCell ref="AQ1:AQ3"/>
    <mergeCell ref="AR1:AR2"/>
    <mergeCell ref="AS1:AS2"/>
    <mergeCell ref="A1:S1"/>
    <mergeCell ref="U1:W1"/>
    <mergeCell ref="A2:C2"/>
    <mergeCell ref="D2:J2"/>
    <mergeCell ref="K2:N2"/>
    <mergeCell ref="O2:S2"/>
    <mergeCell ref="A3:C3"/>
    <mergeCell ref="D3:J3"/>
    <mergeCell ref="K3:N3"/>
    <mergeCell ref="O3:S3"/>
  </mergeCells>
  <conditionalFormatting sqref="K25">
    <cfRule type="dataBar" priority="17">
      <dataBar>
        <cfvo type="min"/>
        <cfvo type="max"/>
        <color rgb="FFFF555A"/>
      </dataBar>
      <extLst>
        <ext xmlns:x14="http://schemas.microsoft.com/office/spreadsheetml/2009/9/main" uri="{B025F937-C7B1-47D3-B67F-A62EFF666E3E}">
          <x14:id>{C30DA4F4-0D83-4B7E-84C1-7695D3AFE220}</x14:id>
        </ext>
      </extLst>
    </cfRule>
  </conditionalFormatting>
  <conditionalFormatting sqref="M25">
    <cfRule type="notContainsBlanks" dxfId="32" priority="20">
      <formula>LEN(TRIM(M25))&gt;0</formula>
    </cfRule>
  </conditionalFormatting>
  <conditionalFormatting sqref="P25">
    <cfRule type="dataBar" priority="14">
      <dataBar>
        <cfvo type="min"/>
        <cfvo type="max"/>
        <color rgb="FFFF555A"/>
      </dataBar>
      <extLst>
        <ext xmlns:x14="http://schemas.microsoft.com/office/spreadsheetml/2009/9/main" uri="{B025F937-C7B1-47D3-B67F-A62EFF666E3E}">
          <x14:id>{F0FF27FC-588A-4A74-AFDB-D68FDEDEE4E4}</x14:id>
        </ext>
      </extLst>
    </cfRule>
  </conditionalFormatting>
  <conditionalFormatting sqref="K26">
    <cfRule type="dataBar" priority="16">
      <dataBar>
        <cfvo type="min"/>
        <cfvo type="max"/>
        <color rgb="FF008AEF"/>
      </dataBar>
      <extLst>
        <ext xmlns:x14="http://schemas.microsoft.com/office/spreadsheetml/2009/9/main" uri="{B025F937-C7B1-47D3-B67F-A62EFF666E3E}">
          <x14:id>{56E43F7E-2E82-46F0-A6BA-622EC56CF65A}</x14:id>
        </ext>
      </extLst>
    </cfRule>
  </conditionalFormatting>
  <conditionalFormatting sqref="M26">
    <cfRule type="notContainsBlanks" dxfId="31" priority="19">
      <formula>LEN(TRIM(M26))&gt;0</formula>
    </cfRule>
  </conditionalFormatting>
  <conditionalFormatting sqref="P26">
    <cfRule type="dataBar" priority="13">
      <dataBar>
        <cfvo type="min"/>
        <cfvo type="max"/>
        <color rgb="FF008AEF"/>
      </dataBar>
      <extLst>
        <ext xmlns:x14="http://schemas.microsoft.com/office/spreadsheetml/2009/9/main" uri="{B025F937-C7B1-47D3-B67F-A62EFF666E3E}">
          <x14:id>{02253B43-031D-4AB8-A3F4-B4438138DF90}</x14:id>
        </ext>
      </extLst>
    </cfRule>
  </conditionalFormatting>
  <conditionalFormatting sqref="K27">
    <cfRule type="dataBar" priority="15">
      <dataBar>
        <cfvo type="min"/>
        <cfvo type="max"/>
        <color rgb="FF63C384"/>
      </dataBar>
      <extLst>
        <ext xmlns:x14="http://schemas.microsoft.com/office/spreadsheetml/2009/9/main" uri="{B025F937-C7B1-47D3-B67F-A62EFF666E3E}">
          <x14:id>{B153BB54-9A40-477E-8B6D-6353FD085A5B}</x14:id>
        </ext>
      </extLst>
    </cfRule>
  </conditionalFormatting>
  <conditionalFormatting sqref="M27">
    <cfRule type="notContainsBlanks" dxfId="30" priority="18">
      <formula>LEN(TRIM(M27))&gt;0</formula>
    </cfRule>
  </conditionalFormatting>
  <conditionalFormatting sqref="P27">
    <cfRule type="dataBar" priority="12">
      <dataBar>
        <cfvo type="min"/>
        <cfvo type="max"/>
        <color rgb="FF63C384"/>
      </dataBar>
      <extLst>
        <ext xmlns:x14="http://schemas.microsoft.com/office/spreadsheetml/2009/9/main" uri="{B025F937-C7B1-47D3-B67F-A62EFF666E3E}">
          <x14:id>{26AC0D07-9B97-4D98-B2C4-F52F6997427D}</x14:id>
        </ext>
      </extLst>
    </cfRule>
  </conditionalFormatting>
  <conditionalFormatting sqref="E202">
    <cfRule type="cellIs" dxfId="29" priority="9" operator="equal">
      <formula>$F$15</formula>
    </cfRule>
  </conditionalFormatting>
  <conditionalFormatting sqref="E402">
    <cfRule type="cellIs" dxfId="28" priority="7" operator="equal">
      <formula>$F$15</formula>
    </cfRule>
  </conditionalFormatting>
  <conditionalFormatting sqref="G45:G134">
    <cfRule type="dataBar" priority="22">
      <dataBar>
        <cfvo type="min"/>
        <cfvo type="max"/>
        <color rgb="FFD6007B"/>
      </dataBar>
      <extLst>
        <ext xmlns:x14="http://schemas.microsoft.com/office/spreadsheetml/2009/9/main" uri="{B025F937-C7B1-47D3-B67F-A62EFF666E3E}">
          <x14:id>{2B802C57-4F71-4100-BC6A-B8938DA29C53}</x14:id>
        </ext>
      </extLst>
    </cfRule>
  </conditionalFormatting>
  <conditionalFormatting sqref="M402:M403">
    <cfRule type="notContainsBlanks" dxfId="27" priority="4">
      <formula>LEN(TRIM(M402))&gt;0</formula>
    </cfRule>
  </conditionalFormatting>
  <conditionalFormatting sqref="U3:U5 AA8:AA10 AA39:AA40 R26 AA24 AA72:AA199 AA233:AA399 AA424:AA15423 G230:G293 S402:S452">
    <cfRule type="dataBar" priority="27">
      <dataBar>
        <cfvo type="min"/>
        <cfvo type="max"/>
        <color rgb="FF008AEF"/>
      </dataBar>
      <extLst>
        <ext xmlns:x14="http://schemas.microsoft.com/office/spreadsheetml/2009/9/main" uri="{B025F937-C7B1-47D3-B67F-A62EFF666E3E}">
          <x14:id>{BA66A7D0-DDD5-4266-9ADF-748641AC49C4}</x14:id>
        </ext>
      </extLst>
    </cfRule>
  </conditionalFormatting>
  <conditionalFormatting sqref="AM8:AM14 AM16:AM23 AM38:AM40 R27 AM72:AM15071 S201:S293">
    <cfRule type="dataBar" priority="23">
      <dataBar>
        <cfvo type="min"/>
        <cfvo type="max"/>
        <color rgb="FF63C384"/>
      </dataBar>
      <extLst>
        <ext xmlns:x14="http://schemas.microsoft.com/office/spreadsheetml/2009/9/main" uri="{B025F937-C7B1-47D3-B67F-A62EFF666E3E}">
          <x14:id>{EF814B8F-E27D-417C-913F-C59D1DE83FDF}</x14:id>
        </ext>
      </extLst>
    </cfRule>
  </conditionalFormatting>
  <conditionalFormatting sqref="S251:T399 R25 S9:T23 T200:T250 T24:T25 T28:T39 S453:T15452 T424:T452 S40:T199">
    <cfRule type="dataBar" priority="26">
      <dataBar>
        <cfvo type="min"/>
        <cfvo type="max"/>
        <color rgb="FFFF555A"/>
      </dataBar>
      <extLst>
        <ext xmlns:x14="http://schemas.microsoft.com/office/spreadsheetml/2009/9/main" uri="{B025F937-C7B1-47D3-B67F-A62EFF666E3E}">
          <x14:id>{A029CED4-B028-4202-B114-2466A47980FE}</x14:id>
        </ext>
      </extLst>
    </cfRule>
  </conditionalFormatting>
  <conditionalFormatting sqref="U10:V181">
    <cfRule type="notContainsBlanks" dxfId="26" priority="25">
      <formula>LEN(TRIM(U10))&gt;0</formula>
    </cfRule>
  </conditionalFormatting>
  <conditionalFormatting sqref="M400 A423:S538 A41:S399 M404:M422 N402:S422 A400:L422">
    <cfRule type="notContainsBlanks" dxfId="25" priority="21">
      <formula>LEN(TRIM(A41))&gt;0</formula>
    </cfRule>
  </conditionalFormatting>
  <conditionalFormatting sqref="E43 E45:E71 A230:A293 A404:L452">
    <cfRule type="cellIs" dxfId="24" priority="24" operator="equal">
      <formula>$F$15</formula>
    </cfRule>
  </conditionalFormatting>
  <conditionalFormatting sqref="A202:G203">
    <cfRule type="notContainsBlanks" dxfId="23" priority="8">
      <formula>LEN(TRIM(A202))&gt;0</formula>
    </cfRule>
  </conditionalFormatting>
  <conditionalFormatting sqref="A204:G253">
    <cfRule type="cellIs" dxfId="22" priority="11" operator="equal">
      <formula>$F$15</formula>
    </cfRule>
    <cfRule type="notContainsBlanks" dxfId="21" priority="10">
      <formula>LEN(TRIM(A204))&gt;0</formula>
    </cfRule>
  </conditionalFormatting>
  <conditionalFormatting sqref="A402:G403">
    <cfRule type="notContainsBlanks" dxfId="20" priority="6">
      <formula>LEN(TRIM(A402))&gt;0</formula>
    </cfRule>
  </conditionalFormatting>
  <conditionalFormatting sqref="H402:L403">
    <cfRule type="notContainsBlanks" dxfId="19" priority="5">
      <formula>LEN(TRIM(H402))&gt;0</formula>
    </cfRule>
  </conditionalFormatting>
  <dataValidations count="7">
    <dataValidation type="list" allowBlank="1" showInputMessage="1" showErrorMessage="1" sqref="U8">
      <formula1>"1,2,3"</formula1>
    </dataValidation>
    <dataValidation type="list" allowBlank="1" showInputMessage="1" showErrorMessage="1" sqref="F12">
      <formula1>B1.Loaicoc</formula1>
    </dataValidation>
    <dataValidation type="list" allowBlank="1" showInputMessage="1" showErrorMessage="1" sqref="D13:E13">
      <formula1>"Cọc Vuông,Cọc Tròn"</formula1>
    </dataValidation>
    <dataValidation type="list" allowBlank="1" showInputMessage="1" showErrorMessage="1" sqref="F21">
      <formula1>B2.Capdoben</formula1>
    </dataValidation>
    <dataValidation type="list" allowBlank="1" showInputMessage="1" showErrorMessage="1" sqref="A45:A71">
      <formula1>$AA$4:$AA$14</formula1>
    </dataValidation>
    <dataValidation type="list" allowBlank="1" showInputMessage="1" showErrorMessage="1" sqref="AC4:AC14">
      <formula1>"D,R"</formula1>
    </dataValidation>
    <dataValidation type="list" allowBlank="1" showInputMessage="1" showErrorMessage="1" sqref="AU4:AU14">
      <formula1>"Rời,Chặt vừa,Chặt"</formula1>
    </dataValidation>
  </dataValidations>
  <pageMargins left="0.6" right="0.4" top="0.4" bottom="0.4" header="0.157" footer="0.157"/>
  <pageSetup paperSize="9" scale="99" fitToHeight="0" orientation="landscape" r:id="rId1"/>
  <drawing r:id="rId2"/>
  <legacyDrawing r:id="rId3"/>
  <extLst>
    <ext xmlns:x14="http://schemas.microsoft.com/office/spreadsheetml/2009/9/main" uri="{78C0D931-6437-407d-A8EE-F0AAD7539E65}">
      <x14:conditionalFormattings>
        <x14:conditionalFormatting xmlns:xm="http://schemas.microsoft.com/office/excel/2006/main">
          <x14:cfRule type="dataBar" id="{C30DA4F4-0D83-4B7E-84C1-7695D3AFE220}">
            <x14:dataBar minLength="0" maxLength="100" gradient="0">
              <x14:cfvo type="autoMin"/>
              <x14:cfvo type="autoMax"/>
              <x14:negativeFillColor rgb="FFFF0000"/>
              <x14:axisColor rgb="FF000000"/>
            </x14:dataBar>
          </x14:cfRule>
          <xm:sqref>K25</xm:sqref>
        </x14:conditionalFormatting>
        <x14:conditionalFormatting xmlns:xm="http://schemas.microsoft.com/office/excel/2006/main">
          <x14:cfRule type="dataBar" id="{F0FF27FC-588A-4A74-AFDB-D68FDEDEE4E4}">
            <x14:dataBar minLength="0" maxLength="100" gradient="0">
              <x14:cfvo type="autoMin"/>
              <x14:cfvo type="autoMax"/>
              <x14:negativeFillColor rgb="FFFF0000"/>
              <x14:axisColor rgb="FF000000"/>
            </x14:dataBar>
          </x14:cfRule>
          <xm:sqref>P25</xm:sqref>
        </x14:conditionalFormatting>
        <x14:conditionalFormatting xmlns:xm="http://schemas.microsoft.com/office/excel/2006/main">
          <x14:cfRule type="dataBar" id="{56E43F7E-2E82-46F0-A6BA-622EC56CF65A}">
            <x14:dataBar minLength="0" maxLength="100" gradient="0">
              <x14:cfvo type="autoMin"/>
              <x14:cfvo type="autoMax"/>
              <x14:negativeFillColor rgb="FFFF0000"/>
              <x14:axisColor rgb="FF000000"/>
            </x14:dataBar>
          </x14:cfRule>
          <xm:sqref>K26</xm:sqref>
        </x14:conditionalFormatting>
        <x14:conditionalFormatting xmlns:xm="http://schemas.microsoft.com/office/excel/2006/main">
          <x14:cfRule type="dataBar" id="{02253B43-031D-4AB8-A3F4-B4438138DF90}">
            <x14:dataBar minLength="0" maxLength="100" gradient="0">
              <x14:cfvo type="autoMin"/>
              <x14:cfvo type="autoMax"/>
              <x14:negativeFillColor rgb="FFFF0000"/>
              <x14:axisColor rgb="FF000000"/>
            </x14:dataBar>
          </x14:cfRule>
          <xm:sqref>P26</xm:sqref>
        </x14:conditionalFormatting>
        <x14:conditionalFormatting xmlns:xm="http://schemas.microsoft.com/office/excel/2006/main">
          <x14:cfRule type="dataBar" id="{B153BB54-9A40-477E-8B6D-6353FD085A5B}">
            <x14:dataBar minLength="0" maxLength="100" gradient="0">
              <x14:cfvo type="autoMin"/>
              <x14:cfvo type="autoMax"/>
              <x14:negativeFillColor rgb="FFFF0000"/>
              <x14:axisColor rgb="FF000000"/>
            </x14:dataBar>
          </x14:cfRule>
          <xm:sqref>K27</xm:sqref>
        </x14:conditionalFormatting>
        <x14:conditionalFormatting xmlns:xm="http://schemas.microsoft.com/office/excel/2006/main">
          <x14:cfRule type="dataBar" id="{26AC0D07-9B97-4D98-B2C4-F52F6997427D}">
            <x14:dataBar minLength="0" maxLength="100" gradient="0">
              <x14:cfvo type="autoMin"/>
              <x14:cfvo type="autoMax"/>
              <x14:negativeFillColor rgb="FFFF0000"/>
              <x14:axisColor rgb="FF000000"/>
            </x14:dataBar>
          </x14:cfRule>
          <xm:sqref>P27</xm:sqref>
        </x14:conditionalFormatting>
        <x14:conditionalFormatting xmlns:xm="http://schemas.microsoft.com/office/excel/2006/main">
          <x14:cfRule type="dataBar" id="{2B802C57-4F71-4100-BC6A-B8938DA29C53}">
            <x14:dataBar minLength="0" maxLength="100" gradient="0" direction="rightToLeft">
              <x14:cfvo type="autoMin"/>
              <x14:cfvo type="autoMax"/>
              <x14:negativeFillColor rgb="FFFF0000"/>
              <x14:axisColor rgb="FF000000"/>
            </x14:dataBar>
          </x14:cfRule>
          <xm:sqref>G45:G134</xm:sqref>
        </x14:conditionalFormatting>
        <x14:conditionalFormatting xmlns:xm="http://schemas.microsoft.com/office/excel/2006/main">
          <x14:cfRule type="dataBar" id="{BA66A7D0-DDD5-4266-9ADF-748641AC49C4}">
            <x14:dataBar minLength="0" maxLength="100" gradient="0">
              <x14:cfvo type="autoMin"/>
              <x14:cfvo type="autoMax"/>
              <x14:negativeFillColor rgb="FFFF0000"/>
              <x14:axisColor rgb="FF000000"/>
            </x14:dataBar>
          </x14:cfRule>
          <xm:sqref>U3:U5 AA8:AA10 AA39:AA40 R26 AA24 AA72:AA199 AA233:AA399 AA424:AA15423 G230:G293 S402:S452</xm:sqref>
        </x14:conditionalFormatting>
        <x14:conditionalFormatting xmlns:xm="http://schemas.microsoft.com/office/excel/2006/main">
          <x14:cfRule type="dataBar" id="{EF814B8F-E27D-417C-913F-C59D1DE83FDF}">
            <x14:dataBar minLength="0" maxLength="100" gradient="0">
              <x14:cfvo type="autoMin"/>
              <x14:cfvo type="autoMax"/>
              <x14:negativeFillColor rgb="FFFF0000"/>
              <x14:axisColor rgb="FF000000"/>
            </x14:dataBar>
          </x14:cfRule>
          <xm:sqref>AM8:AM14 AM16:AM23 AM38:AM40 R27 AM72:AM15071 S201:S293</xm:sqref>
        </x14:conditionalFormatting>
        <x14:conditionalFormatting xmlns:xm="http://schemas.microsoft.com/office/excel/2006/main">
          <x14:cfRule type="dataBar" id="{A029CED4-B028-4202-B114-2466A47980FE}">
            <x14:dataBar minLength="0" maxLength="100" gradient="0">
              <x14:cfvo type="autoMin"/>
              <x14:cfvo type="autoMax"/>
              <x14:negativeFillColor rgb="FFFF0000"/>
              <x14:axisColor rgb="FF000000"/>
            </x14:dataBar>
          </x14:cfRule>
          <xm:sqref>S251:T399 R25 S9:T23 T200:T250 T24:T25 T28:T39 S453:T15452 T424:T452 S40:T199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BANGTRA!$G$12:$G$25</xm:f>
          </x14:formula1>
          <xm:sqref>C23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
  <sheetViews>
    <sheetView workbookViewId="0"/>
  </sheetViews>
  <sheetFormatPr defaultColWidth="9" defaultRowHeight="1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0000"/>
    <pageSetUpPr fitToPage="1"/>
  </sheetPr>
  <dimension ref="A1:AD41"/>
  <sheetViews>
    <sheetView view="pageBreakPreview" zoomScaleNormal="100" workbookViewId="0">
      <selection activeCell="K11" sqref="K11"/>
    </sheetView>
  </sheetViews>
  <sheetFormatPr defaultColWidth="9.140625" defaultRowHeight="15"/>
  <cols>
    <col min="1" max="1" width="5" style="381" customWidth="1"/>
    <col min="2" max="2" width="5.7109375" style="381" customWidth="1"/>
    <col min="3" max="3" width="4.85546875" style="381" customWidth="1"/>
    <col min="4" max="4" width="10.140625" style="381" customWidth="1"/>
    <col min="5" max="5" width="6.28515625" style="382" customWidth="1"/>
    <col min="6" max="7" width="5.140625" style="382" customWidth="1"/>
    <col min="8" max="8" width="4.42578125" style="383" customWidth="1"/>
    <col min="9" max="9" width="5.5703125" style="384" customWidth="1"/>
    <col min="10" max="10" width="9" style="381" customWidth="1"/>
    <col min="11" max="11" width="9" style="385" customWidth="1"/>
    <col min="12" max="12" width="6" style="386" customWidth="1"/>
    <col min="13" max="13" width="5.5703125" style="387" customWidth="1"/>
    <col min="14" max="14" width="5" style="388" customWidth="1"/>
    <col min="15" max="15" width="9.5703125" style="389" customWidth="1"/>
    <col min="16" max="16" width="4.85546875" style="389" customWidth="1"/>
    <col min="17" max="18" width="6.140625" style="390" customWidth="1"/>
    <col min="19" max="19" width="6" style="391" customWidth="1"/>
    <col min="20" max="20" width="10" style="378" customWidth="1"/>
    <col min="21" max="21" width="6.7109375" style="375" customWidth="1"/>
    <col min="22" max="22" width="5.28515625" style="375" customWidth="1"/>
    <col min="23" max="23" width="5.5703125" style="375" customWidth="1"/>
    <col min="24" max="24" width="5.140625" style="375" customWidth="1"/>
    <col min="25" max="25" width="5" style="375" customWidth="1"/>
    <col min="26" max="26" width="4.5703125" style="375" customWidth="1"/>
    <col min="27" max="27" width="5" style="375" customWidth="1"/>
    <col min="28" max="28" width="5.140625" style="375" customWidth="1"/>
    <col min="29" max="29" width="6.140625" style="375" customWidth="1"/>
    <col min="30" max="30" width="4.7109375" style="375" customWidth="1"/>
    <col min="31" max="16384" width="9.140625" style="375"/>
  </cols>
  <sheetData>
    <row r="1" spans="1:30" ht="33" customHeight="1">
      <c r="A1" s="366" t="s">
        <v>394</v>
      </c>
      <c r="B1" s="366" t="s">
        <v>395</v>
      </c>
      <c r="C1" s="366" t="s">
        <v>154</v>
      </c>
      <c r="D1" s="367" t="s">
        <v>396</v>
      </c>
      <c r="E1" s="366" t="s">
        <v>1082</v>
      </c>
      <c r="F1" s="366" t="s">
        <v>1083</v>
      </c>
      <c r="G1" s="366" t="s">
        <v>1084</v>
      </c>
      <c r="H1" s="367" t="s">
        <v>397</v>
      </c>
      <c r="I1" s="368" t="s">
        <v>398</v>
      </c>
      <c r="J1" s="366" t="s">
        <v>1085</v>
      </c>
      <c r="K1" s="369" t="s">
        <v>1086</v>
      </c>
      <c r="L1" s="367" t="s">
        <v>1087</v>
      </c>
      <c r="M1" s="370" t="s">
        <v>399</v>
      </c>
      <c r="N1" s="366" t="s">
        <v>400</v>
      </c>
      <c r="O1" s="368" t="s">
        <v>401</v>
      </c>
      <c r="P1" s="368" t="s">
        <v>402</v>
      </c>
      <c r="Q1" s="371" t="s">
        <v>403</v>
      </c>
      <c r="R1" s="371" t="s">
        <v>404</v>
      </c>
      <c r="S1" s="372" t="s">
        <v>405</v>
      </c>
      <c r="T1" s="373" t="s">
        <v>406</v>
      </c>
      <c r="U1" s="504" t="s">
        <v>342</v>
      </c>
      <c r="V1" s="504"/>
      <c r="W1" s="504"/>
      <c r="X1" s="504"/>
      <c r="Y1" s="374" t="s">
        <v>407</v>
      </c>
      <c r="Z1" s="374" t="s">
        <v>408</v>
      </c>
      <c r="AA1" s="374" t="s">
        <v>409</v>
      </c>
      <c r="AB1" s="374" t="s">
        <v>410</v>
      </c>
      <c r="AC1" s="374" t="s">
        <v>411</v>
      </c>
      <c r="AD1" s="374" t="s">
        <v>412</v>
      </c>
    </row>
    <row r="2" spans="1:30" ht="15.75">
      <c r="A2" s="366" t="s">
        <v>254</v>
      </c>
      <c r="B2" s="366" t="s">
        <v>254</v>
      </c>
      <c r="C2" s="366" t="s">
        <v>254</v>
      </c>
      <c r="D2" s="366" t="s">
        <v>254</v>
      </c>
      <c r="E2" s="366" t="s">
        <v>254</v>
      </c>
      <c r="F2" s="366" t="s">
        <v>254</v>
      </c>
      <c r="G2" s="366" t="s">
        <v>254</v>
      </c>
      <c r="H2" s="376">
        <v>500</v>
      </c>
      <c r="I2" s="376" t="s">
        <v>413</v>
      </c>
      <c r="J2" s="376">
        <v>650</v>
      </c>
      <c r="K2" s="376">
        <v>1.1000000000000001</v>
      </c>
      <c r="L2" s="366" t="s">
        <v>254</v>
      </c>
      <c r="M2" s="370" t="s">
        <v>337</v>
      </c>
      <c r="N2" s="366" t="s">
        <v>254</v>
      </c>
      <c r="O2" s="376">
        <v>250</v>
      </c>
      <c r="P2" s="376" t="s">
        <v>414</v>
      </c>
      <c r="Q2" s="371" t="s">
        <v>275</v>
      </c>
      <c r="R2" s="371" t="s">
        <v>275</v>
      </c>
      <c r="S2" s="377" t="s">
        <v>415</v>
      </c>
      <c r="U2" s="505" t="s">
        <v>349</v>
      </c>
      <c r="V2" s="506"/>
      <c r="W2" s="507"/>
      <c r="X2" s="507"/>
      <c r="Y2" s="379" t="s">
        <v>1088</v>
      </c>
      <c r="Z2" s="380">
        <v>1</v>
      </c>
      <c r="AA2" s="380">
        <v>1</v>
      </c>
      <c r="AB2" s="380">
        <v>1</v>
      </c>
      <c r="AC2" s="380">
        <v>1</v>
      </c>
      <c r="AD2" s="380">
        <v>1</v>
      </c>
    </row>
    <row r="3" spans="1:30">
      <c r="A3" s="381">
        <v>1</v>
      </c>
      <c r="B3" s="381" t="s">
        <v>163</v>
      </c>
      <c r="C3" s="381" t="s">
        <v>164</v>
      </c>
      <c r="D3" s="381" t="s">
        <v>166</v>
      </c>
      <c r="E3" s="382">
        <v>2809.1355078862798</v>
      </c>
      <c r="F3" s="382">
        <v>-144.39273523436799</v>
      </c>
      <c r="G3" s="382">
        <v>-38.323375697040902</v>
      </c>
      <c r="H3" s="383">
        <f>$H$2</f>
        <v>500</v>
      </c>
      <c r="I3" s="384" t="str">
        <f>$I$2</f>
        <v>KN1</v>
      </c>
      <c r="J3" s="381">
        <f>$J$2</f>
        <v>650</v>
      </c>
      <c r="K3" s="385">
        <f>$K$2</f>
        <v>1.1000000000000001</v>
      </c>
      <c r="L3" s="386">
        <f>ROUNDUP(E3/J3*K3,0)</f>
        <v>5</v>
      </c>
      <c r="M3" s="387">
        <f>L3*J3</f>
        <v>3250</v>
      </c>
      <c r="N3" s="388">
        <f>ROUND(M3/E3,2)</f>
        <v>1.1599999999999999</v>
      </c>
      <c r="O3" s="389">
        <f>$O$2</f>
        <v>250</v>
      </c>
      <c r="P3" s="389" t="str">
        <f>$P$2</f>
        <v>3D</v>
      </c>
      <c r="Q3" s="390">
        <f>VLOOKUP(B3&amp;C3,PIERSECTION!Q:T,2,0)</f>
        <v>41.38</v>
      </c>
      <c r="R3" s="390">
        <f>VLOOKUP(B3&amp;C3,PIERSECTION!Q:T,3,0)</f>
        <v>9.3350000000000009</v>
      </c>
      <c r="S3" s="391">
        <f>VLOOKUP(B3&amp;C3,PIERSECTION!Q:T,4,0)</f>
        <v>0</v>
      </c>
    </row>
    <row r="4" spans="1:30" ht="15" customHeight="1">
      <c r="A4" s="381">
        <v>2</v>
      </c>
      <c r="B4" s="381" t="s">
        <v>163</v>
      </c>
      <c r="C4" s="381" t="s">
        <v>167</v>
      </c>
      <c r="D4" s="381" t="s">
        <v>166</v>
      </c>
      <c r="E4" s="382">
        <v>960.68068685583</v>
      </c>
      <c r="F4" s="382">
        <v>-114.61201695594301</v>
      </c>
      <c r="G4" s="382">
        <v>-55.565523824127602</v>
      </c>
      <c r="H4" s="383">
        <f t="shared" ref="H4:H41" si="0">$H$2</f>
        <v>500</v>
      </c>
      <c r="I4" s="384" t="str">
        <f t="shared" ref="I4:I41" si="1">$I$2</f>
        <v>KN1</v>
      </c>
      <c r="J4" s="381">
        <f t="shared" ref="J4:J41" si="2">$J$2</f>
        <v>650</v>
      </c>
      <c r="K4" s="385">
        <f t="shared" ref="K4:K41" si="3">$K$2</f>
        <v>1.1000000000000001</v>
      </c>
      <c r="L4" s="386">
        <f t="shared" ref="L4:L41" si="4">ROUNDUP(E4/J4*K4,0)</f>
        <v>2</v>
      </c>
      <c r="M4" s="387">
        <f t="shared" ref="M4:M41" si="5">L4*J4</f>
        <v>1300</v>
      </c>
      <c r="N4" s="388">
        <f>ROUND(M4/E4,2)</f>
        <v>1.35</v>
      </c>
      <c r="O4" s="389">
        <f t="shared" ref="O4:O41" si="6">$O$2</f>
        <v>250</v>
      </c>
      <c r="P4" s="389" t="str">
        <f t="shared" ref="P4:P41" si="7">$P$2</f>
        <v>3D</v>
      </c>
      <c r="Q4" s="390">
        <f>VLOOKUP(B4&amp;C4,PIERSECTION!Q:T,2,0)</f>
        <v>0</v>
      </c>
      <c r="R4" s="390">
        <f>VLOOKUP(B4&amp;C4,PIERSECTION!Q:T,3,0)</f>
        <v>21.2</v>
      </c>
      <c r="S4" s="391">
        <f>VLOOKUP(B4&amp;C4,PIERSECTION!Q:T,4,0)</f>
        <v>0</v>
      </c>
    </row>
    <row r="5" spans="1:30">
      <c r="A5" s="381">
        <v>3</v>
      </c>
      <c r="B5" s="381" t="s">
        <v>163</v>
      </c>
      <c r="C5" s="381" t="s">
        <v>168</v>
      </c>
      <c r="D5" s="381" t="s">
        <v>166</v>
      </c>
      <c r="E5" s="382">
        <v>385.14980690100202</v>
      </c>
      <c r="F5" s="382">
        <v>-8.1139484447272494</v>
      </c>
      <c r="G5" s="382">
        <v>-4.8219643229989497</v>
      </c>
      <c r="H5" s="383">
        <f t="shared" si="0"/>
        <v>500</v>
      </c>
      <c r="I5" s="384" t="str">
        <f t="shared" si="1"/>
        <v>KN1</v>
      </c>
      <c r="J5" s="381">
        <f t="shared" si="2"/>
        <v>650</v>
      </c>
      <c r="K5" s="385">
        <f t="shared" si="3"/>
        <v>1.1000000000000001</v>
      </c>
      <c r="L5" s="386">
        <f t="shared" si="4"/>
        <v>1</v>
      </c>
      <c r="M5" s="387">
        <f t="shared" si="5"/>
        <v>650</v>
      </c>
      <c r="N5" s="388">
        <f t="shared" ref="N5:N41" si="8">ROUND(M5/E5,2)</f>
        <v>1.69</v>
      </c>
      <c r="O5" s="389">
        <f t="shared" si="6"/>
        <v>250</v>
      </c>
      <c r="P5" s="389" t="str">
        <f t="shared" si="7"/>
        <v>3D</v>
      </c>
      <c r="Q5" s="390">
        <f>VLOOKUP(B5&amp;C5,PIERSECTION!Q:T,2,0)</f>
        <v>45.48</v>
      </c>
      <c r="R5" s="390">
        <f>VLOOKUP(B5&amp;C5,PIERSECTION!Q:T,3,0)</f>
        <v>8.85</v>
      </c>
      <c r="S5" s="391">
        <f>VLOOKUP(B5&amp;C5,PIERSECTION!Q:T,4,0)</f>
        <v>0</v>
      </c>
    </row>
    <row r="6" spans="1:30">
      <c r="A6" s="381">
        <v>4</v>
      </c>
      <c r="B6" s="381" t="s">
        <v>163</v>
      </c>
      <c r="C6" s="381" t="s">
        <v>169</v>
      </c>
      <c r="D6" s="381" t="s">
        <v>166</v>
      </c>
      <c r="E6" s="382">
        <v>1204.2296676481201</v>
      </c>
      <c r="F6" s="382">
        <v>-161.80989651665899</v>
      </c>
      <c r="G6" s="382">
        <v>-29.326925361697</v>
      </c>
      <c r="H6" s="383">
        <f t="shared" si="0"/>
        <v>500</v>
      </c>
      <c r="I6" s="384" t="str">
        <f t="shared" si="1"/>
        <v>KN1</v>
      </c>
      <c r="J6" s="381">
        <f t="shared" si="2"/>
        <v>650</v>
      </c>
      <c r="K6" s="385">
        <f t="shared" si="3"/>
        <v>1.1000000000000001</v>
      </c>
      <c r="L6" s="386">
        <f t="shared" si="4"/>
        <v>3</v>
      </c>
      <c r="M6" s="387">
        <f t="shared" si="5"/>
        <v>1950</v>
      </c>
      <c r="N6" s="388">
        <f t="shared" si="8"/>
        <v>1.62</v>
      </c>
      <c r="O6" s="389">
        <f t="shared" si="6"/>
        <v>250</v>
      </c>
      <c r="P6" s="389" t="str">
        <f t="shared" si="7"/>
        <v>3D</v>
      </c>
      <c r="Q6" s="390">
        <f>VLOOKUP(B6&amp;C6,PIERSECTION!Q:T,2,0)</f>
        <v>47.58</v>
      </c>
      <c r="R6" s="390">
        <f>VLOOKUP(B6&amp;C6,PIERSECTION!Q:T,3,0)</f>
        <v>8.85</v>
      </c>
      <c r="S6" s="391">
        <f>VLOOKUP(B6&amp;C6,PIERSECTION!Q:T,4,0)</f>
        <v>0</v>
      </c>
    </row>
    <row r="7" spans="1:30">
      <c r="A7" s="381">
        <v>5</v>
      </c>
      <c r="B7" s="381" t="s">
        <v>163</v>
      </c>
      <c r="C7" s="381" t="s">
        <v>170</v>
      </c>
      <c r="D7" s="381" t="s">
        <v>166</v>
      </c>
      <c r="E7" s="382">
        <v>350.40353494759199</v>
      </c>
      <c r="F7" s="382">
        <v>-16.838040749895701</v>
      </c>
      <c r="G7" s="382">
        <v>-6.5537085260106203</v>
      </c>
      <c r="H7" s="383">
        <f t="shared" si="0"/>
        <v>500</v>
      </c>
      <c r="I7" s="384" t="str">
        <f t="shared" si="1"/>
        <v>KN1</v>
      </c>
      <c r="J7" s="381">
        <f t="shared" si="2"/>
        <v>650</v>
      </c>
      <c r="K7" s="385">
        <f t="shared" si="3"/>
        <v>1.1000000000000001</v>
      </c>
      <c r="L7" s="386">
        <f t="shared" si="4"/>
        <v>1</v>
      </c>
      <c r="M7" s="387">
        <f t="shared" si="5"/>
        <v>650</v>
      </c>
      <c r="N7" s="388">
        <f t="shared" si="8"/>
        <v>1.86</v>
      </c>
      <c r="O7" s="389">
        <f t="shared" si="6"/>
        <v>250</v>
      </c>
      <c r="P7" s="389" t="str">
        <f t="shared" si="7"/>
        <v>3D</v>
      </c>
      <c r="Q7" s="390">
        <f>VLOOKUP(B7&amp;C7,PIERSECTION!Q:T,2,0)</f>
        <v>-3.35</v>
      </c>
      <c r="R7" s="390">
        <f>VLOOKUP(B7&amp;C7,PIERSECTION!Q:T,3,0)</f>
        <v>14</v>
      </c>
      <c r="S7" s="391">
        <f>VLOOKUP(B7&amp;C7,PIERSECTION!Q:T,4,0)</f>
        <v>0</v>
      </c>
    </row>
    <row r="8" spans="1:30">
      <c r="A8" s="381">
        <v>6</v>
      </c>
      <c r="B8" s="381" t="s">
        <v>163</v>
      </c>
      <c r="C8" s="381" t="s">
        <v>171</v>
      </c>
      <c r="D8" s="381" t="s">
        <v>166</v>
      </c>
      <c r="E8" s="382">
        <v>1404.24372401458</v>
      </c>
      <c r="F8" s="382">
        <v>-85.477019358718906</v>
      </c>
      <c r="G8" s="382">
        <v>-80.4096158294888</v>
      </c>
      <c r="H8" s="383">
        <f t="shared" si="0"/>
        <v>500</v>
      </c>
      <c r="I8" s="384" t="str">
        <f t="shared" si="1"/>
        <v>KN1</v>
      </c>
      <c r="J8" s="381">
        <f t="shared" si="2"/>
        <v>650</v>
      </c>
      <c r="K8" s="385">
        <f t="shared" si="3"/>
        <v>1.1000000000000001</v>
      </c>
      <c r="L8" s="386">
        <f t="shared" si="4"/>
        <v>3</v>
      </c>
      <c r="M8" s="387">
        <f t="shared" si="5"/>
        <v>1950</v>
      </c>
      <c r="N8" s="388">
        <f t="shared" si="8"/>
        <v>1.39</v>
      </c>
      <c r="O8" s="389">
        <f t="shared" si="6"/>
        <v>250</v>
      </c>
      <c r="P8" s="389" t="str">
        <f t="shared" si="7"/>
        <v>3D</v>
      </c>
      <c r="Q8" s="390">
        <f>VLOOKUP(B8&amp;C8,PIERSECTION!Q:T,2,0)</f>
        <v>0</v>
      </c>
      <c r="R8" s="390">
        <f>VLOOKUP(B8&amp;C8,PIERSECTION!Q:T,3,0)</f>
        <v>10.74</v>
      </c>
      <c r="S8" s="391">
        <f>VLOOKUP(B8&amp;C8,PIERSECTION!Q:T,4,0)</f>
        <v>0</v>
      </c>
    </row>
    <row r="9" spans="1:30">
      <c r="A9" s="381">
        <v>7</v>
      </c>
      <c r="B9" s="381" t="s">
        <v>163</v>
      </c>
      <c r="C9" s="381" t="s">
        <v>172</v>
      </c>
      <c r="D9" s="381" t="s">
        <v>166</v>
      </c>
      <c r="E9" s="382">
        <v>316.080950247879</v>
      </c>
      <c r="F9" s="382">
        <v>-18.848417337461601</v>
      </c>
      <c r="G9" s="382">
        <v>-6.47789502864073</v>
      </c>
      <c r="H9" s="383">
        <f t="shared" si="0"/>
        <v>500</v>
      </c>
      <c r="I9" s="384" t="str">
        <f t="shared" si="1"/>
        <v>KN1</v>
      </c>
      <c r="J9" s="381">
        <f t="shared" si="2"/>
        <v>650</v>
      </c>
      <c r="K9" s="385">
        <f t="shared" si="3"/>
        <v>1.1000000000000001</v>
      </c>
      <c r="L9" s="386">
        <f t="shared" si="4"/>
        <v>1</v>
      </c>
      <c r="M9" s="387">
        <f t="shared" si="5"/>
        <v>650</v>
      </c>
      <c r="N9" s="388">
        <f t="shared" si="8"/>
        <v>2.06</v>
      </c>
      <c r="O9" s="389">
        <f t="shared" si="6"/>
        <v>250</v>
      </c>
      <c r="P9" s="389" t="str">
        <f t="shared" si="7"/>
        <v>3D</v>
      </c>
      <c r="Q9" s="390">
        <f>VLOOKUP(B9&amp;C9,PIERSECTION!Q:T,2,0)</f>
        <v>-3.35</v>
      </c>
      <c r="R9" s="390">
        <f>VLOOKUP(B9&amp;C9,PIERSECTION!Q:T,3,0)</f>
        <v>10.74</v>
      </c>
      <c r="S9" s="391">
        <f>VLOOKUP(B9&amp;C9,PIERSECTION!Q:T,4,0)</f>
        <v>0</v>
      </c>
    </row>
    <row r="10" spans="1:30">
      <c r="A10" s="381">
        <v>8</v>
      </c>
      <c r="B10" s="381" t="s">
        <v>163</v>
      </c>
      <c r="C10" s="381" t="s">
        <v>173</v>
      </c>
      <c r="D10" s="381" t="s">
        <v>166</v>
      </c>
      <c r="E10" s="382">
        <v>1003.89411499329</v>
      </c>
      <c r="F10" s="382">
        <v>-100.99750448330499</v>
      </c>
      <c r="G10" s="382">
        <v>-50.113304392661703</v>
      </c>
      <c r="H10" s="383">
        <f t="shared" si="0"/>
        <v>500</v>
      </c>
      <c r="I10" s="384" t="str">
        <f t="shared" si="1"/>
        <v>KN1</v>
      </c>
      <c r="J10" s="381">
        <f t="shared" si="2"/>
        <v>650</v>
      </c>
      <c r="K10" s="385">
        <f t="shared" si="3"/>
        <v>1.1000000000000001</v>
      </c>
      <c r="L10" s="386">
        <f t="shared" si="4"/>
        <v>2</v>
      </c>
      <c r="M10" s="387">
        <f t="shared" si="5"/>
        <v>1300</v>
      </c>
      <c r="N10" s="388">
        <f t="shared" si="8"/>
        <v>1.29</v>
      </c>
      <c r="O10" s="389">
        <f t="shared" si="6"/>
        <v>250</v>
      </c>
      <c r="P10" s="389" t="str">
        <f t="shared" si="7"/>
        <v>3D</v>
      </c>
      <c r="Q10" s="390">
        <f>VLOOKUP(B10&amp;C10,PIERSECTION!Q:T,2,0)</f>
        <v>26.1</v>
      </c>
      <c r="R10" s="390">
        <f>VLOOKUP(B10&amp;C10,PIERSECTION!Q:T,3,0)</f>
        <v>1.45</v>
      </c>
      <c r="S10" s="391">
        <f>VLOOKUP(B10&amp;C10,PIERSECTION!Q:T,4,0)</f>
        <v>77</v>
      </c>
    </row>
    <row r="11" spans="1:30">
      <c r="A11" s="381">
        <v>9</v>
      </c>
      <c r="B11" s="381" t="s">
        <v>163</v>
      </c>
      <c r="C11" s="381" t="s">
        <v>174</v>
      </c>
      <c r="D11" s="381" t="s">
        <v>166</v>
      </c>
      <c r="E11" s="382">
        <v>1103.0835191162901</v>
      </c>
      <c r="F11" s="382">
        <v>-116.983365093681</v>
      </c>
      <c r="G11" s="382">
        <v>-43.6739503738183</v>
      </c>
      <c r="H11" s="383">
        <f t="shared" si="0"/>
        <v>500</v>
      </c>
      <c r="I11" s="384" t="str">
        <f t="shared" si="1"/>
        <v>KN1</v>
      </c>
      <c r="J11" s="381">
        <f t="shared" si="2"/>
        <v>650</v>
      </c>
      <c r="K11" s="385">
        <f t="shared" si="3"/>
        <v>1.1000000000000001</v>
      </c>
      <c r="L11" s="386">
        <f t="shared" si="4"/>
        <v>2</v>
      </c>
      <c r="M11" s="387">
        <f t="shared" si="5"/>
        <v>1300</v>
      </c>
      <c r="N11" s="388">
        <f t="shared" si="8"/>
        <v>1.18</v>
      </c>
      <c r="O11" s="389">
        <f t="shared" si="6"/>
        <v>250</v>
      </c>
      <c r="P11" s="389" t="str">
        <f t="shared" si="7"/>
        <v>3D</v>
      </c>
      <c r="Q11" s="390">
        <f>VLOOKUP(B11&amp;C11,PIERSECTION!Q:T,2,0)</f>
        <v>47.58</v>
      </c>
      <c r="R11" s="390">
        <f>VLOOKUP(B11&amp;C11,PIERSECTION!Q:T,3,0)</f>
        <v>5.58</v>
      </c>
      <c r="S11" s="391">
        <f>VLOOKUP(B11&amp;C11,PIERSECTION!Q:T,4,0)</f>
        <v>0</v>
      </c>
    </row>
    <row r="12" spans="1:30">
      <c r="A12" s="381">
        <v>10</v>
      </c>
      <c r="B12" s="381" t="s">
        <v>163</v>
      </c>
      <c r="C12" s="381" t="s">
        <v>175</v>
      </c>
      <c r="D12" s="381" t="s">
        <v>166</v>
      </c>
      <c r="E12" s="382">
        <v>2155.3676021830302</v>
      </c>
      <c r="F12" s="382">
        <v>-108.821413827727</v>
      </c>
      <c r="G12" s="382">
        <v>-54.4797189975734</v>
      </c>
      <c r="H12" s="383">
        <f t="shared" si="0"/>
        <v>500</v>
      </c>
      <c r="I12" s="384" t="str">
        <f t="shared" si="1"/>
        <v>KN1</v>
      </c>
      <c r="J12" s="381">
        <f t="shared" si="2"/>
        <v>650</v>
      </c>
      <c r="K12" s="385">
        <f t="shared" si="3"/>
        <v>1.1000000000000001</v>
      </c>
      <c r="L12" s="386">
        <f t="shared" si="4"/>
        <v>4</v>
      </c>
      <c r="M12" s="387">
        <f t="shared" si="5"/>
        <v>2600</v>
      </c>
      <c r="N12" s="388">
        <f t="shared" si="8"/>
        <v>1.21</v>
      </c>
      <c r="O12" s="389">
        <f t="shared" si="6"/>
        <v>250</v>
      </c>
      <c r="P12" s="389" t="str">
        <f t="shared" si="7"/>
        <v>3D</v>
      </c>
      <c r="Q12" s="390">
        <f>VLOOKUP(B12&amp;C12,PIERSECTION!Q:T,2,0)</f>
        <v>5.5</v>
      </c>
      <c r="R12" s="390">
        <f>VLOOKUP(B12&amp;C12,PIERSECTION!Q:T,3,0)</f>
        <v>21.2</v>
      </c>
      <c r="S12" s="391">
        <f>VLOOKUP(B12&amp;C12,PIERSECTION!Q:T,4,0)</f>
        <v>0</v>
      </c>
    </row>
    <row r="13" spans="1:30">
      <c r="A13" s="381">
        <v>11</v>
      </c>
      <c r="B13" s="381" t="s">
        <v>163</v>
      </c>
      <c r="C13" s="381" t="s">
        <v>176</v>
      </c>
      <c r="D13" s="381" t="s">
        <v>166</v>
      </c>
      <c r="E13" s="382">
        <v>2467.5105539821102</v>
      </c>
      <c r="F13" s="382">
        <v>-111.89732728892901</v>
      </c>
      <c r="G13" s="382">
        <v>-52.746531195763602</v>
      </c>
      <c r="H13" s="383">
        <f t="shared" si="0"/>
        <v>500</v>
      </c>
      <c r="I13" s="384" t="str">
        <f t="shared" si="1"/>
        <v>KN1</v>
      </c>
      <c r="J13" s="381">
        <f t="shared" si="2"/>
        <v>650</v>
      </c>
      <c r="K13" s="385">
        <f t="shared" si="3"/>
        <v>1.1000000000000001</v>
      </c>
      <c r="L13" s="386">
        <f t="shared" si="4"/>
        <v>5</v>
      </c>
      <c r="M13" s="387">
        <f t="shared" si="5"/>
        <v>3250</v>
      </c>
      <c r="N13" s="388">
        <f t="shared" si="8"/>
        <v>1.32</v>
      </c>
      <c r="O13" s="389">
        <f t="shared" si="6"/>
        <v>250</v>
      </c>
      <c r="P13" s="389" t="str">
        <f t="shared" si="7"/>
        <v>3D</v>
      </c>
      <c r="Q13" s="390">
        <f>VLOOKUP(B13&amp;C13,PIERSECTION!Q:T,2,0)</f>
        <v>11.5</v>
      </c>
      <c r="R13" s="390">
        <f>VLOOKUP(B13&amp;C13,PIERSECTION!Q:T,3,0)</f>
        <v>21.2</v>
      </c>
      <c r="S13" s="391">
        <f>VLOOKUP(B13&amp;C13,PIERSECTION!Q:T,4,0)</f>
        <v>0</v>
      </c>
    </row>
    <row r="14" spans="1:30">
      <c r="A14" s="381">
        <v>12</v>
      </c>
      <c r="B14" s="381" t="s">
        <v>163</v>
      </c>
      <c r="C14" s="381" t="s">
        <v>177</v>
      </c>
      <c r="D14" s="381" t="s">
        <v>166</v>
      </c>
      <c r="E14" s="382">
        <v>1584.3093925805799</v>
      </c>
      <c r="F14" s="382">
        <v>-139.834078738399</v>
      </c>
      <c r="G14" s="382">
        <v>-58.146651166178103</v>
      </c>
      <c r="H14" s="383">
        <f t="shared" si="0"/>
        <v>500</v>
      </c>
      <c r="I14" s="384" t="str">
        <f t="shared" si="1"/>
        <v>KN1</v>
      </c>
      <c r="J14" s="381">
        <f t="shared" si="2"/>
        <v>650</v>
      </c>
      <c r="K14" s="385">
        <f t="shared" si="3"/>
        <v>1.1000000000000001</v>
      </c>
      <c r="L14" s="386">
        <f t="shared" si="4"/>
        <v>3</v>
      </c>
      <c r="M14" s="387">
        <f t="shared" si="5"/>
        <v>1950</v>
      </c>
      <c r="N14" s="388">
        <f t="shared" si="8"/>
        <v>1.23</v>
      </c>
      <c r="O14" s="389">
        <f t="shared" si="6"/>
        <v>250</v>
      </c>
      <c r="P14" s="389" t="str">
        <f t="shared" si="7"/>
        <v>3D</v>
      </c>
      <c r="Q14" s="390">
        <f>VLOOKUP(B14&amp;C14,PIERSECTION!Q:T,2,0)</f>
        <v>0</v>
      </c>
      <c r="R14" s="390">
        <f>VLOOKUP(B14&amp;C14,PIERSECTION!Q:T,3,0)</f>
        <v>14</v>
      </c>
      <c r="S14" s="391">
        <f>VLOOKUP(B14&amp;C14,PIERSECTION!Q:T,4,0)</f>
        <v>0</v>
      </c>
    </row>
    <row r="15" spans="1:30">
      <c r="A15" s="381">
        <v>13</v>
      </c>
      <c r="B15" s="381" t="s">
        <v>163</v>
      </c>
      <c r="C15" s="381" t="s">
        <v>178</v>
      </c>
      <c r="D15" s="381" t="s">
        <v>166</v>
      </c>
      <c r="E15" s="382">
        <v>835.42734693654097</v>
      </c>
      <c r="F15" s="382">
        <v>-136.10106624189399</v>
      </c>
      <c r="G15" s="382">
        <v>-49.683212364488597</v>
      </c>
      <c r="H15" s="383">
        <f t="shared" si="0"/>
        <v>500</v>
      </c>
      <c r="I15" s="384" t="str">
        <f t="shared" si="1"/>
        <v>KN1</v>
      </c>
      <c r="J15" s="381">
        <f t="shared" si="2"/>
        <v>650</v>
      </c>
      <c r="K15" s="385">
        <f t="shared" si="3"/>
        <v>1.1000000000000001</v>
      </c>
      <c r="L15" s="386">
        <f t="shared" si="4"/>
        <v>2</v>
      </c>
      <c r="M15" s="387">
        <f t="shared" si="5"/>
        <v>1300</v>
      </c>
      <c r="N15" s="388">
        <f t="shared" si="8"/>
        <v>1.56</v>
      </c>
      <c r="O15" s="389">
        <f t="shared" si="6"/>
        <v>250</v>
      </c>
      <c r="P15" s="389" t="str">
        <f t="shared" si="7"/>
        <v>3D</v>
      </c>
      <c r="Q15" s="390">
        <f>VLOOKUP(B15&amp;C15,PIERSECTION!Q:T,2,0)</f>
        <v>0</v>
      </c>
      <c r="R15" s="390">
        <f>VLOOKUP(B15&amp;C15,PIERSECTION!Q:T,3,0)</f>
        <v>0</v>
      </c>
      <c r="S15" s="391">
        <f>VLOOKUP(B15&amp;C15,PIERSECTION!Q:T,4,0)</f>
        <v>0</v>
      </c>
    </row>
    <row r="16" spans="1:30">
      <c r="A16" s="381">
        <v>14</v>
      </c>
      <c r="B16" s="381" t="s">
        <v>163</v>
      </c>
      <c r="C16" s="381" t="s">
        <v>179</v>
      </c>
      <c r="D16" s="381" t="s">
        <v>166</v>
      </c>
      <c r="E16" s="382">
        <v>1663.6216698820599</v>
      </c>
      <c r="F16" s="382">
        <v>-148.38100991383601</v>
      </c>
      <c r="G16" s="382">
        <v>-46.449677876241502</v>
      </c>
      <c r="H16" s="383">
        <f t="shared" si="0"/>
        <v>500</v>
      </c>
      <c r="I16" s="384" t="str">
        <f t="shared" si="1"/>
        <v>KN1</v>
      </c>
      <c r="J16" s="381">
        <f t="shared" si="2"/>
        <v>650</v>
      </c>
      <c r="K16" s="385">
        <f t="shared" si="3"/>
        <v>1.1000000000000001</v>
      </c>
      <c r="L16" s="386">
        <f t="shared" si="4"/>
        <v>3</v>
      </c>
      <c r="M16" s="387">
        <f t="shared" si="5"/>
        <v>1950</v>
      </c>
      <c r="N16" s="388">
        <f t="shared" si="8"/>
        <v>1.17</v>
      </c>
      <c r="O16" s="389">
        <f t="shared" si="6"/>
        <v>250</v>
      </c>
      <c r="P16" s="389" t="str">
        <f t="shared" si="7"/>
        <v>3D</v>
      </c>
      <c r="Q16" s="390">
        <f>VLOOKUP(B16&amp;C16,PIERSECTION!Q:T,2,0)</f>
        <v>5.5</v>
      </c>
      <c r="R16" s="390">
        <f>VLOOKUP(B16&amp;C16,PIERSECTION!Q:T,3,0)</f>
        <v>0</v>
      </c>
      <c r="S16" s="391">
        <f>VLOOKUP(B16&amp;C16,PIERSECTION!Q:T,4,0)</f>
        <v>0</v>
      </c>
    </row>
    <row r="17" spans="1:19">
      <c r="A17" s="381">
        <v>15</v>
      </c>
      <c r="B17" s="381" t="s">
        <v>163</v>
      </c>
      <c r="C17" s="381" t="s">
        <v>180</v>
      </c>
      <c r="D17" s="381" t="s">
        <v>166</v>
      </c>
      <c r="E17" s="382">
        <v>1637.31895854193</v>
      </c>
      <c r="F17" s="382">
        <v>-144.379060299976</v>
      </c>
      <c r="G17" s="382">
        <v>-45.337995374916098</v>
      </c>
      <c r="H17" s="383">
        <f t="shared" si="0"/>
        <v>500</v>
      </c>
      <c r="I17" s="384" t="str">
        <f t="shared" si="1"/>
        <v>KN1</v>
      </c>
      <c r="J17" s="381">
        <f t="shared" si="2"/>
        <v>650</v>
      </c>
      <c r="K17" s="385">
        <f t="shared" si="3"/>
        <v>1.1000000000000001</v>
      </c>
      <c r="L17" s="386">
        <f t="shared" si="4"/>
        <v>3</v>
      </c>
      <c r="M17" s="387">
        <f t="shared" si="5"/>
        <v>1950</v>
      </c>
      <c r="N17" s="388">
        <f t="shared" si="8"/>
        <v>1.19</v>
      </c>
      <c r="O17" s="389">
        <f t="shared" si="6"/>
        <v>250</v>
      </c>
      <c r="P17" s="389" t="str">
        <f t="shared" si="7"/>
        <v>3D</v>
      </c>
      <c r="Q17" s="390">
        <f>VLOOKUP(B17&amp;C17,PIERSECTION!Q:T,2,0)</f>
        <v>11.5</v>
      </c>
      <c r="R17" s="390">
        <f>VLOOKUP(B17&amp;C17,PIERSECTION!Q:T,3,0)</f>
        <v>0</v>
      </c>
      <c r="S17" s="391">
        <f>VLOOKUP(B17&amp;C17,PIERSECTION!Q:T,4,0)</f>
        <v>0</v>
      </c>
    </row>
    <row r="18" spans="1:19">
      <c r="A18" s="381">
        <v>16</v>
      </c>
      <c r="B18" s="381" t="s">
        <v>163</v>
      </c>
      <c r="C18" s="381" t="s">
        <v>181</v>
      </c>
      <c r="D18" s="381" t="s">
        <v>166</v>
      </c>
      <c r="E18" s="382">
        <v>1125.4288904784501</v>
      </c>
      <c r="F18" s="382">
        <v>-131.084783560424</v>
      </c>
      <c r="G18" s="382">
        <v>-36.258840325291601</v>
      </c>
      <c r="H18" s="383">
        <f t="shared" si="0"/>
        <v>500</v>
      </c>
      <c r="I18" s="384" t="str">
        <f t="shared" si="1"/>
        <v>KN1</v>
      </c>
      <c r="J18" s="381">
        <f t="shared" si="2"/>
        <v>650</v>
      </c>
      <c r="K18" s="385">
        <f t="shared" si="3"/>
        <v>1.1000000000000001</v>
      </c>
      <c r="L18" s="386">
        <f t="shared" si="4"/>
        <v>2</v>
      </c>
      <c r="M18" s="387">
        <f t="shared" si="5"/>
        <v>1300</v>
      </c>
      <c r="N18" s="388">
        <f t="shared" si="8"/>
        <v>1.1599999999999999</v>
      </c>
      <c r="O18" s="389">
        <f t="shared" si="6"/>
        <v>250</v>
      </c>
      <c r="P18" s="389" t="str">
        <f t="shared" si="7"/>
        <v>3D</v>
      </c>
      <c r="Q18" s="390">
        <f>VLOOKUP(B18&amp;C18,PIERSECTION!Q:T,2,0)</f>
        <v>17</v>
      </c>
      <c r="R18" s="390">
        <f>VLOOKUP(B18&amp;C18,PIERSECTION!Q:T,3,0)</f>
        <v>0</v>
      </c>
      <c r="S18" s="391">
        <f>VLOOKUP(B18&amp;C18,PIERSECTION!Q:T,4,0)</f>
        <v>0</v>
      </c>
    </row>
    <row r="19" spans="1:19">
      <c r="A19" s="381">
        <v>17</v>
      </c>
      <c r="B19" s="381" t="s">
        <v>163</v>
      </c>
      <c r="C19" s="381" t="s">
        <v>182</v>
      </c>
      <c r="D19" s="381" t="s">
        <v>166</v>
      </c>
      <c r="E19" s="382">
        <v>2433.69002022417</v>
      </c>
      <c r="F19" s="382">
        <v>-95.730559763258896</v>
      </c>
      <c r="G19" s="382">
        <v>-66.376591841001996</v>
      </c>
      <c r="H19" s="383">
        <f t="shared" si="0"/>
        <v>500</v>
      </c>
      <c r="I19" s="384" t="str">
        <f t="shared" si="1"/>
        <v>KN1</v>
      </c>
      <c r="J19" s="381">
        <f t="shared" si="2"/>
        <v>650</v>
      </c>
      <c r="K19" s="385">
        <f t="shared" si="3"/>
        <v>1.1000000000000001</v>
      </c>
      <c r="L19" s="386">
        <f t="shared" si="4"/>
        <v>5</v>
      </c>
      <c r="M19" s="387">
        <f t="shared" si="5"/>
        <v>3250</v>
      </c>
      <c r="N19" s="388">
        <f t="shared" si="8"/>
        <v>1.34</v>
      </c>
      <c r="O19" s="389">
        <f t="shared" si="6"/>
        <v>250</v>
      </c>
      <c r="P19" s="389" t="str">
        <f t="shared" si="7"/>
        <v>3D</v>
      </c>
      <c r="Q19" s="390">
        <f>VLOOKUP(B19&amp;C19,PIERSECTION!Q:T,2,0)</f>
        <v>28.98</v>
      </c>
      <c r="R19" s="390">
        <f>VLOOKUP(B19&amp;C19,PIERSECTION!Q:T,3,0)</f>
        <v>14</v>
      </c>
      <c r="S19" s="391">
        <f>VLOOKUP(B19&amp;C19,PIERSECTION!Q:T,4,0)</f>
        <v>0</v>
      </c>
    </row>
    <row r="20" spans="1:19">
      <c r="A20" s="381">
        <v>18</v>
      </c>
      <c r="B20" s="381" t="s">
        <v>163</v>
      </c>
      <c r="C20" s="381" t="s">
        <v>183</v>
      </c>
      <c r="D20" s="381" t="s">
        <v>166</v>
      </c>
      <c r="E20" s="382">
        <v>3575.6293676555401</v>
      </c>
      <c r="F20" s="382">
        <v>-175.915492424489</v>
      </c>
      <c r="G20" s="382">
        <v>-95.8475085434455</v>
      </c>
      <c r="H20" s="383">
        <f t="shared" si="0"/>
        <v>500</v>
      </c>
      <c r="I20" s="384" t="str">
        <f t="shared" si="1"/>
        <v>KN1</v>
      </c>
      <c r="J20" s="381">
        <f t="shared" si="2"/>
        <v>650</v>
      </c>
      <c r="K20" s="385">
        <f t="shared" si="3"/>
        <v>1.1000000000000001</v>
      </c>
      <c r="L20" s="386">
        <f t="shared" si="4"/>
        <v>7</v>
      </c>
      <c r="M20" s="387">
        <f t="shared" si="5"/>
        <v>4550</v>
      </c>
      <c r="N20" s="388">
        <f t="shared" si="8"/>
        <v>1.27</v>
      </c>
      <c r="O20" s="389">
        <f t="shared" si="6"/>
        <v>250</v>
      </c>
      <c r="P20" s="389" t="str">
        <f t="shared" si="7"/>
        <v>3D</v>
      </c>
      <c r="Q20" s="390">
        <f>VLOOKUP(B20&amp;C20,PIERSECTION!Q:T,2,0)</f>
        <v>5.5</v>
      </c>
      <c r="R20" s="390">
        <f>VLOOKUP(B20&amp;C20,PIERSECTION!Q:T,3,0)</f>
        <v>6.5</v>
      </c>
      <c r="S20" s="391">
        <f>VLOOKUP(B20&amp;C20,PIERSECTION!Q:T,4,0)</f>
        <v>0</v>
      </c>
    </row>
    <row r="21" spans="1:19">
      <c r="A21" s="381">
        <v>19</v>
      </c>
      <c r="B21" s="381" t="s">
        <v>163</v>
      </c>
      <c r="C21" s="381" t="s">
        <v>184</v>
      </c>
      <c r="D21" s="381" t="s">
        <v>166</v>
      </c>
      <c r="E21" s="382">
        <v>3818.4483679433602</v>
      </c>
      <c r="F21" s="382">
        <v>-175.07750959730001</v>
      </c>
      <c r="G21" s="382">
        <v>-90.222063695191295</v>
      </c>
      <c r="H21" s="383">
        <f t="shared" si="0"/>
        <v>500</v>
      </c>
      <c r="I21" s="384" t="str">
        <f t="shared" si="1"/>
        <v>KN1</v>
      </c>
      <c r="J21" s="381">
        <f t="shared" si="2"/>
        <v>650</v>
      </c>
      <c r="K21" s="385">
        <f t="shared" si="3"/>
        <v>1.1000000000000001</v>
      </c>
      <c r="L21" s="386">
        <f t="shared" si="4"/>
        <v>7</v>
      </c>
      <c r="M21" s="387">
        <f t="shared" si="5"/>
        <v>4550</v>
      </c>
      <c r="N21" s="388">
        <f t="shared" si="8"/>
        <v>1.19</v>
      </c>
      <c r="O21" s="389">
        <f t="shared" si="6"/>
        <v>250</v>
      </c>
      <c r="P21" s="389" t="str">
        <f t="shared" si="7"/>
        <v>3D</v>
      </c>
      <c r="Q21" s="390">
        <f>VLOOKUP(B21&amp;C21,PIERSECTION!Q:T,2,0)</f>
        <v>11.5</v>
      </c>
      <c r="R21" s="390">
        <f>VLOOKUP(B21&amp;C21,PIERSECTION!Q:T,3,0)</f>
        <v>6.5</v>
      </c>
      <c r="S21" s="391">
        <f>VLOOKUP(B21&amp;C21,PIERSECTION!Q:T,4,0)</f>
        <v>0</v>
      </c>
    </row>
    <row r="22" spans="1:19">
      <c r="A22" s="381">
        <v>20</v>
      </c>
      <c r="B22" s="381" t="s">
        <v>163</v>
      </c>
      <c r="C22" s="381" t="s">
        <v>185</v>
      </c>
      <c r="D22" s="381" t="s">
        <v>166</v>
      </c>
      <c r="E22" s="382">
        <v>1399.46300345742</v>
      </c>
      <c r="F22" s="382">
        <v>-132.81752000804201</v>
      </c>
      <c r="G22" s="382">
        <v>-60.521417427583401</v>
      </c>
      <c r="H22" s="383">
        <f t="shared" si="0"/>
        <v>500</v>
      </c>
      <c r="I22" s="384" t="str">
        <f t="shared" si="1"/>
        <v>KN1</v>
      </c>
      <c r="J22" s="381">
        <f t="shared" si="2"/>
        <v>650</v>
      </c>
      <c r="K22" s="385">
        <f t="shared" si="3"/>
        <v>1.1000000000000001</v>
      </c>
      <c r="L22" s="386">
        <f t="shared" si="4"/>
        <v>3</v>
      </c>
      <c r="M22" s="387">
        <f t="shared" si="5"/>
        <v>1950</v>
      </c>
      <c r="N22" s="388">
        <f t="shared" si="8"/>
        <v>1.39</v>
      </c>
      <c r="O22" s="389">
        <f t="shared" si="6"/>
        <v>250</v>
      </c>
      <c r="P22" s="389" t="str">
        <f t="shared" si="7"/>
        <v>3D</v>
      </c>
      <c r="Q22" s="390">
        <f>VLOOKUP(B22&amp;C22,PIERSECTION!Q:T,2,0)</f>
        <v>0</v>
      </c>
      <c r="R22" s="390">
        <f>VLOOKUP(B22&amp;C22,PIERSECTION!Q:T,3,0)</f>
        <v>6.5</v>
      </c>
      <c r="S22" s="391">
        <f>VLOOKUP(B22&amp;C22,PIERSECTION!Q:T,4,0)</f>
        <v>0</v>
      </c>
    </row>
    <row r="23" spans="1:19">
      <c r="A23" s="381">
        <v>21</v>
      </c>
      <c r="B23" s="381" t="s">
        <v>163</v>
      </c>
      <c r="C23" s="381" t="s">
        <v>186</v>
      </c>
      <c r="D23" s="381" t="s">
        <v>166</v>
      </c>
      <c r="E23" s="382">
        <v>3830.24183493398</v>
      </c>
      <c r="F23" s="382">
        <v>-345.25225528614999</v>
      </c>
      <c r="G23" s="382">
        <v>-72.548222895277405</v>
      </c>
      <c r="H23" s="383">
        <f t="shared" si="0"/>
        <v>500</v>
      </c>
      <c r="I23" s="384" t="str">
        <f t="shared" si="1"/>
        <v>KN1</v>
      </c>
      <c r="J23" s="381">
        <f t="shared" si="2"/>
        <v>650</v>
      </c>
      <c r="K23" s="385">
        <f t="shared" si="3"/>
        <v>1.1000000000000001</v>
      </c>
      <c r="L23" s="386">
        <f t="shared" si="4"/>
        <v>7</v>
      </c>
      <c r="M23" s="387">
        <f t="shared" si="5"/>
        <v>4550</v>
      </c>
      <c r="N23" s="388">
        <f t="shared" si="8"/>
        <v>1.19</v>
      </c>
      <c r="O23" s="389">
        <f t="shared" si="6"/>
        <v>250</v>
      </c>
      <c r="P23" s="389" t="str">
        <f t="shared" si="7"/>
        <v>3D</v>
      </c>
      <c r="Q23" s="390">
        <f>VLOOKUP(B23&amp;C23,PIERSECTION!Q:T,2,0)</f>
        <v>5.5</v>
      </c>
      <c r="R23" s="390">
        <f>VLOOKUP(B23&amp;C23,PIERSECTION!Q:T,3,0)</f>
        <v>14</v>
      </c>
      <c r="S23" s="391">
        <f>VLOOKUP(B23&amp;C23,PIERSECTION!Q:T,4,0)</f>
        <v>0</v>
      </c>
    </row>
    <row r="24" spans="1:19">
      <c r="A24" s="381">
        <v>22</v>
      </c>
      <c r="B24" s="381" t="s">
        <v>163</v>
      </c>
      <c r="C24" s="381" t="s">
        <v>187</v>
      </c>
      <c r="D24" s="381" t="s">
        <v>166</v>
      </c>
      <c r="E24" s="382">
        <v>4863.7957469150897</v>
      </c>
      <c r="F24" s="382">
        <v>-333.11423316909401</v>
      </c>
      <c r="G24" s="382">
        <v>-77.170305276820599</v>
      </c>
      <c r="H24" s="383">
        <f t="shared" si="0"/>
        <v>500</v>
      </c>
      <c r="I24" s="384" t="str">
        <f t="shared" si="1"/>
        <v>KN1</v>
      </c>
      <c r="J24" s="381">
        <f t="shared" si="2"/>
        <v>650</v>
      </c>
      <c r="K24" s="385">
        <f t="shared" si="3"/>
        <v>1.1000000000000001</v>
      </c>
      <c r="L24" s="386">
        <f t="shared" si="4"/>
        <v>9</v>
      </c>
      <c r="M24" s="387">
        <f t="shared" si="5"/>
        <v>5850</v>
      </c>
      <c r="N24" s="388">
        <f t="shared" si="8"/>
        <v>1.2</v>
      </c>
      <c r="O24" s="389">
        <f t="shared" si="6"/>
        <v>250</v>
      </c>
      <c r="P24" s="389" t="str">
        <f t="shared" si="7"/>
        <v>3D</v>
      </c>
      <c r="Q24" s="390">
        <f>VLOOKUP(B24&amp;C24,PIERSECTION!Q:T,2,0)</f>
        <v>11.5</v>
      </c>
      <c r="R24" s="390">
        <f>VLOOKUP(B24&amp;C24,PIERSECTION!Q:T,3,0)</f>
        <v>14</v>
      </c>
      <c r="S24" s="391">
        <f>VLOOKUP(B24&amp;C24,PIERSECTION!Q:T,4,0)</f>
        <v>0</v>
      </c>
    </row>
    <row r="25" spans="1:19">
      <c r="A25" s="381">
        <v>23</v>
      </c>
      <c r="B25" s="381" t="s">
        <v>163</v>
      </c>
      <c r="C25" s="381" t="s">
        <v>188</v>
      </c>
      <c r="D25" s="381" t="s">
        <v>166</v>
      </c>
      <c r="E25" s="382">
        <v>3090.6122197192499</v>
      </c>
      <c r="F25" s="382">
        <v>-146.56482122512401</v>
      </c>
      <c r="G25" s="382">
        <v>-44.647010105349501</v>
      </c>
      <c r="H25" s="383">
        <f t="shared" si="0"/>
        <v>500</v>
      </c>
      <c r="I25" s="384" t="str">
        <f t="shared" si="1"/>
        <v>KN1</v>
      </c>
      <c r="J25" s="381">
        <f t="shared" si="2"/>
        <v>650</v>
      </c>
      <c r="K25" s="385">
        <f t="shared" si="3"/>
        <v>1.1000000000000001</v>
      </c>
      <c r="L25" s="386">
        <f t="shared" si="4"/>
        <v>6</v>
      </c>
      <c r="M25" s="387">
        <f t="shared" si="5"/>
        <v>3900</v>
      </c>
      <c r="N25" s="388">
        <f t="shared" si="8"/>
        <v>1.26</v>
      </c>
      <c r="O25" s="389">
        <f t="shared" si="6"/>
        <v>250</v>
      </c>
      <c r="P25" s="389" t="str">
        <f t="shared" si="7"/>
        <v>3D</v>
      </c>
      <c r="Q25" s="390">
        <f>VLOOKUP(B25&amp;C25,PIERSECTION!Q:T,2,0)</f>
        <v>17</v>
      </c>
      <c r="R25" s="390">
        <f>VLOOKUP(B25&amp;C25,PIERSECTION!Q:T,3,0)</f>
        <v>6.5</v>
      </c>
      <c r="S25" s="391">
        <f>VLOOKUP(B25&amp;C25,PIERSECTION!Q:T,4,0)</f>
        <v>0</v>
      </c>
    </row>
    <row r="26" spans="1:19">
      <c r="A26" s="381">
        <v>24</v>
      </c>
      <c r="B26" s="381" t="s">
        <v>163</v>
      </c>
      <c r="C26" s="381" t="s">
        <v>189</v>
      </c>
      <c r="D26" s="381" t="s">
        <v>166</v>
      </c>
      <c r="E26" s="382">
        <v>3175.1849551512</v>
      </c>
      <c r="F26" s="382">
        <v>-146.87332619253201</v>
      </c>
      <c r="G26" s="382">
        <v>-63.208653828444</v>
      </c>
      <c r="H26" s="383">
        <f t="shared" si="0"/>
        <v>500</v>
      </c>
      <c r="I26" s="384" t="str">
        <f t="shared" si="1"/>
        <v>KN1</v>
      </c>
      <c r="J26" s="381">
        <f t="shared" si="2"/>
        <v>650</v>
      </c>
      <c r="K26" s="385">
        <f t="shared" si="3"/>
        <v>1.1000000000000001</v>
      </c>
      <c r="L26" s="386">
        <f t="shared" si="4"/>
        <v>6</v>
      </c>
      <c r="M26" s="387">
        <f t="shared" si="5"/>
        <v>3900</v>
      </c>
      <c r="N26" s="388">
        <f t="shared" si="8"/>
        <v>1.23</v>
      </c>
      <c r="O26" s="389">
        <f t="shared" si="6"/>
        <v>250</v>
      </c>
      <c r="P26" s="389" t="str">
        <f t="shared" si="7"/>
        <v>3D</v>
      </c>
      <c r="Q26" s="390">
        <f>VLOOKUP(B26&amp;C26,PIERSECTION!Q:T,2,0)</f>
        <v>21</v>
      </c>
      <c r="R26" s="390">
        <f>VLOOKUP(B26&amp;C26,PIERSECTION!Q:T,3,0)</f>
        <v>6.5</v>
      </c>
      <c r="S26" s="391">
        <f>VLOOKUP(B26&amp;C26,PIERSECTION!Q:T,4,0)</f>
        <v>0</v>
      </c>
    </row>
    <row r="27" spans="1:19">
      <c r="A27" s="381">
        <v>25</v>
      </c>
      <c r="B27" s="381" t="s">
        <v>163</v>
      </c>
      <c r="C27" s="381" t="s">
        <v>190</v>
      </c>
      <c r="D27" s="381" t="s">
        <v>166</v>
      </c>
      <c r="E27" s="382">
        <v>3330.4873230442199</v>
      </c>
      <c r="F27" s="382">
        <v>-116.33672101859599</v>
      </c>
      <c r="G27" s="382">
        <v>-77.833339630119895</v>
      </c>
      <c r="H27" s="383">
        <f t="shared" si="0"/>
        <v>500</v>
      </c>
      <c r="I27" s="384" t="str">
        <f t="shared" si="1"/>
        <v>KN1</v>
      </c>
      <c r="J27" s="381">
        <f t="shared" si="2"/>
        <v>650</v>
      </c>
      <c r="K27" s="385">
        <f t="shared" si="3"/>
        <v>1.1000000000000001</v>
      </c>
      <c r="L27" s="386">
        <f t="shared" si="4"/>
        <v>6</v>
      </c>
      <c r="M27" s="387">
        <f t="shared" si="5"/>
        <v>3900</v>
      </c>
      <c r="N27" s="388">
        <f t="shared" si="8"/>
        <v>1.17</v>
      </c>
      <c r="O27" s="389">
        <f t="shared" si="6"/>
        <v>250</v>
      </c>
      <c r="P27" s="389" t="str">
        <f t="shared" si="7"/>
        <v>3D</v>
      </c>
      <c r="Q27" s="390">
        <f>VLOOKUP(B27&amp;C27,PIERSECTION!Q:T,2,0)</f>
        <v>21</v>
      </c>
      <c r="R27" s="390">
        <f>VLOOKUP(B27&amp;C27,PIERSECTION!Q:T,3,0)</f>
        <v>14</v>
      </c>
      <c r="S27" s="391">
        <f>VLOOKUP(B27&amp;C27,PIERSECTION!Q:T,4,0)</f>
        <v>0</v>
      </c>
    </row>
    <row r="28" spans="1:19">
      <c r="A28" s="381">
        <v>26</v>
      </c>
      <c r="B28" s="381" t="s">
        <v>163</v>
      </c>
      <c r="C28" s="381" t="s">
        <v>191</v>
      </c>
      <c r="D28" s="381" t="s">
        <v>166</v>
      </c>
      <c r="E28" s="382">
        <v>2173.3070903361099</v>
      </c>
      <c r="F28" s="382">
        <v>-31.661832067928</v>
      </c>
      <c r="G28" s="382">
        <v>-87.098008089047894</v>
      </c>
      <c r="H28" s="383">
        <f t="shared" si="0"/>
        <v>500</v>
      </c>
      <c r="I28" s="384" t="str">
        <f t="shared" si="1"/>
        <v>KN1</v>
      </c>
      <c r="J28" s="381">
        <f t="shared" si="2"/>
        <v>650</v>
      </c>
      <c r="K28" s="385">
        <f t="shared" si="3"/>
        <v>1.1000000000000001</v>
      </c>
      <c r="L28" s="386">
        <f t="shared" si="4"/>
        <v>4</v>
      </c>
      <c r="M28" s="387">
        <f t="shared" si="5"/>
        <v>2600</v>
      </c>
      <c r="N28" s="388">
        <f t="shared" si="8"/>
        <v>1.2</v>
      </c>
      <c r="O28" s="389">
        <f t="shared" si="6"/>
        <v>250</v>
      </c>
      <c r="P28" s="389" t="str">
        <f t="shared" si="7"/>
        <v>3D</v>
      </c>
      <c r="Q28" s="390">
        <f>VLOOKUP(B28&amp;C28,PIERSECTION!Q:T,2,0)</f>
        <v>15.95</v>
      </c>
      <c r="R28" s="390">
        <f>VLOOKUP(B28&amp;C28,PIERSECTION!Q:T,3,0)</f>
        <v>21.2</v>
      </c>
      <c r="S28" s="391">
        <f>VLOOKUP(B28&amp;C28,PIERSECTION!Q:T,4,0)</f>
        <v>0</v>
      </c>
    </row>
    <row r="29" spans="1:19">
      <c r="A29" s="381">
        <v>27</v>
      </c>
      <c r="B29" s="381" t="s">
        <v>163</v>
      </c>
      <c r="C29" s="381" t="s">
        <v>192</v>
      </c>
      <c r="D29" s="381" t="s">
        <v>166</v>
      </c>
      <c r="E29" s="382">
        <v>1028.94536357426</v>
      </c>
      <c r="F29" s="382">
        <v>-156.87668965668001</v>
      </c>
      <c r="G29" s="382">
        <v>-30.936696941325302</v>
      </c>
      <c r="H29" s="383">
        <f t="shared" si="0"/>
        <v>500</v>
      </c>
      <c r="I29" s="384" t="str">
        <f t="shared" si="1"/>
        <v>KN1</v>
      </c>
      <c r="J29" s="381">
        <f t="shared" si="2"/>
        <v>650</v>
      </c>
      <c r="K29" s="385">
        <f t="shared" si="3"/>
        <v>1.1000000000000001</v>
      </c>
      <c r="L29" s="386">
        <f t="shared" si="4"/>
        <v>2</v>
      </c>
      <c r="M29" s="387">
        <f t="shared" si="5"/>
        <v>1300</v>
      </c>
      <c r="N29" s="388">
        <f t="shared" si="8"/>
        <v>1.26</v>
      </c>
      <c r="O29" s="389">
        <f t="shared" si="6"/>
        <v>250</v>
      </c>
      <c r="P29" s="389" t="str">
        <f t="shared" si="7"/>
        <v>3D</v>
      </c>
      <c r="Q29" s="390">
        <f>VLOOKUP(B29&amp;C29,PIERSECTION!Q:T,2,0)</f>
        <v>21</v>
      </c>
      <c r="R29" s="390">
        <f>VLOOKUP(B29&amp;C29,PIERSECTION!Q:T,3,0)</f>
        <v>1.87</v>
      </c>
      <c r="S29" s="391">
        <f>VLOOKUP(B29&amp;C29,PIERSECTION!Q:T,4,0)</f>
        <v>0</v>
      </c>
    </row>
    <row r="30" spans="1:19">
      <c r="A30" s="381">
        <v>28</v>
      </c>
      <c r="B30" s="381" t="s">
        <v>163</v>
      </c>
      <c r="C30" s="381" t="s">
        <v>193</v>
      </c>
      <c r="D30" s="381" t="s">
        <v>166</v>
      </c>
      <c r="E30" s="382">
        <v>3136.1050090262102</v>
      </c>
      <c r="F30" s="382">
        <v>-79.145468596563902</v>
      </c>
      <c r="G30" s="382">
        <v>-55.247605440421403</v>
      </c>
      <c r="H30" s="383">
        <f t="shared" si="0"/>
        <v>500</v>
      </c>
      <c r="I30" s="384" t="str">
        <f t="shared" si="1"/>
        <v>KN1</v>
      </c>
      <c r="J30" s="381">
        <f t="shared" si="2"/>
        <v>650</v>
      </c>
      <c r="K30" s="385">
        <f t="shared" si="3"/>
        <v>1.1000000000000001</v>
      </c>
      <c r="L30" s="386">
        <f t="shared" si="4"/>
        <v>6</v>
      </c>
      <c r="M30" s="387">
        <f t="shared" si="5"/>
        <v>3900</v>
      </c>
      <c r="N30" s="388">
        <f t="shared" si="8"/>
        <v>1.24</v>
      </c>
      <c r="O30" s="389">
        <f t="shared" si="6"/>
        <v>250</v>
      </c>
      <c r="P30" s="389" t="str">
        <f t="shared" si="7"/>
        <v>3D</v>
      </c>
      <c r="Q30" s="390">
        <f>VLOOKUP(B30&amp;C30,PIERSECTION!Q:T,2,0)</f>
        <v>35.18</v>
      </c>
      <c r="R30" s="390">
        <f>VLOOKUP(B30&amp;C30,PIERSECTION!Q:T,3,0)</f>
        <v>14</v>
      </c>
      <c r="S30" s="391">
        <f>VLOOKUP(B30&amp;C30,PIERSECTION!Q:T,4,0)</f>
        <v>0</v>
      </c>
    </row>
    <row r="31" spans="1:19">
      <c r="A31" s="381">
        <v>29</v>
      </c>
      <c r="B31" s="381" t="s">
        <v>163</v>
      </c>
      <c r="C31" s="381" t="s">
        <v>194</v>
      </c>
      <c r="D31" s="381" t="s">
        <v>166</v>
      </c>
      <c r="E31" s="382">
        <v>1243.6286294111401</v>
      </c>
      <c r="F31" s="382">
        <v>-134.70717060083501</v>
      </c>
      <c r="G31" s="382">
        <v>-58.217612949323197</v>
      </c>
      <c r="H31" s="383">
        <f t="shared" si="0"/>
        <v>500</v>
      </c>
      <c r="I31" s="384" t="str">
        <f t="shared" si="1"/>
        <v>KN1</v>
      </c>
      <c r="J31" s="381">
        <f t="shared" si="2"/>
        <v>650</v>
      </c>
      <c r="K31" s="385">
        <f t="shared" si="3"/>
        <v>1.1000000000000001</v>
      </c>
      <c r="L31" s="386">
        <f t="shared" si="4"/>
        <v>3</v>
      </c>
      <c r="M31" s="387">
        <f t="shared" si="5"/>
        <v>1950</v>
      </c>
      <c r="N31" s="388">
        <f t="shared" si="8"/>
        <v>1.57</v>
      </c>
      <c r="O31" s="389">
        <f t="shared" si="6"/>
        <v>250</v>
      </c>
      <c r="P31" s="389" t="str">
        <f t="shared" si="7"/>
        <v>3D</v>
      </c>
      <c r="Q31" s="390">
        <f>VLOOKUP(B31&amp;C31,PIERSECTION!Q:T,2,0)</f>
        <v>28.98</v>
      </c>
      <c r="R31" s="390">
        <f>VLOOKUP(B31&amp;C31,PIERSECTION!Q:T,3,0)</f>
        <v>0</v>
      </c>
      <c r="S31" s="391">
        <f>VLOOKUP(B31&amp;C31,PIERSECTION!Q:T,4,0)</f>
        <v>0</v>
      </c>
    </row>
    <row r="32" spans="1:19">
      <c r="A32" s="381">
        <v>30</v>
      </c>
      <c r="B32" s="381" t="s">
        <v>163</v>
      </c>
      <c r="C32" s="381" t="s">
        <v>195</v>
      </c>
      <c r="D32" s="381" t="s">
        <v>166</v>
      </c>
      <c r="E32" s="382">
        <v>3040.9758622998202</v>
      </c>
      <c r="F32" s="382">
        <v>-178.59009394028499</v>
      </c>
      <c r="G32" s="382">
        <v>-50.824014893811302</v>
      </c>
      <c r="H32" s="383">
        <f t="shared" si="0"/>
        <v>500</v>
      </c>
      <c r="I32" s="384" t="str">
        <f t="shared" si="1"/>
        <v>KN1</v>
      </c>
      <c r="J32" s="381">
        <f t="shared" si="2"/>
        <v>650</v>
      </c>
      <c r="K32" s="385">
        <f t="shared" si="3"/>
        <v>1.1000000000000001</v>
      </c>
      <c r="L32" s="386">
        <f t="shared" si="4"/>
        <v>6</v>
      </c>
      <c r="M32" s="387">
        <f t="shared" si="5"/>
        <v>3900</v>
      </c>
      <c r="N32" s="388">
        <f t="shared" si="8"/>
        <v>1.28</v>
      </c>
      <c r="O32" s="389">
        <f t="shared" si="6"/>
        <v>250</v>
      </c>
      <c r="P32" s="389" t="str">
        <f t="shared" si="7"/>
        <v>3D</v>
      </c>
      <c r="Q32" s="390">
        <f>VLOOKUP(B32&amp;C32,PIERSECTION!Q:T,2,0)</f>
        <v>35.18</v>
      </c>
      <c r="R32" s="390">
        <f>VLOOKUP(B32&amp;C32,PIERSECTION!Q:T,3,0)</f>
        <v>0</v>
      </c>
      <c r="S32" s="391">
        <f>VLOOKUP(B32&amp;C32,PIERSECTION!Q:T,4,0)</f>
        <v>0</v>
      </c>
    </row>
    <row r="33" spans="1:19">
      <c r="A33" s="381">
        <v>31</v>
      </c>
      <c r="B33" s="381" t="s">
        <v>163</v>
      </c>
      <c r="C33" s="381" t="s">
        <v>196</v>
      </c>
      <c r="D33" s="381" t="s">
        <v>166</v>
      </c>
      <c r="E33" s="382">
        <v>2122.0663108837598</v>
      </c>
      <c r="F33" s="382">
        <v>-141.16081206575399</v>
      </c>
      <c r="G33" s="382">
        <v>-48.508683994445803</v>
      </c>
      <c r="H33" s="383">
        <f t="shared" si="0"/>
        <v>500</v>
      </c>
      <c r="I33" s="384" t="str">
        <f t="shared" si="1"/>
        <v>KN1</v>
      </c>
      <c r="J33" s="381">
        <f t="shared" si="2"/>
        <v>650</v>
      </c>
      <c r="K33" s="385">
        <f t="shared" si="3"/>
        <v>1.1000000000000001</v>
      </c>
      <c r="L33" s="386">
        <f t="shared" si="4"/>
        <v>4</v>
      </c>
      <c r="M33" s="387">
        <f t="shared" si="5"/>
        <v>2600</v>
      </c>
      <c r="N33" s="388">
        <f t="shared" si="8"/>
        <v>1.23</v>
      </c>
      <c r="O33" s="389">
        <f t="shared" si="6"/>
        <v>250</v>
      </c>
      <c r="P33" s="389" t="str">
        <f t="shared" si="7"/>
        <v>3D</v>
      </c>
      <c r="Q33" s="390">
        <f>VLOOKUP(B33&amp;C33,PIERSECTION!Q:T,2,0)</f>
        <v>41.38</v>
      </c>
      <c r="R33" s="390">
        <f>VLOOKUP(B33&amp;C33,PIERSECTION!Q:T,3,0)</f>
        <v>0</v>
      </c>
      <c r="S33" s="391">
        <f>VLOOKUP(B33&amp;C33,PIERSECTION!Q:T,4,0)</f>
        <v>0</v>
      </c>
    </row>
    <row r="34" spans="1:19">
      <c r="A34" s="381">
        <v>32</v>
      </c>
      <c r="B34" s="381" t="s">
        <v>163</v>
      </c>
      <c r="C34" s="381" t="s">
        <v>197</v>
      </c>
      <c r="D34" s="381" t="s">
        <v>166</v>
      </c>
      <c r="E34" s="382">
        <v>1041.26813379394</v>
      </c>
      <c r="F34" s="382">
        <v>-118.712855540912</v>
      </c>
      <c r="G34" s="382">
        <v>-38.513030693758601</v>
      </c>
      <c r="H34" s="383">
        <f t="shared" si="0"/>
        <v>500</v>
      </c>
      <c r="I34" s="384" t="str">
        <f t="shared" si="1"/>
        <v>KN1</v>
      </c>
      <c r="J34" s="381">
        <f t="shared" si="2"/>
        <v>650</v>
      </c>
      <c r="K34" s="385">
        <f t="shared" si="3"/>
        <v>1.1000000000000001</v>
      </c>
      <c r="L34" s="386">
        <f t="shared" si="4"/>
        <v>2</v>
      </c>
      <c r="M34" s="387">
        <f t="shared" si="5"/>
        <v>1300</v>
      </c>
      <c r="N34" s="388">
        <f t="shared" si="8"/>
        <v>1.25</v>
      </c>
      <c r="O34" s="389">
        <f t="shared" si="6"/>
        <v>250</v>
      </c>
      <c r="P34" s="389" t="str">
        <f t="shared" si="7"/>
        <v>3D</v>
      </c>
      <c r="Q34" s="390">
        <f>VLOOKUP(B34&amp;C34,PIERSECTION!Q:T,2,0)</f>
        <v>47.58</v>
      </c>
      <c r="R34" s="390">
        <f>VLOOKUP(B34&amp;C34,PIERSECTION!Q:T,3,0)</f>
        <v>0</v>
      </c>
      <c r="S34" s="391">
        <f>VLOOKUP(B34&amp;C34,PIERSECTION!Q:T,4,0)</f>
        <v>0</v>
      </c>
    </row>
    <row r="35" spans="1:19">
      <c r="A35" s="381">
        <v>33</v>
      </c>
      <c r="B35" s="381" t="s">
        <v>163</v>
      </c>
      <c r="C35" s="381" t="s">
        <v>198</v>
      </c>
      <c r="D35" s="381" t="s">
        <v>166</v>
      </c>
      <c r="E35" s="382">
        <v>5653.4959598034102</v>
      </c>
      <c r="F35" s="382">
        <v>-361.99504687580202</v>
      </c>
      <c r="G35" s="382">
        <v>-118.285925542188</v>
      </c>
      <c r="H35" s="383">
        <f t="shared" si="0"/>
        <v>500</v>
      </c>
      <c r="I35" s="384" t="str">
        <f t="shared" si="1"/>
        <v>KN1</v>
      </c>
      <c r="J35" s="381">
        <f t="shared" si="2"/>
        <v>650</v>
      </c>
      <c r="K35" s="385">
        <f t="shared" si="3"/>
        <v>1.1000000000000001</v>
      </c>
      <c r="L35" s="386">
        <f t="shared" si="4"/>
        <v>10</v>
      </c>
      <c r="M35" s="387">
        <f t="shared" si="5"/>
        <v>6500</v>
      </c>
      <c r="N35" s="388">
        <f t="shared" si="8"/>
        <v>1.1499999999999999</v>
      </c>
      <c r="O35" s="389">
        <f t="shared" si="6"/>
        <v>250</v>
      </c>
      <c r="P35" s="389" t="str">
        <f t="shared" si="7"/>
        <v>3D</v>
      </c>
      <c r="Q35" s="390">
        <f>VLOOKUP(B35&amp;C35,PIERSECTION!Q:T,2,0)</f>
        <v>28.98</v>
      </c>
      <c r="R35" s="390">
        <f>VLOOKUP(B35&amp;C35,PIERSECTION!Q:T,3,0)</f>
        <v>6.5</v>
      </c>
      <c r="S35" s="391">
        <f>VLOOKUP(B35&amp;C35,PIERSECTION!Q:T,4,0)</f>
        <v>0</v>
      </c>
    </row>
    <row r="36" spans="1:19">
      <c r="A36" s="381">
        <v>34</v>
      </c>
      <c r="B36" s="381" t="s">
        <v>163</v>
      </c>
      <c r="C36" s="381" t="s">
        <v>199</v>
      </c>
      <c r="D36" s="381" t="s">
        <v>166</v>
      </c>
      <c r="E36" s="382">
        <v>4250.8238263217199</v>
      </c>
      <c r="F36" s="382">
        <v>-303.72777411892997</v>
      </c>
      <c r="G36" s="382">
        <v>-47.546714463025403</v>
      </c>
      <c r="H36" s="383">
        <f t="shared" si="0"/>
        <v>500</v>
      </c>
      <c r="I36" s="384" t="str">
        <f t="shared" si="1"/>
        <v>KN1</v>
      </c>
      <c r="J36" s="381">
        <f t="shared" si="2"/>
        <v>650</v>
      </c>
      <c r="K36" s="385">
        <f t="shared" si="3"/>
        <v>1.1000000000000001</v>
      </c>
      <c r="L36" s="386">
        <f t="shared" si="4"/>
        <v>8</v>
      </c>
      <c r="M36" s="387">
        <f t="shared" si="5"/>
        <v>5200</v>
      </c>
      <c r="N36" s="388">
        <f t="shared" si="8"/>
        <v>1.22</v>
      </c>
      <c r="O36" s="389">
        <f t="shared" si="6"/>
        <v>250</v>
      </c>
      <c r="P36" s="389" t="str">
        <f t="shared" si="7"/>
        <v>3D</v>
      </c>
      <c r="Q36" s="390">
        <f>VLOOKUP(B36&amp;C36,PIERSECTION!Q:T,2,0)</f>
        <v>41.38</v>
      </c>
      <c r="R36" s="390">
        <f>VLOOKUP(B36&amp;C36,PIERSECTION!Q:T,3,0)</f>
        <v>6.5</v>
      </c>
      <c r="S36" s="391">
        <f>VLOOKUP(B36&amp;C36,PIERSECTION!Q:T,4,0)</f>
        <v>0</v>
      </c>
    </row>
    <row r="37" spans="1:19">
      <c r="A37" s="381">
        <v>35</v>
      </c>
      <c r="B37" s="381" t="s">
        <v>163</v>
      </c>
      <c r="C37" s="381" t="s">
        <v>200</v>
      </c>
      <c r="D37" s="381" t="s">
        <v>166</v>
      </c>
      <c r="E37" s="382">
        <v>2139.7992341171398</v>
      </c>
      <c r="F37" s="382">
        <v>-116.314525059152</v>
      </c>
      <c r="G37" s="382">
        <v>-53.710745388542001</v>
      </c>
      <c r="H37" s="383">
        <f t="shared" si="0"/>
        <v>500</v>
      </c>
      <c r="I37" s="384" t="str">
        <f t="shared" si="1"/>
        <v>KN1</v>
      </c>
      <c r="J37" s="381">
        <f t="shared" si="2"/>
        <v>650</v>
      </c>
      <c r="K37" s="385">
        <f t="shared" si="3"/>
        <v>1.1000000000000001</v>
      </c>
      <c r="L37" s="386">
        <f t="shared" si="4"/>
        <v>4</v>
      </c>
      <c r="M37" s="387">
        <f t="shared" si="5"/>
        <v>2600</v>
      </c>
      <c r="N37" s="388">
        <f t="shared" si="8"/>
        <v>1.22</v>
      </c>
      <c r="O37" s="389">
        <f t="shared" si="6"/>
        <v>250</v>
      </c>
      <c r="P37" s="389" t="str">
        <f t="shared" si="7"/>
        <v>3D</v>
      </c>
      <c r="Q37" s="390">
        <f>VLOOKUP(B37&amp;C37,PIERSECTION!Q:T,2,0)</f>
        <v>41.38</v>
      </c>
      <c r="R37" s="390">
        <f>VLOOKUP(B37&amp;C37,PIERSECTION!Q:T,3,0)</f>
        <v>14</v>
      </c>
      <c r="S37" s="391">
        <f>VLOOKUP(B37&amp;C37,PIERSECTION!Q:T,4,0)</f>
        <v>0</v>
      </c>
    </row>
    <row r="38" spans="1:19">
      <c r="A38" s="381">
        <v>36</v>
      </c>
      <c r="B38" s="381" t="s">
        <v>163</v>
      </c>
      <c r="C38" s="381" t="s">
        <v>201</v>
      </c>
      <c r="D38" s="381" t="s">
        <v>166</v>
      </c>
      <c r="E38" s="382">
        <v>1672.2841735643401</v>
      </c>
      <c r="F38" s="382">
        <v>-145.10495270308701</v>
      </c>
      <c r="G38" s="382">
        <v>-32.224078690422303</v>
      </c>
      <c r="H38" s="383">
        <f t="shared" si="0"/>
        <v>500</v>
      </c>
      <c r="I38" s="384" t="str">
        <f t="shared" si="1"/>
        <v>KN1</v>
      </c>
      <c r="J38" s="381">
        <f t="shared" si="2"/>
        <v>650</v>
      </c>
      <c r="K38" s="385">
        <f t="shared" si="3"/>
        <v>1.1000000000000001</v>
      </c>
      <c r="L38" s="386">
        <f t="shared" si="4"/>
        <v>3</v>
      </c>
      <c r="M38" s="387">
        <f t="shared" si="5"/>
        <v>1950</v>
      </c>
      <c r="N38" s="388">
        <f t="shared" si="8"/>
        <v>1.17</v>
      </c>
      <c r="O38" s="389">
        <f t="shared" si="6"/>
        <v>250</v>
      </c>
      <c r="P38" s="389" t="str">
        <f t="shared" si="7"/>
        <v>3D</v>
      </c>
      <c r="Q38" s="390">
        <f>VLOOKUP(B38&amp;C38,PIERSECTION!Q:T,2,0)</f>
        <v>47.58</v>
      </c>
      <c r="R38" s="390">
        <f>VLOOKUP(B38&amp;C38,PIERSECTION!Q:T,3,0)</f>
        <v>14</v>
      </c>
      <c r="S38" s="391">
        <f>VLOOKUP(B38&amp;C38,PIERSECTION!Q:T,4,0)</f>
        <v>0</v>
      </c>
    </row>
    <row r="39" spans="1:19">
      <c r="A39" s="381">
        <v>37</v>
      </c>
      <c r="B39" s="381" t="s">
        <v>163</v>
      </c>
      <c r="C39" s="381" t="s">
        <v>202</v>
      </c>
      <c r="D39" s="381" t="s">
        <v>166</v>
      </c>
      <c r="E39" s="382">
        <v>1225.69737329026</v>
      </c>
      <c r="F39" s="382">
        <v>-109.450135651994</v>
      </c>
      <c r="G39" s="382">
        <v>-12.7613997284595</v>
      </c>
      <c r="H39" s="383">
        <f t="shared" si="0"/>
        <v>500</v>
      </c>
      <c r="I39" s="384" t="str">
        <f t="shared" si="1"/>
        <v>KN1</v>
      </c>
      <c r="J39" s="381">
        <f t="shared" si="2"/>
        <v>650</v>
      </c>
      <c r="K39" s="385">
        <f t="shared" si="3"/>
        <v>1.1000000000000001</v>
      </c>
      <c r="L39" s="386">
        <f t="shared" si="4"/>
        <v>3</v>
      </c>
      <c r="M39" s="387">
        <f t="shared" si="5"/>
        <v>1950</v>
      </c>
      <c r="N39" s="388">
        <f t="shared" si="8"/>
        <v>1.59</v>
      </c>
      <c r="O39" s="389">
        <f t="shared" si="6"/>
        <v>250</v>
      </c>
      <c r="P39" s="389" t="str">
        <f t="shared" si="7"/>
        <v>3D</v>
      </c>
      <c r="Q39" s="390">
        <f>VLOOKUP(B39&amp;C39,PIERSECTION!Q:T,2,0)</f>
        <v>44.5</v>
      </c>
      <c r="R39" s="390">
        <f>VLOOKUP(B39&amp;C39,PIERSECTION!Q:T,3,0)</f>
        <v>14</v>
      </c>
      <c r="S39" s="391">
        <f>VLOOKUP(B39&amp;C39,PIERSECTION!Q:T,4,0)</f>
        <v>0</v>
      </c>
    </row>
    <row r="40" spans="1:19">
      <c r="A40" s="381">
        <v>38</v>
      </c>
      <c r="B40" s="381" t="s">
        <v>163</v>
      </c>
      <c r="C40" s="381" t="s">
        <v>203</v>
      </c>
      <c r="D40" s="381" t="s">
        <v>166</v>
      </c>
      <c r="E40" s="382">
        <v>256.16883677734302</v>
      </c>
      <c r="F40" s="382">
        <v>-7.4878814339134596</v>
      </c>
      <c r="G40" s="382">
        <v>-3.9562896700707699</v>
      </c>
      <c r="H40" s="383">
        <f t="shared" si="0"/>
        <v>500</v>
      </c>
      <c r="I40" s="384" t="str">
        <f t="shared" si="1"/>
        <v>KN1</v>
      </c>
      <c r="J40" s="381">
        <f t="shared" si="2"/>
        <v>650</v>
      </c>
      <c r="K40" s="385">
        <f t="shared" si="3"/>
        <v>1.1000000000000001</v>
      </c>
      <c r="L40" s="386">
        <f t="shared" si="4"/>
        <v>1</v>
      </c>
      <c r="M40" s="387">
        <f t="shared" si="5"/>
        <v>650</v>
      </c>
      <c r="N40" s="388">
        <f t="shared" si="8"/>
        <v>2.54</v>
      </c>
      <c r="O40" s="389">
        <f t="shared" si="6"/>
        <v>250</v>
      </c>
      <c r="P40" s="389" t="str">
        <f t="shared" si="7"/>
        <v>3D</v>
      </c>
      <c r="Q40" s="390">
        <f>VLOOKUP(B40&amp;C40,PIERSECTION!Q:T,2,0)</f>
        <v>47.58</v>
      </c>
      <c r="R40" s="390">
        <f>VLOOKUP(B40&amp;C40,PIERSECTION!Q:T,3,0)</f>
        <v>6.5</v>
      </c>
      <c r="S40" s="391">
        <f>VLOOKUP(B40&amp;C40,PIERSECTION!Q:T,4,0)</f>
        <v>0</v>
      </c>
    </row>
    <row r="41" spans="1:19">
      <c r="A41" s="381">
        <v>39</v>
      </c>
      <c r="B41" s="381" t="s">
        <v>163</v>
      </c>
      <c r="C41" s="381" t="s">
        <v>204</v>
      </c>
      <c r="D41" s="381" t="s">
        <v>166</v>
      </c>
      <c r="E41" s="382">
        <v>411.74996141055698</v>
      </c>
      <c r="F41" s="382">
        <v>-6.9585587362274604</v>
      </c>
      <c r="G41" s="382">
        <v>-4.5293314230520201</v>
      </c>
      <c r="H41" s="383">
        <f t="shared" si="0"/>
        <v>500</v>
      </c>
      <c r="I41" s="384" t="str">
        <f t="shared" si="1"/>
        <v>KN1</v>
      </c>
      <c r="J41" s="381">
        <f t="shared" si="2"/>
        <v>650</v>
      </c>
      <c r="K41" s="385">
        <f t="shared" si="3"/>
        <v>1.1000000000000001</v>
      </c>
      <c r="L41" s="386">
        <f t="shared" si="4"/>
        <v>1</v>
      </c>
      <c r="M41" s="387">
        <f t="shared" si="5"/>
        <v>650</v>
      </c>
      <c r="N41" s="388">
        <f t="shared" si="8"/>
        <v>1.58</v>
      </c>
      <c r="O41" s="389">
        <f t="shared" si="6"/>
        <v>250</v>
      </c>
      <c r="P41" s="389" t="str">
        <f t="shared" si="7"/>
        <v>3D</v>
      </c>
      <c r="Q41" s="390">
        <f>VLOOKUP(B41&amp;C41,PIERSECTION!Q:T,2,0)</f>
        <v>45.48</v>
      </c>
      <c r="R41" s="390">
        <f>VLOOKUP(B41&amp;C41,PIERSECTION!Q:T,3,0)</f>
        <v>6.5</v>
      </c>
      <c r="S41" s="391">
        <f>VLOOKUP(B41&amp;C41,PIERSECTION!Q:T,4,0)</f>
        <v>0</v>
      </c>
    </row>
  </sheetData>
  <mergeCells count="2">
    <mergeCell ref="U1:X1"/>
    <mergeCell ref="U2:X2"/>
  </mergeCells>
  <conditionalFormatting sqref="P1">
    <cfRule type="cellIs" dxfId="18" priority="8" operator="lessThan">
      <formula>1</formula>
    </cfRule>
  </conditionalFormatting>
  <conditionalFormatting sqref="R1">
    <cfRule type="cellIs" dxfId="17" priority="14" operator="lessThan">
      <formula>1</formula>
    </cfRule>
  </conditionalFormatting>
  <conditionalFormatting sqref="S1">
    <cfRule type="cellIs" dxfId="16" priority="12" operator="lessThan">
      <formula>1</formula>
    </cfRule>
  </conditionalFormatting>
  <conditionalFormatting sqref="Q2:R2">
    <cfRule type="cellIs" dxfId="15" priority="13" operator="lessThan">
      <formula>1</formula>
    </cfRule>
  </conditionalFormatting>
  <conditionalFormatting sqref="S2">
    <cfRule type="cellIs" dxfId="14" priority="11" operator="lessThan">
      <formula>1</formula>
    </cfRule>
  </conditionalFormatting>
  <conditionalFormatting sqref="C1:C15000">
    <cfRule type="duplicateValues" dxfId="13" priority="1"/>
  </conditionalFormatting>
  <conditionalFormatting sqref="N1:N15000">
    <cfRule type="cellIs" dxfId="12" priority="16" operator="lessThan">
      <formula>1</formula>
    </cfRule>
  </conditionalFormatting>
  <conditionalFormatting sqref="O1 Q1">
    <cfRule type="cellIs" dxfId="11" priority="15" operator="lessThan">
      <formula>1</formula>
    </cfRule>
  </conditionalFormatting>
  <pageMargins left="0.6" right="0.4" top="0.4" bottom="0.4" header="0.157" footer="0.157"/>
  <pageSetup scale="94"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Pict="0" macro="[0]!LOAD_DATA">
                <anchor moveWithCells="1" sizeWithCells="1">
                  <from>
                    <xdr:col>24</xdr:col>
                    <xdr:colOff>0</xdr:colOff>
                    <xdr:row>3</xdr:row>
                    <xdr:rowOff>0</xdr:rowOff>
                  </from>
                  <to>
                    <xdr:col>25</xdr:col>
                    <xdr:colOff>400050</xdr:colOff>
                    <xdr:row>4</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00FF"/>
  </sheetPr>
  <dimension ref="A1:E443"/>
  <sheetViews>
    <sheetView workbookViewId="0">
      <selection activeCell="H19" sqref="H19"/>
    </sheetView>
  </sheetViews>
  <sheetFormatPr defaultColWidth="9.140625" defaultRowHeight="15"/>
  <cols>
    <col min="1" max="1" width="7.5703125" style="211" customWidth="1"/>
    <col min="2" max="5" width="9.140625" style="212"/>
    <col min="6" max="16384" width="9.140625" style="213"/>
  </cols>
  <sheetData>
    <row r="1" spans="1:5">
      <c r="A1" s="211" t="s">
        <v>416</v>
      </c>
      <c r="B1" s="212" t="s">
        <v>417</v>
      </c>
      <c r="C1" s="212" t="s">
        <v>418</v>
      </c>
      <c r="D1" s="212" t="s">
        <v>419</v>
      </c>
      <c r="E1" s="212" t="s">
        <v>420</v>
      </c>
    </row>
    <row r="2" spans="1:5">
      <c r="A2" s="211" t="s">
        <v>421</v>
      </c>
      <c r="B2" s="212">
        <v>10.832000000000001</v>
      </c>
      <c r="C2" s="212">
        <v>3.8</v>
      </c>
      <c r="D2" s="212">
        <v>-1.6</v>
      </c>
      <c r="E2" s="212" t="e">
        <v>#N/A</v>
      </c>
    </row>
    <row r="3" spans="1:5">
      <c r="A3" s="211" t="s">
        <v>422</v>
      </c>
      <c r="B3" s="212">
        <v>10.832000000000001</v>
      </c>
      <c r="C3" s="212">
        <v>3.8</v>
      </c>
      <c r="D3" s="212">
        <v>0</v>
      </c>
      <c r="E3" s="212" t="e">
        <v>#N/A</v>
      </c>
    </row>
    <row r="4" spans="1:5">
      <c r="A4" s="211" t="s">
        <v>423</v>
      </c>
      <c r="B4" s="212">
        <v>10.832000000000001</v>
      </c>
      <c r="C4" s="212">
        <v>3.8</v>
      </c>
      <c r="D4" s="212">
        <v>14.9999996993</v>
      </c>
      <c r="E4" s="212" t="e">
        <v>#N/A</v>
      </c>
    </row>
    <row r="5" spans="1:5">
      <c r="A5" s="211" t="s">
        <v>424</v>
      </c>
      <c r="B5" s="212">
        <v>10.832000000000001</v>
      </c>
      <c r="C5" s="212">
        <v>3.8</v>
      </c>
      <c r="D5" s="212">
        <v>11.299999700000001</v>
      </c>
      <c r="E5" s="212" t="e">
        <v>#N/A</v>
      </c>
    </row>
    <row r="6" spans="1:5">
      <c r="A6" s="211" t="s">
        <v>425</v>
      </c>
      <c r="B6" s="212">
        <v>10.832000000000001</v>
      </c>
      <c r="C6" s="212">
        <v>3.8</v>
      </c>
      <c r="D6" s="212">
        <v>7.5999996999999997</v>
      </c>
      <c r="E6" s="212" t="e">
        <v>#N/A</v>
      </c>
    </row>
    <row r="7" spans="1:5">
      <c r="A7" s="211" t="s">
        <v>426</v>
      </c>
      <c r="B7" s="212">
        <v>10.832000000000001</v>
      </c>
      <c r="C7" s="212">
        <v>3.8</v>
      </c>
      <c r="D7" s="212">
        <v>3.9</v>
      </c>
      <c r="E7" s="212" t="e">
        <v>#N/A</v>
      </c>
    </row>
    <row r="8" spans="1:5">
      <c r="A8" s="211" t="s">
        <v>427</v>
      </c>
      <c r="B8" s="212">
        <v>11.132</v>
      </c>
      <c r="C8" s="212">
        <v>0</v>
      </c>
      <c r="D8" s="212">
        <v>-1.6</v>
      </c>
      <c r="E8" s="212" t="e">
        <v>#N/A</v>
      </c>
    </row>
    <row r="9" spans="1:5">
      <c r="A9" s="211" t="s">
        <v>428</v>
      </c>
      <c r="B9" s="212">
        <v>11.132</v>
      </c>
      <c r="C9" s="212">
        <v>0</v>
      </c>
      <c r="D9" s="212">
        <v>0</v>
      </c>
      <c r="E9" s="212" t="e">
        <v>#N/A</v>
      </c>
    </row>
    <row r="10" spans="1:5">
      <c r="A10" s="211" t="s">
        <v>429</v>
      </c>
      <c r="B10" s="212">
        <v>11.132</v>
      </c>
      <c r="C10" s="212">
        <v>0</v>
      </c>
      <c r="D10" s="212">
        <v>14.9999996993</v>
      </c>
      <c r="E10" s="212" t="e">
        <v>#N/A</v>
      </c>
    </row>
    <row r="11" spans="1:5">
      <c r="A11" s="211" t="s">
        <v>430</v>
      </c>
      <c r="B11" s="212">
        <v>11.132</v>
      </c>
      <c r="C11" s="212">
        <v>0</v>
      </c>
      <c r="D11" s="212">
        <v>11.299999700000001</v>
      </c>
      <c r="E11" s="212" t="e">
        <v>#N/A</v>
      </c>
    </row>
    <row r="12" spans="1:5">
      <c r="A12" s="211" t="s">
        <v>431</v>
      </c>
      <c r="B12" s="212">
        <v>11.132</v>
      </c>
      <c r="C12" s="212">
        <v>0</v>
      </c>
      <c r="D12" s="212">
        <v>7.5999996999999997</v>
      </c>
      <c r="E12" s="212" t="e">
        <v>#N/A</v>
      </c>
    </row>
    <row r="13" spans="1:5">
      <c r="A13" s="211" t="s">
        <v>432</v>
      </c>
      <c r="B13" s="212">
        <v>11.132</v>
      </c>
      <c r="C13" s="212">
        <v>0</v>
      </c>
      <c r="D13" s="212">
        <v>3.9</v>
      </c>
      <c r="E13" s="212" t="e">
        <v>#N/A</v>
      </c>
    </row>
    <row r="14" spans="1:5">
      <c r="A14" s="211" t="s">
        <v>433</v>
      </c>
      <c r="B14" s="212">
        <v>6.9320000000000004</v>
      </c>
      <c r="C14" s="212">
        <v>3.8</v>
      </c>
      <c r="D14" s="212">
        <v>-1.6</v>
      </c>
      <c r="E14" s="212" t="e">
        <v>#N/A</v>
      </c>
    </row>
    <row r="15" spans="1:5">
      <c r="A15" s="211" t="s">
        <v>434</v>
      </c>
      <c r="B15" s="212">
        <v>6.9320000000000004</v>
      </c>
      <c r="C15" s="212">
        <v>3.8</v>
      </c>
      <c r="D15" s="212">
        <v>0</v>
      </c>
      <c r="E15" s="212" t="e">
        <v>#N/A</v>
      </c>
    </row>
    <row r="16" spans="1:5">
      <c r="A16" s="211" t="s">
        <v>435</v>
      </c>
      <c r="B16" s="212">
        <v>6.9320000000000004</v>
      </c>
      <c r="C16" s="212">
        <v>3.8</v>
      </c>
      <c r="D16" s="212">
        <v>14.9999996993</v>
      </c>
      <c r="E16" s="212" t="e">
        <v>#N/A</v>
      </c>
    </row>
    <row r="17" spans="1:5">
      <c r="A17" s="211" t="s">
        <v>436</v>
      </c>
      <c r="B17" s="212">
        <v>6.9320000000000004</v>
      </c>
      <c r="C17" s="212">
        <v>3.8</v>
      </c>
      <c r="D17" s="212">
        <v>11.299999700000001</v>
      </c>
      <c r="E17" s="212" t="e">
        <v>#N/A</v>
      </c>
    </row>
    <row r="18" spans="1:5">
      <c r="A18" s="211" t="s">
        <v>437</v>
      </c>
      <c r="B18" s="212">
        <v>6.9320000000000004</v>
      </c>
      <c r="C18" s="212">
        <v>3.8</v>
      </c>
      <c r="D18" s="212">
        <v>7.5999996999999997</v>
      </c>
      <c r="E18" s="212" t="e">
        <v>#N/A</v>
      </c>
    </row>
    <row r="19" spans="1:5">
      <c r="A19" s="211" t="s">
        <v>438</v>
      </c>
      <c r="B19" s="212">
        <v>6.9320000000000004</v>
      </c>
      <c r="C19" s="212">
        <v>3.8</v>
      </c>
      <c r="D19" s="212">
        <v>3.9</v>
      </c>
      <c r="E19" s="212" t="e">
        <v>#N/A</v>
      </c>
    </row>
    <row r="20" spans="1:5">
      <c r="A20" s="211" t="s">
        <v>439</v>
      </c>
      <c r="B20" s="212">
        <v>6.9320000000000004</v>
      </c>
      <c r="C20" s="212">
        <v>0</v>
      </c>
      <c r="D20" s="212">
        <v>-1.6</v>
      </c>
      <c r="E20" s="212" t="e">
        <v>#N/A</v>
      </c>
    </row>
    <row r="21" spans="1:5">
      <c r="A21" s="211" t="s">
        <v>440</v>
      </c>
      <c r="B21" s="212">
        <v>6.9320000000000004</v>
      </c>
      <c r="C21" s="212">
        <v>0</v>
      </c>
      <c r="D21" s="212">
        <v>0</v>
      </c>
      <c r="E21" s="212" t="e">
        <v>#N/A</v>
      </c>
    </row>
    <row r="22" spans="1:5">
      <c r="A22" s="211" t="s">
        <v>441</v>
      </c>
      <c r="B22" s="212">
        <v>6.9320000000000004</v>
      </c>
      <c r="C22" s="212">
        <v>0</v>
      </c>
      <c r="D22" s="212">
        <v>14.9999996993</v>
      </c>
      <c r="E22" s="212" t="e">
        <v>#N/A</v>
      </c>
    </row>
    <row r="23" spans="1:5">
      <c r="A23" s="211" t="s">
        <v>442</v>
      </c>
      <c r="B23" s="212">
        <v>6.9320000000000004</v>
      </c>
      <c r="C23" s="212">
        <v>0</v>
      </c>
      <c r="D23" s="212">
        <v>11.299999700000001</v>
      </c>
      <c r="E23" s="212" t="e">
        <v>#N/A</v>
      </c>
    </row>
    <row r="24" spans="1:5">
      <c r="A24" s="211" t="s">
        <v>443</v>
      </c>
      <c r="B24" s="212">
        <v>6.9320000000000004</v>
      </c>
      <c r="C24" s="212">
        <v>0</v>
      </c>
      <c r="D24" s="212">
        <v>7.5999996999999997</v>
      </c>
      <c r="E24" s="212" t="e">
        <v>#N/A</v>
      </c>
    </row>
    <row r="25" spans="1:5">
      <c r="A25" s="211" t="s">
        <v>444</v>
      </c>
      <c r="B25" s="212">
        <v>6.9320000000000004</v>
      </c>
      <c r="C25" s="212">
        <v>0</v>
      </c>
      <c r="D25" s="212">
        <v>3.9</v>
      </c>
      <c r="E25" s="212" t="e">
        <v>#N/A</v>
      </c>
    </row>
    <row r="26" spans="1:5">
      <c r="A26" s="211" t="s">
        <v>445</v>
      </c>
      <c r="B26" s="212">
        <v>3.4319999999999999</v>
      </c>
      <c r="C26" s="212">
        <v>0</v>
      </c>
      <c r="D26" s="212">
        <v>-1.6</v>
      </c>
      <c r="E26" s="212" t="e">
        <v>#N/A</v>
      </c>
    </row>
    <row r="27" spans="1:5">
      <c r="A27" s="211" t="s">
        <v>446</v>
      </c>
      <c r="B27" s="212">
        <v>3.4319999999999999</v>
      </c>
      <c r="C27" s="212">
        <v>0</v>
      </c>
      <c r="D27" s="212">
        <v>0</v>
      </c>
      <c r="E27" s="212" t="e">
        <v>#N/A</v>
      </c>
    </row>
    <row r="28" spans="1:5">
      <c r="A28" s="211" t="s">
        <v>447</v>
      </c>
      <c r="B28" s="212">
        <v>3.4319999999999999</v>
      </c>
      <c r="C28" s="212">
        <v>0</v>
      </c>
      <c r="D28" s="212">
        <v>14.9999996993</v>
      </c>
      <c r="E28" s="212" t="e">
        <v>#N/A</v>
      </c>
    </row>
    <row r="29" spans="1:5">
      <c r="A29" s="211" t="s">
        <v>448</v>
      </c>
      <c r="B29" s="212">
        <v>3.4319999999999999</v>
      </c>
      <c r="C29" s="212">
        <v>0</v>
      </c>
      <c r="D29" s="212">
        <v>11.299999700000001</v>
      </c>
      <c r="E29" s="212" t="e">
        <v>#N/A</v>
      </c>
    </row>
    <row r="30" spans="1:5">
      <c r="A30" s="211" t="s">
        <v>449</v>
      </c>
      <c r="B30" s="212">
        <v>3.4319999999999999</v>
      </c>
      <c r="C30" s="212">
        <v>0</v>
      </c>
      <c r="D30" s="212">
        <v>7.5999996999999997</v>
      </c>
      <c r="E30" s="212" t="e">
        <v>#N/A</v>
      </c>
    </row>
    <row r="31" spans="1:5">
      <c r="A31" s="211" t="s">
        <v>450</v>
      </c>
      <c r="B31" s="212">
        <v>3.4319999999999999</v>
      </c>
      <c r="C31" s="212">
        <v>0</v>
      </c>
      <c r="D31" s="212">
        <v>3.9</v>
      </c>
      <c r="E31" s="212" t="e">
        <v>#N/A</v>
      </c>
    </row>
    <row r="32" spans="1:5">
      <c r="A32" s="211" t="s">
        <v>451</v>
      </c>
      <c r="B32" s="212">
        <v>3.3820000000000001</v>
      </c>
      <c r="C32" s="212">
        <v>3.8</v>
      </c>
      <c r="D32" s="212">
        <v>-1.6</v>
      </c>
      <c r="E32" s="212" t="e">
        <v>#N/A</v>
      </c>
    </row>
    <row r="33" spans="1:5">
      <c r="A33" s="211" t="s">
        <v>452</v>
      </c>
      <c r="B33" s="212">
        <v>3.3820000000000001</v>
      </c>
      <c r="C33" s="212">
        <v>3.8</v>
      </c>
      <c r="D33" s="212">
        <v>0</v>
      </c>
      <c r="E33" s="212" t="e">
        <v>#N/A</v>
      </c>
    </row>
    <row r="34" spans="1:5">
      <c r="A34" s="211" t="s">
        <v>453</v>
      </c>
      <c r="B34" s="212">
        <v>3.3820000000000001</v>
      </c>
      <c r="C34" s="212">
        <v>3.8</v>
      </c>
      <c r="D34" s="212">
        <v>14.9999996993</v>
      </c>
      <c r="E34" s="212" t="e">
        <v>#N/A</v>
      </c>
    </row>
    <row r="35" spans="1:5">
      <c r="A35" s="211" t="s">
        <v>454</v>
      </c>
      <c r="B35" s="212">
        <v>3.3820000000000001</v>
      </c>
      <c r="C35" s="212">
        <v>3.8</v>
      </c>
      <c r="D35" s="212">
        <v>11.299999700000001</v>
      </c>
      <c r="E35" s="212" t="e">
        <v>#N/A</v>
      </c>
    </row>
    <row r="36" spans="1:5">
      <c r="A36" s="211" t="s">
        <v>455</v>
      </c>
      <c r="B36" s="212">
        <v>3.3820000000000001</v>
      </c>
      <c r="C36" s="212">
        <v>3.8</v>
      </c>
      <c r="D36" s="212">
        <v>7.5999996999999997</v>
      </c>
      <c r="E36" s="212" t="e">
        <v>#N/A</v>
      </c>
    </row>
    <row r="37" spans="1:5">
      <c r="A37" s="211" t="s">
        <v>456</v>
      </c>
      <c r="B37" s="212">
        <v>3.3820000000000001</v>
      </c>
      <c r="C37" s="212">
        <v>3.8</v>
      </c>
      <c r="D37" s="212">
        <v>3.9</v>
      </c>
      <c r="E37" s="212" t="e">
        <v>#N/A</v>
      </c>
    </row>
    <row r="38" spans="1:5">
      <c r="A38" s="211" t="s">
        <v>457</v>
      </c>
      <c r="B38" s="212">
        <v>3.2000000000000001E-2</v>
      </c>
      <c r="C38" s="212">
        <v>0</v>
      </c>
      <c r="D38" s="212">
        <v>-1.6</v>
      </c>
      <c r="E38" s="212" t="e">
        <v>#N/A</v>
      </c>
    </row>
    <row r="39" spans="1:5">
      <c r="A39" s="211" t="s">
        <v>458</v>
      </c>
      <c r="B39" s="212">
        <v>3.2000000000000001E-2</v>
      </c>
      <c r="C39" s="212">
        <v>0</v>
      </c>
      <c r="D39" s="212">
        <v>0</v>
      </c>
      <c r="E39" s="212" t="e">
        <v>#N/A</v>
      </c>
    </row>
    <row r="40" spans="1:5">
      <c r="A40" s="211" t="s">
        <v>459</v>
      </c>
      <c r="B40" s="212">
        <v>0</v>
      </c>
      <c r="C40" s="212">
        <v>3.3180000000000001</v>
      </c>
      <c r="D40" s="212">
        <v>-1.6</v>
      </c>
      <c r="E40" s="212" t="e">
        <v>#N/A</v>
      </c>
    </row>
    <row r="41" spans="1:5">
      <c r="A41" s="211" t="s">
        <v>460</v>
      </c>
      <c r="B41" s="212">
        <v>0</v>
      </c>
      <c r="C41" s="212">
        <v>3.3180000000000001</v>
      </c>
      <c r="D41" s="212">
        <v>0</v>
      </c>
      <c r="E41" s="212" t="e">
        <v>#N/A</v>
      </c>
    </row>
    <row r="42" spans="1:5">
      <c r="A42" s="211" t="s">
        <v>461</v>
      </c>
      <c r="B42" s="212">
        <v>1.032</v>
      </c>
      <c r="C42" s="212">
        <v>0</v>
      </c>
      <c r="D42" s="212">
        <v>-1.6</v>
      </c>
      <c r="E42" s="212" t="e">
        <v>#N/A</v>
      </c>
    </row>
    <row r="43" spans="1:5">
      <c r="A43" s="211" t="s">
        <v>462</v>
      </c>
      <c r="B43" s="212">
        <v>1.032</v>
      </c>
      <c r="C43" s="212">
        <v>0</v>
      </c>
      <c r="D43" s="212">
        <v>0</v>
      </c>
      <c r="E43" s="212" t="e">
        <v>#N/A</v>
      </c>
    </row>
    <row r="44" spans="1:5">
      <c r="A44" s="211" t="s">
        <v>463</v>
      </c>
      <c r="B44" s="212">
        <v>1.032</v>
      </c>
      <c r="C44" s="212">
        <v>0</v>
      </c>
      <c r="D44" s="212">
        <v>14.9999996993</v>
      </c>
      <c r="E44" s="212" t="e">
        <v>#N/A</v>
      </c>
    </row>
    <row r="45" spans="1:5">
      <c r="A45" s="211" t="s">
        <v>464</v>
      </c>
      <c r="B45" s="212">
        <v>1.032</v>
      </c>
      <c r="C45" s="212">
        <v>0</v>
      </c>
      <c r="D45" s="212">
        <v>11.299999700000001</v>
      </c>
      <c r="E45" s="212" t="e">
        <v>#N/A</v>
      </c>
    </row>
    <row r="46" spans="1:5">
      <c r="A46" s="211" t="s">
        <v>465</v>
      </c>
      <c r="B46" s="212">
        <v>1.032</v>
      </c>
      <c r="C46" s="212">
        <v>0</v>
      </c>
      <c r="D46" s="212">
        <v>7.5999996999999997</v>
      </c>
      <c r="E46" s="212" t="e">
        <v>#N/A</v>
      </c>
    </row>
    <row r="47" spans="1:5">
      <c r="A47" s="211" t="s">
        <v>466</v>
      </c>
      <c r="B47" s="212">
        <v>1.032</v>
      </c>
      <c r="C47" s="212">
        <v>0</v>
      </c>
      <c r="D47" s="212">
        <v>3.9</v>
      </c>
      <c r="E47" s="212" t="e">
        <v>#N/A</v>
      </c>
    </row>
    <row r="48" spans="1:5">
      <c r="A48" s="211" t="s">
        <v>467</v>
      </c>
      <c r="B48" s="212">
        <v>-2.24663867941356</v>
      </c>
      <c r="C48" s="212">
        <v>8.1359321958868307</v>
      </c>
      <c r="D48" s="212">
        <v>-1.6</v>
      </c>
      <c r="E48" s="212" t="e">
        <v>#N/A</v>
      </c>
    </row>
    <row r="49" spans="1:5">
      <c r="A49" s="211" t="s">
        <v>468</v>
      </c>
      <c r="B49" s="212">
        <v>-2.24663867941356</v>
      </c>
      <c r="C49" s="212">
        <v>8.1359321958868307</v>
      </c>
      <c r="D49" s="212">
        <v>0</v>
      </c>
      <c r="E49" s="212" t="e">
        <v>#N/A</v>
      </c>
    </row>
    <row r="50" spans="1:5">
      <c r="A50" s="211" t="s">
        <v>469</v>
      </c>
      <c r="B50" s="212">
        <v>-2.24663867941356</v>
      </c>
      <c r="C50" s="212">
        <v>8.1359321958868307</v>
      </c>
      <c r="D50" s="212">
        <v>14.9999996993</v>
      </c>
      <c r="E50" s="212" t="e">
        <v>#N/A</v>
      </c>
    </row>
    <row r="51" spans="1:5">
      <c r="A51" s="211" t="s">
        <v>470</v>
      </c>
      <c r="B51" s="212">
        <v>-2.24663867941356</v>
      </c>
      <c r="C51" s="212">
        <v>8.1359321958868307</v>
      </c>
      <c r="D51" s="212">
        <v>11.299999700000001</v>
      </c>
      <c r="E51" s="212" t="e">
        <v>#N/A</v>
      </c>
    </row>
    <row r="52" spans="1:5">
      <c r="A52" s="211" t="s">
        <v>471</v>
      </c>
      <c r="B52" s="212">
        <v>-2.24663867941356</v>
      </c>
      <c r="C52" s="212">
        <v>8.1359321958868307</v>
      </c>
      <c r="D52" s="212">
        <v>7.5999996999999997</v>
      </c>
      <c r="E52" s="212" t="e">
        <v>#N/A</v>
      </c>
    </row>
    <row r="53" spans="1:5">
      <c r="A53" s="211" t="s">
        <v>472</v>
      </c>
      <c r="B53" s="212">
        <v>-2.24663867941356</v>
      </c>
      <c r="C53" s="212">
        <v>8.1359321958868307</v>
      </c>
      <c r="D53" s="212">
        <v>3.9</v>
      </c>
      <c r="E53" s="212" t="e">
        <v>#N/A</v>
      </c>
    </row>
    <row r="54" spans="1:5">
      <c r="A54" s="211" t="s">
        <v>473</v>
      </c>
      <c r="B54" s="212">
        <v>0.19339830582695999</v>
      </c>
      <c r="C54" s="212">
        <v>9.5286204275662598</v>
      </c>
      <c r="D54" s="212">
        <v>-1.6</v>
      </c>
      <c r="E54" s="212" t="e">
        <v>#N/A</v>
      </c>
    </row>
    <row r="55" spans="1:5">
      <c r="A55" s="211" t="s">
        <v>474</v>
      </c>
      <c r="B55" s="212">
        <v>0.19339830582695999</v>
      </c>
      <c r="C55" s="212">
        <v>9.5286204275662598</v>
      </c>
      <c r="D55" s="212">
        <v>0</v>
      </c>
      <c r="E55" s="212" t="e">
        <v>#N/A</v>
      </c>
    </row>
    <row r="56" spans="1:5">
      <c r="A56" s="211" t="s">
        <v>475</v>
      </c>
      <c r="B56" s="212">
        <v>0.19339830582695999</v>
      </c>
      <c r="C56" s="212">
        <v>9.5286204275662598</v>
      </c>
      <c r="D56" s="212">
        <v>14.9999996993</v>
      </c>
      <c r="E56" s="212" t="e">
        <v>#N/A</v>
      </c>
    </row>
    <row r="57" spans="1:5">
      <c r="A57" s="211" t="s">
        <v>476</v>
      </c>
      <c r="B57" s="212">
        <v>0.19339830582695999</v>
      </c>
      <c r="C57" s="212">
        <v>9.5286204275662598</v>
      </c>
      <c r="D57" s="212">
        <v>11.299999700000001</v>
      </c>
      <c r="E57" s="212" t="e">
        <v>#N/A</v>
      </c>
    </row>
    <row r="58" spans="1:5">
      <c r="A58" s="211" t="s">
        <v>477</v>
      </c>
      <c r="B58" s="212">
        <v>0.19339830582695999</v>
      </c>
      <c r="C58" s="212">
        <v>9.5286204275662598</v>
      </c>
      <c r="D58" s="212">
        <v>7.5999996999999997</v>
      </c>
      <c r="E58" s="212" t="e">
        <v>#N/A</v>
      </c>
    </row>
    <row r="59" spans="1:5">
      <c r="A59" s="211" t="s">
        <v>478</v>
      </c>
      <c r="B59" s="212">
        <v>0.19339830582695999</v>
      </c>
      <c r="C59" s="212">
        <v>9.5286204275662598</v>
      </c>
      <c r="D59" s="212">
        <v>3.9</v>
      </c>
      <c r="E59" s="212" t="e">
        <v>#N/A</v>
      </c>
    </row>
    <row r="60" spans="1:5">
      <c r="A60" s="211" t="s">
        <v>479</v>
      </c>
      <c r="B60" s="212">
        <v>3.2919999999999998</v>
      </c>
      <c r="C60" s="212">
        <v>3.8</v>
      </c>
      <c r="D60" s="212">
        <v>0</v>
      </c>
      <c r="E60" s="212" t="e">
        <v>#N/A</v>
      </c>
    </row>
    <row r="61" spans="1:5">
      <c r="A61" s="211" t="s">
        <v>480</v>
      </c>
      <c r="B61" s="212">
        <v>3.2919999999999998</v>
      </c>
      <c r="C61" s="212">
        <v>3.8</v>
      </c>
      <c r="D61" s="212">
        <v>14.9999996993</v>
      </c>
      <c r="E61" s="212" t="e">
        <v>#N/A</v>
      </c>
    </row>
    <row r="62" spans="1:5">
      <c r="A62" s="211" t="s">
        <v>481</v>
      </c>
      <c r="B62" s="212">
        <v>3.2919999999999998</v>
      </c>
      <c r="C62" s="212">
        <v>3.8</v>
      </c>
      <c r="D62" s="212">
        <v>11.299999700000001</v>
      </c>
      <c r="E62" s="212" t="e">
        <v>#N/A</v>
      </c>
    </row>
    <row r="63" spans="1:5">
      <c r="A63" s="211" t="s">
        <v>482</v>
      </c>
      <c r="B63" s="212">
        <v>3.2919999999999998</v>
      </c>
      <c r="C63" s="212">
        <v>3.8</v>
      </c>
      <c r="D63" s="212">
        <v>7.5999996999999997</v>
      </c>
      <c r="E63" s="212" t="e">
        <v>#N/A</v>
      </c>
    </row>
    <row r="64" spans="1:5">
      <c r="A64" s="211" t="s">
        <v>483</v>
      </c>
      <c r="B64" s="212">
        <v>3.2919999999999998</v>
      </c>
      <c r="C64" s="212">
        <v>3.8</v>
      </c>
      <c r="D64" s="212">
        <v>3.9</v>
      </c>
      <c r="E64" s="212" t="e">
        <v>#N/A</v>
      </c>
    </row>
    <row r="65" spans="1:5">
      <c r="A65" s="211" t="s">
        <v>484</v>
      </c>
      <c r="B65" s="212">
        <v>-1.1478311988877401</v>
      </c>
      <c r="C65" s="212">
        <v>5.77953194959154</v>
      </c>
      <c r="D65" s="212">
        <v>-1.6</v>
      </c>
      <c r="E65" s="212" t="e">
        <v>#N/A</v>
      </c>
    </row>
    <row r="66" spans="1:5">
      <c r="A66" s="211" t="s">
        <v>485</v>
      </c>
      <c r="B66" s="212">
        <v>-1.1478311988877401</v>
      </c>
      <c r="C66" s="212">
        <v>5.77953194959154</v>
      </c>
      <c r="D66" s="212">
        <v>0</v>
      </c>
      <c r="E66" s="212" t="e">
        <v>#N/A</v>
      </c>
    </row>
    <row r="67" spans="1:5">
      <c r="A67" s="211" t="s">
        <v>486</v>
      </c>
      <c r="B67" s="212">
        <v>-1.1478311988877401</v>
      </c>
      <c r="C67" s="212">
        <v>5.77953194959154</v>
      </c>
      <c r="D67" s="212">
        <v>14.9999996993</v>
      </c>
      <c r="E67" s="212" t="e">
        <v>#N/A</v>
      </c>
    </row>
    <row r="68" spans="1:5">
      <c r="A68" s="211" t="s">
        <v>487</v>
      </c>
      <c r="B68" s="212">
        <v>-1.1478311988877401</v>
      </c>
      <c r="C68" s="212">
        <v>5.77953194959154</v>
      </c>
      <c r="D68" s="212">
        <v>16.449999699300001</v>
      </c>
      <c r="E68" s="212" t="e">
        <v>#N/A</v>
      </c>
    </row>
    <row r="69" spans="1:5">
      <c r="A69" s="211" t="s">
        <v>488</v>
      </c>
      <c r="B69" s="212">
        <v>-1.1478311988877401</v>
      </c>
      <c r="C69" s="212">
        <v>5.77953194959154</v>
      </c>
      <c r="D69" s="212">
        <v>11.299999700000001</v>
      </c>
      <c r="E69" s="212" t="e">
        <v>#N/A</v>
      </c>
    </row>
    <row r="70" spans="1:5">
      <c r="A70" s="211" t="s">
        <v>489</v>
      </c>
      <c r="B70" s="212">
        <v>-1.1478311988877401</v>
      </c>
      <c r="C70" s="212">
        <v>5.77953194959154</v>
      </c>
      <c r="D70" s="212">
        <v>7.5999996999999997</v>
      </c>
      <c r="E70" s="212" t="e">
        <v>#N/A</v>
      </c>
    </row>
    <row r="71" spans="1:5">
      <c r="A71" s="211" t="s">
        <v>490</v>
      </c>
      <c r="B71" s="212">
        <v>-1.1478311988877401</v>
      </c>
      <c r="C71" s="212">
        <v>5.77953194959154</v>
      </c>
      <c r="D71" s="212">
        <v>3.9</v>
      </c>
      <c r="E71" s="212" t="e">
        <v>#N/A</v>
      </c>
    </row>
    <row r="72" spans="1:5">
      <c r="A72" s="211" t="s">
        <v>491</v>
      </c>
      <c r="B72" s="212">
        <v>1.54266397296363</v>
      </c>
      <c r="C72" s="212">
        <v>7.0341304524548898</v>
      </c>
      <c r="D72" s="212">
        <v>-1.6</v>
      </c>
      <c r="E72" s="212" t="e">
        <v>#N/A</v>
      </c>
    </row>
    <row r="73" spans="1:5">
      <c r="A73" s="211" t="s">
        <v>492</v>
      </c>
      <c r="B73" s="212">
        <v>1.54266397296363</v>
      </c>
      <c r="C73" s="212">
        <v>7.0341304524548898</v>
      </c>
      <c r="D73" s="212">
        <v>0</v>
      </c>
      <c r="E73" s="212" t="e">
        <v>#N/A</v>
      </c>
    </row>
    <row r="74" spans="1:5">
      <c r="A74" s="211" t="s">
        <v>493</v>
      </c>
      <c r="B74" s="212">
        <v>1.54266397296363</v>
      </c>
      <c r="C74" s="212">
        <v>7.0341304524548898</v>
      </c>
      <c r="D74" s="212">
        <v>14.9999996993</v>
      </c>
      <c r="E74" s="212" t="e">
        <v>#N/A</v>
      </c>
    </row>
    <row r="75" spans="1:5">
      <c r="A75" s="211" t="s">
        <v>494</v>
      </c>
      <c r="B75" s="212">
        <v>1.54266397296363</v>
      </c>
      <c r="C75" s="212">
        <v>7.0341304524548898</v>
      </c>
      <c r="D75" s="212">
        <v>11.299999700000001</v>
      </c>
      <c r="E75" s="212" t="e">
        <v>#N/A</v>
      </c>
    </row>
    <row r="76" spans="1:5">
      <c r="A76" s="211" t="s">
        <v>495</v>
      </c>
      <c r="B76" s="212">
        <v>1.54266397296363</v>
      </c>
      <c r="C76" s="212">
        <v>7.0341304524548898</v>
      </c>
      <c r="D76" s="212">
        <v>7.5999996999999997</v>
      </c>
      <c r="E76" s="212" t="e">
        <v>#N/A</v>
      </c>
    </row>
    <row r="77" spans="1:5">
      <c r="A77" s="211" t="s">
        <v>496</v>
      </c>
      <c r="B77" s="212">
        <v>1.54266397296363</v>
      </c>
      <c r="C77" s="212">
        <v>7.0341304524548898</v>
      </c>
      <c r="D77" s="212">
        <v>3.9</v>
      </c>
      <c r="E77" s="212" t="e">
        <v>#N/A</v>
      </c>
    </row>
    <row r="78" spans="1:5">
      <c r="A78" s="211" t="s">
        <v>497</v>
      </c>
      <c r="B78" s="212">
        <v>-0.26033284923321898</v>
      </c>
      <c r="C78" s="212">
        <v>3.8762855968166101</v>
      </c>
      <c r="D78" s="212">
        <v>-1.6</v>
      </c>
      <c r="E78" s="212" t="e">
        <v>#N/A</v>
      </c>
    </row>
    <row r="79" spans="1:5">
      <c r="A79" s="211" t="s">
        <v>498</v>
      </c>
      <c r="B79" s="212">
        <v>-0.26033284923321898</v>
      </c>
      <c r="C79" s="212">
        <v>3.8762855968166101</v>
      </c>
      <c r="D79" s="212">
        <v>0</v>
      </c>
      <c r="E79" s="212" t="e">
        <v>#N/A</v>
      </c>
    </row>
    <row r="80" spans="1:5">
      <c r="A80" s="211" t="s">
        <v>499</v>
      </c>
      <c r="B80" s="212">
        <v>-0.26033284923321898</v>
      </c>
      <c r="C80" s="212">
        <v>3.8762855968166101</v>
      </c>
      <c r="D80" s="212">
        <v>14.9999996993</v>
      </c>
      <c r="E80" s="212" t="e">
        <v>#N/A</v>
      </c>
    </row>
    <row r="81" spans="1:5">
      <c r="A81" s="211" t="s">
        <v>500</v>
      </c>
      <c r="B81" s="212">
        <v>-0.26033284923321898</v>
      </c>
      <c r="C81" s="212">
        <v>3.8762855968166101</v>
      </c>
      <c r="D81" s="212">
        <v>16.449999699300001</v>
      </c>
      <c r="E81" s="212" t="e">
        <v>#N/A</v>
      </c>
    </row>
    <row r="82" spans="1:5">
      <c r="A82" s="211" t="s">
        <v>501</v>
      </c>
      <c r="B82" s="212">
        <v>-0.26033284923321898</v>
      </c>
      <c r="C82" s="212">
        <v>3.8762855968166101</v>
      </c>
      <c r="D82" s="212">
        <v>11.299999700000001</v>
      </c>
      <c r="E82" s="212" t="e">
        <v>#N/A</v>
      </c>
    </row>
    <row r="83" spans="1:5">
      <c r="A83" s="211" t="s">
        <v>502</v>
      </c>
      <c r="B83" s="212">
        <v>-0.26033284923321898</v>
      </c>
      <c r="C83" s="212">
        <v>3.8762855968166101</v>
      </c>
      <c r="D83" s="212">
        <v>7.5999996999999997</v>
      </c>
      <c r="E83" s="212" t="e">
        <v>#N/A</v>
      </c>
    </row>
    <row r="84" spans="1:5">
      <c r="A84" s="211" t="s">
        <v>503</v>
      </c>
      <c r="B84" s="212">
        <v>-0.26033284923321898</v>
      </c>
      <c r="C84" s="212">
        <v>3.8762855968166101</v>
      </c>
      <c r="D84" s="212">
        <v>3.9</v>
      </c>
      <c r="E84" s="212" t="e">
        <v>#N/A</v>
      </c>
    </row>
    <row r="85" spans="1:5">
      <c r="A85" s="211" t="s">
        <v>504</v>
      </c>
      <c r="B85" s="212">
        <v>1.3710211674327499</v>
      </c>
      <c r="C85" s="212">
        <v>4.6369984679498701</v>
      </c>
      <c r="D85" s="212">
        <v>-1.6</v>
      </c>
      <c r="E85" s="212" t="e">
        <v>#N/A</v>
      </c>
    </row>
    <row r="86" spans="1:5">
      <c r="A86" s="211" t="s">
        <v>505</v>
      </c>
      <c r="B86" s="212">
        <v>1.3710211674327499</v>
      </c>
      <c r="C86" s="212">
        <v>4.6369984679498701</v>
      </c>
      <c r="D86" s="212">
        <v>0</v>
      </c>
      <c r="E86" s="212" t="e">
        <v>#N/A</v>
      </c>
    </row>
    <row r="87" spans="1:5">
      <c r="A87" s="211" t="s">
        <v>506</v>
      </c>
      <c r="B87" s="212">
        <v>1.3710211674327499</v>
      </c>
      <c r="C87" s="212">
        <v>4.6369984679498701</v>
      </c>
      <c r="D87" s="212">
        <v>14.9999996993</v>
      </c>
      <c r="E87" s="212" t="e">
        <v>#N/A</v>
      </c>
    </row>
    <row r="88" spans="1:5">
      <c r="A88" s="211" t="s">
        <v>507</v>
      </c>
      <c r="B88" s="212">
        <v>1.3710211674327499</v>
      </c>
      <c r="C88" s="212">
        <v>4.6369984679498701</v>
      </c>
      <c r="D88" s="212">
        <v>16.449999699300001</v>
      </c>
      <c r="E88" s="212" t="e">
        <v>#N/A</v>
      </c>
    </row>
    <row r="89" spans="1:5">
      <c r="A89" s="211" t="s">
        <v>508</v>
      </c>
      <c r="B89" s="212">
        <v>1.3710211674327499</v>
      </c>
      <c r="C89" s="212">
        <v>4.6369984679498701</v>
      </c>
      <c r="D89" s="212">
        <v>11.299999700000001</v>
      </c>
      <c r="E89" s="212" t="e">
        <v>#N/A</v>
      </c>
    </row>
    <row r="90" spans="1:5">
      <c r="A90" s="211" t="s">
        <v>509</v>
      </c>
      <c r="B90" s="212">
        <v>1.3710211674327499</v>
      </c>
      <c r="C90" s="212">
        <v>4.6369984679498701</v>
      </c>
      <c r="D90" s="212">
        <v>7.5999996999999997</v>
      </c>
      <c r="E90" s="212" t="e">
        <v>#N/A</v>
      </c>
    </row>
    <row r="91" spans="1:5">
      <c r="A91" s="211" t="s">
        <v>510</v>
      </c>
      <c r="B91" s="212">
        <v>1.3710211674327499</v>
      </c>
      <c r="C91" s="212">
        <v>4.6369984679498701</v>
      </c>
      <c r="D91" s="212">
        <v>3.9</v>
      </c>
      <c r="E91" s="212" t="e">
        <v>#N/A</v>
      </c>
    </row>
    <row r="92" spans="1:5">
      <c r="A92" s="211" t="s">
        <v>511</v>
      </c>
      <c r="B92" s="212">
        <v>0.48352281777841999</v>
      </c>
      <c r="C92" s="212">
        <v>6.5402448207243902</v>
      </c>
      <c r="D92" s="212">
        <v>-1.6</v>
      </c>
      <c r="E92" s="212" t="e">
        <v>#N/A</v>
      </c>
    </row>
    <row r="93" spans="1:5">
      <c r="A93" s="211" t="s">
        <v>512</v>
      </c>
      <c r="B93" s="212">
        <v>0.48352281777841999</v>
      </c>
      <c r="C93" s="212">
        <v>6.5402448207243902</v>
      </c>
      <c r="D93" s="212">
        <v>0</v>
      </c>
      <c r="E93" s="212" t="e">
        <v>#N/A</v>
      </c>
    </row>
    <row r="94" spans="1:5">
      <c r="A94" s="211" t="s">
        <v>513</v>
      </c>
      <c r="B94" s="212">
        <v>0.48352281777841999</v>
      </c>
      <c r="C94" s="212">
        <v>6.5402448207243902</v>
      </c>
      <c r="D94" s="212">
        <v>14.9999996993</v>
      </c>
      <c r="E94" s="212" t="e">
        <v>#N/A</v>
      </c>
    </row>
    <row r="95" spans="1:5">
      <c r="A95" s="211" t="s">
        <v>514</v>
      </c>
      <c r="B95" s="212">
        <v>0.48352281777841999</v>
      </c>
      <c r="C95" s="212">
        <v>6.5402448207243902</v>
      </c>
      <c r="D95" s="212">
        <v>16.449999699300001</v>
      </c>
      <c r="E95" s="212" t="e">
        <v>#N/A</v>
      </c>
    </row>
    <row r="96" spans="1:5">
      <c r="A96" s="211" t="s">
        <v>515</v>
      </c>
      <c r="B96" s="212">
        <v>0.48352281777841999</v>
      </c>
      <c r="C96" s="212">
        <v>6.5402448207243902</v>
      </c>
      <c r="D96" s="212">
        <v>11.299999700000001</v>
      </c>
      <c r="E96" s="212" t="e">
        <v>#N/A</v>
      </c>
    </row>
    <row r="97" spans="1:5">
      <c r="A97" s="211" t="s">
        <v>516</v>
      </c>
      <c r="B97" s="212">
        <v>0.48352281777841999</v>
      </c>
      <c r="C97" s="212">
        <v>6.5402448207243902</v>
      </c>
      <c r="D97" s="212">
        <v>7.5999996999999997</v>
      </c>
      <c r="E97" s="212" t="e">
        <v>#N/A</v>
      </c>
    </row>
    <row r="98" spans="1:5">
      <c r="A98" s="211" t="s">
        <v>517</v>
      </c>
      <c r="B98" s="212">
        <v>0.48352281777841999</v>
      </c>
      <c r="C98" s="212">
        <v>6.5402448207243902</v>
      </c>
      <c r="D98" s="212">
        <v>3.9</v>
      </c>
      <c r="E98" s="212" t="e">
        <v>#N/A</v>
      </c>
    </row>
    <row r="99" spans="1:5">
      <c r="A99" s="211" t="s">
        <v>518</v>
      </c>
      <c r="B99" s="212">
        <v>3.4319999999999999</v>
      </c>
      <c r="C99" s="212">
        <v>3.8</v>
      </c>
      <c r="D99" s="212">
        <v>0</v>
      </c>
      <c r="E99" s="212" t="e">
        <v>#N/A</v>
      </c>
    </row>
    <row r="100" spans="1:5">
      <c r="A100" s="211" t="s">
        <v>519</v>
      </c>
      <c r="B100" s="212">
        <v>3.4319999999999999</v>
      </c>
      <c r="C100" s="212">
        <v>3.8</v>
      </c>
      <c r="D100" s="212">
        <v>14.9999996993</v>
      </c>
      <c r="E100" s="212" t="e">
        <v>#N/A</v>
      </c>
    </row>
    <row r="101" spans="1:5">
      <c r="A101" s="211" t="s">
        <v>520</v>
      </c>
      <c r="B101" s="212">
        <v>3.4319999999999999</v>
      </c>
      <c r="C101" s="212">
        <v>3.8</v>
      </c>
      <c r="D101" s="212">
        <v>11.299999700000001</v>
      </c>
      <c r="E101" s="212" t="e">
        <v>#N/A</v>
      </c>
    </row>
    <row r="102" spans="1:5">
      <c r="A102" s="211" t="s">
        <v>521</v>
      </c>
      <c r="B102" s="212">
        <v>3.4319999999999999</v>
      </c>
      <c r="C102" s="212">
        <v>3.8</v>
      </c>
      <c r="D102" s="212">
        <v>7.5999996999999997</v>
      </c>
      <c r="E102" s="212" t="e">
        <v>#N/A</v>
      </c>
    </row>
    <row r="103" spans="1:5">
      <c r="A103" s="211" t="s">
        <v>522</v>
      </c>
      <c r="B103" s="212">
        <v>3.4319999999999999</v>
      </c>
      <c r="C103" s="212">
        <v>3.8</v>
      </c>
      <c r="D103" s="212">
        <v>3.9</v>
      </c>
      <c r="E103" s="212" t="e">
        <v>#N/A</v>
      </c>
    </row>
    <row r="104" spans="1:5">
      <c r="A104" s="211" t="s">
        <v>523</v>
      </c>
      <c r="B104" s="212">
        <v>1.032</v>
      </c>
      <c r="C104" s="212">
        <v>3.8492187726771001</v>
      </c>
      <c r="D104" s="212">
        <v>0</v>
      </c>
      <c r="E104" s="212" t="e">
        <v>#N/A</v>
      </c>
    </row>
    <row r="105" spans="1:5">
      <c r="A105" s="211" t="s">
        <v>524</v>
      </c>
      <c r="B105" s="212">
        <v>1.032</v>
      </c>
      <c r="C105" s="212">
        <v>3.8492187726771001</v>
      </c>
      <c r="D105" s="212">
        <v>14.9999996993</v>
      </c>
      <c r="E105" s="212" t="e">
        <v>#N/A</v>
      </c>
    </row>
    <row r="106" spans="1:5">
      <c r="A106" s="211" t="s">
        <v>525</v>
      </c>
      <c r="B106" s="212">
        <v>1.032</v>
      </c>
      <c r="C106" s="212">
        <v>3.8492187726771001</v>
      </c>
      <c r="D106" s="212">
        <v>11.299999700000001</v>
      </c>
      <c r="E106" s="212" t="e">
        <v>#N/A</v>
      </c>
    </row>
    <row r="107" spans="1:5">
      <c r="A107" s="211" t="s">
        <v>526</v>
      </c>
      <c r="B107" s="212">
        <v>1.032</v>
      </c>
      <c r="C107" s="212">
        <v>3.8492187726771001</v>
      </c>
      <c r="D107" s="212">
        <v>7.5999996999999997</v>
      </c>
      <c r="E107" s="212" t="e">
        <v>#N/A</v>
      </c>
    </row>
    <row r="108" spans="1:5">
      <c r="A108" s="211" t="s">
        <v>527</v>
      </c>
      <c r="B108" s="212">
        <v>1.032</v>
      </c>
      <c r="C108" s="212">
        <v>3.8492187726771001</v>
      </c>
      <c r="D108" s="212">
        <v>3.9</v>
      </c>
      <c r="E108" s="212" t="e">
        <v>#N/A</v>
      </c>
    </row>
    <row r="109" spans="1:5">
      <c r="A109" s="211" t="s">
        <v>528</v>
      </c>
      <c r="B109" s="212">
        <v>1.03115574729401</v>
      </c>
      <c r="C109" s="212">
        <v>4.4785166197971096</v>
      </c>
      <c r="D109" s="212">
        <v>0</v>
      </c>
      <c r="E109" s="212" t="e">
        <v>#N/A</v>
      </c>
    </row>
    <row r="110" spans="1:5">
      <c r="A110" s="211" t="s">
        <v>529</v>
      </c>
      <c r="B110" s="212">
        <v>1.03115574729401</v>
      </c>
      <c r="C110" s="212">
        <v>4.4785166197971096</v>
      </c>
      <c r="D110" s="212">
        <v>14.9999996993</v>
      </c>
      <c r="E110" s="212" t="e">
        <v>#N/A</v>
      </c>
    </row>
    <row r="111" spans="1:5">
      <c r="A111" s="211" t="s">
        <v>530</v>
      </c>
      <c r="B111" s="212">
        <v>1.03115574729401</v>
      </c>
      <c r="C111" s="212">
        <v>4.4785166197971096</v>
      </c>
      <c r="D111" s="212">
        <v>11.299999700000001</v>
      </c>
      <c r="E111" s="212" t="e">
        <v>#N/A</v>
      </c>
    </row>
    <row r="112" spans="1:5">
      <c r="A112" s="211" t="s">
        <v>531</v>
      </c>
      <c r="B112" s="212">
        <v>1.03115574729401</v>
      </c>
      <c r="C112" s="212">
        <v>4.4785166197971096</v>
      </c>
      <c r="D112" s="212">
        <v>7.5999996999999997</v>
      </c>
      <c r="E112" s="212" t="e">
        <v>#N/A</v>
      </c>
    </row>
    <row r="113" spans="1:5">
      <c r="A113" s="211" t="s">
        <v>532</v>
      </c>
      <c r="B113" s="212">
        <v>1.03115574729401</v>
      </c>
      <c r="C113" s="212">
        <v>4.4785166197971096</v>
      </c>
      <c r="D113" s="212">
        <v>3.9</v>
      </c>
      <c r="E113" s="212" t="e">
        <v>#N/A</v>
      </c>
    </row>
    <row r="114" spans="1:5">
      <c r="A114" s="211" t="s">
        <v>533</v>
      </c>
      <c r="B114" s="212">
        <v>3.2909687375851302</v>
      </c>
      <c r="C114" s="212">
        <v>3.8019065731962698</v>
      </c>
      <c r="D114" s="212">
        <v>0</v>
      </c>
      <c r="E114" s="212" t="e">
        <v>#N/A</v>
      </c>
    </row>
    <row r="115" spans="1:5">
      <c r="A115" s="211" t="s">
        <v>534</v>
      </c>
      <c r="B115" s="212">
        <v>3.2909687375851302</v>
      </c>
      <c r="C115" s="212">
        <v>3.8019065731962698</v>
      </c>
      <c r="D115" s="212">
        <v>14.9999996993</v>
      </c>
      <c r="E115" s="212" t="e">
        <v>#N/A</v>
      </c>
    </row>
    <row r="116" spans="1:5">
      <c r="A116" s="211" t="s">
        <v>535</v>
      </c>
      <c r="B116" s="212">
        <v>0.30349380886781602</v>
      </c>
      <c r="C116" s="212">
        <v>9.3250785044823505</v>
      </c>
      <c r="D116" s="212">
        <v>11.299999700000001</v>
      </c>
      <c r="E116" s="212" t="e">
        <v>#N/A</v>
      </c>
    </row>
    <row r="117" spans="1:5">
      <c r="A117" s="211" t="s">
        <v>536</v>
      </c>
      <c r="B117" s="212">
        <v>3.2909687375851302</v>
      </c>
      <c r="C117" s="212">
        <v>3.8019065731962698</v>
      </c>
      <c r="D117" s="212">
        <v>11.299999700000001</v>
      </c>
      <c r="E117" s="212" t="e">
        <v>#N/A</v>
      </c>
    </row>
    <row r="118" spans="1:5">
      <c r="A118" s="211" t="s">
        <v>537</v>
      </c>
      <c r="B118" s="212">
        <v>3.2909687375851302</v>
      </c>
      <c r="C118" s="212">
        <v>3.8019065731962698</v>
      </c>
      <c r="D118" s="212">
        <v>7.5999996999999997</v>
      </c>
      <c r="E118" s="212" t="e">
        <v>#N/A</v>
      </c>
    </row>
    <row r="119" spans="1:5">
      <c r="A119" s="211" t="s">
        <v>538</v>
      </c>
      <c r="B119" s="212">
        <v>3.2909687375851302</v>
      </c>
      <c r="C119" s="212">
        <v>3.8019065731962698</v>
      </c>
      <c r="D119" s="212">
        <v>3.9</v>
      </c>
      <c r="E119" s="212" t="e">
        <v>#N/A</v>
      </c>
    </row>
    <row r="120" spans="1:5">
      <c r="A120" s="211" t="s">
        <v>539</v>
      </c>
      <c r="B120" s="212">
        <v>3.2000000000000001E-2</v>
      </c>
      <c r="C120" s="212">
        <v>0</v>
      </c>
      <c r="D120" s="212">
        <v>2.79998806252188</v>
      </c>
      <c r="E120" s="212" t="e">
        <v>#N/A</v>
      </c>
    </row>
    <row r="121" spans="1:5">
      <c r="A121" s="211" t="s">
        <v>540</v>
      </c>
      <c r="B121" s="212">
        <v>0</v>
      </c>
      <c r="C121" s="212">
        <v>3.3180000000000001</v>
      </c>
      <c r="D121" s="212">
        <v>2.8000055052451001</v>
      </c>
      <c r="E121" s="212" t="e">
        <v>#N/A</v>
      </c>
    </row>
    <row r="122" spans="1:5">
      <c r="A122" s="211" t="s">
        <v>541</v>
      </c>
      <c r="B122" s="212">
        <v>1.032</v>
      </c>
      <c r="C122" s="212">
        <v>0</v>
      </c>
      <c r="D122" s="212">
        <v>16.200881958007798</v>
      </c>
      <c r="E122" s="212" t="e">
        <v>#N/A</v>
      </c>
    </row>
    <row r="123" spans="1:5">
      <c r="A123" s="211" t="s">
        <v>542</v>
      </c>
      <c r="B123" s="212">
        <v>11.132</v>
      </c>
      <c r="C123" s="212">
        <v>0</v>
      </c>
      <c r="D123" s="212">
        <v>16.200881958007798</v>
      </c>
      <c r="E123" s="212" t="e">
        <v>#N/A</v>
      </c>
    </row>
    <row r="124" spans="1:5">
      <c r="A124" s="211" t="s">
        <v>543</v>
      </c>
      <c r="B124" s="212">
        <v>6.9320000000000004</v>
      </c>
      <c r="C124" s="212">
        <v>0</v>
      </c>
      <c r="D124" s="212">
        <v>16.200881958007798</v>
      </c>
      <c r="E124" s="212" t="e">
        <v>#N/A</v>
      </c>
    </row>
    <row r="125" spans="1:5">
      <c r="A125" s="211" t="s">
        <v>544</v>
      </c>
      <c r="B125" s="212">
        <v>3.4319999999999999</v>
      </c>
      <c r="C125" s="212">
        <v>0</v>
      </c>
      <c r="D125" s="212">
        <v>16.200881958007798</v>
      </c>
      <c r="E125" s="212" t="e">
        <v>#N/A</v>
      </c>
    </row>
    <row r="126" spans="1:5">
      <c r="A126" s="211" t="s">
        <v>545</v>
      </c>
      <c r="B126" s="212">
        <v>10.832000000000001</v>
      </c>
      <c r="C126" s="212">
        <v>3.8</v>
      </c>
      <c r="D126" s="212">
        <v>16.199949264526399</v>
      </c>
      <c r="E126" s="212" t="e">
        <v>#N/A</v>
      </c>
    </row>
    <row r="127" spans="1:5">
      <c r="A127" s="211" t="s">
        <v>546</v>
      </c>
      <c r="B127" s="212">
        <v>6.9320000000000004</v>
      </c>
      <c r="C127" s="212">
        <v>3.8</v>
      </c>
      <c r="D127" s="212">
        <v>16.199949264526399</v>
      </c>
      <c r="E127" s="212" t="e">
        <v>#N/A</v>
      </c>
    </row>
    <row r="128" spans="1:5">
      <c r="A128" s="211" t="s">
        <v>547</v>
      </c>
      <c r="B128" s="212">
        <v>3.3820000000000001</v>
      </c>
      <c r="C128" s="212">
        <v>3.8</v>
      </c>
      <c r="D128" s="212">
        <v>16.199949264526399</v>
      </c>
      <c r="E128" s="212" t="e">
        <v>#N/A</v>
      </c>
    </row>
    <row r="129" spans="1:5">
      <c r="A129" s="211" t="s">
        <v>548</v>
      </c>
      <c r="B129" s="212">
        <v>0.19339830582695999</v>
      </c>
      <c r="C129" s="212">
        <v>9.5286204275662598</v>
      </c>
      <c r="D129" s="212">
        <v>16.200351715087901</v>
      </c>
      <c r="E129" s="212" t="e">
        <v>#N/A</v>
      </c>
    </row>
    <row r="130" spans="1:5">
      <c r="A130" s="211" t="s">
        <v>549</v>
      </c>
      <c r="B130" s="212">
        <v>-2.24663867941356</v>
      </c>
      <c r="C130" s="212">
        <v>8.1359321958868307</v>
      </c>
      <c r="D130" s="212">
        <v>16.2000522613525</v>
      </c>
      <c r="E130" s="212" t="e">
        <v>#N/A</v>
      </c>
    </row>
    <row r="131" spans="1:5">
      <c r="A131" s="211" t="s">
        <v>550</v>
      </c>
      <c r="B131" s="212">
        <v>1.54266397296363</v>
      </c>
      <c r="C131" s="212">
        <v>7.0341304524548898</v>
      </c>
      <c r="D131" s="212">
        <v>16.199247360229499</v>
      </c>
      <c r="E131" s="212" t="e">
        <v>#N/A</v>
      </c>
    </row>
    <row r="132" spans="1:5">
      <c r="A132" s="211" t="s">
        <v>551</v>
      </c>
      <c r="B132" s="212">
        <v>11.832000000000001</v>
      </c>
      <c r="C132" s="212">
        <v>3.8</v>
      </c>
      <c r="D132" s="212">
        <v>14.9999996993</v>
      </c>
      <c r="E132" s="212" t="e">
        <v>#N/A</v>
      </c>
    </row>
    <row r="133" spans="1:5">
      <c r="A133" s="211" t="s">
        <v>552</v>
      </c>
      <c r="B133" s="212">
        <v>11.832000000000001</v>
      </c>
      <c r="C133" s="212">
        <v>3.8</v>
      </c>
      <c r="D133" s="212">
        <v>11.299999700000001</v>
      </c>
      <c r="E133" s="212" t="e">
        <v>#N/A</v>
      </c>
    </row>
    <row r="134" spans="1:5">
      <c r="A134" s="211" t="s">
        <v>553</v>
      </c>
      <c r="B134" s="212">
        <v>11.832000000000001</v>
      </c>
      <c r="C134" s="212">
        <v>3.8</v>
      </c>
      <c r="D134" s="212">
        <v>7.5999996999999997</v>
      </c>
      <c r="E134" s="212" t="e">
        <v>#N/A</v>
      </c>
    </row>
    <row r="135" spans="1:5">
      <c r="A135" s="211" t="s">
        <v>554</v>
      </c>
      <c r="B135" s="212">
        <v>11.832000000000001</v>
      </c>
      <c r="C135" s="212">
        <v>3.8</v>
      </c>
      <c r="D135" s="212">
        <v>3.9</v>
      </c>
      <c r="E135" s="212" t="e">
        <v>#N/A</v>
      </c>
    </row>
    <row r="136" spans="1:5">
      <c r="A136" s="211" t="s">
        <v>555</v>
      </c>
      <c r="B136" s="212">
        <v>12.132</v>
      </c>
      <c r="C136" s="212">
        <v>0</v>
      </c>
      <c r="D136" s="212">
        <v>14.9999996993</v>
      </c>
      <c r="E136" s="212" t="e">
        <v>#N/A</v>
      </c>
    </row>
    <row r="137" spans="1:5">
      <c r="A137" s="211" t="s">
        <v>556</v>
      </c>
      <c r="B137" s="212">
        <v>12.132</v>
      </c>
      <c r="C137" s="212">
        <v>0</v>
      </c>
      <c r="D137" s="212">
        <v>11.299999700000001</v>
      </c>
      <c r="E137" s="212" t="e">
        <v>#N/A</v>
      </c>
    </row>
    <row r="138" spans="1:5">
      <c r="A138" s="211" t="s">
        <v>557</v>
      </c>
      <c r="B138" s="212">
        <v>12.132</v>
      </c>
      <c r="C138" s="212">
        <v>0</v>
      </c>
      <c r="D138" s="212">
        <v>7.5999996999999997</v>
      </c>
      <c r="E138" s="212" t="e">
        <v>#N/A</v>
      </c>
    </row>
    <row r="139" spans="1:5">
      <c r="A139" s="211" t="s">
        <v>558</v>
      </c>
      <c r="B139" s="212">
        <v>12.132</v>
      </c>
      <c r="C139" s="212">
        <v>0</v>
      </c>
      <c r="D139" s="212">
        <v>3.9</v>
      </c>
      <c r="E139" s="212" t="e">
        <v>#N/A</v>
      </c>
    </row>
    <row r="140" spans="1:5">
      <c r="A140" s="211" t="s">
        <v>559</v>
      </c>
      <c r="B140" s="212">
        <v>1.032</v>
      </c>
      <c r="C140" s="212">
        <v>2.6779999999999999</v>
      </c>
      <c r="D140" s="212">
        <v>3.9</v>
      </c>
      <c r="E140" s="212" t="e">
        <v>#N/A</v>
      </c>
    </row>
    <row r="141" spans="1:5">
      <c r="A141" s="211" t="s">
        <v>560</v>
      </c>
      <c r="B141" s="212">
        <v>1.032</v>
      </c>
      <c r="C141" s="212">
        <v>2.6779999999999999</v>
      </c>
      <c r="D141" s="212">
        <v>14.9999996993</v>
      </c>
      <c r="E141" s="212" t="e">
        <v>#N/A</v>
      </c>
    </row>
    <row r="142" spans="1:5">
      <c r="A142" s="211" t="s">
        <v>561</v>
      </c>
      <c r="B142" s="212">
        <v>1.032</v>
      </c>
      <c r="C142" s="212">
        <v>2.6779999999999999</v>
      </c>
      <c r="D142" s="212">
        <v>11.299999700000001</v>
      </c>
      <c r="E142" s="212" t="e">
        <v>#N/A</v>
      </c>
    </row>
    <row r="143" spans="1:5">
      <c r="A143" s="211" t="s">
        <v>562</v>
      </c>
      <c r="B143" s="212">
        <v>1.032</v>
      </c>
      <c r="C143" s="212">
        <v>2.6779999999999999</v>
      </c>
      <c r="D143" s="212">
        <v>7.5999996999999997</v>
      </c>
      <c r="E143" s="212" t="e">
        <v>#N/A</v>
      </c>
    </row>
    <row r="144" spans="1:5">
      <c r="A144" s="211" t="s">
        <v>563</v>
      </c>
      <c r="B144" s="212">
        <v>10.832000000000001</v>
      </c>
      <c r="C144" s="212">
        <v>2.6779999999999999</v>
      </c>
      <c r="D144" s="212">
        <v>14.9999996993</v>
      </c>
      <c r="E144" s="212" t="e">
        <v>#N/A</v>
      </c>
    </row>
    <row r="145" spans="1:5">
      <c r="A145" s="211" t="s">
        <v>564</v>
      </c>
      <c r="B145" s="212">
        <v>10.9205789473684</v>
      </c>
      <c r="C145" s="212">
        <v>2.6779999999999999</v>
      </c>
      <c r="D145" s="212">
        <v>7.5999996999999997</v>
      </c>
      <c r="E145" s="212" t="e">
        <v>#N/A</v>
      </c>
    </row>
    <row r="146" spans="1:5">
      <c r="A146" s="211" t="s">
        <v>565</v>
      </c>
      <c r="B146" s="212">
        <v>10.9205789473684</v>
      </c>
      <c r="C146" s="212">
        <v>2.6779999999999999</v>
      </c>
      <c r="D146" s="212">
        <v>3.9</v>
      </c>
      <c r="E146" s="212" t="e">
        <v>#N/A</v>
      </c>
    </row>
    <row r="147" spans="1:5">
      <c r="A147" s="211" t="s">
        <v>566</v>
      </c>
      <c r="B147" s="212">
        <v>6.9320000000000004</v>
      </c>
      <c r="C147" s="212">
        <v>2.6779999999999999</v>
      </c>
      <c r="D147" s="212">
        <v>11.299999700000001</v>
      </c>
      <c r="E147" s="212" t="e">
        <v>#N/A</v>
      </c>
    </row>
    <row r="148" spans="1:5">
      <c r="A148" s="211" t="s">
        <v>567</v>
      </c>
      <c r="B148" s="212">
        <v>6.9320000000000004</v>
      </c>
      <c r="C148" s="212">
        <v>2.6779999999999999</v>
      </c>
      <c r="D148" s="212">
        <v>7.5999996999999997</v>
      </c>
      <c r="E148" s="212" t="e">
        <v>#N/A</v>
      </c>
    </row>
    <row r="149" spans="1:5">
      <c r="A149" s="211" t="s">
        <v>568</v>
      </c>
      <c r="B149" s="212">
        <v>6.9320000000000004</v>
      </c>
      <c r="C149" s="212">
        <v>2.6779999999999999</v>
      </c>
      <c r="D149" s="212">
        <v>3.9</v>
      </c>
      <c r="E149" s="212" t="e">
        <v>#N/A</v>
      </c>
    </row>
    <row r="150" spans="1:5">
      <c r="A150" s="211" t="s">
        <v>569</v>
      </c>
      <c r="B150" s="212">
        <v>3.4319999999999999</v>
      </c>
      <c r="C150" s="212">
        <v>2.6779999999999999</v>
      </c>
      <c r="D150" s="212">
        <v>14.9999996993</v>
      </c>
      <c r="E150" s="212" t="e">
        <v>#N/A</v>
      </c>
    </row>
    <row r="151" spans="1:5">
      <c r="A151" s="211" t="s">
        <v>570</v>
      </c>
      <c r="B151" s="212">
        <v>3.4319999999999999</v>
      </c>
      <c r="C151" s="212">
        <v>2.6779999999999999</v>
      </c>
      <c r="D151" s="212">
        <v>11.299999700000001</v>
      </c>
      <c r="E151" s="212" t="e">
        <v>#N/A</v>
      </c>
    </row>
    <row r="152" spans="1:5">
      <c r="A152" s="211" t="s">
        <v>571</v>
      </c>
      <c r="B152" s="212">
        <v>3.4319999999999999</v>
      </c>
      <c r="C152" s="212">
        <v>2.6779999999999999</v>
      </c>
      <c r="D152" s="212">
        <v>7.5999996999999997</v>
      </c>
      <c r="E152" s="212" t="e">
        <v>#N/A</v>
      </c>
    </row>
    <row r="153" spans="1:5">
      <c r="A153" s="211" t="s">
        <v>572</v>
      </c>
      <c r="B153" s="212">
        <v>3.4319999999999999</v>
      </c>
      <c r="C153" s="212">
        <v>2.6779999999999999</v>
      </c>
      <c r="D153" s="212">
        <v>3.9</v>
      </c>
      <c r="E153" s="212" t="e">
        <v>#N/A</v>
      </c>
    </row>
    <row r="154" spans="1:5">
      <c r="A154" s="211" t="s">
        <v>573</v>
      </c>
      <c r="B154" s="212">
        <v>2.5819999999999999</v>
      </c>
      <c r="C154" s="212">
        <v>2.6779999999999999</v>
      </c>
      <c r="D154" s="212">
        <v>3.9</v>
      </c>
      <c r="E154" s="212" t="e">
        <v>#N/A</v>
      </c>
    </row>
    <row r="155" spans="1:5">
      <c r="A155" s="211" t="s">
        <v>574</v>
      </c>
      <c r="B155" s="212">
        <v>2.5819999999999999</v>
      </c>
      <c r="C155" s="212">
        <v>2.6779999999999999</v>
      </c>
      <c r="D155" s="212">
        <v>11.299999700000001</v>
      </c>
      <c r="E155" s="212" t="e">
        <v>#N/A</v>
      </c>
    </row>
    <row r="156" spans="1:5">
      <c r="A156" s="211" t="s">
        <v>575</v>
      </c>
      <c r="B156" s="212">
        <v>2.5819999999999999</v>
      </c>
      <c r="C156" s="212">
        <v>2.6779999999999999</v>
      </c>
      <c r="D156" s="212">
        <v>7.5999996999999997</v>
      </c>
      <c r="E156" s="212" t="e">
        <v>#N/A</v>
      </c>
    </row>
    <row r="157" spans="1:5">
      <c r="A157" s="211" t="s">
        <v>576</v>
      </c>
      <c r="B157" s="212">
        <v>2.5819999999999999</v>
      </c>
      <c r="C157" s="212">
        <v>0</v>
      </c>
      <c r="D157" s="212">
        <v>3.9</v>
      </c>
      <c r="E157" s="212" t="e">
        <v>#N/A</v>
      </c>
    </row>
    <row r="158" spans="1:5">
      <c r="A158" s="211" t="s">
        <v>577</v>
      </c>
      <c r="B158" s="212">
        <v>2.5819999999999999</v>
      </c>
      <c r="C158" s="212">
        <v>0</v>
      </c>
      <c r="D158" s="212">
        <v>14.9999996993</v>
      </c>
      <c r="E158" s="212" t="e">
        <v>#N/A</v>
      </c>
    </row>
    <row r="159" spans="1:5">
      <c r="A159" s="211" t="s">
        <v>578</v>
      </c>
      <c r="B159" s="212">
        <v>2.5819999999999999</v>
      </c>
      <c r="C159" s="212">
        <v>0</v>
      </c>
      <c r="D159" s="212">
        <v>11.299999700000001</v>
      </c>
      <c r="E159" s="212" t="e">
        <v>#N/A</v>
      </c>
    </row>
    <row r="160" spans="1:5">
      <c r="A160" s="211" t="s">
        <v>579</v>
      </c>
      <c r="B160" s="212">
        <v>2.5819999999999999</v>
      </c>
      <c r="C160" s="212">
        <v>0</v>
      </c>
      <c r="D160" s="212">
        <v>7.5999996999999997</v>
      </c>
      <c r="E160" s="212" t="e">
        <v>#N/A</v>
      </c>
    </row>
    <row r="161" spans="1:5">
      <c r="A161" s="211" t="s">
        <v>580</v>
      </c>
      <c r="B161" s="212">
        <v>3.4319999999999999</v>
      </c>
      <c r="C161" s="212">
        <v>2.74</v>
      </c>
      <c r="D161" s="212">
        <v>0</v>
      </c>
      <c r="E161" s="212" t="e">
        <v>#N/A</v>
      </c>
    </row>
    <row r="162" spans="1:5">
      <c r="A162" s="211" t="s">
        <v>581</v>
      </c>
      <c r="B162" s="212">
        <v>1.032</v>
      </c>
      <c r="C162" s="212">
        <v>2.74</v>
      </c>
      <c r="D162" s="212">
        <v>0</v>
      </c>
      <c r="E162" s="212" t="e">
        <v>#N/A</v>
      </c>
    </row>
    <row r="163" spans="1:5">
      <c r="A163" s="211" t="s">
        <v>582</v>
      </c>
      <c r="B163" s="212">
        <v>7.532</v>
      </c>
      <c r="C163" s="212">
        <v>0</v>
      </c>
      <c r="D163" s="212">
        <v>11.299999700000001</v>
      </c>
      <c r="E163" s="212" t="e">
        <v>#N/A</v>
      </c>
    </row>
    <row r="164" spans="1:5">
      <c r="A164" s="211" t="s">
        <v>583</v>
      </c>
      <c r="B164" s="212">
        <v>7.532</v>
      </c>
      <c r="C164" s="212">
        <v>2.6779999999999999</v>
      </c>
      <c r="D164" s="212">
        <v>11.299999700000001</v>
      </c>
      <c r="E164" s="212" t="e">
        <v>#N/A</v>
      </c>
    </row>
    <row r="165" spans="1:5">
      <c r="A165" s="211" t="s">
        <v>584</v>
      </c>
      <c r="B165" s="212">
        <v>7.532</v>
      </c>
      <c r="C165" s="212">
        <v>3.8</v>
      </c>
      <c r="D165" s="212">
        <v>11.299999700000001</v>
      </c>
      <c r="E165" s="212" t="e">
        <v>#N/A</v>
      </c>
    </row>
    <row r="166" spans="1:5">
      <c r="A166" s="211" t="s">
        <v>585</v>
      </c>
      <c r="B166" s="212">
        <v>10.832000000000001</v>
      </c>
      <c r="C166" s="212">
        <v>3.3</v>
      </c>
      <c r="D166" s="212">
        <v>14.9999996993</v>
      </c>
      <c r="E166" s="212" t="e">
        <v>#N/A</v>
      </c>
    </row>
    <row r="167" spans="1:5">
      <c r="A167" s="211" t="s">
        <v>586</v>
      </c>
      <c r="B167" s="212">
        <v>3.2000000000000001E-2</v>
      </c>
      <c r="C167" s="212">
        <v>3.3</v>
      </c>
      <c r="D167" s="212">
        <v>0</v>
      </c>
      <c r="E167" s="212" t="e">
        <v>#N/A</v>
      </c>
    </row>
    <row r="168" spans="1:5">
      <c r="A168" s="211" t="s">
        <v>587</v>
      </c>
      <c r="B168" s="212">
        <v>3.2000000000000001E-2</v>
      </c>
      <c r="C168" s="212">
        <v>3.3</v>
      </c>
      <c r="D168" s="212">
        <v>14.9999996993</v>
      </c>
      <c r="E168" s="212" t="e">
        <v>#N/A</v>
      </c>
    </row>
    <row r="169" spans="1:5">
      <c r="A169" s="211" t="s">
        <v>588</v>
      </c>
      <c r="B169" s="212">
        <v>3.2000000000000001E-2</v>
      </c>
      <c r="C169" s="212">
        <v>3.3</v>
      </c>
      <c r="D169" s="212">
        <v>11.299999700000001</v>
      </c>
      <c r="E169" s="212" t="e">
        <v>#N/A</v>
      </c>
    </row>
    <row r="170" spans="1:5">
      <c r="A170" s="211" t="s">
        <v>589</v>
      </c>
      <c r="B170" s="212">
        <v>3.2000000000000001E-2</v>
      </c>
      <c r="C170" s="212">
        <v>3.3</v>
      </c>
      <c r="D170" s="212">
        <v>7.5999996999999997</v>
      </c>
      <c r="E170" s="212" t="e">
        <v>#N/A</v>
      </c>
    </row>
    <row r="171" spans="1:5">
      <c r="A171" s="211" t="s">
        <v>590</v>
      </c>
      <c r="B171" s="212">
        <v>3.2000000000000001E-2</v>
      </c>
      <c r="C171" s="212">
        <v>3.3</v>
      </c>
      <c r="D171" s="212">
        <v>3.9</v>
      </c>
      <c r="E171" s="212" t="e">
        <v>#N/A</v>
      </c>
    </row>
    <row r="172" spans="1:5">
      <c r="A172" s="211" t="s">
        <v>591</v>
      </c>
      <c r="B172" s="212">
        <v>3.2000000000000001E-2</v>
      </c>
      <c r="C172" s="212">
        <v>1.9</v>
      </c>
      <c r="D172" s="212">
        <v>0</v>
      </c>
      <c r="E172" s="212" t="e">
        <v>#N/A</v>
      </c>
    </row>
    <row r="173" spans="1:5">
      <c r="A173" s="211" t="s">
        <v>592</v>
      </c>
      <c r="B173" s="212">
        <v>3.2000000000000001E-2</v>
      </c>
      <c r="C173" s="212">
        <v>1.9</v>
      </c>
      <c r="D173" s="212">
        <v>14.9999996993</v>
      </c>
      <c r="E173" s="212" t="e">
        <v>#N/A</v>
      </c>
    </row>
    <row r="174" spans="1:5">
      <c r="A174" s="211" t="s">
        <v>593</v>
      </c>
      <c r="B174" s="212">
        <v>3.2000000000000001E-2</v>
      </c>
      <c r="C174" s="212">
        <v>1.9</v>
      </c>
      <c r="D174" s="212">
        <v>11.299999700000001</v>
      </c>
      <c r="E174" s="212" t="e">
        <v>#N/A</v>
      </c>
    </row>
    <row r="175" spans="1:5">
      <c r="A175" s="211" t="s">
        <v>594</v>
      </c>
      <c r="B175" s="212">
        <v>3.2000000000000001E-2</v>
      </c>
      <c r="C175" s="212">
        <v>1.9</v>
      </c>
      <c r="D175" s="212">
        <v>7.5999996999999997</v>
      </c>
      <c r="E175" s="212" t="e">
        <v>#N/A</v>
      </c>
    </row>
    <row r="176" spans="1:5">
      <c r="A176" s="211" t="s">
        <v>595</v>
      </c>
      <c r="B176" s="212">
        <v>3.2000000000000001E-2</v>
      </c>
      <c r="C176" s="212">
        <v>1.9</v>
      </c>
      <c r="D176" s="212">
        <v>3.9</v>
      </c>
      <c r="E176" s="212" t="e">
        <v>#N/A</v>
      </c>
    </row>
    <row r="177" spans="1:5">
      <c r="A177" s="211" t="s">
        <v>596</v>
      </c>
      <c r="B177" s="212">
        <v>10.832000000000001</v>
      </c>
      <c r="C177" s="212">
        <v>0.5</v>
      </c>
      <c r="D177" s="212">
        <v>14.9999996993</v>
      </c>
      <c r="E177" s="212" t="e">
        <v>#N/A</v>
      </c>
    </row>
    <row r="178" spans="1:5">
      <c r="A178" s="211" t="s">
        <v>597</v>
      </c>
      <c r="B178" s="212">
        <v>11.132</v>
      </c>
      <c r="C178" s="212">
        <v>0.5</v>
      </c>
      <c r="D178" s="212">
        <v>14.9999996993</v>
      </c>
      <c r="E178" s="212" t="e">
        <v>#N/A</v>
      </c>
    </row>
    <row r="179" spans="1:5">
      <c r="A179" s="211" t="s">
        <v>598</v>
      </c>
      <c r="B179" s="212">
        <v>3.2000000000000001E-2</v>
      </c>
      <c r="C179" s="212">
        <v>0.5</v>
      </c>
      <c r="D179" s="212">
        <v>0</v>
      </c>
      <c r="E179" s="212" t="e">
        <v>#N/A</v>
      </c>
    </row>
    <row r="180" spans="1:5">
      <c r="A180" s="211" t="s">
        <v>599</v>
      </c>
      <c r="B180" s="212">
        <v>3.2000000000000001E-2</v>
      </c>
      <c r="C180" s="212">
        <v>0.5</v>
      </c>
      <c r="D180" s="212">
        <v>14.9999996993</v>
      </c>
      <c r="E180" s="212" t="e">
        <v>#N/A</v>
      </c>
    </row>
    <row r="181" spans="1:5">
      <c r="A181" s="211" t="s">
        <v>600</v>
      </c>
      <c r="B181" s="212">
        <v>3.2000000000000001E-2</v>
      </c>
      <c r="C181" s="212">
        <v>0.5</v>
      </c>
      <c r="D181" s="212">
        <v>11.299999700000001</v>
      </c>
      <c r="E181" s="212" t="e">
        <v>#N/A</v>
      </c>
    </row>
    <row r="182" spans="1:5">
      <c r="A182" s="211" t="s">
        <v>601</v>
      </c>
      <c r="B182" s="212">
        <v>3.2000000000000001E-2</v>
      </c>
      <c r="C182" s="212">
        <v>0.5</v>
      </c>
      <c r="D182" s="212">
        <v>7.5999996999999997</v>
      </c>
      <c r="E182" s="212" t="e">
        <v>#N/A</v>
      </c>
    </row>
    <row r="183" spans="1:5">
      <c r="A183" s="211" t="s">
        <v>602</v>
      </c>
      <c r="B183" s="212">
        <v>3.2000000000000001E-2</v>
      </c>
      <c r="C183" s="212">
        <v>0.5</v>
      </c>
      <c r="D183" s="212">
        <v>3.9</v>
      </c>
      <c r="E183" s="212" t="e">
        <v>#N/A</v>
      </c>
    </row>
    <row r="184" spans="1:5">
      <c r="A184" s="211" t="s">
        <v>603</v>
      </c>
      <c r="B184" s="212">
        <v>12.257</v>
      </c>
      <c r="C184" s="212">
        <v>1.9</v>
      </c>
      <c r="D184" s="212">
        <v>3.9</v>
      </c>
      <c r="E184" s="212" t="e">
        <v>#N/A</v>
      </c>
    </row>
    <row r="185" spans="1:5">
      <c r="A185" s="211" t="s">
        <v>604</v>
      </c>
      <c r="B185" s="212">
        <v>12.257</v>
      </c>
      <c r="C185" s="212">
        <v>1.9</v>
      </c>
      <c r="D185" s="212">
        <v>14.9999996993</v>
      </c>
      <c r="E185" s="212" t="e">
        <v>#N/A</v>
      </c>
    </row>
    <row r="186" spans="1:5">
      <c r="A186" s="211" t="s">
        <v>605</v>
      </c>
      <c r="B186" s="212">
        <v>12.257</v>
      </c>
      <c r="C186" s="212">
        <v>1.9</v>
      </c>
      <c r="D186" s="212">
        <v>11.299999700000001</v>
      </c>
      <c r="E186" s="212" t="e">
        <v>#N/A</v>
      </c>
    </row>
    <row r="187" spans="1:5">
      <c r="A187" s="211" t="s">
        <v>606</v>
      </c>
      <c r="B187" s="212">
        <v>12.257</v>
      </c>
      <c r="C187" s="212">
        <v>1.9</v>
      </c>
      <c r="D187" s="212">
        <v>7.5999996999999997</v>
      </c>
      <c r="E187" s="212" t="e">
        <v>#N/A</v>
      </c>
    </row>
    <row r="188" spans="1:5">
      <c r="A188" s="211" t="s">
        <v>607</v>
      </c>
      <c r="B188" s="212">
        <v>12.257</v>
      </c>
      <c r="C188" s="212">
        <v>1.9</v>
      </c>
      <c r="D188" s="212">
        <v>0</v>
      </c>
      <c r="E188" s="212" t="e">
        <v>#N/A</v>
      </c>
    </row>
    <row r="189" spans="1:5">
      <c r="A189" s="211" t="s">
        <v>608</v>
      </c>
      <c r="B189" s="212">
        <v>12.207000000000001</v>
      </c>
      <c r="C189" s="212">
        <v>3.3</v>
      </c>
      <c r="D189" s="212">
        <v>3.9</v>
      </c>
      <c r="E189" s="212" t="e">
        <v>#N/A</v>
      </c>
    </row>
    <row r="190" spans="1:5">
      <c r="A190" s="211" t="s">
        <v>609</v>
      </c>
      <c r="B190" s="212">
        <v>12.207000000000001</v>
      </c>
      <c r="C190" s="212">
        <v>3.3</v>
      </c>
      <c r="D190" s="212">
        <v>14.9999996993</v>
      </c>
      <c r="E190" s="212" t="e">
        <v>#N/A</v>
      </c>
    </row>
    <row r="191" spans="1:5">
      <c r="A191" s="211" t="s">
        <v>610</v>
      </c>
      <c r="B191" s="212">
        <v>12.207000000000001</v>
      </c>
      <c r="C191" s="212">
        <v>3.3</v>
      </c>
      <c r="D191" s="212">
        <v>11.299999700000001</v>
      </c>
      <c r="E191" s="212" t="e">
        <v>#N/A</v>
      </c>
    </row>
    <row r="192" spans="1:5">
      <c r="A192" s="211" t="s">
        <v>611</v>
      </c>
      <c r="B192" s="212">
        <v>12.207000000000001</v>
      </c>
      <c r="C192" s="212">
        <v>3.3</v>
      </c>
      <c r="D192" s="212">
        <v>7.5999996999999997</v>
      </c>
      <c r="E192" s="212" t="e">
        <v>#N/A</v>
      </c>
    </row>
    <row r="193" spans="1:5">
      <c r="A193" s="211" t="s">
        <v>612</v>
      </c>
      <c r="B193" s="212">
        <v>12.207000000000001</v>
      </c>
      <c r="C193" s="212">
        <v>3.3</v>
      </c>
      <c r="D193" s="212">
        <v>0</v>
      </c>
      <c r="E193" s="212" t="e">
        <v>#N/A</v>
      </c>
    </row>
    <row r="194" spans="1:5">
      <c r="A194" s="211" t="s">
        <v>613</v>
      </c>
      <c r="B194" s="212">
        <v>12.332000000000001</v>
      </c>
      <c r="C194" s="212">
        <v>0.5</v>
      </c>
      <c r="D194" s="212">
        <v>3.9</v>
      </c>
      <c r="E194" s="212" t="e">
        <v>#N/A</v>
      </c>
    </row>
    <row r="195" spans="1:5">
      <c r="A195" s="211" t="s">
        <v>614</v>
      </c>
      <c r="B195" s="212">
        <v>12.332000000000001</v>
      </c>
      <c r="C195" s="212">
        <v>0.5</v>
      </c>
      <c r="D195" s="212">
        <v>14.9999996993</v>
      </c>
      <c r="E195" s="212" t="e">
        <v>#N/A</v>
      </c>
    </row>
    <row r="196" spans="1:5">
      <c r="A196" s="211" t="s">
        <v>615</v>
      </c>
      <c r="B196" s="212">
        <v>12.332000000000001</v>
      </c>
      <c r="C196" s="212">
        <v>0.5</v>
      </c>
      <c r="D196" s="212">
        <v>11.299999700000001</v>
      </c>
      <c r="E196" s="212" t="e">
        <v>#N/A</v>
      </c>
    </row>
    <row r="197" spans="1:5">
      <c r="A197" s="211" t="s">
        <v>616</v>
      </c>
      <c r="B197" s="212">
        <v>12.332000000000001</v>
      </c>
      <c r="C197" s="212">
        <v>0.5</v>
      </c>
      <c r="D197" s="212">
        <v>7.5999996999999997</v>
      </c>
      <c r="E197" s="212" t="e">
        <v>#N/A</v>
      </c>
    </row>
    <row r="198" spans="1:5">
      <c r="A198" s="211" t="s">
        <v>617</v>
      </c>
      <c r="B198" s="212">
        <v>12.332000000000001</v>
      </c>
      <c r="C198" s="212">
        <v>0.5</v>
      </c>
      <c r="D198" s="212">
        <v>0</v>
      </c>
      <c r="E198" s="212" t="e">
        <v>#N/A</v>
      </c>
    </row>
    <row r="199" spans="1:5">
      <c r="A199" s="211" t="s">
        <v>618</v>
      </c>
      <c r="B199" s="212">
        <v>-0.35</v>
      </c>
      <c r="C199" s="212">
        <v>9.4499999999999993</v>
      </c>
      <c r="D199" s="212">
        <v>3.9</v>
      </c>
      <c r="E199" s="212" t="e">
        <v>#N/A</v>
      </c>
    </row>
    <row r="200" spans="1:5">
      <c r="A200" s="211" t="s">
        <v>619</v>
      </c>
      <c r="B200" s="212">
        <v>2.6236377732940301</v>
      </c>
      <c r="C200" s="212">
        <v>3.6139072665661902</v>
      </c>
      <c r="D200" s="212">
        <v>3.9</v>
      </c>
      <c r="E200" s="212" t="e">
        <v>#N/A</v>
      </c>
    </row>
    <row r="201" spans="1:5">
      <c r="A201" s="211" t="s">
        <v>620</v>
      </c>
      <c r="B201" s="212">
        <v>-0.35</v>
      </c>
      <c r="C201" s="212">
        <v>9.4499999999999993</v>
      </c>
      <c r="D201" s="212">
        <v>14.9999996993</v>
      </c>
      <c r="E201" s="212" t="e">
        <v>#N/A</v>
      </c>
    </row>
    <row r="202" spans="1:5">
      <c r="A202" s="211" t="s">
        <v>621</v>
      </c>
      <c r="B202" s="212">
        <v>2.6236377732940301</v>
      </c>
      <c r="C202" s="212">
        <v>3.6139072665661902</v>
      </c>
      <c r="D202" s="212">
        <v>14.9999996993</v>
      </c>
      <c r="E202" s="212" t="e">
        <v>#N/A</v>
      </c>
    </row>
    <row r="203" spans="1:5">
      <c r="A203" s="211" t="s">
        <v>622</v>
      </c>
      <c r="B203" s="212">
        <v>-0.35</v>
      </c>
      <c r="C203" s="212">
        <v>9.4499999999999993</v>
      </c>
      <c r="D203" s="212">
        <v>11.299999700000001</v>
      </c>
      <c r="E203" s="212" t="e">
        <v>#N/A</v>
      </c>
    </row>
    <row r="204" spans="1:5">
      <c r="A204" s="211" t="s">
        <v>623</v>
      </c>
      <c r="B204" s="212">
        <v>2.6236377732940301</v>
      </c>
      <c r="C204" s="212">
        <v>3.6139072665661902</v>
      </c>
      <c r="D204" s="212">
        <v>11.299999700000001</v>
      </c>
      <c r="E204" s="212" t="e">
        <v>#N/A</v>
      </c>
    </row>
    <row r="205" spans="1:5">
      <c r="A205" s="211" t="s">
        <v>624</v>
      </c>
      <c r="B205" s="212">
        <v>-0.35</v>
      </c>
      <c r="C205" s="212">
        <v>9.4499999999999993</v>
      </c>
      <c r="D205" s="212">
        <v>7.5999996999999997</v>
      </c>
      <c r="E205" s="212" t="e">
        <v>#N/A</v>
      </c>
    </row>
    <row r="206" spans="1:5">
      <c r="A206" s="211" t="s">
        <v>625</v>
      </c>
      <c r="B206" s="212">
        <v>2.6236377732940301</v>
      </c>
      <c r="C206" s="212">
        <v>3.6139072665661902</v>
      </c>
      <c r="D206" s="212">
        <v>7.5999996999999997</v>
      </c>
      <c r="E206" s="212" t="e">
        <v>#N/A</v>
      </c>
    </row>
    <row r="207" spans="1:5">
      <c r="A207" s="211" t="s">
        <v>626</v>
      </c>
      <c r="B207" s="212">
        <v>-0.35</v>
      </c>
      <c r="C207" s="212">
        <v>9.4499999999999993</v>
      </c>
      <c r="D207" s="212">
        <v>0</v>
      </c>
      <c r="E207" s="212" t="e">
        <v>#N/A</v>
      </c>
    </row>
    <row r="208" spans="1:5">
      <c r="A208" s="211" t="s">
        <v>627</v>
      </c>
      <c r="B208" s="212">
        <v>2.6236377732940301</v>
      </c>
      <c r="C208" s="212">
        <v>3.6139072665661902</v>
      </c>
      <c r="D208" s="212">
        <v>0</v>
      </c>
      <c r="E208" s="212" t="e">
        <v>#N/A</v>
      </c>
    </row>
    <row r="209" spans="1:5">
      <c r="A209" s="211" t="s">
        <v>628</v>
      </c>
      <c r="B209" s="212">
        <v>0.53200000000000003</v>
      </c>
      <c r="C209" s="212">
        <v>0</v>
      </c>
      <c r="D209" s="212">
        <v>3.9</v>
      </c>
      <c r="E209" s="212" t="e">
        <v>#N/A</v>
      </c>
    </row>
    <row r="210" spans="1:5">
      <c r="A210" s="211" t="s">
        <v>629</v>
      </c>
      <c r="B210" s="212">
        <v>0.53200000000000003</v>
      </c>
      <c r="C210" s="212">
        <v>0</v>
      </c>
      <c r="D210" s="212">
        <v>14.9999996993</v>
      </c>
      <c r="E210" s="212" t="e">
        <v>#N/A</v>
      </c>
    </row>
    <row r="211" spans="1:5">
      <c r="A211" s="211" t="s">
        <v>630</v>
      </c>
      <c r="B211" s="212">
        <v>0.53200000000000003</v>
      </c>
      <c r="C211" s="212">
        <v>0</v>
      </c>
      <c r="D211" s="212">
        <v>11.299999700000001</v>
      </c>
      <c r="E211" s="212" t="e">
        <v>#N/A</v>
      </c>
    </row>
    <row r="212" spans="1:5">
      <c r="A212" s="211" t="s">
        <v>631</v>
      </c>
      <c r="B212" s="212">
        <v>0.53200000000000003</v>
      </c>
      <c r="C212" s="212">
        <v>0</v>
      </c>
      <c r="D212" s="212">
        <v>7.5999996999999997</v>
      </c>
      <c r="E212" s="212" t="e">
        <v>#N/A</v>
      </c>
    </row>
    <row r="213" spans="1:5">
      <c r="A213" s="211" t="s">
        <v>632</v>
      </c>
      <c r="B213" s="212">
        <v>0.53200000000000003</v>
      </c>
      <c r="C213" s="212">
        <v>0</v>
      </c>
      <c r="D213" s="212">
        <v>0</v>
      </c>
      <c r="E213" s="212" t="e">
        <v>#N/A</v>
      </c>
    </row>
    <row r="214" spans="1:5">
      <c r="A214" s="211" t="s">
        <v>633</v>
      </c>
      <c r="B214" s="212">
        <v>0.53200000000000003</v>
      </c>
      <c r="C214" s="212">
        <v>3.8492187726771001</v>
      </c>
      <c r="D214" s="212">
        <v>3.9</v>
      </c>
      <c r="E214" s="212" t="e">
        <v>#N/A</v>
      </c>
    </row>
    <row r="215" spans="1:5">
      <c r="A215" s="211" t="s">
        <v>634</v>
      </c>
      <c r="B215" s="212">
        <v>0.53200000000000003</v>
      </c>
      <c r="C215" s="212">
        <v>3.8492187726771001</v>
      </c>
      <c r="D215" s="212">
        <v>14.9999996993</v>
      </c>
      <c r="E215" s="212" t="e">
        <v>#N/A</v>
      </c>
    </row>
    <row r="216" spans="1:5">
      <c r="A216" s="211" t="s">
        <v>635</v>
      </c>
      <c r="B216" s="212">
        <v>0.53200000000000003</v>
      </c>
      <c r="C216" s="212">
        <v>3.8492187726771001</v>
      </c>
      <c r="D216" s="212">
        <v>11.299999700000001</v>
      </c>
      <c r="E216" s="212" t="e">
        <v>#N/A</v>
      </c>
    </row>
    <row r="217" spans="1:5">
      <c r="A217" s="211" t="s">
        <v>636</v>
      </c>
      <c r="B217" s="212">
        <v>0.53200000000000003</v>
      </c>
      <c r="C217" s="212">
        <v>3.8492187726771001</v>
      </c>
      <c r="D217" s="212">
        <v>7.5999996999999997</v>
      </c>
      <c r="E217" s="212" t="e">
        <v>#N/A</v>
      </c>
    </row>
    <row r="218" spans="1:5">
      <c r="A218" s="211" t="s">
        <v>637</v>
      </c>
      <c r="B218" s="212">
        <v>0.53200000000000003</v>
      </c>
      <c r="C218" s="212">
        <v>3.8492187726771001</v>
      </c>
      <c r="D218" s="212">
        <v>0</v>
      </c>
      <c r="E218" s="212" t="e">
        <v>#N/A</v>
      </c>
    </row>
    <row r="219" spans="1:5">
      <c r="A219" s="211" t="s">
        <v>638</v>
      </c>
      <c r="B219" s="212">
        <v>2.9319999999999999</v>
      </c>
      <c r="C219" s="212">
        <v>0</v>
      </c>
      <c r="D219" s="212">
        <v>3.9</v>
      </c>
      <c r="E219" s="212" t="e">
        <v>#N/A</v>
      </c>
    </row>
    <row r="220" spans="1:5">
      <c r="A220" s="211" t="s">
        <v>639</v>
      </c>
      <c r="B220" s="212">
        <v>2.9319999999999999</v>
      </c>
      <c r="C220" s="212">
        <v>0</v>
      </c>
      <c r="D220" s="212">
        <v>14.9999996993</v>
      </c>
      <c r="E220" s="212" t="e">
        <v>#N/A</v>
      </c>
    </row>
    <row r="221" spans="1:5">
      <c r="A221" s="211" t="s">
        <v>640</v>
      </c>
      <c r="B221" s="212">
        <v>2.9319999999999999</v>
      </c>
      <c r="C221" s="212">
        <v>0</v>
      </c>
      <c r="D221" s="212">
        <v>11.299999700000001</v>
      </c>
      <c r="E221" s="212" t="e">
        <v>#N/A</v>
      </c>
    </row>
    <row r="222" spans="1:5">
      <c r="A222" s="211" t="s">
        <v>641</v>
      </c>
      <c r="B222" s="212">
        <v>2.9319999999999999</v>
      </c>
      <c r="C222" s="212">
        <v>0</v>
      </c>
      <c r="D222" s="212">
        <v>7.5999996999999997</v>
      </c>
      <c r="E222" s="212" t="e">
        <v>#N/A</v>
      </c>
    </row>
    <row r="223" spans="1:5">
      <c r="A223" s="211" t="s">
        <v>642</v>
      </c>
      <c r="B223" s="212">
        <v>2.9319999999999999</v>
      </c>
      <c r="C223" s="212">
        <v>0</v>
      </c>
      <c r="D223" s="212">
        <v>0</v>
      </c>
      <c r="E223" s="212" t="e">
        <v>#N/A</v>
      </c>
    </row>
    <row r="224" spans="1:5">
      <c r="A224" s="211" t="s">
        <v>643</v>
      </c>
      <c r="B224" s="212">
        <v>2.9319999999999999</v>
      </c>
      <c r="C224" s="212">
        <v>3.8</v>
      </c>
      <c r="D224" s="212">
        <v>3.9</v>
      </c>
      <c r="E224" s="212" t="e">
        <v>#N/A</v>
      </c>
    </row>
    <row r="225" spans="1:5">
      <c r="A225" s="211" t="s">
        <v>644</v>
      </c>
      <c r="B225" s="212">
        <v>2.9319999999999999</v>
      </c>
      <c r="C225" s="212">
        <v>3.8</v>
      </c>
      <c r="D225" s="212">
        <v>14.9999996993</v>
      </c>
      <c r="E225" s="212" t="e">
        <v>#N/A</v>
      </c>
    </row>
    <row r="226" spans="1:5">
      <c r="A226" s="211" t="s">
        <v>645</v>
      </c>
      <c r="B226" s="212">
        <v>2.9319999999999999</v>
      </c>
      <c r="C226" s="212">
        <v>3.8</v>
      </c>
      <c r="D226" s="212">
        <v>11.299999700000001</v>
      </c>
      <c r="E226" s="212" t="e">
        <v>#N/A</v>
      </c>
    </row>
    <row r="227" spans="1:5">
      <c r="A227" s="211" t="s">
        <v>646</v>
      </c>
      <c r="B227" s="212">
        <v>2.9319999999999999</v>
      </c>
      <c r="C227" s="212">
        <v>3.8</v>
      </c>
      <c r="D227" s="212">
        <v>7.5999996999999997</v>
      </c>
      <c r="E227" s="212" t="e">
        <v>#N/A</v>
      </c>
    </row>
    <row r="228" spans="1:5">
      <c r="A228" s="211" t="s">
        <v>647</v>
      </c>
      <c r="B228" s="212">
        <v>2.9319999999999999</v>
      </c>
      <c r="C228" s="212">
        <v>3.8</v>
      </c>
      <c r="D228" s="212">
        <v>0</v>
      </c>
      <c r="E228" s="212" t="e">
        <v>#N/A</v>
      </c>
    </row>
    <row r="229" spans="1:5">
      <c r="A229" s="211" t="s">
        <v>648</v>
      </c>
      <c r="B229" s="212">
        <v>6.4320000000000004</v>
      </c>
      <c r="C229" s="212">
        <v>0</v>
      </c>
      <c r="D229" s="212">
        <v>3.9</v>
      </c>
      <c r="E229" s="212" t="e">
        <v>#N/A</v>
      </c>
    </row>
    <row r="230" spans="1:5">
      <c r="A230" s="211" t="s">
        <v>649</v>
      </c>
      <c r="B230" s="212">
        <v>6.4320000000000004</v>
      </c>
      <c r="C230" s="212">
        <v>0</v>
      </c>
      <c r="D230" s="212">
        <v>14.9999996993</v>
      </c>
      <c r="E230" s="212" t="e">
        <v>#N/A</v>
      </c>
    </row>
    <row r="231" spans="1:5">
      <c r="A231" s="211" t="s">
        <v>650</v>
      </c>
      <c r="B231" s="212">
        <v>6.4320000000000004</v>
      </c>
      <c r="C231" s="212">
        <v>0</v>
      </c>
      <c r="D231" s="212">
        <v>11.299999700000001</v>
      </c>
      <c r="E231" s="212" t="e">
        <v>#N/A</v>
      </c>
    </row>
    <row r="232" spans="1:5">
      <c r="A232" s="211" t="s">
        <v>651</v>
      </c>
      <c r="B232" s="212">
        <v>6.4320000000000004</v>
      </c>
      <c r="C232" s="212">
        <v>0</v>
      </c>
      <c r="D232" s="212">
        <v>7.5999996999999997</v>
      </c>
      <c r="E232" s="212" t="e">
        <v>#N/A</v>
      </c>
    </row>
    <row r="233" spans="1:5">
      <c r="A233" s="211" t="s">
        <v>652</v>
      </c>
      <c r="B233" s="212">
        <v>6.4320000000000004</v>
      </c>
      <c r="C233" s="212">
        <v>0</v>
      </c>
      <c r="D233" s="212">
        <v>0</v>
      </c>
      <c r="E233" s="212" t="e">
        <v>#N/A</v>
      </c>
    </row>
    <row r="234" spans="1:5">
      <c r="A234" s="211" t="s">
        <v>653</v>
      </c>
      <c r="B234" s="212">
        <v>6.4320000000000004</v>
      </c>
      <c r="C234" s="212">
        <v>3.8</v>
      </c>
      <c r="D234" s="212">
        <v>3.9</v>
      </c>
      <c r="E234" s="212" t="e">
        <v>#N/A</v>
      </c>
    </row>
    <row r="235" spans="1:5">
      <c r="A235" s="211" t="s">
        <v>654</v>
      </c>
      <c r="B235" s="212">
        <v>6.4320000000000004</v>
      </c>
      <c r="C235" s="212">
        <v>3.8</v>
      </c>
      <c r="D235" s="212">
        <v>14.9999996993</v>
      </c>
      <c r="E235" s="212" t="e">
        <v>#N/A</v>
      </c>
    </row>
    <row r="236" spans="1:5">
      <c r="A236" s="211" t="s">
        <v>655</v>
      </c>
      <c r="B236" s="212">
        <v>6.4320000000000004</v>
      </c>
      <c r="C236" s="212">
        <v>3.8</v>
      </c>
      <c r="D236" s="212">
        <v>11.299999700000001</v>
      </c>
      <c r="E236" s="212" t="e">
        <v>#N/A</v>
      </c>
    </row>
    <row r="237" spans="1:5">
      <c r="A237" s="211" t="s">
        <v>656</v>
      </c>
      <c r="B237" s="212">
        <v>6.4320000000000004</v>
      </c>
      <c r="C237" s="212">
        <v>3.8</v>
      </c>
      <c r="D237" s="212">
        <v>7.5999996999999997</v>
      </c>
      <c r="E237" s="212" t="e">
        <v>#N/A</v>
      </c>
    </row>
    <row r="238" spans="1:5">
      <c r="A238" s="211" t="s">
        <v>657</v>
      </c>
      <c r="B238" s="212">
        <v>6.4320000000000004</v>
      </c>
      <c r="C238" s="212">
        <v>3.8</v>
      </c>
      <c r="D238" s="212">
        <v>0</v>
      </c>
      <c r="E238" s="212" t="e">
        <v>#N/A</v>
      </c>
    </row>
    <row r="239" spans="1:5">
      <c r="A239" s="211" t="s">
        <v>658</v>
      </c>
      <c r="B239" s="212">
        <v>10.332000000000001</v>
      </c>
      <c r="C239" s="212">
        <v>0</v>
      </c>
      <c r="D239" s="212">
        <v>3.9</v>
      </c>
      <c r="E239" s="212" t="e">
        <v>#N/A</v>
      </c>
    </row>
    <row r="240" spans="1:5">
      <c r="A240" s="211" t="s">
        <v>659</v>
      </c>
      <c r="B240" s="212">
        <v>10.332000000000001</v>
      </c>
      <c r="C240" s="212">
        <v>0</v>
      </c>
      <c r="D240" s="212">
        <v>14.9999996993</v>
      </c>
      <c r="E240" s="212" t="e">
        <v>#N/A</v>
      </c>
    </row>
    <row r="241" spans="1:5">
      <c r="A241" s="211" t="s">
        <v>660</v>
      </c>
      <c r="B241" s="212">
        <v>10.332000000000001</v>
      </c>
      <c r="C241" s="212">
        <v>0</v>
      </c>
      <c r="D241" s="212">
        <v>11.299999700000001</v>
      </c>
      <c r="E241" s="212" t="e">
        <v>#N/A</v>
      </c>
    </row>
    <row r="242" spans="1:5">
      <c r="A242" s="211" t="s">
        <v>661</v>
      </c>
      <c r="B242" s="212">
        <v>10.332000000000001</v>
      </c>
      <c r="C242" s="212">
        <v>0</v>
      </c>
      <c r="D242" s="212">
        <v>7.5999996999999997</v>
      </c>
      <c r="E242" s="212" t="e">
        <v>#N/A</v>
      </c>
    </row>
    <row r="243" spans="1:5">
      <c r="A243" s="211" t="s">
        <v>662</v>
      </c>
      <c r="B243" s="212">
        <v>10.332000000000001</v>
      </c>
      <c r="C243" s="212">
        <v>0</v>
      </c>
      <c r="D243" s="212">
        <v>0</v>
      </c>
      <c r="E243" s="212" t="e">
        <v>#N/A</v>
      </c>
    </row>
    <row r="244" spans="1:5">
      <c r="A244" s="211" t="s">
        <v>663</v>
      </c>
      <c r="B244" s="212">
        <v>10.332000000000001</v>
      </c>
      <c r="C244" s="212">
        <v>3.8</v>
      </c>
      <c r="D244" s="212">
        <v>3.9</v>
      </c>
      <c r="E244" s="212" t="e">
        <v>#N/A</v>
      </c>
    </row>
    <row r="245" spans="1:5">
      <c r="A245" s="211" t="s">
        <v>664</v>
      </c>
      <c r="B245" s="212">
        <v>10.332000000000001</v>
      </c>
      <c r="C245" s="212">
        <v>3.8</v>
      </c>
      <c r="D245" s="212">
        <v>14.9999996993</v>
      </c>
      <c r="E245" s="212" t="e">
        <v>#N/A</v>
      </c>
    </row>
    <row r="246" spans="1:5">
      <c r="A246" s="211" t="s">
        <v>665</v>
      </c>
      <c r="B246" s="212">
        <v>10.332000000000001</v>
      </c>
      <c r="C246" s="212">
        <v>3.8</v>
      </c>
      <c r="D246" s="212">
        <v>11.299999700000001</v>
      </c>
      <c r="E246" s="212" t="e">
        <v>#N/A</v>
      </c>
    </row>
    <row r="247" spans="1:5">
      <c r="A247" s="211" t="s">
        <v>666</v>
      </c>
      <c r="B247" s="212">
        <v>10.332000000000001</v>
      </c>
      <c r="C247" s="212">
        <v>3.8</v>
      </c>
      <c r="D247" s="212">
        <v>7.5999996999999997</v>
      </c>
      <c r="E247" s="212" t="e">
        <v>#N/A</v>
      </c>
    </row>
    <row r="248" spans="1:5">
      <c r="A248" s="211" t="s">
        <v>667</v>
      </c>
      <c r="B248" s="212">
        <v>10.332000000000001</v>
      </c>
      <c r="C248" s="212">
        <v>3.8</v>
      </c>
      <c r="D248" s="212">
        <v>0</v>
      </c>
      <c r="E248" s="212" t="e">
        <v>#N/A</v>
      </c>
    </row>
    <row r="249" spans="1:5">
      <c r="A249" s="211" t="s">
        <v>668</v>
      </c>
      <c r="B249" s="212">
        <v>11.632</v>
      </c>
      <c r="C249" s="212">
        <v>0</v>
      </c>
      <c r="D249" s="212">
        <v>3.9</v>
      </c>
      <c r="E249" s="212" t="e">
        <v>#N/A</v>
      </c>
    </row>
    <row r="250" spans="1:5">
      <c r="A250" s="211" t="s">
        <v>669</v>
      </c>
      <c r="B250" s="212">
        <v>11.632</v>
      </c>
      <c r="C250" s="212">
        <v>0</v>
      </c>
      <c r="D250" s="212">
        <v>14.9999996993</v>
      </c>
      <c r="E250" s="212" t="e">
        <v>#N/A</v>
      </c>
    </row>
    <row r="251" spans="1:5">
      <c r="A251" s="211" t="s">
        <v>670</v>
      </c>
      <c r="B251" s="212">
        <v>11.632</v>
      </c>
      <c r="C251" s="212">
        <v>0</v>
      </c>
      <c r="D251" s="212">
        <v>11.299999700000001</v>
      </c>
      <c r="E251" s="212" t="e">
        <v>#N/A</v>
      </c>
    </row>
    <row r="252" spans="1:5">
      <c r="A252" s="211" t="s">
        <v>671</v>
      </c>
      <c r="B252" s="212">
        <v>11.632</v>
      </c>
      <c r="C252" s="212">
        <v>0</v>
      </c>
      <c r="D252" s="212">
        <v>7.5999996999999997</v>
      </c>
      <c r="E252" s="212" t="e">
        <v>#N/A</v>
      </c>
    </row>
    <row r="253" spans="1:5">
      <c r="A253" s="211" t="s">
        <v>672</v>
      </c>
      <c r="B253" s="212">
        <v>11.632</v>
      </c>
      <c r="C253" s="212">
        <v>0</v>
      </c>
      <c r="D253" s="212">
        <v>0</v>
      </c>
      <c r="E253" s="212" t="e">
        <v>#N/A</v>
      </c>
    </row>
    <row r="254" spans="1:5">
      <c r="A254" s="211" t="s">
        <v>673</v>
      </c>
      <c r="B254" s="212">
        <v>11.632</v>
      </c>
      <c r="C254" s="212">
        <v>3.8</v>
      </c>
      <c r="D254" s="212">
        <v>3.9</v>
      </c>
      <c r="E254" s="212" t="e">
        <v>#N/A</v>
      </c>
    </row>
    <row r="255" spans="1:5">
      <c r="A255" s="211" t="s">
        <v>674</v>
      </c>
      <c r="B255" s="212">
        <v>11.632</v>
      </c>
      <c r="C255" s="212">
        <v>3.8</v>
      </c>
      <c r="D255" s="212">
        <v>14.9999996993</v>
      </c>
      <c r="E255" s="212" t="e">
        <v>#N/A</v>
      </c>
    </row>
    <row r="256" spans="1:5">
      <c r="A256" s="211" t="s">
        <v>675</v>
      </c>
      <c r="B256" s="212">
        <v>11.632</v>
      </c>
      <c r="C256" s="212">
        <v>3.8</v>
      </c>
      <c r="D256" s="212">
        <v>11.299999700000001</v>
      </c>
      <c r="E256" s="212" t="e">
        <v>#N/A</v>
      </c>
    </row>
    <row r="257" spans="1:5">
      <c r="A257" s="211" t="s">
        <v>676</v>
      </c>
      <c r="B257" s="212">
        <v>11.632</v>
      </c>
      <c r="C257" s="212">
        <v>3.8</v>
      </c>
      <c r="D257" s="212">
        <v>7.5999996999999997</v>
      </c>
      <c r="E257" s="212" t="e">
        <v>#N/A</v>
      </c>
    </row>
    <row r="258" spans="1:5">
      <c r="A258" s="211" t="s">
        <v>677</v>
      </c>
      <c r="B258" s="212">
        <v>7.4320000000000004</v>
      </c>
      <c r="C258" s="212">
        <v>3.8</v>
      </c>
      <c r="D258" s="212">
        <v>3.9</v>
      </c>
      <c r="E258" s="212" t="e">
        <v>#N/A</v>
      </c>
    </row>
    <row r="259" spans="1:5">
      <c r="A259" s="211" t="s">
        <v>678</v>
      </c>
      <c r="B259" s="212">
        <v>7.4320000000000004</v>
      </c>
      <c r="C259" s="212">
        <v>3.8</v>
      </c>
      <c r="D259" s="212">
        <v>14.9999996993</v>
      </c>
      <c r="E259" s="212" t="e">
        <v>#N/A</v>
      </c>
    </row>
    <row r="260" spans="1:5">
      <c r="A260" s="211" t="s">
        <v>679</v>
      </c>
      <c r="B260" s="212">
        <v>7.4320000000000004</v>
      </c>
      <c r="C260" s="212">
        <v>3.8</v>
      </c>
      <c r="D260" s="212">
        <v>11.299999700000001</v>
      </c>
      <c r="E260" s="212" t="e">
        <v>#N/A</v>
      </c>
    </row>
    <row r="261" spans="1:5">
      <c r="A261" s="211" t="s">
        <v>680</v>
      </c>
      <c r="B261" s="212">
        <v>7.4320000000000004</v>
      </c>
      <c r="C261" s="212">
        <v>3.8</v>
      </c>
      <c r="D261" s="212">
        <v>7.5999996999999997</v>
      </c>
      <c r="E261" s="212" t="e">
        <v>#N/A</v>
      </c>
    </row>
    <row r="262" spans="1:5">
      <c r="A262" s="211" t="s">
        <v>681</v>
      </c>
      <c r="B262" s="212">
        <v>7.4320000000000004</v>
      </c>
      <c r="C262" s="212">
        <v>3.8</v>
      </c>
      <c r="D262" s="212">
        <v>0</v>
      </c>
      <c r="E262" s="212" t="e">
        <v>#N/A</v>
      </c>
    </row>
    <row r="263" spans="1:5">
      <c r="A263" s="211" t="s">
        <v>682</v>
      </c>
      <c r="B263" s="212">
        <v>7.4320000000000004</v>
      </c>
      <c r="C263" s="212">
        <v>0</v>
      </c>
      <c r="D263" s="212">
        <v>3.9</v>
      </c>
      <c r="E263" s="212" t="e">
        <v>#N/A</v>
      </c>
    </row>
    <row r="264" spans="1:5">
      <c r="A264" s="211" t="s">
        <v>683</v>
      </c>
      <c r="B264" s="212">
        <v>7.4320000000000004</v>
      </c>
      <c r="C264" s="212">
        <v>0</v>
      </c>
      <c r="D264" s="212">
        <v>14.9999996993</v>
      </c>
      <c r="E264" s="212" t="e">
        <v>#N/A</v>
      </c>
    </row>
    <row r="265" spans="1:5">
      <c r="A265" s="211" t="s">
        <v>684</v>
      </c>
      <c r="B265" s="212">
        <v>7.4320000000000004</v>
      </c>
      <c r="C265" s="212">
        <v>0</v>
      </c>
      <c r="D265" s="212">
        <v>11.299999700000001</v>
      </c>
      <c r="E265" s="212" t="e">
        <v>#N/A</v>
      </c>
    </row>
    <row r="266" spans="1:5">
      <c r="A266" s="211" t="s">
        <v>685</v>
      </c>
      <c r="B266" s="212">
        <v>7.4320000000000004</v>
      </c>
      <c r="C266" s="212">
        <v>0</v>
      </c>
      <c r="D266" s="212">
        <v>7.5999996999999997</v>
      </c>
      <c r="E266" s="212" t="e">
        <v>#N/A</v>
      </c>
    </row>
    <row r="267" spans="1:5">
      <c r="A267" s="211" t="s">
        <v>686</v>
      </c>
      <c r="B267" s="212">
        <v>7.4320000000000004</v>
      </c>
      <c r="C267" s="212">
        <v>0</v>
      </c>
      <c r="D267" s="212">
        <v>0</v>
      </c>
      <c r="E267" s="212" t="e">
        <v>#N/A</v>
      </c>
    </row>
    <row r="268" spans="1:5">
      <c r="A268" s="211" t="s">
        <v>687</v>
      </c>
      <c r="B268" s="212">
        <v>3.9319999999999999</v>
      </c>
      <c r="C268" s="212">
        <v>3.8</v>
      </c>
      <c r="D268" s="212">
        <v>3.9</v>
      </c>
      <c r="E268" s="212" t="e">
        <v>#N/A</v>
      </c>
    </row>
    <row r="269" spans="1:5">
      <c r="A269" s="211" t="s">
        <v>688</v>
      </c>
      <c r="B269" s="212">
        <v>3.9319999999999999</v>
      </c>
      <c r="C269" s="212">
        <v>3.8</v>
      </c>
      <c r="D269" s="212">
        <v>14.9999996993</v>
      </c>
      <c r="E269" s="212" t="e">
        <v>#N/A</v>
      </c>
    </row>
    <row r="270" spans="1:5">
      <c r="A270" s="211" t="s">
        <v>689</v>
      </c>
      <c r="B270" s="212">
        <v>3.9319999999999999</v>
      </c>
      <c r="C270" s="212">
        <v>3.8</v>
      </c>
      <c r="D270" s="212">
        <v>11.299999700000001</v>
      </c>
      <c r="E270" s="212" t="e">
        <v>#N/A</v>
      </c>
    </row>
    <row r="271" spans="1:5">
      <c r="A271" s="211" t="s">
        <v>690</v>
      </c>
      <c r="B271" s="212">
        <v>3.9319999999999999</v>
      </c>
      <c r="C271" s="212">
        <v>3.8</v>
      </c>
      <c r="D271" s="212">
        <v>7.5999996999999997</v>
      </c>
      <c r="E271" s="212" t="e">
        <v>#N/A</v>
      </c>
    </row>
    <row r="272" spans="1:5">
      <c r="A272" s="211" t="s">
        <v>691</v>
      </c>
      <c r="B272" s="212">
        <v>3.9319999999999999</v>
      </c>
      <c r="C272" s="212">
        <v>3.8</v>
      </c>
      <c r="D272" s="212">
        <v>0</v>
      </c>
      <c r="E272" s="212" t="e">
        <v>#N/A</v>
      </c>
    </row>
    <row r="273" spans="1:5">
      <c r="A273" s="211" t="s">
        <v>692</v>
      </c>
      <c r="B273" s="212">
        <v>3.9319999999999999</v>
      </c>
      <c r="C273" s="212">
        <v>0</v>
      </c>
      <c r="D273" s="212">
        <v>3.9</v>
      </c>
      <c r="E273" s="212" t="e">
        <v>#N/A</v>
      </c>
    </row>
    <row r="274" spans="1:5">
      <c r="A274" s="211" t="s">
        <v>693</v>
      </c>
      <c r="B274" s="212">
        <v>3.9319999999999999</v>
      </c>
      <c r="C274" s="212">
        <v>0</v>
      </c>
      <c r="D274" s="212">
        <v>14.9999996993</v>
      </c>
      <c r="E274" s="212" t="e">
        <v>#N/A</v>
      </c>
    </row>
    <row r="275" spans="1:5">
      <c r="A275" s="211" t="s">
        <v>694</v>
      </c>
      <c r="B275" s="212">
        <v>3.9319999999999999</v>
      </c>
      <c r="C275" s="212">
        <v>0</v>
      </c>
      <c r="D275" s="212">
        <v>11.299999700000001</v>
      </c>
      <c r="E275" s="212" t="e">
        <v>#N/A</v>
      </c>
    </row>
    <row r="276" spans="1:5">
      <c r="A276" s="211" t="s">
        <v>695</v>
      </c>
      <c r="B276" s="212">
        <v>3.9319999999999999</v>
      </c>
      <c r="C276" s="212">
        <v>0</v>
      </c>
      <c r="D276" s="212">
        <v>7.5999996999999997</v>
      </c>
      <c r="E276" s="212" t="e">
        <v>#N/A</v>
      </c>
    </row>
    <row r="277" spans="1:5">
      <c r="A277" s="211" t="s">
        <v>696</v>
      </c>
      <c r="B277" s="212">
        <v>3.9319999999999999</v>
      </c>
      <c r="C277" s="212">
        <v>0</v>
      </c>
      <c r="D277" s="212">
        <v>0</v>
      </c>
      <c r="E277" s="212" t="e">
        <v>#N/A</v>
      </c>
    </row>
    <row r="278" spans="1:5">
      <c r="A278" s="211" t="s">
        <v>697</v>
      </c>
      <c r="B278" s="212">
        <v>1.532</v>
      </c>
      <c r="C278" s="212">
        <v>0</v>
      </c>
      <c r="D278" s="212">
        <v>3.9</v>
      </c>
      <c r="E278" s="212" t="e">
        <v>#N/A</v>
      </c>
    </row>
    <row r="279" spans="1:5">
      <c r="A279" s="211" t="s">
        <v>698</v>
      </c>
      <c r="B279" s="212">
        <v>1.532</v>
      </c>
      <c r="C279" s="212">
        <v>0</v>
      </c>
      <c r="D279" s="212">
        <v>14.9999996993</v>
      </c>
      <c r="E279" s="212" t="e">
        <v>#N/A</v>
      </c>
    </row>
    <row r="280" spans="1:5">
      <c r="A280" s="211" t="s">
        <v>699</v>
      </c>
      <c r="B280" s="212">
        <v>1.532</v>
      </c>
      <c r="C280" s="212">
        <v>0</v>
      </c>
      <c r="D280" s="212">
        <v>11.299999700000001</v>
      </c>
      <c r="E280" s="212" t="e">
        <v>#N/A</v>
      </c>
    </row>
    <row r="281" spans="1:5">
      <c r="A281" s="211" t="s">
        <v>700</v>
      </c>
      <c r="B281" s="212">
        <v>1.532</v>
      </c>
      <c r="C281" s="212">
        <v>0</v>
      </c>
      <c r="D281" s="212">
        <v>7.5999996999999997</v>
      </c>
      <c r="E281" s="212" t="e">
        <v>#N/A</v>
      </c>
    </row>
    <row r="282" spans="1:5">
      <c r="A282" s="211" t="s">
        <v>701</v>
      </c>
      <c r="B282" s="212">
        <v>1.532</v>
      </c>
      <c r="C282" s="212">
        <v>0</v>
      </c>
      <c r="D282" s="212">
        <v>0</v>
      </c>
      <c r="E282" s="212" t="e">
        <v>#N/A</v>
      </c>
    </row>
    <row r="283" spans="1:5">
      <c r="A283" s="211" t="s">
        <v>702</v>
      </c>
      <c r="B283" s="212">
        <v>1.532</v>
      </c>
      <c r="C283" s="212">
        <v>3.8492187726771001</v>
      </c>
      <c r="D283" s="212">
        <v>3.9</v>
      </c>
      <c r="E283" s="212" t="e">
        <v>#N/A</v>
      </c>
    </row>
    <row r="284" spans="1:5">
      <c r="A284" s="211" t="s">
        <v>703</v>
      </c>
      <c r="B284" s="212">
        <v>1.532</v>
      </c>
      <c r="C284" s="212">
        <v>3.8492187726771001</v>
      </c>
      <c r="D284" s="212">
        <v>14.9999996993</v>
      </c>
      <c r="E284" s="212" t="e">
        <v>#N/A</v>
      </c>
    </row>
    <row r="285" spans="1:5">
      <c r="A285" s="211" t="s">
        <v>704</v>
      </c>
      <c r="B285" s="212">
        <v>1.532</v>
      </c>
      <c r="C285" s="212">
        <v>3.8492187726771001</v>
      </c>
      <c r="D285" s="212">
        <v>11.299999700000001</v>
      </c>
      <c r="E285" s="212" t="e">
        <v>#N/A</v>
      </c>
    </row>
    <row r="286" spans="1:5">
      <c r="A286" s="211" t="s">
        <v>705</v>
      </c>
      <c r="B286" s="212">
        <v>1.532</v>
      </c>
      <c r="C286" s="212">
        <v>3.8492187726771001</v>
      </c>
      <c r="D286" s="212">
        <v>7.5999996999999997</v>
      </c>
      <c r="E286" s="212" t="e">
        <v>#N/A</v>
      </c>
    </row>
    <row r="287" spans="1:5">
      <c r="A287" s="211" t="s">
        <v>706</v>
      </c>
      <c r="B287" s="212">
        <v>1.532</v>
      </c>
      <c r="C287" s="212">
        <v>3.8492187726771001</v>
      </c>
      <c r="D287" s="212">
        <v>0</v>
      </c>
      <c r="E287" s="212" t="e">
        <v>#N/A</v>
      </c>
    </row>
    <row r="288" spans="1:5">
      <c r="A288" s="211" t="s">
        <v>707</v>
      </c>
      <c r="B288" s="212">
        <v>8.9250000000000007</v>
      </c>
      <c r="C288" s="212">
        <v>0</v>
      </c>
      <c r="D288" s="212">
        <v>3.9</v>
      </c>
      <c r="E288" s="212" t="e">
        <v>#N/A</v>
      </c>
    </row>
    <row r="289" spans="1:5">
      <c r="A289" s="211" t="s">
        <v>708</v>
      </c>
      <c r="B289" s="212">
        <v>8.9250000000000007</v>
      </c>
      <c r="C289" s="212">
        <v>3.8</v>
      </c>
      <c r="D289" s="212">
        <v>3.9</v>
      </c>
      <c r="E289" s="212" t="e">
        <v>#N/A</v>
      </c>
    </row>
    <row r="290" spans="1:5">
      <c r="A290" s="211" t="s">
        <v>709</v>
      </c>
      <c r="B290" s="212">
        <v>8.9250000000000007</v>
      </c>
      <c r="C290" s="212">
        <v>0</v>
      </c>
      <c r="D290" s="212">
        <v>14.9999996993</v>
      </c>
      <c r="E290" s="212" t="e">
        <v>#N/A</v>
      </c>
    </row>
    <row r="291" spans="1:5">
      <c r="A291" s="211" t="s">
        <v>710</v>
      </c>
      <c r="B291" s="212">
        <v>8.9250000000000007</v>
      </c>
      <c r="C291" s="212">
        <v>3.8</v>
      </c>
      <c r="D291" s="212">
        <v>14.9999996993</v>
      </c>
      <c r="E291" s="212" t="e">
        <v>#N/A</v>
      </c>
    </row>
    <row r="292" spans="1:5">
      <c r="A292" s="211" t="s">
        <v>711</v>
      </c>
      <c r="B292" s="212">
        <v>8.9250000000000007</v>
      </c>
      <c r="C292" s="212">
        <v>0</v>
      </c>
      <c r="D292" s="212">
        <v>11.299999700000001</v>
      </c>
      <c r="E292" s="212" t="e">
        <v>#N/A</v>
      </c>
    </row>
    <row r="293" spans="1:5">
      <c r="A293" s="211" t="s">
        <v>712</v>
      </c>
      <c r="B293" s="212">
        <v>8.9250000000000007</v>
      </c>
      <c r="C293" s="212">
        <v>3.8</v>
      </c>
      <c r="D293" s="212">
        <v>11.299999700000001</v>
      </c>
      <c r="E293" s="212" t="e">
        <v>#N/A</v>
      </c>
    </row>
    <row r="294" spans="1:5">
      <c r="A294" s="211" t="s">
        <v>713</v>
      </c>
      <c r="B294" s="212">
        <v>8.9250000000000007</v>
      </c>
      <c r="C294" s="212">
        <v>0</v>
      </c>
      <c r="D294" s="212">
        <v>7.5999996999999997</v>
      </c>
      <c r="E294" s="212" t="e">
        <v>#N/A</v>
      </c>
    </row>
    <row r="295" spans="1:5">
      <c r="A295" s="211" t="s">
        <v>714</v>
      </c>
      <c r="B295" s="212">
        <v>8.9250000000000007</v>
      </c>
      <c r="C295" s="212">
        <v>3.8</v>
      </c>
      <c r="D295" s="212">
        <v>7.5999996999999997</v>
      </c>
      <c r="E295" s="212" t="e">
        <v>#N/A</v>
      </c>
    </row>
    <row r="296" spans="1:5">
      <c r="A296" s="211" t="s">
        <v>715</v>
      </c>
      <c r="B296" s="212">
        <v>8.9250000000000007</v>
      </c>
      <c r="C296" s="212">
        <v>0</v>
      </c>
      <c r="D296" s="212">
        <v>0</v>
      </c>
      <c r="E296" s="212" t="e">
        <v>#N/A</v>
      </c>
    </row>
    <row r="297" spans="1:5">
      <c r="A297" s="211" t="s">
        <v>716</v>
      </c>
      <c r="B297" s="212">
        <v>8.9250000000000007</v>
      </c>
      <c r="C297" s="212">
        <v>3.8</v>
      </c>
      <c r="D297" s="212">
        <v>0</v>
      </c>
      <c r="E297" s="212" t="e">
        <v>#N/A</v>
      </c>
    </row>
    <row r="298" spans="1:5">
      <c r="A298" s="211" t="s">
        <v>717</v>
      </c>
      <c r="B298" s="212">
        <v>5.15</v>
      </c>
      <c r="C298" s="212">
        <v>0</v>
      </c>
      <c r="D298" s="212">
        <v>3.9</v>
      </c>
      <c r="E298" s="212" t="e">
        <v>#N/A</v>
      </c>
    </row>
    <row r="299" spans="1:5">
      <c r="A299" s="211" t="s">
        <v>718</v>
      </c>
      <c r="B299" s="212">
        <v>5.15</v>
      </c>
      <c r="C299" s="212">
        <v>3.8250000000000002</v>
      </c>
      <c r="D299" s="212">
        <v>3.9</v>
      </c>
      <c r="E299" s="212" t="e">
        <v>#N/A</v>
      </c>
    </row>
    <row r="300" spans="1:5">
      <c r="A300" s="211" t="s">
        <v>719</v>
      </c>
      <c r="B300" s="212">
        <v>5.15</v>
      </c>
      <c r="C300" s="212">
        <v>0</v>
      </c>
      <c r="D300" s="212">
        <v>14.9999996993</v>
      </c>
      <c r="E300" s="212" t="e">
        <v>#N/A</v>
      </c>
    </row>
    <row r="301" spans="1:5">
      <c r="A301" s="211" t="s">
        <v>720</v>
      </c>
      <c r="B301" s="212">
        <v>5.15</v>
      </c>
      <c r="C301" s="212">
        <v>3.8250000000000002</v>
      </c>
      <c r="D301" s="212">
        <v>14.9999996993</v>
      </c>
      <c r="E301" s="212" t="e">
        <v>#N/A</v>
      </c>
    </row>
    <row r="302" spans="1:5">
      <c r="A302" s="211" t="s">
        <v>721</v>
      </c>
      <c r="B302" s="212">
        <v>5.15</v>
      </c>
      <c r="C302" s="212">
        <v>0</v>
      </c>
      <c r="D302" s="212">
        <v>11.299999700000001</v>
      </c>
      <c r="E302" s="212" t="e">
        <v>#N/A</v>
      </c>
    </row>
    <row r="303" spans="1:5">
      <c r="A303" s="211" t="s">
        <v>722</v>
      </c>
      <c r="B303" s="212">
        <v>5.15</v>
      </c>
      <c r="C303" s="212">
        <v>3.8250000000000002</v>
      </c>
      <c r="D303" s="212">
        <v>11.299999700000001</v>
      </c>
      <c r="E303" s="212" t="e">
        <v>#N/A</v>
      </c>
    </row>
    <row r="304" spans="1:5">
      <c r="A304" s="211" t="s">
        <v>723</v>
      </c>
      <c r="B304" s="212">
        <v>5.15</v>
      </c>
      <c r="C304" s="212">
        <v>0</v>
      </c>
      <c r="D304" s="212">
        <v>7.5999996999999997</v>
      </c>
      <c r="E304" s="212" t="e">
        <v>#N/A</v>
      </c>
    </row>
    <row r="305" spans="1:5">
      <c r="A305" s="211" t="s">
        <v>724</v>
      </c>
      <c r="B305" s="212">
        <v>5.15</v>
      </c>
      <c r="C305" s="212">
        <v>3.8250000000000002</v>
      </c>
      <c r="D305" s="212">
        <v>7.5999996999999997</v>
      </c>
      <c r="E305" s="212" t="e">
        <v>#N/A</v>
      </c>
    </row>
    <row r="306" spans="1:5">
      <c r="A306" s="211" t="s">
        <v>725</v>
      </c>
      <c r="B306" s="212">
        <v>5.15</v>
      </c>
      <c r="C306" s="212">
        <v>0</v>
      </c>
      <c r="D306" s="212">
        <v>0</v>
      </c>
      <c r="E306" s="212" t="e">
        <v>#N/A</v>
      </c>
    </row>
    <row r="307" spans="1:5">
      <c r="A307" s="211" t="s">
        <v>726</v>
      </c>
      <c r="B307" s="212">
        <v>5.15</v>
      </c>
      <c r="C307" s="212">
        <v>3.8250000000000002</v>
      </c>
      <c r="D307" s="212">
        <v>0</v>
      </c>
      <c r="E307" s="212" t="e">
        <v>#N/A</v>
      </c>
    </row>
    <row r="308" spans="1:5">
      <c r="A308" s="211" t="s">
        <v>727</v>
      </c>
      <c r="B308" s="212">
        <v>11.283377029009401</v>
      </c>
      <c r="C308" s="212">
        <v>3.98477879236698</v>
      </c>
      <c r="D308" s="212">
        <v>3.9</v>
      </c>
      <c r="E308" s="212" t="e">
        <v>#N/A</v>
      </c>
    </row>
    <row r="309" spans="1:5">
      <c r="A309" s="211" t="s">
        <v>728</v>
      </c>
      <c r="B309" s="212">
        <v>11.283377029009401</v>
      </c>
      <c r="C309" s="212">
        <v>3.98477879236698</v>
      </c>
      <c r="D309" s="212">
        <v>14.9999996993</v>
      </c>
      <c r="E309" s="212" t="e">
        <v>#N/A</v>
      </c>
    </row>
    <row r="310" spans="1:5">
      <c r="A310" s="211" t="s">
        <v>729</v>
      </c>
      <c r="B310" s="212">
        <v>11.283377029009401</v>
      </c>
      <c r="C310" s="212">
        <v>3.98477879236698</v>
      </c>
      <c r="D310" s="212">
        <v>11.299999700000001</v>
      </c>
      <c r="E310" s="212" t="e">
        <v>#N/A</v>
      </c>
    </row>
    <row r="311" spans="1:5">
      <c r="A311" s="211" t="s">
        <v>730</v>
      </c>
      <c r="B311" s="212">
        <v>11.283377029009401</v>
      </c>
      <c r="C311" s="212">
        <v>3.98477879236698</v>
      </c>
      <c r="D311" s="212">
        <v>7.5999996999999997</v>
      </c>
      <c r="E311" s="212" t="e">
        <v>#N/A</v>
      </c>
    </row>
    <row r="312" spans="1:5">
      <c r="A312" s="211" t="s">
        <v>731</v>
      </c>
      <c r="B312" s="212">
        <v>11.283377029009401</v>
      </c>
      <c r="C312" s="212">
        <v>3.98477879236698</v>
      </c>
      <c r="D312" s="212">
        <v>0</v>
      </c>
      <c r="E312" s="212" t="e">
        <v>#N/A</v>
      </c>
    </row>
    <row r="313" spans="1:5">
      <c r="A313" s="211" t="s">
        <v>732</v>
      </c>
      <c r="B313" s="212">
        <v>0.94</v>
      </c>
      <c r="C313" s="212">
        <v>5.5449999999999999</v>
      </c>
      <c r="D313" s="212">
        <v>3.9</v>
      </c>
      <c r="E313" s="212" t="e">
        <v>#N/A</v>
      </c>
    </row>
    <row r="314" spans="1:5">
      <c r="A314" s="211" t="s">
        <v>733</v>
      </c>
      <c r="B314" s="212">
        <v>2.06835319486063</v>
      </c>
      <c r="C314" s="212">
        <v>6.0711597358671696</v>
      </c>
      <c r="D314" s="212">
        <v>3.9</v>
      </c>
      <c r="E314" s="212" t="e">
        <v>#N/A</v>
      </c>
    </row>
    <row r="315" spans="1:5">
      <c r="A315" s="211" t="s">
        <v>734</v>
      </c>
      <c r="B315" s="212">
        <v>0.94</v>
      </c>
      <c r="C315" s="212">
        <v>5.5449999999999999</v>
      </c>
      <c r="D315" s="212">
        <v>14.9999996993</v>
      </c>
      <c r="E315" s="212" t="e">
        <v>#N/A</v>
      </c>
    </row>
    <row r="316" spans="1:5">
      <c r="A316" s="211" t="s">
        <v>735</v>
      </c>
      <c r="B316" s="212">
        <v>2.06835319486063</v>
      </c>
      <c r="C316" s="212">
        <v>6.0711597358671696</v>
      </c>
      <c r="D316" s="212">
        <v>14.9999996993</v>
      </c>
      <c r="E316" s="212" t="e">
        <v>#N/A</v>
      </c>
    </row>
    <row r="317" spans="1:5">
      <c r="A317" s="211" t="s">
        <v>736</v>
      </c>
      <c r="B317" s="212">
        <v>0.94</v>
      </c>
      <c r="C317" s="212">
        <v>5.5449999999999999</v>
      </c>
      <c r="D317" s="212">
        <v>11.299999700000001</v>
      </c>
      <c r="E317" s="212" t="e">
        <v>#N/A</v>
      </c>
    </row>
    <row r="318" spans="1:5">
      <c r="A318" s="211" t="s">
        <v>737</v>
      </c>
      <c r="B318" s="212">
        <v>2.06835319486063</v>
      </c>
      <c r="C318" s="212">
        <v>6.0711597358671696</v>
      </c>
      <c r="D318" s="212">
        <v>11.299999700000001</v>
      </c>
      <c r="E318" s="212" t="e">
        <v>#N/A</v>
      </c>
    </row>
    <row r="319" spans="1:5">
      <c r="A319" s="211" t="s">
        <v>738</v>
      </c>
      <c r="B319" s="212">
        <v>0.94</v>
      </c>
      <c r="C319" s="212">
        <v>5.5449999999999999</v>
      </c>
      <c r="D319" s="212">
        <v>7.5999996999999997</v>
      </c>
      <c r="E319" s="212" t="e">
        <v>#N/A</v>
      </c>
    </row>
    <row r="320" spans="1:5">
      <c r="A320" s="211" t="s">
        <v>739</v>
      </c>
      <c r="B320" s="212">
        <v>2.06835319486063</v>
      </c>
      <c r="C320" s="212">
        <v>6.0711597358671696</v>
      </c>
      <c r="D320" s="212">
        <v>7.5999996999999997</v>
      </c>
      <c r="E320" s="212" t="e">
        <v>#N/A</v>
      </c>
    </row>
    <row r="321" spans="1:5">
      <c r="A321" s="211" t="s">
        <v>740</v>
      </c>
      <c r="B321" s="212">
        <v>0.94</v>
      </c>
      <c r="C321" s="212">
        <v>5.5449999999999999</v>
      </c>
      <c r="D321" s="212">
        <v>0</v>
      </c>
      <c r="E321" s="212" t="e">
        <v>#N/A</v>
      </c>
    </row>
    <row r="322" spans="1:5">
      <c r="A322" s="211" t="s">
        <v>741</v>
      </c>
      <c r="B322" s="212">
        <v>2.06835319486063</v>
      </c>
      <c r="C322" s="212">
        <v>6.0711597358671696</v>
      </c>
      <c r="D322" s="212">
        <v>0</v>
      </c>
      <c r="E322" s="212" t="e">
        <v>#N/A</v>
      </c>
    </row>
    <row r="323" spans="1:5">
      <c r="A323" s="211" t="s">
        <v>742</v>
      </c>
      <c r="B323" s="212">
        <v>2.8219578793973801</v>
      </c>
      <c r="C323" s="212">
        <v>4.68388983961498</v>
      </c>
      <c r="D323" s="212">
        <v>3.9</v>
      </c>
      <c r="E323" s="212" t="e">
        <v>#N/A</v>
      </c>
    </row>
    <row r="324" spans="1:5">
      <c r="A324" s="211" t="s">
        <v>743</v>
      </c>
      <c r="B324" s="212">
        <v>2.8219578793973801</v>
      </c>
      <c r="C324" s="212">
        <v>4.68388983961498</v>
      </c>
      <c r="D324" s="212">
        <v>14.9999996993</v>
      </c>
      <c r="E324" s="212" t="e">
        <v>#N/A</v>
      </c>
    </row>
    <row r="325" spans="1:5">
      <c r="A325" s="211" t="s">
        <v>744</v>
      </c>
      <c r="B325" s="212">
        <v>2.8219578793973801</v>
      </c>
      <c r="C325" s="212">
        <v>4.68388983961498</v>
      </c>
      <c r="D325" s="212">
        <v>11.299999700000001</v>
      </c>
      <c r="E325" s="212" t="e">
        <v>#N/A</v>
      </c>
    </row>
    <row r="326" spans="1:5">
      <c r="A326" s="211" t="s">
        <v>745</v>
      </c>
      <c r="B326" s="212">
        <v>2.8219578793973801</v>
      </c>
      <c r="C326" s="212">
        <v>4.68388983961498</v>
      </c>
      <c r="D326" s="212">
        <v>7.5999996999999997</v>
      </c>
      <c r="E326" s="212" t="e">
        <v>#N/A</v>
      </c>
    </row>
    <row r="327" spans="1:5">
      <c r="A327" s="211" t="s">
        <v>746</v>
      </c>
      <c r="B327" s="212">
        <v>2.8219578793973801</v>
      </c>
      <c r="C327" s="212">
        <v>4.68388983961498</v>
      </c>
      <c r="D327" s="212">
        <v>0</v>
      </c>
      <c r="E327" s="212" t="e">
        <v>#N/A</v>
      </c>
    </row>
    <row r="328" spans="1:5">
      <c r="A328" s="211" t="s">
        <v>747</v>
      </c>
      <c r="B328" s="212">
        <v>-1.75</v>
      </c>
      <c r="C328" s="212">
        <v>7.0250000000000004</v>
      </c>
      <c r="D328" s="212">
        <v>3.9</v>
      </c>
      <c r="E328" s="212" t="e">
        <v>#N/A</v>
      </c>
    </row>
    <row r="329" spans="1:5">
      <c r="A329" s="211" t="s">
        <v>748</v>
      </c>
      <c r="B329" s="212">
        <v>0.90095027708220099</v>
      </c>
      <c r="C329" s="212">
        <v>8.2611584155915505</v>
      </c>
      <c r="D329" s="212">
        <v>3.9</v>
      </c>
      <c r="E329" s="212" t="e">
        <v>#N/A</v>
      </c>
    </row>
    <row r="330" spans="1:5">
      <c r="A330" s="211" t="s">
        <v>749</v>
      </c>
      <c r="B330" s="212">
        <v>-1.75</v>
      </c>
      <c r="C330" s="212">
        <v>7.0250000000000004</v>
      </c>
      <c r="D330" s="212">
        <v>14.9999996993</v>
      </c>
      <c r="E330" s="212" t="e">
        <v>#N/A</v>
      </c>
    </row>
    <row r="331" spans="1:5">
      <c r="A331" s="211" t="s">
        <v>750</v>
      </c>
      <c r="B331" s="212">
        <v>0.90095027708220099</v>
      </c>
      <c r="C331" s="212">
        <v>8.2611584155915505</v>
      </c>
      <c r="D331" s="212">
        <v>14.9999996993</v>
      </c>
      <c r="E331" s="212" t="e">
        <v>#N/A</v>
      </c>
    </row>
    <row r="332" spans="1:5">
      <c r="A332" s="211" t="s">
        <v>751</v>
      </c>
      <c r="B332" s="212">
        <v>-1.75</v>
      </c>
      <c r="C332" s="212">
        <v>7.0250000000000004</v>
      </c>
      <c r="D332" s="212">
        <v>11.299999700000001</v>
      </c>
      <c r="E332" s="212" t="e">
        <v>#N/A</v>
      </c>
    </row>
    <row r="333" spans="1:5">
      <c r="A333" s="211" t="s">
        <v>752</v>
      </c>
      <c r="B333" s="212">
        <v>0.90095027708220099</v>
      </c>
      <c r="C333" s="212">
        <v>8.2611584155915505</v>
      </c>
      <c r="D333" s="212">
        <v>11.299999700000001</v>
      </c>
      <c r="E333" s="212" t="e">
        <v>#N/A</v>
      </c>
    </row>
    <row r="334" spans="1:5">
      <c r="A334" s="211" t="s">
        <v>753</v>
      </c>
      <c r="B334" s="212">
        <v>-1.75</v>
      </c>
      <c r="C334" s="212">
        <v>7.0250000000000004</v>
      </c>
      <c r="D334" s="212">
        <v>7.5999996999999997</v>
      </c>
      <c r="E334" s="212" t="e">
        <v>#N/A</v>
      </c>
    </row>
    <row r="335" spans="1:5">
      <c r="A335" s="211" t="s">
        <v>754</v>
      </c>
      <c r="B335" s="212">
        <v>0.90095027708220099</v>
      </c>
      <c r="C335" s="212">
        <v>8.2611584155915505</v>
      </c>
      <c r="D335" s="212">
        <v>7.5999996999999997</v>
      </c>
      <c r="E335" s="212" t="e">
        <v>#N/A</v>
      </c>
    </row>
    <row r="336" spans="1:5">
      <c r="A336" s="211" t="s">
        <v>755</v>
      </c>
      <c r="B336" s="212">
        <v>-1.75</v>
      </c>
      <c r="C336" s="212">
        <v>7.0250000000000004</v>
      </c>
      <c r="D336" s="212">
        <v>0</v>
      </c>
      <c r="E336" s="212" t="e">
        <v>#N/A</v>
      </c>
    </row>
    <row r="337" spans="1:5">
      <c r="A337" s="211" t="s">
        <v>756</v>
      </c>
      <c r="B337" s="212">
        <v>0.90095027708220099</v>
      </c>
      <c r="C337" s="212">
        <v>8.2611584155915505</v>
      </c>
      <c r="D337" s="212">
        <v>0</v>
      </c>
      <c r="E337" s="212" t="e">
        <v>#N/A</v>
      </c>
    </row>
    <row r="338" spans="1:5">
      <c r="A338" s="211" t="s">
        <v>757</v>
      </c>
      <c r="B338" s="212">
        <v>-0.69499999999999995</v>
      </c>
      <c r="C338" s="212">
        <v>4.7949999999999999</v>
      </c>
      <c r="D338" s="212">
        <v>16.449999699300001</v>
      </c>
      <c r="E338" s="212" t="e">
        <v>#N/A</v>
      </c>
    </row>
    <row r="339" spans="1:5">
      <c r="A339" s="211" t="s">
        <v>758</v>
      </c>
      <c r="B339" s="212">
        <v>0.97260632814743597</v>
      </c>
      <c r="C339" s="212">
        <v>5.5726176016028903</v>
      </c>
      <c r="D339" s="212">
        <v>16.449999699300001</v>
      </c>
      <c r="E339" s="212" t="e">
        <v>#N/A</v>
      </c>
    </row>
    <row r="340" spans="1:5">
      <c r="A340" s="211" t="s">
        <v>759</v>
      </c>
      <c r="B340" s="212">
        <v>-0.28000000000000003</v>
      </c>
      <c r="C340" s="212">
        <v>6.1849999999999996</v>
      </c>
      <c r="D340" s="212">
        <v>16.449999699300001</v>
      </c>
      <c r="E340" s="212" t="e">
        <v>#N/A</v>
      </c>
    </row>
    <row r="341" spans="1:5">
      <c r="A341" s="211" t="s">
        <v>760</v>
      </c>
      <c r="B341" s="212">
        <v>0.64130781059472497</v>
      </c>
      <c r="C341" s="212">
        <v>4.2092490242601004</v>
      </c>
      <c r="D341" s="212">
        <v>16.449999699300001</v>
      </c>
      <c r="E341" s="212" t="e">
        <v>#N/A</v>
      </c>
    </row>
    <row r="342" spans="1:5">
      <c r="A342" s="211" t="s">
        <v>761</v>
      </c>
      <c r="B342" s="212">
        <v>6.1495910540706999</v>
      </c>
      <c r="C342" s="212">
        <v>1.5265697526988899</v>
      </c>
      <c r="D342" s="212">
        <v>-1.6</v>
      </c>
      <c r="E342" s="212" t="e">
        <v>#N/A</v>
      </c>
    </row>
    <row r="343" spans="1:5">
      <c r="A343" s="211" t="s">
        <v>762</v>
      </c>
      <c r="B343" s="212">
        <v>6.1496173837416599</v>
      </c>
      <c r="C343" s="212">
        <v>-9.8519882738116807E-2</v>
      </c>
      <c r="D343" s="212">
        <v>-1.6</v>
      </c>
      <c r="E343" s="212" t="e">
        <v>#N/A</v>
      </c>
    </row>
    <row r="344" spans="1:5">
      <c r="A344" s="211" t="s">
        <v>763</v>
      </c>
      <c r="B344" s="212">
        <v>7.6496173837416599</v>
      </c>
      <c r="C344" s="212">
        <v>-9.8519882738116807E-2</v>
      </c>
      <c r="D344" s="212">
        <v>-1.6</v>
      </c>
      <c r="E344" s="212" t="e">
        <v>#N/A</v>
      </c>
    </row>
    <row r="345" spans="1:5">
      <c r="A345" s="211" t="s">
        <v>764</v>
      </c>
      <c r="B345" s="212">
        <v>7.6495910540706999</v>
      </c>
      <c r="C345" s="212">
        <v>1.5265697526988899</v>
      </c>
      <c r="D345" s="212">
        <v>-1.6</v>
      </c>
      <c r="E345" s="212" t="e">
        <v>#N/A</v>
      </c>
    </row>
    <row r="346" spans="1:5">
      <c r="A346" s="211" t="s">
        <v>765</v>
      </c>
      <c r="B346" s="212">
        <v>7.2745910540706999</v>
      </c>
      <c r="C346" s="212">
        <v>0.40156975269889</v>
      </c>
      <c r="D346" s="212">
        <v>-1.6</v>
      </c>
      <c r="E346" s="212" t="e">
        <v>#N/A</v>
      </c>
    </row>
    <row r="347" spans="1:5">
      <c r="A347" s="211" t="s">
        <v>766</v>
      </c>
      <c r="B347" s="212">
        <v>7.2745910540706999</v>
      </c>
      <c r="C347" s="212">
        <v>1.1515697526988899</v>
      </c>
      <c r="D347" s="212">
        <v>-1.6</v>
      </c>
      <c r="E347" s="212" t="e">
        <v>#N/A</v>
      </c>
    </row>
    <row r="348" spans="1:5">
      <c r="A348" s="211" t="s">
        <v>767</v>
      </c>
      <c r="B348" s="212">
        <v>6.5245910540706999</v>
      </c>
      <c r="C348" s="212">
        <v>0.40156975269889</v>
      </c>
      <c r="D348" s="212">
        <v>-1.6</v>
      </c>
      <c r="E348" s="212" t="e">
        <v>#N/A</v>
      </c>
    </row>
    <row r="349" spans="1:5">
      <c r="A349" s="211" t="s">
        <v>768</v>
      </c>
      <c r="B349" s="212">
        <v>6.5245910540706999</v>
      </c>
      <c r="C349" s="212">
        <v>1.1515697526988899</v>
      </c>
      <c r="D349" s="212">
        <v>-1.6</v>
      </c>
      <c r="E349" s="212" t="e">
        <v>#N/A</v>
      </c>
    </row>
    <row r="350" spans="1:5">
      <c r="A350" s="211" t="s">
        <v>769</v>
      </c>
      <c r="B350" s="212">
        <v>7.2745910540706999</v>
      </c>
      <c r="C350" s="212">
        <v>3.3937388807444799</v>
      </c>
      <c r="D350" s="212">
        <v>-1.6</v>
      </c>
      <c r="E350" s="212" t="e">
        <v>#N/A</v>
      </c>
    </row>
    <row r="351" spans="1:5">
      <c r="A351" s="211" t="s">
        <v>770</v>
      </c>
      <c r="B351" s="212">
        <v>7.2745910540706999</v>
      </c>
      <c r="C351" s="212">
        <v>2.6437388807444799</v>
      </c>
      <c r="D351" s="212">
        <v>-1.6</v>
      </c>
      <c r="E351" s="212" t="e">
        <v>#N/A</v>
      </c>
    </row>
    <row r="352" spans="1:5">
      <c r="A352" s="211" t="s">
        <v>771</v>
      </c>
      <c r="B352" s="212">
        <v>6.5245910540706999</v>
      </c>
      <c r="C352" s="212">
        <v>3.3937388807444799</v>
      </c>
      <c r="D352" s="212">
        <v>-1.6</v>
      </c>
      <c r="E352" s="212" t="e">
        <v>#N/A</v>
      </c>
    </row>
    <row r="353" spans="1:5">
      <c r="A353" s="211" t="s">
        <v>772</v>
      </c>
      <c r="B353" s="212">
        <v>6.5245910540706999</v>
      </c>
      <c r="C353" s="212">
        <v>2.6437388807444799</v>
      </c>
      <c r="D353" s="212">
        <v>-1.6</v>
      </c>
      <c r="E353" s="212" t="e">
        <v>#N/A</v>
      </c>
    </row>
    <row r="354" spans="1:5">
      <c r="A354" s="211" t="s">
        <v>773</v>
      </c>
      <c r="B354" s="212">
        <v>6.1495910540706999</v>
      </c>
      <c r="C354" s="212">
        <v>2.2687388807444799</v>
      </c>
      <c r="D354" s="212">
        <v>-1.6</v>
      </c>
      <c r="E354" s="212" t="e">
        <v>#N/A</v>
      </c>
    </row>
    <row r="355" spans="1:5">
      <c r="A355" s="211" t="s">
        <v>774</v>
      </c>
      <c r="B355" s="212">
        <v>7.6495910540706999</v>
      </c>
      <c r="C355" s="212">
        <v>2.2687388807444799</v>
      </c>
      <c r="D355" s="212">
        <v>-1.6</v>
      </c>
      <c r="E355" s="212" t="e">
        <v>#N/A</v>
      </c>
    </row>
    <row r="356" spans="1:5">
      <c r="A356" s="211" t="s">
        <v>775</v>
      </c>
      <c r="B356" s="212">
        <v>7.6496173837416599</v>
      </c>
      <c r="C356" s="212">
        <v>3.8938285161814901</v>
      </c>
      <c r="D356" s="212">
        <v>-1.6</v>
      </c>
      <c r="E356" s="212" t="e">
        <v>#N/A</v>
      </c>
    </row>
    <row r="357" spans="1:5">
      <c r="A357" s="211" t="s">
        <v>776</v>
      </c>
      <c r="B357" s="212">
        <v>6.1496173837416599</v>
      </c>
      <c r="C357" s="212">
        <v>3.8938285161814901</v>
      </c>
      <c r="D357" s="212">
        <v>-1.6</v>
      </c>
      <c r="E357" s="212" t="e">
        <v>#N/A</v>
      </c>
    </row>
    <row r="358" spans="1:5">
      <c r="A358" s="211" t="s">
        <v>777</v>
      </c>
      <c r="B358" s="212">
        <v>10.583828069833199</v>
      </c>
      <c r="C358" s="212">
        <v>3.3937388807444799</v>
      </c>
      <c r="D358" s="212">
        <v>-1.6</v>
      </c>
      <c r="E358" s="212" t="e">
        <v>#N/A</v>
      </c>
    </row>
    <row r="359" spans="1:5">
      <c r="A359" s="211" t="s">
        <v>778</v>
      </c>
      <c r="B359" s="212">
        <v>9.8338280698331992</v>
      </c>
      <c r="C359" s="212">
        <v>3.3937388807444799</v>
      </c>
      <c r="D359" s="212">
        <v>-1.6</v>
      </c>
      <c r="E359" s="212" t="e">
        <v>#N/A</v>
      </c>
    </row>
    <row r="360" spans="1:5">
      <c r="A360" s="211" t="s">
        <v>779</v>
      </c>
      <c r="B360" s="212">
        <v>10.642281206583201</v>
      </c>
      <c r="C360" s="212">
        <v>2.6481274488449502</v>
      </c>
      <c r="D360" s="212">
        <v>-1.6</v>
      </c>
      <c r="E360" s="212" t="e">
        <v>#N/A</v>
      </c>
    </row>
    <row r="361" spans="1:5">
      <c r="A361" s="211" t="s">
        <v>780</v>
      </c>
      <c r="B361" s="212">
        <v>10.8109491684665</v>
      </c>
      <c r="C361" s="212">
        <v>0.40156975269889</v>
      </c>
      <c r="D361" s="212">
        <v>-1.6</v>
      </c>
      <c r="E361" s="212" t="e">
        <v>#N/A</v>
      </c>
    </row>
    <row r="362" spans="1:5">
      <c r="A362" s="211" t="s">
        <v>781</v>
      </c>
      <c r="B362" s="212">
        <v>10.0609491684665</v>
      </c>
      <c r="C362" s="212">
        <v>0.40156975269889</v>
      </c>
      <c r="D362" s="212">
        <v>-1.6</v>
      </c>
      <c r="E362" s="212" t="e">
        <v>#N/A</v>
      </c>
    </row>
    <row r="363" spans="1:5">
      <c r="A363" s="211" t="s">
        <v>782</v>
      </c>
      <c r="B363" s="212">
        <v>10.766109908528501</v>
      </c>
      <c r="C363" s="212">
        <v>1.14820328898031</v>
      </c>
      <c r="D363" s="212">
        <v>-1.6</v>
      </c>
      <c r="E363" s="212" t="e">
        <v>#N/A</v>
      </c>
    </row>
    <row r="364" spans="1:5">
      <c r="A364" s="211" t="s">
        <v>783</v>
      </c>
      <c r="B364" s="212">
        <v>10.5168072995804</v>
      </c>
      <c r="C364" s="212">
        <v>2.28772202045326</v>
      </c>
      <c r="D364" s="212">
        <v>-1.6</v>
      </c>
      <c r="E364" s="212" t="e">
        <v>#N/A</v>
      </c>
    </row>
    <row r="365" spans="1:5">
      <c r="A365" s="211" t="s">
        <v>784</v>
      </c>
      <c r="B365" s="212">
        <v>11.0175026156281</v>
      </c>
      <c r="C365" s="212">
        <v>2.3253134246831402</v>
      </c>
      <c r="D365" s="212">
        <v>-1.6</v>
      </c>
      <c r="E365" s="212" t="e">
        <v>#N/A</v>
      </c>
    </row>
    <row r="366" spans="1:5">
      <c r="A366" s="211" t="s">
        <v>785</v>
      </c>
      <c r="B366" s="212">
        <v>10.899448404601699</v>
      </c>
      <c r="C366" s="212">
        <v>3.8977258341593002</v>
      </c>
      <c r="D366" s="212">
        <v>-1.6</v>
      </c>
      <c r="E366" s="212" t="e">
        <v>#N/A</v>
      </c>
    </row>
    <row r="367" spans="1:5">
      <c r="A367" s="211" t="s">
        <v>786</v>
      </c>
      <c r="B367" s="212">
        <v>9.4475338815114505</v>
      </c>
      <c r="C367" s="212">
        <v>3.8969856369151299</v>
      </c>
      <c r="D367" s="212">
        <v>-1.6</v>
      </c>
      <c r="E367" s="212" t="e">
        <v>#N/A</v>
      </c>
    </row>
    <row r="368" spans="1:5">
      <c r="A368" s="211" t="s">
        <v>787</v>
      </c>
      <c r="B368" s="212">
        <v>9.4977959293367498</v>
      </c>
      <c r="C368" s="212">
        <v>3.2275248270124202</v>
      </c>
      <c r="D368" s="212">
        <v>-1.6</v>
      </c>
      <c r="E368" s="212" t="e">
        <v>#N/A</v>
      </c>
    </row>
    <row r="369" spans="1:5">
      <c r="A369" s="211" t="s">
        <v>788</v>
      </c>
      <c r="B369" s="212">
        <v>9.7003585856240306</v>
      </c>
      <c r="C369" s="212">
        <v>0.52950980769946898</v>
      </c>
      <c r="D369" s="212">
        <v>-1.6</v>
      </c>
      <c r="E369" s="212" t="e">
        <v>#N/A</v>
      </c>
    </row>
    <row r="370" spans="1:5">
      <c r="A370" s="211" t="s">
        <v>789</v>
      </c>
      <c r="B370" s="212">
        <v>9.7475292105517006</v>
      </c>
      <c r="C370" s="212">
        <v>-9.8775073916897299E-2</v>
      </c>
      <c r="D370" s="212">
        <v>-1.6</v>
      </c>
      <c r="E370" s="212" t="e">
        <v>#N/A</v>
      </c>
    </row>
    <row r="371" spans="1:5">
      <c r="A371" s="211" t="s">
        <v>790</v>
      </c>
      <c r="B371" s="212">
        <v>11.1995910540707</v>
      </c>
      <c r="C371" s="212">
        <v>-9.7621589399977907E-2</v>
      </c>
      <c r="D371" s="212">
        <v>-1.6</v>
      </c>
      <c r="E371" s="212" t="e">
        <v>#N/A</v>
      </c>
    </row>
    <row r="372" spans="1:5">
      <c r="A372" s="211" t="s">
        <v>791</v>
      </c>
      <c r="B372" s="212">
        <v>11.0777700118736</v>
      </c>
      <c r="C372" s="212">
        <v>1.5225872794723601</v>
      </c>
      <c r="D372" s="212">
        <v>-1.6</v>
      </c>
      <c r="E372" s="212" t="e">
        <v>#N/A</v>
      </c>
    </row>
    <row r="373" spans="1:5">
      <c r="A373" s="211" t="s">
        <v>792</v>
      </c>
      <c r="B373" s="212">
        <v>10.6047319775932</v>
      </c>
      <c r="C373" s="212">
        <v>1.4870723397618799</v>
      </c>
      <c r="D373" s="212">
        <v>-1.6</v>
      </c>
      <c r="E373" s="212" t="e">
        <v>#N/A</v>
      </c>
    </row>
    <row r="374" spans="1:5">
      <c r="A374" s="211" t="s">
        <v>793</v>
      </c>
      <c r="B374" s="212">
        <v>1.9028695858417</v>
      </c>
      <c r="C374" s="212">
        <v>0.40141000920937098</v>
      </c>
      <c r="D374" s="212">
        <v>-1.6</v>
      </c>
      <c r="E374" s="212" t="e">
        <v>#N/A</v>
      </c>
    </row>
    <row r="375" spans="1:5">
      <c r="A375" s="211" t="s">
        <v>794</v>
      </c>
      <c r="B375" s="212">
        <v>1.1528695858417</v>
      </c>
      <c r="C375" s="212">
        <v>0.40141000920937098</v>
      </c>
      <c r="D375" s="212">
        <v>-1.6</v>
      </c>
      <c r="E375" s="212" t="e">
        <v>#N/A</v>
      </c>
    </row>
    <row r="376" spans="1:5">
      <c r="A376" s="211" t="s">
        <v>795</v>
      </c>
      <c r="B376" s="212">
        <v>0.40286958584170002</v>
      </c>
      <c r="C376" s="212">
        <v>0.40141000920937098</v>
      </c>
      <c r="D376" s="212">
        <v>-1.6</v>
      </c>
      <c r="E376" s="212" t="e">
        <v>#N/A</v>
      </c>
    </row>
    <row r="377" spans="1:5">
      <c r="A377" s="211" t="s">
        <v>796</v>
      </c>
      <c r="B377" s="212">
        <v>2.6528695858417</v>
      </c>
      <c r="C377" s="212">
        <v>0.40141000920937098</v>
      </c>
      <c r="D377" s="212">
        <v>-1.6</v>
      </c>
      <c r="E377" s="212" t="e">
        <v>#N/A</v>
      </c>
    </row>
    <row r="378" spans="1:5">
      <c r="A378" s="211" t="s">
        <v>797</v>
      </c>
      <c r="B378" s="212">
        <v>3.4028695858417</v>
      </c>
      <c r="C378" s="212">
        <v>0.40141000920937098</v>
      </c>
      <c r="D378" s="212">
        <v>-1.6</v>
      </c>
      <c r="E378" s="212" t="e">
        <v>#N/A</v>
      </c>
    </row>
    <row r="379" spans="1:5">
      <c r="A379" s="211" t="s">
        <v>798</v>
      </c>
      <c r="B379" s="212">
        <v>4.1528695858417004</v>
      </c>
      <c r="C379" s="212">
        <v>0.40141000920937098</v>
      </c>
      <c r="D379" s="212">
        <v>-1.6</v>
      </c>
      <c r="E379" s="212" t="e">
        <v>#N/A</v>
      </c>
    </row>
    <row r="380" spans="1:5">
      <c r="A380" s="211" t="s">
        <v>799</v>
      </c>
      <c r="B380" s="212">
        <v>-9.9999999999965894E-2</v>
      </c>
      <c r="C380" s="212">
        <v>0.650000000000034</v>
      </c>
      <c r="D380" s="212">
        <v>-1.6</v>
      </c>
      <c r="E380" s="212" t="e">
        <v>#N/A</v>
      </c>
    </row>
    <row r="381" spans="1:5">
      <c r="A381" s="211" t="s">
        <v>800</v>
      </c>
      <c r="B381" s="212">
        <v>-9.9999999999965894E-2</v>
      </c>
      <c r="C381" s="212">
        <v>-9.9999999999965894E-2</v>
      </c>
      <c r="D381" s="212">
        <v>-1.6</v>
      </c>
      <c r="E381" s="212" t="e">
        <v>#N/A</v>
      </c>
    </row>
    <row r="382" spans="1:5">
      <c r="A382" s="211" t="s">
        <v>801</v>
      </c>
      <c r="B382" s="212">
        <v>4.5028694582517197</v>
      </c>
      <c r="C382" s="212">
        <v>0.650000000000034</v>
      </c>
      <c r="D382" s="212">
        <v>-1.6</v>
      </c>
      <c r="E382" s="212" t="e">
        <v>#N/A</v>
      </c>
    </row>
    <row r="383" spans="1:5">
      <c r="A383" s="211" t="s">
        <v>802</v>
      </c>
      <c r="B383" s="212">
        <v>4.5028694582517197</v>
      </c>
      <c r="C383" s="212">
        <v>-9.9999999999965894E-2</v>
      </c>
      <c r="D383" s="212">
        <v>-1.6</v>
      </c>
      <c r="E383" s="212" t="e">
        <v>#N/A</v>
      </c>
    </row>
    <row r="384" spans="1:5">
      <c r="A384" s="211" t="s">
        <v>803</v>
      </c>
      <c r="B384" s="212">
        <v>3.4573442635216298</v>
      </c>
      <c r="C384" s="212">
        <v>3.3904243586417202</v>
      </c>
      <c r="D384" s="212">
        <v>-1.6</v>
      </c>
      <c r="E384" s="212" t="e">
        <v>#N/A</v>
      </c>
    </row>
    <row r="385" spans="1:5">
      <c r="A385" s="211" t="s">
        <v>804</v>
      </c>
      <c r="B385" s="212">
        <v>2.7073442635216298</v>
      </c>
      <c r="C385" s="212">
        <v>3.3904243586417202</v>
      </c>
      <c r="D385" s="212">
        <v>-1.6</v>
      </c>
      <c r="E385" s="212" t="e">
        <v>#N/A</v>
      </c>
    </row>
    <row r="386" spans="1:5">
      <c r="A386" s="211" t="s">
        <v>805</v>
      </c>
      <c r="B386" s="212">
        <v>4.2073442635216303</v>
      </c>
      <c r="C386" s="212">
        <v>3.3904243586417202</v>
      </c>
      <c r="D386" s="212">
        <v>-1.6</v>
      </c>
      <c r="E386" s="212" t="e">
        <v>#N/A</v>
      </c>
    </row>
    <row r="387" spans="1:5">
      <c r="A387" s="211" t="s">
        <v>806</v>
      </c>
      <c r="B387" s="212">
        <v>2.3573442635216102</v>
      </c>
      <c r="C387" s="212">
        <v>3.0404243636016899</v>
      </c>
      <c r="D387" s="212">
        <v>-1.6</v>
      </c>
      <c r="E387" s="212" t="e">
        <v>#N/A</v>
      </c>
    </row>
    <row r="388" spans="1:5">
      <c r="A388" s="211" t="s">
        <v>807</v>
      </c>
      <c r="B388" s="212">
        <v>2.3573442635216102</v>
      </c>
      <c r="C388" s="212">
        <v>3.8907116083802902</v>
      </c>
      <c r="D388" s="212">
        <v>-1.6</v>
      </c>
      <c r="E388" s="212" t="e">
        <v>#N/A</v>
      </c>
    </row>
    <row r="389" spans="1:5">
      <c r="A389" s="211" t="s">
        <v>808</v>
      </c>
      <c r="B389" s="212">
        <v>4.5573442635215997</v>
      </c>
      <c r="C389" s="212">
        <v>3.0404243636016899</v>
      </c>
      <c r="D389" s="212">
        <v>-1.6</v>
      </c>
      <c r="E389" s="212" t="e">
        <v>#N/A</v>
      </c>
    </row>
    <row r="390" spans="1:5">
      <c r="A390" s="211" t="s">
        <v>809</v>
      </c>
      <c r="B390" s="212">
        <v>4.5573442635215997</v>
      </c>
      <c r="C390" s="212">
        <v>3.8907116083802902</v>
      </c>
      <c r="D390" s="212">
        <v>-1.6</v>
      </c>
      <c r="E390" s="212" t="e">
        <v>#N/A</v>
      </c>
    </row>
    <row r="391" spans="1:5">
      <c r="A391" s="211" t="s">
        <v>810</v>
      </c>
      <c r="B391" s="212">
        <v>-0.805116405506624</v>
      </c>
      <c r="C391" s="212">
        <v>5.95370475092398</v>
      </c>
      <c r="D391" s="212">
        <v>-1.6</v>
      </c>
      <c r="E391" s="212" t="e">
        <v>#N/A</v>
      </c>
    </row>
    <row r="392" spans="1:5">
      <c r="A392" s="211" t="s">
        <v>811</v>
      </c>
      <c r="B392" s="212">
        <v>7.3690239334723601E-2</v>
      </c>
      <c r="C392" s="212">
        <v>4.0463357402749702</v>
      </c>
      <c r="D392" s="212">
        <v>-1.6</v>
      </c>
      <c r="E392" s="212" t="e">
        <v>#N/A</v>
      </c>
    </row>
    <row r="393" spans="1:5">
      <c r="A393" s="211" t="s">
        <v>812</v>
      </c>
      <c r="B393" s="212">
        <v>-0.123966479541707</v>
      </c>
      <c r="C393" s="212">
        <v>6.2676072550891</v>
      </c>
      <c r="D393" s="212">
        <v>-1.6</v>
      </c>
      <c r="E393" s="212" t="e">
        <v>#N/A</v>
      </c>
    </row>
    <row r="394" spans="1:5">
      <c r="A394" s="211" t="s">
        <v>813</v>
      </c>
      <c r="B394" s="212">
        <v>0.75484016529958398</v>
      </c>
      <c r="C394" s="212">
        <v>4.3602382444401497</v>
      </c>
      <c r="D394" s="212">
        <v>-1.6</v>
      </c>
      <c r="E394" s="212" t="e">
        <v>#N/A</v>
      </c>
    </row>
    <row r="395" spans="1:5">
      <c r="A395" s="211" t="s">
        <v>814</v>
      </c>
      <c r="B395" s="212">
        <v>0.38753702873589202</v>
      </c>
      <c r="C395" s="212">
        <v>3.3651601441305798</v>
      </c>
      <c r="D395" s="212">
        <v>-1.6</v>
      </c>
      <c r="E395" s="212" t="e">
        <v>#N/A</v>
      </c>
    </row>
    <row r="396" spans="1:5">
      <c r="A396" s="211" t="s">
        <v>815</v>
      </c>
      <c r="B396" s="212">
        <v>8.9808359329481405E-2</v>
      </c>
      <c r="C396" s="212">
        <v>2.8150946556915502</v>
      </c>
      <c r="D396" s="212">
        <v>-1.6</v>
      </c>
      <c r="E396" s="212" t="e">
        <v>#N/A</v>
      </c>
    </row>
    <row r="397" spans="1:5">
      <c r="A397" s="211" t="s">
        <v>816</v>
      </c>
      <c r="B397" s="212">
        <v>0.13850118090869001</v>
      </c>
      <c r="C397" s="212">
        <v>6.7735271467594798</v>
      </c>
      <c r="D397" s="212">
        <v>-1.6</v>
      </c>
      <c r="E397" s="212" t="e">
        <v>#N/A</v>
      </c>
    </row>
    <row r="398" spans="1:5">
      <c r="A398" s="211" t="s">
        <v>817</v>
      </c>
      <c r="B398" s="212">
        <v>-1.4053823648314401</v>
      </c>
      <c r="C398" s="212">
        <v>6.0625356479311598</v>
      </c>
      <c r="D398" s="212">
        <v>-1.6</v>
      </c>
      <c r="E398" s="212" t="e">
        <v>#N/A</v>
      </c>
    </row>
    <row r="399" spans="1:5">
      <c r="A399" s="211" t="s">
        <v>818</v>
      </c>
      <c r="B399" s="212">
        <v>1.3080279579884899</v>
      </c>
      <c r="C399" s="212">
        <v>4.2358094551402701</v>
      </c>
      <c r="D399" s="212">
        <v>-1.6</v>
      </c>
      <c r="E399" s="212" t="e">
        <v>#N/A</v>
      </c>
    </row>
    <row r="400" spans="1:5">
      <c r="A400" s="211" t="s">
        <v>819</v>
      </c>
      <c r="B400" s="212">
        <v>0.44949665502849701</v>
      </c>
      <c r="C400" s="212">
        <v>7.3306309734729203</v>
      </c>
      <c r="D400" s="212">
        <v>-1.6</v>
      </c>
      <c r="E400" s="212" t="e">
        <v>#N/A</v>
      </c>
    </row>
    <row r="401" spans="1:5">
      <c r="A401" s="211" t="s">
        <v>820</v>
      </c>
      <c r="B401" s="212">
        <v>1.3001544278946</v>
      </c>
      <c r="C401" s="212">
        <v>6.5044158964726604</v>
      </c>
      <c r="D401" s="212">
        <v>-1.6</v>
      </c>
      <c r="E401" s="212" t="e">
        <v>#N/A</v>
      </c>
    </row>
    <row r="402" spans="1:5">
      <c r="A402" s="211" t="s">
        <v>821</v>
      </c>
      <c r="B402" s="212">
        <v>0.95500277957501101</v>
      </c>
      <c r="C402" s="212">
        <v>7.1702764972459399</v>
      </c>
      <c r="D402" s="212">
        <v>-1.6</v>
      </c>
      <c r="E402" s="212" t="e">
        <v>#N/A</v>
      </c>
    </row>
    <row r="403" spans="1:5">
      <c r="A403" s="211" t="s">
        <v>822</v>
      </c>
      <c r="B403" s="212">
        <v>1.2263340225975401</v>
      </c>
      <c r="C403" s="212">
        <v>7.7333078965124296</v>
      </c>
      <c r="D403" s="212">
        <v>-1.6</v>
      </c>
      <c r="E403" s="212" t="e">
        <v>#N/A</v>
      </c>
    </row>
    <row r="404" spans="1:5">
      <c r="A404" s="211" t="s">
        <v>823</v>
      </c>
      <c r="B404" s="212">
        <v>-1.51641047885261</v>
      </c>
      <c r="C404" s="212">
        <v>7.5283760707880001</v>
      </c>
      <c r="D404" s="212">
        <v>-1.6</v>
      </c>
      <c r="E404" s="212" t="e">
        <v>#N/A</v>
      </c>
    </row>
    <row r="405" spans="1:5">
      <c r="A405" s="211" t="s">
        <v>824</v>
      </c>
      <c r="B405" s="212">
        <v>0.254111459851458</v>
      </c>
      <c r="C405" s="212">
        <v>8.5251999708641506</v>
      </c>
      <c r="D405" s="212">
        <v>-1.6</v>
      </c>
      <c r="E405" s="212" t="e">
        <v>#N/A</v>
      </c>
    </row>
    <row r="406" spans="1:5">
      <c r="A406" s="211" t="s">
        <v>825</v>
      </c>
      <c r="B406" s="212">
        <v>-2.38424213488361</v>
      </c>
      <c r="C406" s="212">
        <v>8.1873752745769899</v>
      </c>
      <c r="D406" s="212">
        <v>-1.6</v>
      </c>
      <c r="E406" s="212" t="e">
        <v>#N/A</v>
      </c>
    </row>
    <row r="407" spans="1:5">
      <c r="A407" s="211" t="s">
        <v>826</v>
      </c>
      <c r="B407" s="212">
        <v>0.22372881203307299</v>
      </c>
      <c r="C407" s="212">
        <v>9.6556924491691198</v>
      </c>
      <c r="D407" s="212">
        <v>-1.6</v>
      </c>
      <c r="E407" s="212" t="e">
        <v>#N/A</v>
      </c>
    </row>
    <row r="408" spans="1:5">
      <c r="A408" s="211" t="s">
        <v>827</v>
      </c>
      <c r="B408" s="212">
        <v>6.1496173328235999</v>
      </c>
      <c r="C408" s="212">
        <v>3.8906858104027702</v>
      </c>
      <c r="D408" s="212">
        <v>-1.6</v>
      </c>
      <c r="E408" s="212" t="e">
        <v>#N/A</v>
      </c>
    </row>
    <row r="409" spans="1:5">
      <c r="A409" s="211" t="s">
        <v>828</v>
      </c>
      <c r="B409" s="212">
        <v>9.4614346647312004</v>
      </c>
      <c r="C409" s="212">
        <v>3.8938285161815398</v>
      </c>
      <c r="D409" s="212">
        <v>-1.6</v>
      </c>
      <c r="E409" s="212" t="e">
        <v>#N/A</v>
      </c>
    </row>
    <row r="410" spans="1:5">
      <c r="A410" s="211" t="s">
        <v>829</v>
      </c>
      <c r="B410" s="212">
        <v>9.7591175492203792</v>
      </c>
      <c r="C410" s="212">
        <v>-9.8519882738116807E-2</v>
      </c>
      <c r="D410" s="212">
        <v>-1.6</v>
      </c>
      <c r="E410" s="212" t="e">
        <v>#N/A</v>
      </c>
    </row>
    <row r="411" spans="1:5">
      <c r="A411" s="211" t="s">
        <v>830</v>
      </c>
      <c r="B411" s="212">
        <v>4.5028694582517801</v>
      </c>
      <c r="C411" s="212">
        <v>-9.8519882738116807E-2</v>
      </c>
      <c r="D411" s="212">
        <v>-1.6</v>
      </c>
      <c r="E411" s="212" t="e">
        <v>#N/A</v>
      </c>
    </row>
    <row r="412" spans="1:5">
      <c r="A412" s="211" t="s">
        <v>831</v>
      </c>
      <c r="B412" s="212">
        <v>6.8995910540706999</v>
      </c>
      <c r="C412" s="212">
        <v>1.5265697526988899</v>
      </c>
      <c r="D412" s="212">
        <v>-1.6</v>
      </c>
      <c r="E412" s="212" t="e">
        <v>#N/A</v>
      </c>
    </row>
    <row r="413" spans="1:5">
      <c r="A413" s="211" t="s">
        <v>832</v>
      </c>
      <c r="B413" s="212">
        <v>6.8995910540706999</v>
      </c>
      <c r="C413" s="212">
        <v>2.2687388807445399</v>
      </c>
      <c r="D413" s="212">
        <v>-1.6</v>
      </c>
      <c r="E413" s="212" t="e">
        <v>#N/A</v>
      </c>
    </row>
    <row r="414" spans="1:5">
      <c r="A414" s="211" t="s">
        <v>833</v>
      </c>
      <c r="B414" s="212">
        <v>3.4573442635216298</v>
      </c>
      <c r="C414" s="212">
        <v>3.0404243636016899</v>
      </c>
      <c r="D414" s="212">
        <v>-1.6</v>
      </c>
      <c r="E414" s="212" t="e">
        <v>#N/A</v>
      </c>
    </row>
    <row r="415" spans="1:5">
      <c r="A415" s="211" t="s">
        <v>834</v>
      </c>
      <c r="B415" s="212">
        <v>3.4573442635216298</v>
      </c>
      <c r="C415" s="212">
        <v>0.65000000000009095</v>
      </c>
      <c r="D415" s="212">
        <v>-1.6</v>
      </c>
      <c r="E415" s="212" t="e">
        <v>#N/A</v>
      </c>
    </row>
    <row r="416" spans="1:5">
      <c r="A416" s="211" t="s">
        <v>835</v>
      </c>
      <c r="B416" s="212">
        <v>0.79464830334808301</v>
      </c>
      <c r="C416" s="212">
        <v>6.6647703726995404</v>
      </c>
      <c r="D416" s="212">
        <v>-1.6</v>
      </c>
      <c r="E416" s="212" t="e">
        <v>#N/A</v>
      </c>
    </row>
    <row r="417" spans="1:5">
      <c r="A417" s="211" t="s">
        <v>836</v>
      </c>
      <c r="B417" s="212">
        <v>0.29478785645915201</v>
      </c>
      <c r="C417" s="212">
        <v>6.4344058292476802</v>
      </c>
      <c r="D417" s="212">
        <v>-1.6</v>
      </c>
      <c r="E417" s="212" t="e">
        <v>#N/A</v>
      </c>
    </row>
    <row r="418" spans="1:5">
      <c r="A418" s="211" t="s">
        <v>837</v>
      </c>
      <c r="B418" s="212">
        <v>1.6342946314853199</v>
      </c>
      <c r="C418" s="212">
        <v>3.5267891213696898</v>
      </c>
      <c r="D418" s="212">
        <v>-1.6</v>
      </c>
      <c r="E418" s="212" t="e">
        <v>#N/A</v>
      </c>
    </row>
    <row r="419" spans="1:5">
      <c r="A419" s="211" t="s">
        <v>838</v>
      </c>
      <c r="B419" s="212">
        <v>1.3094957996629</v>
      </c>
      <c r="C419" s="212">
        <v>4.2336894425710101</v>
      </c>
      <c r="D419" s="212">
        <v>-1.6</v>
      </c>
      <c r="E419" s="212" t="e">
        <v>#N/A</v>
      </c>
    </row>
    <row r="420" spans="1:5">
      <c r="A420" s="211" t="s">
        <v>839</v>
      </c>
      <c r="B420" s="212">
        <v>-9.9999999999909106E-2</v>
      </c>
      <c r="C420" s="212">
        <v>3.2921773864407</v>
      </c>
      <c r="D420" s="212">
        <v>-1.6</v>
      </c>
      <c r="E420" s="212" t="e">
        <v>#N/A</v>
      </c>
    </row>
    <row r="421" spans="1:5">
      <c r="A421" s="211" t="s">
        <v>840</v>
      </c>
      <c r="B421" s="212">
        <v>0.92692504547335397</v>
      </c>
      <c r="C421" s="212">
        <v>0.65000000000009095</v>
      </c>
      <c r="D421" s="212">
        <v>-1.6</v>
      </c>
      <c r="E421" s="212" t="e">
        <v>#N/A</v>
      </c>
    </row>
    <row r="422" spans="1:5">
      <c r="A422" s="211" t="s">
        <v>841</v>
      </c>
      <c r="B422" s="212">
        <v>0.92692504547335397</v>
      </c>
      <c r="C422" s="212">
        <v>3.3281760494018</v>
      </c>
      <c r="D422" s="212">
        <v>-1.6</v>
      </c>
      <c r="E422" s="212" t="e">
        <v>#N/A</v>
      </c>
    </row>
    <row r="423" spans="1:5">
      <c r="A423" s="211" t="s">
        <v>842</v>
      </c>
      <c r="B423" s="212">
        <v>1.3190611422046501</v>
      </c>
      <c r="C423" s="212">
        <v>3.8907116083803399</v>
      </c>
      <c r="D423" s="212">
        <v>-1.6</v>
      </c>
      <c r="E423" s="212" t="e">
        <v>#N/A</v>
      </c>
    </row>
    <row r="424" spans="1:5">
      <c r="A424" s="211" t="s">
        <v>843</v>
      </c>
      <c r="B424" s="212">
        <v>3.21816000109055</v>
      </c>
      <c r="C424" s="212">
        <v>3.8907116083803399</v>
      </c>
      <c r="D424" s="212">
        <v>-1.6</v>
      </c>
      <c r="E424" s="212" t="e">
        <v>#N/A</v>
      </c>
    </row>
    <row r="425" spans="1:5">
      <c r="A425" s="211" t="s">
        <v>844</v>
      </c>
      <c r="B425" s="212">
        <v>3.2000000000000001E-2</v>
      </c>
      <c r="C425" s="212">
        <v>0</v>
      </c>
      <c r="D425" s="212">
        <v>3.9</v>
      </c>
      <c r="E425" s="212" t="e">
        <v>#N/A</v>
      </c>
    </row>
    <row r="426" spans="1:5">
      <c r="A426" s="211" t="s">
        <v>845</v>
      </c>
      <c r="B426" s="212">
        <v>0</v>
      </c>
      <c r="C426" s="212">
        <v>3.3180000000000001</v>
      </c>
      <c r="D426" s="212">
        <v>3.9</v>
      </c>
      <c r="E426" s="212" t="e">
        <v>#N/A</v>
      </c>
    </row>
    <row r="427" spans="1:5">
      <c r="A427" s="211" t="s">
        <v>846</v>
      </c>
      <c r="B427" s="212">
        <v>2.5435321824254702</v>
      </c>
      <c r="C427" s="212">
        <v>5.1837493335120701</v>
      </c>
      <c r="D427" s="212">
        <v>3.9</v>
      </c>
      <c r="E427" s="212" t="e">
        <v>#N/A</v>
      </c>
    </row>
    <row r="428" spans="1:5">
      <c r="A428" s="211" t="s">
        <v>847</v>
      </c>
      <c r="B428" s="212">
        <v>1.64530607621418</v>
      </c>
      <c r="C428" s="212">
        <v>5.8385552956993898</v>
      </c>
      <c r="D428" s="212">
        <v>-1.6</v>
      </c>
      <c r="E428" s="212" t="e">
        <v>#N/A</v>
      </c>
    </row>
    <row r="429" spans="1:5">
      <c r="A429" s="211" t="s">
        <v>848</v>
      </c>
      <c r="B429" s="212">
        <v>-1.4436265271497399</v>
      </c>
      <c r="C429" s="212">
        <v>8.1431533863021492</v>
      </c>
      <c r="D429" s="212">
        <v>-1.6</v>
      </c>
      <c r="E429" s="212" t="e">
        <v>#N/A</v>
      </c>
    </row>
    <row r="430" spans="1:5">
      <c r="A430" s="211" t="s">
        <v>849</v>
      </c>
      <c r="B430" s="212">
        <v>0.59911285401919001</v>
      </c>
      <c r="C430" s="212">
        <v>7.8582627806971503</v>
      </c>
      <c r="D430" s="212">
        <v>-1.6</v>
      </c>
      <c r="E430" s="212" t="e">
        <v>#N/A</v>
      </c>
    </row>
    <row r="431" spans="1:5">
      <c r="A431" s="211" t="s">
        <v>850</v>
      </c>
      <c r="B431" s="212">
        <v>2.26178896755617</v>
      </c>
      <c r="C431" s="212">
        <v>5.73572609419237</v>
      </c>
      <c r="D431" s="212">
        <v>-1.6</v>
      </c>
      <c r="E431" s="212" t="e">
        <v>#N/A</v>
      </c>
    </row>
    <row r="432" spans="1:5">
      <c r="A432" s="211" t="s">
        <v>851</v>
      </c>
      <c r="B432" s="212">
        <v>1.4849515999871301</v>
      </c>
      <c r="C432" s="212">
        <v>5.3330491711528598</v>
      </c>
      <c r="D432" s="212">
        <v>-1.6</v>
      </c>
      <c r="E432" s="212" t="e">
        <v>#N/A</v>
      </c>
    </row>
    <row r="433" spans="1:5">
      <c r="A433" s="211" t="s">
        <v>852</v>
      </c>
      <c r="B433" s="212">
        <v>-0.56180774916190601</v>
      </c>
      <c r="C433" s="212">
        <v>8.6759436242526604</v>
      </c>
      <c r="D433" s="212">
        <v>-1.6</v>
      </c>
      <c r="E433" s="212" t="e">
        <v>#N/A</v>
      </c>
    </row>
    <row r="434" spans="1:5">
      <c r="A434" s="211" t="s">
        <v>853</v>
      </c>
      <c r="B434" s="212">
        <v>-0.217213861301115</v>
      </c>
      <c r="C434" s="212">
        <v>8.0097942022391102</v>
      </c>
      <c r="D434" s="212">
        <v>-1.6</v>
      </c>
      <c r="E434" s="212" t="e">
        <v>#N/A</v>
      </c>
    </row>
    <row r="435" spans="1:5">
      <c r="A435" s="211" t="s">
        <v>854</v>
      </c>
      <c r="B435" s="212">
        <v>-2.5138120103491601E-2</v>
      </c>
      <c r="C435" s="212">
        <v>5.1569714976820302</v>
      </c>
      <c r="D435" s="212">
        <v>-1.6</v>
      </c>
      <c r="E435" s="212" t="e">
        <v>#N/A</v>
      </c>
    </row>
    <row r="436" spans="1:5">
      <c r="A436" s="211" t="s">
        <v>855</v>
      </c>
      <c r="B436" s="212">
        <v>-1.8377825237521599</v>
      </c>
      <c r="C436" s="212">
        <v>7.01978828713023</v>
      </c>
      <c r="D436" s="212">
        <v>-1.6</v>
      </c>
      <c r="E436" s="212" t="e">
        <v>#N/A</v>
      </c>
    </row>
    <row r="437" spans="1:5">
      <c r="A437" s="211" t="s">
        <v>856</v>
      </c>
      <c r="B437" s="212">
        <v>0.17594964341775499</v>
      </c>
      <c r="C437" s="212">
        <v>7.93621261678914</v>
      </c>
      <c r="D437" s="212">
        <v>-1.6</v>
      </c>
      <c r="E437" s="212" t="e">
        <v>#N/A</v>
      </c>
    </row>
    <row r="438" spans="1:5">
      <c r="A438" s="211" t="s">
        <v>857</v>
      </c>
      <c r="B438" s="212">
        <v>0.193633591314082</v>
      </c>
      <c r="C438" s="212">
        <v>5.1894621257246403</v>
      </c>
      <c r="D438" s="212">
        <v>16.449999699300001</v>
      </c>
      <c r="E438" s="212" t="e">
        <v>#N/A</v>
      </c>
    </row>
    <row r="439" spans="1:5">
      <c r="A439" s="211" t="s">
        <v>858</v>
      </c>
      <c r="B439" s="212">
        <v>4.4544582865104196</v>
      </c>
      <c r="C439" s="212">
        <v>3.33913287313678</v>
      </c>
      <c r="D439" s="212">
        <v>14.9999996993</v>
      </c>
      <c r="E439" s="212" t="e">
        <v>#N/A</v>
      </c>
    </row>
    <row r="440" spans="1:5">
      <c r="A440" s="211" t="s">
        <v>859</v>
      </c>
      <c r="B440" s="212">
        <v>4.43042037987105</v>
      </c>
      <c r="C440" s="212">
        <v>3.2843732733431601</v>
      </c>
      <c r="D440" s="212">
        <v>11.299999700000001</v>
      </c>
      <c r="E440" s="212" t="e">
        <v>#N/A</v>
      </c>
    </row>
    <row r="441" spans="1:5">
      <c r="A441" s="211" t="s">
        <v>860</v>
      </c>
      <c r="B441" s="212">
        <v>4.5210640520945198</v>
      </c>
      <c r="C441" s="212">
        <v>3.29506994753761</v>
      </c>
      <c r="D441" s="212">
        <v>7.5999996999999997</v>
      </c>
      <c r="E441" s="212" t="e">
        <v>#N/A</v>
      </c>
    </row>
    <row r="442" spans="1:5">
      <c r="A442" s="211" t="s">
        <v>861</v>
      </c>
      <c r="B442" s="212">
        <v>4.3488299078804404</v>
      </c>
      <c r="C442" s="212">
        <v>3.4320247450030301</v>
      </c>
      <c r="D442" s="212">
        <v>3.9</v>
      </c>
      <c r="E442" s="212" t="e">
        <v>#N/A</v>
      </c>
    </row>
    <row r="443" spans="1:5">
      <c r="A443" s="211" t="s">
        <v>862</v>
      </c>
      <c r="B443" s="212">
        <v>3.5037193617923199</v>
      </c>
      <c r="C443" s="212">
        <v>3.3633736306837498</v>
      </c>
      <c r="D443" s="212">
        <v>0</v>
      </c>
      <c r="E443" s="212" t="e">
        <v>#N/A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rgb="FF0000FF"/>
  </sheetPr>
  <dimension ref="A1:J186"/>
  <sheetViews>
    <sheetView workbookViewId="0">
      <selection activeCell="A2" sqref="A2:J186"/>
    </sheetView>
  </sheetViews>
  <sheetFormatPr defaultColWidth="9.140625" defaultRowHeight="12.75"/>
  <cols>
    <col min="1" max="2" width="8.5703125" style="204" customWidth="1"/>
    <col min="3" max="3" width="10.85546875" style="205" customWidth="1"/>
    <col min="4" max="4" width="11.28515625" style="205" customWidth="1"/>
    <col min="5" max="10" width="12.5703125" style="205" customWidth="1"/>
    <col min="11" max="16384" width="9.140625" style="206"/>
  </cols>
  <sheetData>
    <row r="1" spans="1:10">
      <c r="A1" s="207" t="s">
        <v>863</v>
      </c>
      <c r="B1" s="207" t="s">
        <v>416</v>
      </c>
      <c r="C1" s="208" t="s">
        <v>864</v>
      </c>
      <c r="D1" s="208" t="s">
        <v>865</v>
      </c>
      <c r="E1" s="208" t="s">
        <v>866</v>
      </c>
      <c r="F1" s="208" t="s">
        <v>867</v>
      </c>
      <c r="G1" s="208" t="s">
        <v>868</v>
      </c>
      <c r="H1" s="208" t="s">
        <v>869</v>
      </c>
      <c r="I1" s="208" t="s">
        <v>870</v>
      </c>
      <c r="J1" s="209" t="s">
        <v>871</v>
      </c>
    </row>
    <row r="2" spans="1:10">
      <c r="A2" s="204" t="s">
        <v>765</v>
      </c>
      <c r="B2" s="204" t="s">
        <v>765</v>
      </c>
      <c r="C2" s="205" t="s">
        <v>872</v>
      </c>
      <c r="D2" s="205" t="s">
        <v>872</v>
      </c>
      <c r="E2" s="205">
        <v>4.6428706570359397</v>
      </c>
      <c r="F2" s="205">
        <v>8.6656776930913608</v>
      </c>
      <c r="G2" s="205">
        <v>187.244170264584</v>
      </c>
      <c r="H2" s="205">
        <v>0</v>
      </c>
      <c r="I2" s="205">
        <v>0</v>
      </c>
      <c r="J2" s="210">
        <v>0</v>
      </c>
    </row>
    <row r="3" spans="1:10">
      <c r="A3" s="204" t="s">
        <v>765</v>
      </c>
      <c r="B3" s="204" t="s">
        <v>765</v>
      </c>
      <c r="C3" s="205" t="s">
        <v>872</v>
      </c>
      <c r="D3" s="205" t="s">
        <v>872</v>
      </c>
      <c r="E3" s="205">
        <v>-4.4530070184430697</v>
      </c>
      <c r="F3" s="205">
        <v>-9.0481902223488309</v>
      </c>
      <c r="G3" s="205">
        <v>67.479690869099201</v>
      </c>
      <c r="H3" s="205">
        <v>0</v>
      </c>
      <c r="I3" s="205">
        <v>0</v>
      </c>
      <c r="J3" s="205">
        <v>0</v>
      </c>
    </row>
    <row r="4" spans="1:10">
      <c r="A4" s="204" t="s">
        <v>766</v>
      </c>
      <c r="B4" s="204" t="s">
        <v>766</v>
      </c>
      <c r="C4" s="205" t="s">
        <v>872</v>
      </c>
      <c r="D4" s="205" t="s">
        <v>872</v>
      </c>
      <c r="E4" s="205">
        <v>4.9013665397185404</v>
      </c>
      <c r="F4" s="205">
        <v>8.6697247148331105</v>
      </c>
      <c r="G4" s="205">
        <v>152.76756946290499</v>
      </c>
      <c r="H4" s="205">
        <v>0</v>
      </c>
      <c r="I4" s="205">
        <v>0</v>
      </c>
      <c r="J4" s="205">
        <v>0</v>
      </c>
    </row>
    <row r="5" spans="1:10">
      <c r="A5" s="204" t="s">
        <v>766</v>
      </c>
      <c r="B5" s="204" t="s">
        <v>766</v>
      </c>
      <c r="C5" s="205" t="s">
        <v>872</v>
      </c>
      <c r="D5" s="205" t="s">
        <v>872</v>
      </c>
      <c r="E5" s="205">
        <v>-4.76806945073929</v>
      </c>
      <c r="F5" s="205">
        <v>-9.0474312531344196</v>
      </c>
      <c r="G5" s="205">
        <v>90.310741872566297</v>
      </c>
      <c r="H5" s="205">
        <v>0</v>
      </c>
      <c r="I5" s="205">
        <v>0</v>
      </c>
      <c r="J5" s="205">
        <v>0</v>
      </c>
    </row>
    <row r="6" spans="1:10">
      <c r="A6" s="204" t="s">
        <v>767</v>
      </c>
      <c r="B6" s="204" t="s">
        <v>767</v>
      </c>
      <c r="C6" s="205" t="s">
        <v>872</v>
      </c>
      <c r="D6" s="205" t="s">
        <v>872</v>
      </c>
      <c r="E6" s="205">
        <v>4.6451972627924798</v>
      </c>
      <c r="F6" s="205">
        <v>8.4152132916933304</v>
      </c>
      <c r="G6" s="205">
        <v>187.270387732731</v>
      </c>
      <c r="H6" s="205">
        <v>0</v>
      </c>
      <c r="I6" s="205">
        <v>0</v>
      </c>
      <c r="J6" s="205">
        <v>0</v>
      </c>
    </row>
    <row r="7" spans="1:10">
      <c r="A7" s="204" t="s">
        <v>767</v>
      </c>
      <c r="B7" s="204" t="s">
        <v>767</v>
      </c>
      <c r="C7" s="205" t="s">
        <v>872</v>
      </c>
      <c r="D7" s="205" t="s">
        <v>872</v>
      </c>
      <c r="E7" s="205">
        <v>-4.45348921051988</v>
      </c>
      <c r="F7" s="205">
        <v>-8.9702659815445305</v>
      </c>
      <c r="G7" s="205">
        <v>69.573682611639299</v>
      </c>
      <c r="H7" s="205">
        <v>0</v>
      </c>
      <c r="I7" s="205">
        <v>0</v>
      </c>
      <c r="J7" s="205">
        <v>0</v>
      </c>
    </row>
    <row r="8" spans="1:10">
      <c r="A8" s="204" t="s">
        <v>768</v>
      </c>
      <c r="B8" s="204" t="s">
        <v>768</v>
      </c>
      <c r="C8" s="205" t="s">
        <v>872</v>
      </c>
      <c r="D8" s="205" t="s">
        <v>872</v>
      </c>
      <c r="E8" s="205">
        <v>4.9031523320459902</v>
      </c>
      <c r="F8" s="205">
        <v>8.4178531396088392</v>
      </c>
      <c r="G8" s="205">
        <v>153.31782060462899</v>
      </c>
      <c r="H8" s="205">
        <v>0</v>
      </c>
      <c r="I8" s="205">
        <v>0</v>
      </c>
      <c r="J8" s="205">
        <v>0</v>
      </c>
    </row>
    <row r="9" spans="1:10">
      <c r="A9" s="204" t="s">
        <v>768</v>
      </c>
      <c r="B9" s="204" t="s">
        <v>768</v>
      </c>
      <c r="C9" s="205" t="s">
        <v>872</v>
      </c>
      <c r="D9" s="205" t="s">
        <v>872</v>
      </c>
      <c r="E9" s="205">
        <v>-4.7649299302968302</v>
      </c>
      <c r="F9" s="205">
        <v>-8.9663832122611709</v>
      </c>
      <c r="G9" s="205">
        <v>92.213409270654395</v>
      </c>
      <c r="H9" s="205">
        <v>0</v>
      </c>
      <c r="I9" s="205">
        <v>0</v>
      </c>
      <c r="J9" s="205">
        <v>0</v>
      </c>
    </row>
    <row r="10" spans="1:10">
      <c r="A10" s="204" t="s">
        <v>769</v>
      </c>
      <c r="B10" s="204" t="s">
        <v>769</v>
      </c>
      <c r="C10" s="205" t="s">
        <v>872</v>
      </c>
      <c r="D10" s="205" t="s">
        <v>872</v>
      </c>
      <c r="E10" s="205">
        <v>5.8773540245560003</v>
      </c>
      <c r="F10" s="205">
        <v>8.6800350232630201</v>
      </c>
      <c r="G10" s="205">
        <v>207.70733754880499</v>
      </c>
      <c r="H10" s="205">
        <v>0</v>
      </c>
      <c r="I10" s="205">
        <v>0</v>
      </c>
      <c r="J10" s="205">
        <v>0</v>
      </c>
    </row>
    <row r="11" spans="1:10">
      <c r="A11" s="204" t="s">
        <v>769</v>
      </c>
      <c r="B11" s="204" t="s">
        <v>769</v>
      </c>
      <c r="C11" s="205" t="s">
        <v>872</v>
      </c>
      <c r="D11" s="205" t="s">
        <v>872</v>
      </c>
      <c r="E11" s="205">
        <v>-5.8808889149531103</v>
      </c>
      <c r="F11" s="205">
        <v>-9.0560035219516806</v>
      </c>
      <c r="G11" s="205">
        <v>85.330633869547199</v>
      </c>
      <c r="H11" s="205">
        <v>0</v>
      </c>
      <c r="I11" s="205">
        <v>0</v>
      </c>
      <c r="J11" s="205">
        <v>0</v>
      </c>
    </row>
    <row r="12" spans="1:10">
      <c r="A12" s="204" t="s">
        <v>770</v>
      </c>
      <c r="B12" s="204" t="s">
        <v>770</v>
      </c>
      <c r="C12" s="205" t="s">
        <v>872</v>
      </c>
      <c r="D12" s="205" t="s">
        <v>872</v>
      </c>
      <c r="E12" s="205">
        <v>5.5117098565114597</v>
      </c>
      <c r="F12" s="205">
        <v>8.6799426661628196</v>
      </c>
      <c r="G12" s="205">
        <v>165.704010003684</v>
      </c>
      <c r="H12" s="205">
        <v>0</v>
      </c>
      <c r="I12" s="205">
        <v>0</v>
      </c>
      <c r="J12" s="205">
        <v>0</v>
      </c>
    </row>
    <row r="13" spans="1:10">
      <c r="A13" s="204" t="s">
        <v>770</v>
      </c>
      <c r="B13" s="204" t="s">
        <v>770</v>
      </c>
      <c r="C13" s="205" t="s">
        <v>872</v>
      </c>
      <c r="D13" s="205" t="s">
        <v>872</v>
      </c>
      <c r="E13" s="205">
        <v>-5.48923509656984</v>
      </c>
      <c r="F13" s="205">
        <v>-9.0577337658968204</v>
      </c>
      <c r="G13" s="205">
        <v>95.197314939721394</v>
      </c>
      <c r="H13" s="205">
        <v>0</v>
      </c>
      <c r="I13" s="205">
        <v>0</v>
      </c>
      <c r="J13" s="205">
        <v>0</v>
      </c>
    </row>
    <row r="14" spans="1:10">
      <c r="A14" s="204" t="s">
        <v>771</v>
      </c>
      <c r="B14" s="204" t="s">
        <v>771</v>
      </c>
      <c r="C14" s="205" t="s">
        <v>872</v>
      </c>
      <c r="D14" s="205" t="s">
        <v>872</v>
      </c>
      <c r="E14" s="205">
        <v>5.87532044077376</v>
      </c>
      <c r="F14" s="205">
        <v>8.4254026536520499</v>
      </c>
      <c r="G14" s="205">
        <v>205.94647096807</v>
      </c>
      <c r="H14" s="205">
        <v>0</v>
      </c>
      <c r="I14" s="205">
        <v>0</v>
      </c>
      <c r="J14" s="205">
        <v>0</v>
      </c>
    </row>
    <row r="15" spans="1:10">
      <c r="A15" s="204" t="s">
        <v>771</v>
      </c>
      <c r="B15" s="204" t="s">
        <v>771</v>
      </c>
      <c r="C15" s="205" t="s">
        <v>872</v>
      </c>
      <c r="D15" s="205" t="s">
        <v>872</v>
      </c>
      <c r="E15" s="205">
        <v>-5.8843999053806204</v>
      </c>
      <c r="F15" s="205">
        <v>-8.9483576192162708</v>
      </c>
      <c r="G15" s="205">
        <v>93.439118364317693</v>
      </c>
      <c r="H15" s="205">
        <v>0</v>
      </c>
      <c r="I15" s="205">
        <v>0</v>
      </c>
      <c r="J15" s="205">
        <v>0</v>
      </c>
    </row>
    <row r="16" spans="1:10">
      <c r="A16" s="204" t="s">
        <v>772</v>
      </c>
      <c r="B16" s="204" t="s">
        <v>772</v>
      </c>
      <c r="C16" s="205" t="s">
        <v>872</v>
      </c>
      <c r="D16" s="205" t="s">
        <v>872</v>
      </c>
      <c r="E16" s="205">
        <v>5.5134213661224898</v>
      </c>
      <c r="F16" s="205">
        <v>8.4222306038774395</v>
      </c>
      <c r="G16" s="205">
        <v>164.27555388074799</v>
      </c>
      <c r="H16" s="205">
        <v>0</v>
      </c>
      <c r="I16" s="205">
        <v>0</v>
      </c>
      <c r="J16" s="205">
        <v>0</v>
      </c>
    </row>
    <row r="17" spans="1:10">
      <c r="A17" s="204" t="s">
        <v>772</v>
      </c>
      <c r="B17" s="204" t="s">
        <v>772</v>
      </c>
      <c r="C17" s="205" t="s">
        <v>872</v>
      </c>
      <c r="D17" s="205" t="s">
        <v>872</v>
      </c>
      <c r="E17" s="205">
        <v>-5.4889257744928202</v>
      </c>
      <c r="F17" s="205">
        <v>-8.9455349187220108</v>
      </c>
      <c r="G17" s="205">
        <v>102.883491949938</v>
      </c>
      <c r="H17" s="205">
        <v>0</v>
      </c>
      <c r="I17" s="205">
        <v>0</v>
      </c>
      <c r="J17" s="205">
        <v>0</v>
      </c>
    </row>
    <row r="18" spans="1:10">
      <c r="A18" s="204" t="s">
        <v>777</v>
      </c>
      <c r="B18" s="204" t="s">
        <v>777</v>
      </c>
      <c r="C18" s="205" t="s">
        <v>872</v>
      </c>
      <c r="D18" s="205" t="s">
        <v>872</v>
      </c>
      <c r="E18" s="205">
        <v>5.9387554778717497</v>
      </c>
      <c r="F18" s="205">
        <v>9.2999178277579606</v>
      </c>
      <c r="G18" s="205">
        <v>243.03784625663201</v>
      </c>
      <c r="H18" s="205">
        <v>0</v>
      </c>
      <c r="I18" s="205">
        <v>0</v>
      </c>
      <c r="J18" s="205">
        <v>0</v>
      </c>
    </row>
    <row r="19" spans="1:10">
      <c r="A19" s="204" t="s">
        <v>777</v>
      </c>
      <c r="B19" s="204" t="s">
        <v>777</v>
      </c>
      <c r="C19" s="205" t="s">
        <v>872</v>
      </c>
      <c r="D19" s="205" t="s">
        <v>872</v>
      </c>
      <c r="E19" s="205">
        <v>-5.8415647639912196</v>
      </c>
      <c r="F19" s="205">
        <v>-8.7901365666243692</v>
      </c>
      <c r="G19" s="205">
        <v>82.083597898041603</v>
      </c>
      <c r="H19" s="205">
        <v>0</v>
      </c>
      <c r="I19" s="205">
        <v>0</v>
      </c>
      <c r="J19" s="205">
        <v>0</v>
      </c>
    </row>
    <row r="20" spans="1:10">
      <c r="A20" s="204" t="s">
        <v>778</v>
      </c>
      <c r="B20" s="204" t="s">
        <v>778</v>
      </c>
      <c r="C20" s="205" t="s">
        <v>872</v>
      </c>
      <c r="D20" s="205" t="s">
        <v>872</v>
      </c>
      <c r="E20" s="205">
        <v>5.9392539979750003</v>
      </c>
      <c r="F20" s="205">
        <v>9.0247641897081294</v>
      </c>
      <c r="G20" s="205">
        <v>224.62720847656499</v>
      </c>
      <c r="H20" s="205">
        <v>0</v>
      </c>
      <c r="I20" s="205">
        <v>0</v>
      </c>
      <c r="J20" s="205">
        <v>0</v>
      </c>
    </row>
    <row r="21" spans="1:10">
      <c r="A21" s="204" t="s">
        <v>778</v>
      </c>
      <c r="B21" s="204" t="s">
        <v>778</v>
      </c>
      <c r="C21" s="205" t="s">
        <v>872</v>
      </c>
      <c r="D21" s="205" t="s">
        <v>872</v>
      </c>
      <c r="E21" s="205">
        <v>-5.8430694823307503</v>
      </c>
      <c r="F21" s="205">
        <v>-8.7067568206436992</v>
      </c>
      <c r="G21" s="205">
        <v>78.608349222691103</v>
      </c>
      <c r="H21" s="205">
        <v>0</v>
      </c>
      <c r="I21" s="205">
        <v>0</v>
      </c>
      <c r="J21" s="205">
        <v>0</v>
      </c>
    </row>
    <row r="22" spans="1:10">
      <c r="A22" s="204" t="s">
        <v>779</v>
      </c>
      <c r="B22" s="204" t="s">
        <v>779</v>
      </c>
      <c r="C22" s="205" t="s">
        <v>872</v>
      </c>
      <c r="D22" s="205" t="s">
        <v>872</v>
      </c>
      <c r="E22" s="205">
        <v>5.60675248326356</v>
      </c>
      <c r="F22" s="205">
        <v>9.3202604372094005</v>
      </c>
      <c r="G22" s="205">
        <v>195.37999624798101</v>
      </c>
      <c r="H22" s="205">
        <v>0</v>
      </c>
      <c r="I22" s="205">
        <v>0</v>
      </c>
      <c r="J22" s="205">
        <v>0</v>
      </c>
    </row>
    <row r="23" spans="1:10">
      <c r="A23" s="204" t="s">
        <v>779</v>
      </c>
      <c r="B23" s="204" t="s">
        <v>779</v>
      </c>
      <c r="C23" s="205" t="s">
        <v>872</v>
      </c>
      <c r="D23" s="205" t="s">
        <v>872</v>
      </c>
      <c r="E23" s="205">
        <v>-5.43897122690875</v>
      </c>
      <c r="F23" s="205">
        <v>-8.7975112655206296</v>
      </c>
      <c r="G23" s="205">
        <v>100.04977980996701</v>
      </c>
      <c r="H23" s="205">
        <v>0</v>
      </c>
      <c r="I23" s="205">
        <v>0</v>
      </c>
      <c r="J23" s="205">
        <v>0</v>
      </c>
    </row>
    <row r="24" spans="1:10">
      <c r="A24" s="204" t="s">
        <v>780</v>
      </c>
      <c r="B24" s="204" t="s">
        <v>780</v>
      </c>
      <c r="C24" s="205" t="s">
        <v>872</v>
      </c>
      <c r="D24" s="205" t="s">
        <v>872</v>
      </c>
      <c r="E24" s="205">
        <v>4.6917775808178401</v>
      </c>
      <c r="F24" s="205">
        <v>9.3773664280161508</v>
      </c>
      <c r="G24" s="205">
        <v>210.08361918684901</v>
      </c>
      <c r="H24" s="205">
        <v>0</v>
      </c>
      <c r="I24" s="205">
        <v>0</v>
      </c>
      <c r="J24" s="205">
        <v>0</v>
      </c>
    </row>
    <row r="25" spans="1:10">
      <c r="A25" s="204" t="s">
        <v>780</v>
      </c>
      <c r="B25" s="204" t="s">
        <v>780</v>
      </c>
      <c r="C25" s="205" t="s">
        <v>872</v>
      </c>
      <c r="D25" s="205" t="s">
        <v>872</v>
      </c>
      <c r="E25" s="205">
        <v>-4.4046369843362498</v>
      </c>
      <c r="F25" s="205">
        <v>-8.8073201381308692</v>
      </c>
      <c r="G25" s="205">
        <v>93.821077058596998</v>
      </c>
      <c r="H25" s="205">
        <v>0</v>
      </c>
      <c r="I25" s="205">
        <v>0</v>
      </c>
      <c r="J25" s="205">
        <v>0</v>
      </c>
    </row>
    <row r="26" spans="1:10">
      <c r="A26" s="204" t="s">
        <v>781</v>
      </c>
      <c r="B26" s="204" t="s">
        <v>781</v>
      </c>
      <c r="C26" s="205" t="s">
        <v>872</v>
      </c>
      <c r="D26" s="205" t="s">
        <v>872</v>
      </c>
      <c r="E26" s="205">
        <v>4.6898718317209998</v>
      </c>
      <c r="F26" s="205">
        <v>9.0993397713791406</v>
      </c>
      <c r="G26" s="205">
        <v>197.634783487188</v>
      </c>
      <c r="H26" s="205">
        <v>0</v>
      </c>
      <c r="I26" s="205">
        <v>0</v>
      </c>
      <c r="J26" s="205">
        <v>0</v>
      </c>
    </row>
    <row r="27" spans="1:10">
      <c r="A27" s="204" t="s">
        <v>781</v>
      </c>
      <c r="B27" s="204" t="s">
        <v>781</v>
      </c>
      <c r="C27" s="205" t="s">
        <v>872</v>
      </c>
      <c r="D27" s="205" t="s">
        <v>872</v>
      </c>
      <c r="E27" s="205">
        <v>-4.40756910790319</v>
      </c>
      <c r="F27" s="205">
        <v>-8.6780380677126008</v>
      </c>
      <c r="G27" s="205">
        <v>80.166603655302097</v>
      </c>
      <c r="H27" s="205">
        <v>0</v>
      </c>
      <c r="I27" s="205">
        <v>0</v>
      </c>
      <c r="J27" s="205">
        <v>0</v>
      </c>
    </row>
    <row r="28" spans="1:10">
      <c r="A28" s="204" t="s">
        <v>782</v>
      </c>
      <c r="B28" s="204" t="s">
        <v>782</v>
      </c>
      <c r="C28" s="205" t="s">
        <v>872</v>
      </c>
      <c r="D28" s="205" t="s">
        <v>872</v>
      </c>
      <c r="E28" s="205">
        <v>4.9816669980042096</v>
      </c>
      <c r="F28" s="205">
        <v>9.3602442826852403</v>
      </c>
      <c r="G28" s="205">
        <v>171.2642105045</v>
      </c>
      <c r="H28" s="205">
        <v>0</v>
      </c>
      <c r="I28" s="205">
        <v>0</v>
      </c>
      <c r="J28" s="205">
        <v>0</v>
      </c>
    </row>
    <row r="29" spans="1:10">
      <c r="A29" s="204" t="s">
        <v>782</v>
      </c>
      <c r="B29" s="204" t="s">
        <v>782</v>
      </c>
      <c r="C29" s="205" t="s">
        <v>872</v>
      </c>
      <c r="D29" s="205" t="s">
        <v>872</v>
      </c>
      <c r="E29" s="205">
        <v>-4.7248827201014896</v>
      </c>
      <c r="F29" s="205">
        <v>-8.7986445063352807</v>
      </c>
      <c r="G29" s="205">
        <v>113.439623256697</v>
      </c>
      <c r="H29" s="205">
        <v>0</v>
      </c>
      <c r="I29" s="205">
        <v>0</v>
      </c>
      <c r="J29" s="205">
        <v>0</v>
      </c>
    </row>
    <row r="30" spans="1:10">
      <c r="A30" s="204" t="s">
        <v>793</v>
      </c>
      <c r="B30" s="204" t="s">
        <v>793</v>
      </c>
      <c r="C30" s="205" t="s">
        <v>872</v>
      </c>
      <c r="D30" s="205" t="s">
        <v>872</v>
      </c>
      <c r="E30" s="205">
        <v>4.6243530271775803</v>
      </c>
      <c r="F30" s="205">
        <v>9.2042201195753393</v>
      </c>
      <c r="G30" s="205">
        <v>209.407175409627</v>
      </c>
      <c r="H30" s="205">
        <v>0</v>
      </c>
      <c r="I30" s="205">
        <v>0</v>
      </c>
      <c r="J30" s="205">
        <v>0</v>
      </c>
    </row>
    <row r="31" spans="1:10">
      <c r="A31" s="204" t="s">
        <v>793</v>
      </c>
      <c r="B31" s="204" t="s">
        <v>793</v>
      </c>
      <c r="C31" s="205" t="s">
        <v>872</v>
      </c>
      <c r="D31" s="205" t="s">
        <v>872</v>
      </c>
      <c r="E31" s="205">
        <v>-4.4340383126000296</v>
      </c>
      <c r="F31" s="205">
        <v>-9.5268074265963705</v>
      </c>
      <c r="G31" s="205">
        <v>81.687116950508894</v>
      </c>
      <c r="H31" s="205">
        <v>0</v>
      </c>
      <c r="I31" s="205">
        <v>0</v>
      </c>
      <c r="J31" s="205">
        <v>0</v>
      </c>
    </row>
    <row r="32" spans="1:10">
      <c r="A32" s="204" t="s">
        <v>794</v>
      </c>
      <c r="B32" s="204" t="s">
        <v>794</v>
      </c>
      <c r="C32" s="205" t="s">
        <v>872</v>
      </c>
      <c r="D32" s="205" t="s">
        <v>872</v>
      </c>
      <c r="E32" s="205">
        <v>4.6230150462353299</v>
      </c>
      <c r="F32" s="205">
        <v>9.1295776702382092</v>
      </c>
      <c r="G32" s="205">
        <v>220.14676567525899</v>
      </c>
      <c r="H32" s="205">
        <v>0</v>
      </c>
      <c r="I32" s="205">
        <v>0</v>
      </c>
      <c r="J32" s="205">
        <v>0</v>
      </c>
    </row>
    <row r="33" spans="1:10">
      <c r="A33" s="204" t="s">
        <v>794</v>
      </c>
      <c r="B33" s="204" t="s">
        <v>794</v>
      </c>
      <c r="C33" s="205" t="s">
        <v>872</v>
      </c>
      <c r="D33" s="205" t="s">
        <v>872</v>
      </c>
      <c r="E33" s="205">
        <v>-4.4368671037940999</v>
      </c>
      <c r="F33" s="205">
        <v>-9.4844562599240305</v>
      </c>
      <c r="G33" s="205">
        <v>80.2349738060052</v>
      </c>
      <c r="H33" s="205">
        <v>0</v>
      </c>
      <c r="I33" s="205">
        <v>0</v>
      </c>
      <c r="J33" s="205">
        <v>0</v>
      </c>
    </row>
    <row r="34" spans="1:10">
      <c r="A34" s="204" t="s">
        <v>795</v>
      </c>
      <c r="B34" s="204" t="s">
        <v>795</v>
      </c>
      <c r="C34" s="205" t="s">
        <v>872</v>
      </c>
      <c r="D34" s="205" t="s">
        <v>872</v>
      </c>
      <c r="E34" s="205">
        <v>4.6203572806114099</v>
      </c>
      <c r="F34" s="205">
        <v>9.0167965629576692</v>
      </c>
      <c r="G34" s="205">
        <v>232.18048432740301</v>
      </c>
      <c r="H34" s="205">
        <v>0</v>
      </c>
      <c r="I34" s="205">
        <v>0</v>
      </c>
      <c r="J34" s="205">
        <v>0</v>
      </c>
    </row>
    <row r="35" spans="1:10">
      <c r="A35" s="204" t="s">
        <v>795</v>
      </c>
      <c r="B35" s="204" t="s">
        <v>795</v>
      </c>
      <c r="C35" s="205" t="s">
        <v>872</v>
      </c>
      <c r="D35" s="205" t="s">
        <v>872</v>
      </c>
      <c r="E35" s="205">
        <v>-4.4389056568838097</v>
      </c>
      <c r="F35" s="205">
        <v>-9.4169927092708399</v>
      </c>
      <c r="G35" s="205">
        <v>77.725755695599801</v>
      </c>
      <c r="H35" s="205">
        <v>0</v>
      </c>
      <c r="I35" s="205">
        <v>0</v>
      </c>
      <c r="J35" s="205">
        <v>0</v>
      </c>
    </row>
    <row r="36" spans="1:10">
      <c r="A36" s="204" t="s">
        <v>796</v>
      </c>
      <c r="B36" s="204" t="s">
        <v>796</v>
      </c>
      <c r="C36" s="205" t="s">
        <v>872</v>
      </c>
      <c r="D36" s="205" t="s">
        <v>872</v>
      </c>
      <c r="E36" s="205">
        <v>4.62571296514741</v>
      </c>
      <c r="F36" s="205">
        <v>9.25866853616421</v>
      </c>
      <c r="G36" s="205">
        <v>201.68359721956901</v>
      </c>
      <c r="H36" s="205">
        <v>0</v>
      </c>
      <c r="I36" s="205">
        <v>0</v>
      </c>
      <c r="J36" s="205">
        <v>0</v>
      </c>
    </row>
    <row r="37" spans="1:10">
      <c r="A37" s="204" t="s">
        <v>796</v>
      </c>
      <c r="B37" s="204" t="s">
        <v>796</v>
      </c>
      <c r="C37" s="205" t="s">
        <v>872</v>
      </c>
      <c r="D37" s="205" t="s">
        <v>872</v>
      </c>
      <c r="E37" s="205">
        <v>-4.4313011724814899</v>
      </c>
      <c r="F37" s="205">
        <v>-9.5547172301952603</v>
      </c>
      <c r="G37" s="205">
        <v>82.463409648240898</v>
      </c>
      <c r="H37" s="205">
        <v>0</v>
      </c>
      <c r="I37" s="205">
        <v>0</v>
      </c>
      <c r="J37" s="205">
        <v>0</v>
      </c>
    </row>
    <row r="38" spans="1:10">
      <c r="A38" s="204" t="s">
        <v>797</v>
      </c>
      <c r="B38" s="204" t="s">
        <v>797</v>
      </c>
      <c r="C38" s="205" t="s">
        <v>872</v>
      </c>
      <c r="D38" s="205" t="s">
        <v>872</v>
      </c>
      <c r="E38" s="205">
        <v>4.6298731980029704</v>
      </c>
      <c r="F38" s="205">
        <v>9.3060913915705807</v>
      </c>
      <c r="G38" s="205">
        <v>196.658637563897</v>
      </c>
      <c r="H38" s="205">
        <v>0</v>
      </c>
      <c r="I38" s="205">
        <v>0</v>
      </c>
      <c r="J38" s="205">
        <v>0</v>
      </c>
    </row>
    <row r="39" spans="1:10">
      <c r="A39" s="204" t="s">
        <v>797</v>
      </c>
      <c r="B39" s="204" t="s">
        <v>797</v>
      </c>
      <c r="C39" s="205" t="s">
        <v>872</v>
      </c>
      <c r="D39" s="205" t="s">
        <v>872</v>
      </c>
      <c r="E39" s="205">
        <v>-4.42990166533734</v>
      </c>
      <c r="F39" s="205">
        <v>-9.5773394125754798</v>
      </c>
      <c r="G39" s="205">
        <v>82.285875532602105</v>
      </c>
      <c r="H39" s="205">
        <v>0</v>
      </c>
      <c r="I39" s="205">
        <v>0</v>
      </c>
      <c r="J39" s="205">
        <v>0</v>
      </c>
    </row>
    <row r="40" spans="1:10">
      <c r="A40" s="204" t="s">
        <v>798</v>
      </c>
      <c r="B40" s="204" t="s">
        <v>798</v>
      </c>
      <c r="C40" s="205" t="s">
        <v>872</v>
      </c>
      <c r="D40" s="205" t="s">
        <v>872</v>
      </c>
      <c r="E40" s="205">
        <v>4.6327870996376896</v>
      </c>
      <c r="F40" s="205">
        <v>9.3216482004150905</v>
      </c>
      <c r="G40" s="205">
        <v>192.64010538090901</v>
      </c>
      <c r="H40" s="205">
        <v>0</v>
      </c>
      <c r="I40" s="205">
        <v>0</v>
      </c>
      <c r="J40" s="205">
        <v>0</v>
      </c>
    </row>
    <row r="41" spans="1:10">
      <c r="A41" s="204" t="s">
        <v>798</v>
      </c>
      <c r="B41" s="204" t="s">
        <v>798</v>
      </c>
      <c r="C41" s="205" t="s">
        <v>872</v>
      </c>
      <c r="D41" s="205" t="s">
        <v>872</v>
      </c>
      <c r="E41" s="205">
        <v>-4.4269825868963002</v>
      </c>
      <c r="F41" s="205">
        <v>-9.5680007335729904</v>
      </c>
      <c r="G41" s="205">
        <v>80.396934060686604</v>
      </c>
      <c r="H41" s="205">
        <v>0</v>
      </c>
      <c r="I41" s="205">
        <v>0</v>
      </c>
      <c r="J41" s="205">
        <v>0</v>
      </c>
    </row>
    <row r="42" spans="1:10">
      <c r="A42" s="204" t="s">
        <v>803</v>
      </c>
      <c r="B42" s="204" t="s">
        <v>803</v>
      </c>
      <c r="C42" s="205" t="s">
        <v>872</v>
      </c>
      <c r="D42" s="205" t="s">
        <v>872</v>
      </c>
      <c r="E42" s="205">
        <v>5.8330735452501203</v>
      </c>
      <c r="F42" s="205">
        <v>9.3279702099780106</v>
      </c>
      <c r="G42" s="205">
        <v>193.182882924392</v>
      </c>
      <c r="H42" s="205">
        <v>0</v>
      </c>
      <c r="I42" s="205">
        <v>0</v>
      </c>
      <c r="J42" s="205">
        <v>0</v>
      </c>
    </row>
    <row r="43" spans="1:10">
      <c r="A43" s="204" t="s">
        <v>803</v>
      </c>
      <c r="B43" s="204" t="s">
        <v>803</v>
      </c>
      <c r="C43" s="205" t="s">
        <v>872</v>
      </c>
      <c r="D43" s="205" t="s">
        <v>872</v>
      </c>
      <c r="E43" s="205">
        <v>-5.9386019650488002</v>
      </c>
      <c r="F43" s="205">
        <v>-9.6159153364195102</v>
      </c>
      <c r="G43" s="205">
        <v>141.84431074588099</v>
      </c>
      <c r="H43" s="205">
        <v>0</v>
      </c>
      <c r="I43" s="205">
        <v>0</v>
      </c>
      <c r="J43" s="205">
        <v>0</v>
      </c>
    </row>
    <row r="44" spans="1:10">
      <c r="A44" s="204" t="s">
        <v>804</v>
      </c>
      <c r="B44" s="204" t="s">
        <v>804</v>
      </c>
      <c r="C44" s="205" t="s">
        <v>872</v>
      </c>
      <c r="D44" s="205" t="s">
        <v>872</v>
      </c>
      <c r="E44" s="205">
        <v>5.8302796913038097</v>
      </c>
      <c r="F44" s="205">
        <v>9.3867569099148103</v>
      </c>
      <c r="G44" s="205">
        <v>183.34112305559299</v>
      </c>
      <c r="H44" s="205">
        <v>0</v>
      </c>
      <c r="I44" s="205">
        <v>0</v>
      </c>
      <c r="J44" s="205">
        <v>0</v>
      </c>
    </row>
    <row r="45" spans="1:10">
      <c r="A45" s="204" t="s">
        <v>804</v>
      </c>
      <c r="B45" s="204" t="s">
        <v>804</v>
      </c>
      <c r="C45" s="205" t="s">
        <v>872</v>
      </c>
      <c r="D45" s="205" t="s">
        <v>872</v>
      </c>
      <c r="E45" s="205">
        <v>-5.9342407315369901</v>
      </c>
      <c r="F45" s="205">
        <v>-9.6807596216235794</v>
      </c>
      <c r="G45" s="205">
        <v>152.106578090113</v>
      </c>
      <c r="H45" s="205">
        <v>0</v>
      </c>
      <c r="I45" s="205">
        <v>0</v>
      </c>
      <c r="J45" s="205">
        <v>0</v>
      </c>
    </row>
    <row r="46" spans="1:10">
      <c r="A46" s="204" t="s">
        <v>805</v>
      </c>
      <c r="B46" s="204" t="s">
        <v>805</v>
      </c>
      <c r="C46" s="205" t="s">
        <v>872</v>
      </c>
      <c r="D46" s="205" t="s">
        <v>872</v>
      </c>
      <c r="E46" s="205">
        <v>5.8366350816254</v>
      </c>
      <c r="F46" s="205">
        <v>9.2407683809356094</v>
      </c>
      <c r="G46" s="205">
        <v>201.239471796445</v>
      </c>
      <c r="H46" s="205">
        <v>0</v>
      </c>
      <c r="I46" s="205">
        <v>0</v>
      </c>
      <c r="J46" s="205">
        <v>0</v>
      </c>
    </row>
    <row r="47" spans="1:10">
      <c r="A47" s="204" t="s">
        <v>805</v>
      </c>
      <c r="B47" s="204" t="s">
        <v>805</v>
      </c>
      <c r="C47" s="205" t="s">
        <v>872</v>
      </c>
      <c r="D47" s="205" t="s">
        <v>872</v>
      </c>
      <c r="E47" s="205">
        <v>-5.9421460908058403</v>
      </c>
      <c r="F47" s="205">
        <v>-9.5270069294120692</v>
      </c>
      <c r="G47" s="205">
        <v>129.701427115146</v>
      </c>
      <c r="H47" s="205">
        <v>0</v>
      </c>
      <c r="I47" s="205">
        <v>0</v>
      </c>
      <c r="J47" s="205">
        <v>0</v>
      </c>
    </row>
    <row r="48" spans="1:10">
      <c r="A48" s="204" t="s">
        <v>810</v>
      </c>
      <c r="B48" s="204" t="s">
        <v>810</v>
      </c>
      <c r="C48" s="205" t="s">
        <v>872</v>
      </c>
      <c r="D48" s="205" t="s">
        <v>872</v>
      </c>
      <c r="E48" s="205">
        <v>4.0009956795068797</v>
      </c>
      <c r="F48" s="205">
        <v>5.3569276926549101</v>
      </c>
      <c r="G48" s="205">
        <v>138.12600223639299</v>
      </c>
      <c r="H48" s="205">
        <v>0</v>
      </c>
      <c r="I48" s="205">
        <v>0</v>
      </c>
      <c r="J48" s="205">
        <v>0</v>
      </c>
    </row>
    <row r="49" spans="1:10">
      <c r="A49" s="204" t="s">
        <v>810</v>
      </c>
      <c r="B49" s="204" t="s">
        <v>810</v>
      </c>
      <c r="C49" s="205" t="s">
        <v>872</v>
      </c>
      <c r="D49" s="205" t="s">
        <v>872</v>
      </c>
      <c r="E49" s="205">
        <v>-3.9435160096877202</v>
      </c>
      <c r="F49" s="205">
        <v>-5.6696046497319701</v>
      </c>
      <c r="G49" s="205">
        <v>80.2633265519774</v>
      </c>
      <c r="H49" s="205">
        <v>0</v>
      </c>
      <c r="I49" s="205">
        <v>0</v>
      </c>
      <c r="J49" s="205">
        <v>0</v>
      </c>
    </row>
    <row r="50" spans="1:10">
      <c r="A50" s="204" t="s">
        <v>811</v>
      </c>
      <c r="B50" s="204" t="s">
        <v>811</v>
      </c>
      <c r="C50" s="205" t="s">
        <v>872</v>
      </c>
      <c r="D50" s="205" t="s">
        <v>872</v>
      </c>
      <c r="E50" s="205">
        <v>3.7274789946458902</v>
      </c>
      <c r="F50" s="205">
        <v>5.4989452561197698</v>
      </c>
      <c r="G50" s="205">
        <v>136.31350171301901</v>
      </c>
      <c r="H50" s="205">
        <v>0</v>
      </c>
      <c r="I50" s="205">
        <v>0</v>
      </c>
      <c r="J50" s="205">
        <v>0</v>
      </c>
    </row>
    <row r="51" spans="1:10">
      <c r="A51" s="204" t="s">
        <v>811</v>
      </c>
      <c r="B51" s="204" t="s">
        <v>811</v>
      </c>
      <c r="C51" s="205" t="s">
        <v>872</v>
      </c>
      <c r="D51" s="205" t="s">
        <v>872</v>
      </c>
      <c r="E51" s="205">
        <v>-3.7341901612802402</v>
      </c>
      <c r="F51" s="205">
        <v>-5.7698311699350802</v>
      </c>
      <c r="G51" s="205">
        <v>83.833319743098301</v>
      </c>
      <c r="H51" s="205">
        <v>0</v>
      </c>
      <c r="I51" s="205">
        <v>0</v>
      </c>
      <c r="J51" s="205">
        <v>0</v>
      </c>
    </row>
    <row r="52" spans="1:10">
      <c r="A52" s="204" t="s">
        <v>812</v>
      </c>
      <c r="B52" s="204" t="s">
        <v>812</v>
      </c>
      <c r="C52" s="205" t="s">
        <v>872</v>
      </c>
      <c r="D52" s="205" t="s">
        <v>872</v>
      </c>
      <c r="E52" s="205">
        <v>4.0473273170592403</v>
      </c>
      <c r="F52" s="205">
        <v>5.46145961188014</v>
      </c>
      <c r="G52" s="205">
        <v>125.46819039151301</v>
      </c>
      <c r="H52" s="205">
        <v>0</v>
      </c>
      <c r="I52" s="205">
        <v>0</v>
      </c>
      <c r="J52" s="205">
        <v>0</v>
      </c>
    </row>
    <row r="53" spans="1:10">
      <c r="A53" s="204" t="s">
        <v>812</v>
      </c>
      <c r="B53" s="204" t="s">
        <v>812</v>
      </c>
      <c r="C53" s="205" t="s">
        <v>872</v>
      </c>
      <c r="D53" s="205" t="s">
        <v>872</v>
      </c>
      <c r="E53" s="205">
        <v>-3.9788911617448099</v>
      </c>
      <c r="F53" s="205">
        <v>-5.7428515362918597</v>
      </c>
      <c r="G53" s="205">
        <v>91.001761794706596</v>
      </c>
      <c r="H53" s="205">
        <v>0</v>
      </c>
      <c r="I53" s="205">
        <v>0</v>
      </c>
      <c r="J53" s="205">
        <v>0</v>
      </c>
    </row>
    <row r="54" spans="1:10">
      <c r="A54" s="204" t="s">
        <v>813</v>
      </c>
      <c r="B54" s="204" t="s">
        <v>813</v>
      </c>
      <c r="C54" s="205" t="s">
        <v>872</v>
      </c>
      <c r="D54" s="205" t="s">
        <v>872</v>
      </c>
      <c r="E54" s="205">
        <v>3.7735447797320001</v>
      </c>
      <c r="F54" s="205">
        <v>5.6026268539533799</v>
      </c>
      <c r="G54" s="205">
        <v>124.51524333928501</v>
      </c>
      <c r="H54" s="205">
        <v>0</v>
      </c>
      <c r="I54" s="205">
        <v>0</v>
      </c>
      <c r="J54" s="205">
        <v>0</v>
      </c>
    </row>
    <row r="55" spans="1:10">
      <c r="A55" s="204" t="s">
        <v>813</v>
      </c>
      <c r="B55" s="204" t="s">
        <v>813</v>
      </c>
      <c r="C55" s="205" t="s">
        <v>872</v>
      </c>
      <c r="D55" s="205" t="s">
        <v>872</v>
      </c>
      <c r="E55" s="205">
        <v>-3.7700375331396301</v>
      </c>
      <c r="F55" s="205">
        <v>-5.8411294640974303</v>
      </c>
      <c r="G55" s="205">
        <v>93.197779444067905</v>
      </c>
      <c r="H55" s="205">
        <v>0</v>
      </c>
      <c r="I55" s="205">
        <v>0</v>
      </c>
      <c r="J55" s="205">
        <v>0</v>
      </c>
    </row>
    <row r="56" spans="1:10">
      <c r="A56" s="204" t="s">
        <v>814</v>
      </c>
      <c r="B56" s="204" t="s">
        <v>814</v>
      </c>
      <c r="C56" s="205" t="s">
        <v>872</v>
      </c>
      <c r="D56" s="205" t="s">
        <v>872</v>
      </c>
      <c r="E56" s="205">
        <v>3.6260345949067201</v>
      </c>
      <c r="F56" s="205">
        <v>5.5481663262418603</v>
      </c>
      <c r="G56" s="205">
        <v>133.598757636653</v>
      </c>
      <c r="H56" s="205">
        <v>0</v>
      </c>
      <c r="I56" s="205">
        <v>0</v>
      </c>
      <c r="J56" s="205">
        <v>0</v>
      </c>
    </row>
    <row r="57" spans="1:10">
      <c r="A57" s="204" t="s">
        <v>814</v>
      </c>
      <c r="B57" s="204" t="s">
        <v>814</v>
      </c>
      <c r="C57" s="205" t="s">
        <v>872</v>
      </c>
      <c r="D57" s="205" t="s">
        <v>872</v>
      </c>
      <c r="E57" s="205">
        <v>-3.6550482829731501</v>
      </c>
      <c r="F57" s="205">
        <v>-5.8041199306363698</v>
      </c>
      <c r="G57" s="205">
        <v>83.866026457028994</v>
      </c>
      <c r="H57" s="205">
        <v>0</v>
      </c>
      <c r="I57" s="205">
        <v>0</v>
      </c>
      <c r="J57" s="205">
        <v>0</v>
      </c>
    </row>
    <row r="58" spans="1:10">
      <c r="A58" s="204" t="s">
        <v>820</v>
      </c>
      <c r="B58" s="204" t="s">
        <v>820</v>
      </c>
      <c r="C58" s="205" t="s">
        <v>872</v>
      </c>
      <c r="D58" s="205" t="s">
        <v>872</v>
      </c>
      <c r="E58" s="205">
        <v>4.1038288703602799</v>
      </c>
      <c r="F58" s="205">
        <v>5.5598926175658399</v>
      </c>
      <c r="G58" s="205">
        <v>145.076262761615</v>
      </c>
      <c r="H58" s="205">
        <v>0</v>
      </c>
      <c r="I58" s="205">
        <v>0</v>
      </c>
      <c r="J58" s="205">
        <v>0</v>
      </c>
    </row>
    <row r="59" spans="1:10">
      <c r="A59" s="204" t="s">
        <v>820</v>
      </c>
      <c r="B59" s="204" t="s">
        <v>820</v>
      </c>
      <c r="C59" s="205" t="s">
        <v>872</v>
      </c>
      <c r="D59" s="205" t="s">
        <v>872</v>
      </c>
      <c r="E59" s="205">
        <v>-4.0153457539184298</v>
      </c>
      <c r="F59" s="205">
        <v>-5.8265287240835901</v>
      </c>
      <c r="G59" s="205">
        <v>81.688813899700605</v>
      </c>
      <c r="H59" s="205">
        <v>0</v>
      </c>
      <c r="I59" s="205">
        <v>0</v>
      </c>
      <c r="J59" s="205">
        <v>0</v>
      </c>
    </row>
    <row r="60" spans="1:10">
      <c r="A60" s="204" t="s">
        <v>821</v>
      </c>
      <c r="B60" s="204" t="s">
        <v>821</v>
      </c>
      <c r="C60" s="205" t="s">
        <v>872</v>
      </c>
      <c r="D60" s="205" t="s">
        <v>872</v>
      </c>
      <c r="E60" s="205">
        <v>4.2388691519067399</v>
      </c>
      <c r="F60" s="205">
        <v>5.5235459930895097</v>
      </c>
      <c r="G60" s="205">
        <v>151.11090437671601</v>
      </c>
      <c r="H60" s="205">
        <v>0</v>
      </c>
      <c r="I60" s="205">
        <v>0</v>
      </c>
      <c r="J60" s="205">
        <v>0</v>
      </c>
    </row>
    <row r="61" spans="1:10">
      <c r="A61" s="204" t="s">
        <v>821</v>
      </c>
      <c r="B61" s="204" t="s">
        <v>821</v>
      </c>
      <c r="C61" s="205" t="s">
        <v>872</v>
      </c>
      <c r="D61" s="205" t="s">
        <v>872</v>
      </c>
      <c r="E61" s="205">
        <v>-4.1026760663338102</v>
      </c>
      <c r="F61" s="205">
        <v>-5.7958262726212197</v>
      </c>
      <c r="G61" s="205">
        <v>75.575166621144405</v>
      </c>
      <c r="H61" s="205">
        <v>0</v>
      </c>
      <c r="I61" s="205">
        <v>0</v>
      </c>
      <c r="J61" s="205">
        <v>0</v>
      </c>
    </row>
    <row r="62" spans="1:10">
      <c r="A62" s="204" t="s">
        <v>823</v>
      </c>
      <c r="B62" s="204" t="s">
        <v>823</v>
      </c>
      <c r="C62" s="205" t="s">
        <v>872</v>
      </c>
      <c r="D62" s="205" t="s">
        <v>872</v>
      </c>
      <c r="E62" s="205">
        <v>6.9866469211120501</v>
      </c>
      <c r="F62" s="205">
        <v>8.4902645603549907</v>
      </c>
      <c r="G62" s="205">
        <v>215.20912087708999</v>
      </c>
      <c r="H62" s="205">
        <v>0</v>
      </c>
      <c r="I62" s="205">
        <v>0</v>
      </c>
      <c r="J62" s="205">
        <v>0</v>
      </c>
    </row>
    <row r="63" spans="1:10">
      <c r="A63" s="204" t="s">
        <v>823</v>
      </c>
      <c r="B63" s="204" t="s">
        <v>823</v>
      </c>
      <c r="C63" s="205" t="s">
        <v>872</v>
      </c>
      <c r="D63" s="205" t="s">
        <v>872</v>
      </c>
      <c r="E63" s="205">
        <v>-6.7123751389400104</v>
      </c>
      <c r="F63" s="205">
        <v>-9.02865529407776</v>
      </c>
      <c r="G63" s="205">
        <v>125.33921150142601</v>
      </c>
      <c r="H63" s="205">
        <v>0</v>
      </c>
      <c r="I63" s="205">
        <v>0</v>
      </c>
      <c r="J63" s="205">
        <v>0</v>
      </c>
    </row>
    <row r="64" spans="1:10">
      <c r="A64" s="204" t="s">
        <v>824</v>
      </c>
      <c r="B64" s="204" t="s">
        <v>824</v>
      </c>
      <c r="C64" s="205" t="s">
        <v>872</v>
      </c>
      <c r="D64" s="205" t="s">
        <v>872</v>
      </c>
      <c r="E64" s="205">
        <v>4.5005061168676104</v>
      </c>
      <c r="F64" s="205">
        <v>5.4371137356270003</v>
      </c>
      <c r="G64" s="205">
        <v>164.95186040040301</v>
      </c>
      <c r="H64" s="205">
        <v>0</v>
      </c>
      <c r="I64" s="205">
        <v>0</v>
      </c>
      <c r="J64" s="205">
        <v>0</v>
      </c>
    </row>
    <row r="65" spans="1:10">
      <c r="A65" s="204" t="s">
        <v>824</v>
      </c>
      <c r="B65" s="204" t="s">
        <v>824</v>
      </c>
      <c r="C65" s="205" t="s">
        <v>872</v>
      </c>
      <c r="D65" s="205" t="s">
        <v>872</v>
      </c>
      <c r="E65" s="205">
        <v>-4.2731784495687304</v>
      </c>
      <c r="F65" s="205">
        <v>-5.7235064989996003</v>
      </c>
      <c r="G65" s="205">
        <v>61.677414932758502</v>
      </c>
      <c r="H65" s="205">
        <v>0</v>
      </c>
      <c r="I65" s="205">
        <v>0</v>
      </c>
      <c r="J65" s="205">
        <v>0</v>
      </c>
    </row>
    <row r="66" spans="1:10">
      <c r="A66" s="204" t="s">
        <v>847</v>
      </c>
      <c r="B66" s="204" t="s">
        <v>847</v>
      </c>
      <c r="C66" s="205" t="s">
        <v>872</v>
      </c>
      <c r="D66" s="205" t="s">
        <v>872</v>
      </c>
      <c r="E66" s="205">
        <v>3.9701728437209298</v>
      </c>
      <c r="F66" s="205">
        <v>5.5945638567922202</v>
      </c>
      <c r="G66" s="205">
        <v>139.06927300436701</v>
      </c>
      <c r="H66" s="205">
        <v>0</v>
      </c>
      <c r="I66" s="205">
        <v>0</v>
      </c>
      <c r="J66" s="205">
        <v>0</v>
      </c>
    </row>
    <row r="67" spans="1:10">
      <c r="A67" s="204" t="s">
        <v>847</v>
      </c>
      <c r="B67" s="204" t="s">
        <v>847</v>
      </c>
      <c r="C67" s="205" t="s">
        <v>872</v>
      </c>
      <c r="D67" s="205" t="s">
        <v>872</v>
      </c>
      <c r="E67" s="205">
        <v>-3.9233966092924399</v>
      </c>
      <c r="F67" s="205">
        <v>-5.8528724688908103</v>
      </c>
      <c r="G67" s="205">
        <v>86.897410065764106</v>
      </c>
      <c r="H67" s="205">
        <v>0</v>
      </c>
      <c r="I67" s="205">
        <v>0</v>
      </c>
      <c r="J67" s="205">
        <v>0</v>
      </c>
    </row>
    <row r="68" spans="1:10">
      <c r="A68" s="204" t="s">
        <v>848</v>
      </c>
      <c r="B68" s="204" t="s">
        <v>848</v>
      </c>
      <c r="C68" s="205" t="s">
        <v>872</v>
      </c>
      <c r="D68" s="205" t="s">
        <v>872</v>
      </c>
      <c r="E68" s="205">
        <v>7.1786434191547297</v>
      </c>
      <c r="F68" s="205">
        <v>8.5015773477362409</v>
      </c>
      <c r="G68" s="205">
        <v>214.34418532175201</v>
      </c>
      <c r="H68" s="205">
        <v>0</v>
      </c>
      <c r="I68" s="205">
        <v>0</v>
      </c>
      <c r="J68" s="205">
        <v>0</v>
      </c>
    </row>
    <row r="69" spans="1:10">
      <c r="A69" s="204" t="s">
        <v>848</v>
      </c>
      <c r="B69" s="204" t="s">
        <v>848</v>
      </c>
      <c r="C69" s="205" t="s">
        <v>872</v>
      </c>
      <c r="D69" s="205" t="s">
        <v>872</v>
      </c>
      <c r="E69" s="205">
        <v>-6.8462503630688296</v>
      </c>
      <c r="F69" s="205">
        <v>-9.0359924505159999</v>
      </c>
      <c r="G69" s="205">
        <v>127.43429323863499</v>
      </c>
      <c r="H69" s="205">
        <v>0</v>
      </c>
      <c r="I69" s="205">
        <v>0</v>
      </c>
      <c r="J69" s="205">
        <v>0</v>
      </c>
    </row>
    <row r="70" spans="1:10">
      <c r="A70" s="204" t="s">
        <v>849</v>
      </c>
      <c r="B70" s="204" t="s">
        <v>849</v>
      </c>
      <c r="C70" s="205" t="s">
        <v>872</v>
      </c>
      <c r="D70" s="205" t="s">
        <v>872</v>
      </c>
      <c r="E70" s="205">
        <v>4.3729404722992902</v>
      </c>
      <c r="F70" s="205">
        <v>5.4796544662642201</v>
      </c>
      <c r="G70" s="205">
        <v>157.582341872201</v>
      </c>
      <c r="H70" s="205">
        <v>0</v>
      </c>
      <c r="I70" s="205">
        <v>0</v>
      </c>
      <c r="J70" s="205">
        <v>0</v>
      </c>
    </row>
    <row r="71" spans="1:10">
      <c r="A71" s="204" t="s">
        <v>849</v>
      </c>
      <c r="B71" s="204" t="s">
        <v>849</v>
      </c>
      <c r="C71" s="205" t="s">
        <v>872</v>
      </c>
      <c r="D71" s="205" t="s">
        <v>872</v>
      </c>
      <c r="E71" s="205">
        <v>-4.1883079344238601</v>
      </c>
      <c r="F71" s="205">
        <v>-5.7586318736553901</v>
      </c>
      <c r="G71" s="205">
        <v>68.587569601714094</v>
      </c>
      <c r="H71" s="205">
        <v>0</v>
      </c>
      <c r="I71" s="205">
        <v>0</v>
      </c>
      <c r="J71" s="205">
        <v>0</v>
      </c>
    </row>
    <row r="72" spans="1:10">
      <c r="A72" s="204" t="s">
        <v>852</v>
      </c>
      <c r="B72" s="204" t="s">
        <v>852</v>
      </c>
      <c r="C72" s="205" t="s">
        <v>872</v>
      </c>
      <c r="D72" s="205" t="s">
        <v>872</v>
      </c>
      <c r="E72" s="205">
        <v>7.3451245091716499</v>
      </c>
      <c r="F72" s="205">
        <v>8.6611068770285993</v>
      </c>
      <c r="G72" s="205">
        <v>251.10609035585401</v>
      </c>
      <c r="H72" s="205">
        <v>0</v>
      </c>
      <c r="I72" s="205">
        <v>0</v>
      </c>
      <c r="J72" s="205">
        <v>0</v>
      </c>
    </row>
    <row r="73" spans="1:10">
      <c r="A73" s="204" t="s">
        <v>852</v>
      </c>
      <c r="B73" s="204" t="s">
        <v>852</v>
      </c>
      <c r="C73" s="205" t="s">
        <v>872</v>
      </c>
      <c r="D73" s="205" t="s">
        <v>872</v>
      </c>
      <c r="E73" s="205">
        <v>-6.9611888527314196</v>
      </c>
      <c r="F73" s="205">
        <v>-9.1573476765628392</v>
      </c>
      <c r="G73" s="205">
        <v>104.818481087734</v>
      </c>
      <c r="H73" s="205">
        <v>0</v>
      </c>
      <c r="I73" s="205">
        <v>0</v>
      </c>
      <c r="J73" s="205">
        <v>0</v>
      </c>
    </row>
    <row r="74" spans="1:10">
      <c r="A74" s="204" t="s">
        <v>854</v>
      </c>
      <c r="B74" s="204" t="s">
        <v>854</v>
      </c>
      <c r="C74" s="205" t="s">
        <v>872</v>
      </c>
      <c r="D74" s="205" t="s">
        <v>872</v>
      </c>
      <c r="E74" s="205">
        <v>3.8861161161290001</v>
      </c>
      <c r="F74" s="205">
        <v>5.4790366696545698</v>
      </c>
      <c r="G74" s="205">
        <v>131.694754250432</v>
      </c>
      <c r="H74" s="205">
        <v>0</v>
      </c>
      <c r="I74" s="205">
        <v>0</v>
      </c>
      <c r="J74" s="205">
        <v>0</v>
      </c>
    </row>
    <row r="75" spans="1:10">
      <c r="A75" s="204" t="s">
        <v>854</v>
      </c>
      <c r="B75" s="204" t="s">
        <v>854</v>
      </c>
      <c r="C75" s="205" t="s">
        <v>872</v>
      </c>
      <c r="D75" s="205" t="s">
        <v>872</v>
      </c>
      <c r="E75" s="205">
        <v>-3.8562578444192801</v>
      </c>
      <c r="F75" s="205">
        <v>-5.7554797159996198</v>
      </c>
      <c r="G75" s="205">
        <v>87.491231265687205</v>
      </c>
      <c r="H75" s="205">
        <v>0</v>
      </c>
      <c r="I75" s="205">
        <v>0</v>
      </c>
      <c r="J75" s="205">
        <v>0</v>
      </c>
    </row>
    <row r="76" spans="1:10">
      <c r="A76" s="204" t="s">
        <v>765</v>
      </c>
      <c r="B76" s="204" t="s">
        <v>765</v>
      </c>
      <c r="C76" s="205" t="s">
        <v>873</v>
      </c>
      <c r="D76" s="205" t="s">
        <v>873</v>
      </c>
      <c r="E76" s="205">
        <v>9.6422587963040804</v>
      </c>
      <c r="F76" s="205">
        <v>18.385054286901902</v>
      </c>
      <c r="G76" s="205">
        <v>263.95844468385502</v>
      </c>
      <c r="H76" s="205">
        <v>0</v>
      </c>
      <c r="I76" s="205">
        <v>0</v>
      </c>
      <c r="J76" s="205">
        <v>0</v>
      </c>
    </row>
    <row r="77" spans="1:10">
      <c r="A77" s="204" t="s">
        <v>765</v>
      </c>
      <c r="B77" s="204" t="s">
        <v>765</v>
      </c>
      <c r="C77" s="205" t="s">
        <v>873</v>
      </c>
      <c r="D77" s="205" t="s">
        <v>873</v>
      </c>
      <c r="E77" s="205">
        <v>-9.4503033797145708</v>
      </c>
      <c r="F77" s="205">
        <v>-18.7998943447075</v>
      </c>
      <c r="G77" s="205">
        <v>23.129962059754099</v>
      </c>
      <c r="H77" s="205">
        <v>0</v>
      </c>
      <c r="I77" s="205">
        <v>0</v>
      </c>
      <c r="J77" s="205">
        <v>0</v>
      </c>
    </row>
    <row r="78" spans="1:10">
      <c r="A78" s="204" t="s">
        <v>766</v>
      </c>
      <c r="B78" s="204" t="s">
        <v>766</v>
      </c>
      <c r="C78" s="205" t="s">
        <v>873</v>
      </c>
      <c r="D78" s="205" t="s">
        <v>873</v>
      </c>
      <c r="E78" s="205">
        <v>10.236697295962999</v>
      </c>
      <c r="F78" s="205">
        <v>18.391132255846699</v>
      </c>
      <c r="G78" s="205">
        <v>197.46734271429199</v>
      </c>
      <c r="H78" s="205">
        <v>0</v>
      </c>
      <c r="I78" s="205">
        <v>0</v>
      </c>
      <c r="J78" s="205">
        <v>0</v>
      </c>
    </row>
    <row r="79" spans="1:10">
      <c r="A79" s="204" t="s">
        <v>766</v>
      </c>
      <c r="B79" s="204" t="s">
        <v>766</v>
      </c>
      <c r="C79" s="205" t="s">
        <v>873</v>
      </c>
      <c r="D79" s="205" t="s">
        <v>873</v>
      </c>
      <c r="E79" s="205">
        <v>-10.0634795657121</v>
      </c>
      <c r="F79" s="205">
        <v>-18.8006814950866</v>
      </c>
      <c r="G79" s="205">
        <v>76.5798358067603</v>
      </c>
      <c r="H79" s="205">
        <v>0</v>
      </c>
      <c r="I79" s="205">
        <v>0</v>
      </c>
      <c r="J79" s="205">
        <v>0</v>
      </c>
    </row>
    <row r="80" spans="1:10">
      <c r="A80" s="204" t="s">
        <v>767</v>
      </c>
      <c r="B80" s="204" t="s">
        <v>767</v>
      </c>
      <c r="C80" s="205" t="s">
        <v>873</v>
      </c>
      <c r="D80" s="205" t="s">
        <v>873</v>
      </c>
      <c r="E80" s="205">
        <v>9.6461843996235306</v>
      </c>
      <c r="F80" s="205">
        <v>17.905677303209799</v>
      </c>
      <c r="G80" s="205">
        <v>262.87021873873499</v>
      </c>
      <c r="H80" s="205">
        <v>0</v>
      </c>
      <c r="I80" s="205">
        <v>0</v>
      </c>
      <c r="J80" s="205">
        <v>0</v>
      </c>
    </row>
    <row r="81" spans="1:10">
      <c r="A81" s="204" t="s">
        <v>767</v>
      </c>
      <c r="B81" s="204" t="s">
        <v>767</v>
      </c>
      <c r="C81" s="205" t="s">
        <v>873</v>
      </c>
      <c r="D81" s="205" t="s">
        <v>873</v>
      </c>
      <c r="E81" s="205">
        <v>-9.4521994679282209</v>
      </c>
      <c r="F81" s="205">
        <v>-18.586594593660401</v>
      </c>
      <c r="G81" s="205">
        <v>26.456960438945199</v>
      </c>
      <c r="H81" s="205">
        <v>0</v>
      </c>
      <c r="I81" s="205">
        <v>0</v>
      </c>
      <c r="J81" s="205">
        <v>0</v>
      </c>
    </row>
    <row r="82" spans="1:10">
      <c r="A82" s="204" t="s">
        <v>768</v>
      </c>
      <c r="B82" s="204" t="s">
        <v>768</v>
      </c>
      <c r="C82" s="205" t="s">
        <v>873</v>
      </c>
      <c r="D82" s="205" t="s">
        <v>873</v>
      </c>
      <c r="E82" s="205">
        <v>10.238026323231299</v>
      </c>
      <c r="F82" s="205">
        <v>17.907953870517801</v>
      </c>
      <c r="G82" s="205">
        <v>197.31475932323099</v>
      </c>
      <c r="H82" s="205">
        <v>0</v>
      </c>
      <c r="I82" s="205">
        <v>0</v>
      </c>
      <c r="J82" s="205">
        <v>0</v>
      </c>
    </row>
    <row r="83" spans="1:10">
      <c r="A83" s="204" t="s">
        <v>768</v>
      </c>
      <c r="B83" s="204" t="s">
        <v>768</v>
      </c>
      <c r="C83" s="205" t="s">
        <v>873</v>
      </c>
      <c r="D83" s="205" t="s">
        <v>873</v>
      </c>
      <c r="E83" s="205">
        <v>-10.0593101066614</v>
      </c>
      <c r="F83" s="205">
        <v>-18.581650145366901</v>
      </c>
      <c r="G83" s="205">
        <v>79.354940611050594</v>
      </c>
      <c r="H83" s="205">
        <v>0</v>
      </c>
      <c r="I83" s="205">
        <v>0</v>
      </c>
      <c r="J83" s="205">
        <v>0</v>
      </c>
    </row>
    <row r="84" spans="1:10">
      <c r="A84" s="204" t="s">
        <v>769</v>
      </c>
      <c r="B84" s="204" t="s">
        <v>769</v>
      </c>
      <c r="C84" s="205" t="s">
        <v>873</v>
      </c>
      <c r="D84" s="205" t="s">
        <v>873</v>
      </c>
      <c r="E84" s="205">
        <v>12.422622352009601</v>
      </c>
      <c r="F84" s="205">
        <v>18.409867142347</v>
      </c>
      <c r="G84" s="205">
        <v>287.34277636038797</v>
      </c>
      <c r="H84" s="205">
        <v>0</v>
      </c>
      <c r="I84" s="205">
        <v>0</v>
      </c>
      <c r="J84" s="205">
        <v>0</v>
      </c>
    </row>
    <row r="85" spans="1:10">
      <c r="A85" s="204" t="s">
        <v>769</v>
      </c>
      <c r="B85" s="204" t="s">
        <v>769</v>
      </c>
      <c r="C85" s="205" t="s">
        <v>873</v>
      </c>
      <c r="D85" s="205" t="s">
        <v>873</v>
      </c>
      <c r="E85" s="205">
        <v>-12.266124476228301</v>
      </c>
      <c r="F85" s="205">
        <v>-18.820182239597401</v>
      </c>
      <c r="G85" s="205">
        <v>43.559965823938299</v>
      </c>
      <c r="H85" s="205">
        <v>0</v>
      </c>
      <c r="I85" s="205">
        <v>0</v>
      </c>
      <c r="J85" s="205">
        <v>0</v>
      </c>
    </row>
    <row r="86" spans="1:10">
      <c r="A86" s="204" t="s">
        <v>770</v>
      </c>
      <c r="B86" s="204" t="s">
        <v>770</v>
      </c>
      <c r="C86" s="205" t="s">
        <v>873</v>
      </c>
      <c r="D86" s="205" t="s">
        <v>873</v>
      </c>
      <c r="E86" s="205">
        <v>11.620329211238699</v>
      </c>
      <c r="F86" s="205">
        <v>18.4107411654579</v>
      </c>
      <c r="G86" s="205">
        <v>215.503617238967</v>
      </c>
      <c r="H86" s="205">
        <v>0</v>
      </c>
      <c r="I86" s="205">
        <v>0</v>
      </c>
      <c r="J86" s="205">
        <v>0</v>
      </c>
    </row>
    <row r="87" spans="1:10">
      <c r="A87" s="204" t="s">
        <v>770</v>
      </c>
      <c r="B87" s="204" t="s">
        <v>770</v>
      </c>
      <c r="C87" s="205" t="s">
        <v>873</v>
      </c>
      <c r="D87" s="205" t="s">
        <v>873</v>
      </c>
      <c r="E87" s="205">
        <v>-11.480097149088801</v>
      </c>
      <c r="F87" s="205">
        <v>-18.8229569720733</v>
      </c>
      <c r="G87" s="205">
        <v>78.908700295586399</v>
      </c>
      <c r="H87" s="205">
        <v>0</v>
      </c>
      <c r="I87" s="205">
        <v>0</v>
      </c>
      <c r="J87" s="205">
        <v>0</v>
      </c>
    </row>
    <row r="88" spans="1:10">
      <c r="A88" s="204" t="s">
        <v>771</v>
      </c>
      <c r="B88" s="204" t="s">
        <v>771</v>
      </c>
      <c r="C88" s="205" t="s">
        <v>873</v>
      </c>
      <c r="D88" s="205" t="s">
        <v>873</v>
      </c>
      <c r="E88" s="205">
        <v>12.4209000465397</v>
      </c>
      <c r="F88" s="205">
        <v>17.9118464201945</v>
      </c>
      <c r="G88" s="205">
        <v>280.43172435177598</v>
      </c>
      <c r="H88" s="205">
        <v>0</v>
      </c>
      <c r="I88" s="205">
        <v>0</v>
      </c>
      <c r="J88" s="205">
        <v>0</v>
      </c>
    </row>
    <row r="89" spans="1:10">
      <c r="A89" s="204" t="s">
        <v>771</v>
      </c>
      <c r="B89" s="204" t="s">
        <v>771</v>
      </c>
      <c r="C89" s="205" t="s">
        <v>873</v>
      </c>
      <c r="D89" s="205" t="s">
        <v>873</v>
      </c>
      <c r="E89" s="205">
        <v>-12.2706175804443</v>
      </c>
      <c r="F89" s="205">
        <v>-18.555288029846299</v>
      </c>
      <c r="G89" s="205">
        <v>57.621150228273997</v>
      </c>
      <c r="H89" s="205">
        <v>0</v>
      </c>
      <c r="I89" s="205">
        <v>0</v>
      </c>
      <c r="J89" s="205">
        <v>0</v>
      </c>
    </row>
    <row r="90" spans="1:10">
      <c r="A90" s="204" t="s">
        <v>772</v>
      </c>
      <c r="B90" s="204" t="s">
        <v>772</v>
      </c>
      <c r="C90" s="205" t="s">
        <v>873</v>
      </c>
      <c r="D90" s="205" t="s">
        <v>873</v>
      </c>
      <c r="E90" s="205">
        <v>11.6228693331679</v>
      </c>
      <c r="F90" s="205">
        <v>17.905667284777699</v>
      </c>
      <c r="G90" s="205">
        <v>209.33271207449101</v>
      </c>
      <c r="H90" s="205">
        <v>0</v>
      </c>
      <c r="I90" s="205">
        <v>0</v>
      </c>
      <c r="J90" s="205">
        <v>0</v>
      </c>
    </row>
    <row r="91" spans="1:10">
      <c r="A91" s="204" t="s">
        <v>772</v>
      </c>
      <c r="B91" s="204" t="s">
        <v>772</v>
      </c>
      <c r="C91" s="205" t="s">
        <v>873</v>
      </c>
      <c r="D91" s="205" t="s">
        <v>873</v>
      </c>
      <c r="E91" s="205">
        <v>-11.480399096947799</v>
      </c>
      <c r="F91" s="205">
        <v>-18.549167638171699</v>
      </c>
      <c r="G91" s="205">
        <v>92.122803045187695</v>
      </c>
      <c r="H91" s="205">
        <v>0</v>
      </c>
      <c r="I91" s="205">
        <v>0</v>
      </c>
      <c r="J91" s="205">
        <v>0</v>
      </c>
    </row>
    <row r="92" spans="1:10">
      <c r="A92" s="204" t="s">
        <v>777</v>
      </c>
      <c r="B92" s="204" t="s">
        <v>777</v>
      </c>
      <c r="C92" s="205" t="s">
        <v>873</v>
      </c>
      <c r="D92" s="205" t="s">
        <v>873</v>
      </c>
      <c r="E92" s="205">
        <v>12.5037906186953</v>
      </c>
      <c r="F92" s="205">
        <v>19.434078630633699</v>
      </c>
      <c r="G92" s="205">
        <v>344.90663875316102</v>
      </c>
      <c r="H92" s="205">
        <v>0</v>
      </c>
      <c r="I92" s="205">
        <v>0</v>
      </c>
      <c r="J92" s="205">
        <v>0</v>
      </c>
    </row>
    <row r="93" spans="1:10">
      <c r="A93" s="204" t="s">
        <v>777</v>
      </c>
      <c r="B93" s="204" t="s">
        <v>777</v>
      </c>
      <c r="C93" s="205" t="s">
        <v>873</v>
      </c>
      <c r="D93" s="205" t="s">
        <v>873</v>
      </c>
      <c r="E93" s="205">
        <v>-12.233675281519099</v>
      </c>
      <c r="F93" s="205">
        <v>-18.5535916459398</v>
      </c>
      <c r="G93" s="205">
        <v>21.787269221561601</v>
      </c>
      <c r="H93" s="205">
        <v>0</v>
      </c>
      <c r="I93" s="205">
        <v>0</v>
      </c>
      <c r="J93" s="205">
        <v>0</v>
      </c>
    </row>
    <row r="94" spans="1:10">
      <c r="A94" s="204" t="s">
        <v>778</v>
      </c>
      <c r="B94" s="204" t="s">
        <v>778</v>
      </c>
      <c r="C94" s="205" t="s">
        <v>873</v>
      </c>
      <c r="D94" s="205" t="s">
        <v>873</v>
      </c>
      <c r="E94" s="205">
        <v>12.5053579944892</v>
      </c>
      <c r="F94" s="205">
        <v>18.913286822048899</v>
      </c>
      <c r="G94" s="205">
        <v>317.46611756943901</v>
      </c>
      <c r="H94" s="205">
        <v>0</v>
      </c>
      <c r="I94" s="205">
        <v>0</v>
      </c>
      <c r="J94" s="205">
        <v>0</v>
      </c>
    </row>
    <row r="95" spans="1:10">
      <c r="A95" s="204" t="s">
        <v>778</v>
      </c>
      <c r="B95" s="204" t="s">
        <v>778</v>
      </c>
      <c r="C95" s="205" t="s">
        <v>873</v>
      </c>
      <c r="D95" s="205" t="s">
        <v>873</v>
      </c>
      <c r="E95" s="205">
        <v>-12.2362785836592</v>
      </c>
      <c r="F95" s="205">
        <v>-18.317770393018499</v>
      </c>
      <c r="G95" s="205">
        <v>24.592165240456801</v>
      </c>
      <c r="H95" s="205">
        <v>0</v>
      </c>
      <c r="I95" s="205">
        <v>0</v>
      </c>
      <c r="J95" s="205">
        <v>0</v>
      </c>
    </row>
    <row r="96" spans="1:10">
      <c r="A96" s="204" t="s">
        <v>779</v>
      </c>
      <c r="B96" s="204" t="s">
        <v>779</v>
      </c>
      <c r="C96" s="205" t="s">
        <v>873</v>
      </c>
      <c r="D96" s="205" t="s">
        <v>873</v>
      </c>
      <c r="E96" s="205">
        <v>11.7487096062112</v>
      </c>
      <c r="F96" s="205">
        <v>19.473417815514601</v>
      </c>
      <c r="G96" s="205">
        <v>260.06389177034202</v>
      </c>
      <c r="H96" s="205">
        <v>0</v>
      </c>
      <c r="I96" s="205">
        <v>0</v>
      </c>
      <c r="J96" s="205">
        <v>0</v>
      </c>
    </row>
    <row r="97" spans="1:10">
      <c r="A97" s="204" t="s">
        <v>779</v>
      </c>
      <c r="B97" s="204" t="s">
        <v>779</v>
      </c>
      <c r="C97" s="205" t="s">
        <v>873</v>
      </c>
      <c r="D97" s="205" t="s">
        <v>873</v>
      </c>
      <c r="E97" s="205">
        <v>-11.444826064573</v>
      </c>
      <c r="F97" s="205">
        <v>-18.572858816600299</v>
      </c>
      <c r="G97" s="205">
        <v>73.060965445570105</v>
      </c>
      <c r="H97" s="205">
        <v>0</v>
      </c>
      <c r="I97" s="205">
        <v>0</v>
      </c>
      <c r="J97" s="205">
        <v>0</v>
      </c>
    </row>
    <row r="98" spans="1:10">
      <c r="A98" s="204" t="s">
        <v>780</v>
      </c>
      <c r="B98" s="204" t="s">
        <v>780</v>
      </c>
      <c r="C98" s="205" t="s">
        <v>873</v>
      </c>
      <c r="D98" s="205" t="s">
        <v>873</v>
      </c>
      <c r="E98" s="205">
        <v>9.6963723955171108</v>
      </c>
      <c r="F98" s="205">
        <v>19.5779752250711</v>
      </c>
      <c r="G98" s="205">
        <v>286.94854509778997</v>
      </c>
      <c r="H98" s="205">
        <v>0</v>
      </c>
      <c r="I98" s="205">
        <v>0</v>
      </c>
      <c r="J98" s="205">
        <v>0</v>
      </c>
    </row>
    <row r="99" spans="1:10">
      <c r="A99" s="204" t="s">
        <v>780</v>
      </c>
      <c r="B99" s="204" t="s">
        <v>780</v>
      </c>
      <c r="C99" s="205" t="s">
        <v>873</v>
      </c>
      <c r="D99" s="205" t="s">
        <v>873</v>
      </c>
      <c r="E99" s="205">
        <v>-9.3954723539252907</v>
      </c>
      <c r="F99" s="205">
        <v>-18.608978215925401</v>
      </c>
      <c r="G99" s="205">
        <v>55.771025307210401</v>
      </c>
      <c r="H99" s="205">
        <v>0</v>
      </c>
      <c r="I99" s="205">
        <v>0</v>
      </c>
      <c r="J99" s="205">
        <v>0</v>
      </c>
    </row>
    <row r="100" spans="1:10">
      <c r="A100" s="204" t="s">
        <v>781</v>
      </c>
      <c r="B100" s="204" t="s">
        <v>781</v>
      </c>
      <c r="C100" s="205" t="s">
        <v>873</v>
      </c>
      <c r="D100" s="205" t="s">
        <v>873</v>
      </c>
      <c r="E100" s="205">
        <v>9.6948043723675195</v>
      </c>
      <c r="F100" s="205">
        <v>19.0304855833072</v>
      </c>
      <c r="G100" s="205">
        <v>274.11370354004703</v>
      </c>
      <c r="H100" s="205">
        <v>0</v>
      </c>
      <c r="I100" s="205">
        <v>0</v>
      </c>
      <c r="J100" s="205">
        <v>0</v>
      </c>
    </row>
    <row r="101" spans="1:10">
      <c r="A101" s="204" t="s">
        <v>781</v>
      </c>
      <c r="B101" s="204" t="s">
        <v>781</v>
      </c>
      <c r="C101" s="205" t="s">
        <v>873</v>
      </c>
      <c r="D101" s="205" t="s">
        <v>873</v>
      </c>
      <c r="E101" s="205">
        <v>-9.3992821860312006</v>
      </c>
      <c r="F101" s="205">
        <v>-18.300549864886801</v>
      </c>
      <c r="G101" s="205">
        <v>39.141780844800202</v>
      </c>
      <c r="H101" s="205">
        <v>0</v>
      </c>
      <c r="I101" s="205">
        <v>0</v>
      </c>
      <c r="J101" s="205">
        <v>0</v>
      </c>
    </row>
    <row r="102" spans="1:10">
      <c r="A102" s="204" t="s">
        <v>782</v>
      </c>
      <c r="B102" s="204" t="s">
        <v>782</v>
      </c>
      <c r="C102" s="205" t="s">
        <v>873</v>
      </c>
      <c r="D102" s="205" t="s">
        <v>873</v>
      </c>
      <c r="E102" s="205">
        <v>10.3438366832313</v>
      </c>
      <c r="F102" s="205">
        <v>19.544093289567801</v>
      </c>
      <c r="G102" s="205">
        <v>214.698064733081</v>
      </c>
      <c r="H102" s="205">
        <v>0</v>
      </c>
      <c r="I102" s="205">
        <v>0</v>
      </c>
      <c r="J102" s="205">
        <v>0</v>
      </c>
    </row>
    <row r="103" spans="1:10">
      <c r="A103" s="204" t="s">
        <v>782</v>
      </c>
      <c r="B103" s="204" t="s">
        <v>782</v>
      </c>
      <c r="C103" s="205" t="s">
        <v>873</v>
      </c>
      <c r="D103" s="205" t="s">
        <v>873</v>
      </c>
      <c r="E103" s="205">
        <v>-10.031579113679101</v>
      </c>
      <c r="F103" s="205">
        <v>-18.5889575454697</v>
      </c>
      <c r="G103" s="205">
        <v>105.549923971262</v>
      </c>
      <c r="H103" s="205">
        <v>0</v>
      </c>
      <c r="I103" s="205">
        <v>0</v>
      </c>
      <c r="J103" s="205">
        <v>0</v>
      </c>
    </row>
    <row r="104" spans="1:10">
      <c r="A104" s="204" t="s">
        <v>793</v>
      </c>
      <c r="B104" s="204" t="s">
        <v>793</v>
      </c>
      <c r="C104" s="205" t="s">
        <v>873</v>
      </c>
      <c r="D104" s="205" t="s">
        <v>873</v>
      </c>
      <c r="E104" s="205">
        <v>9.6010543097506194</v>
      </c>
      <c r="F104" s="205">
        <v>19.252461660621101</v>
      </c>
      <c r="G104" s="205">
        <v>290.865200688703</v>
      </c>
      <c r="H104" s="205">
        <v>0</v>
      </c>
      <c r="I104" s="205">
        <v>0</v>
      </c>
      <c r="J104" s="205">
        <v>0</v>
      </c>
    </row>
    <row r="105" spans="1:10">
      <c r="A105" s="204" t="s">
        <v>793</v>
      </c>
      <c r="B105" s="204" t="s">
        <v>793</v>
      </c>
      <c r="C105" s="205" t="s">
        <v>873</v>
      </c>
      <c r="D105" s="205" t="s">
        <v>873</v>
      </c>
      <c r="E105" s="205">
        <v>-9.4117158351270902</v>
      </c>
      <c r="F105" s="205">
        <v>-20.069229793828601</v>
      </c>
      <c r="G105" s="205">
        <v>33.733988449965302</v>
      </c>
      <c r="H105" s="205">
        <v>0</v>
      </c>
      <c r="I105" s="205">
        <v>0</v>
      </c>
      <c r="J105" s="205">
        <v>0</v>
      </c>
    </row>
    <row r="106" spans="1:10">
      <c r="A106" s="204" t="s">
        <v>794</v>
      </c>
      <c r="B106" s="204" t="s">
        <v>794</v>
      </c>
      <c r="C106" s="205" t="s">
        <v>873</v>
      </c>
      <c r="D106" s="205" t="s">
        <v>873</v>
      </c>
      <c r="E106" s="205">
        <v>9.60033422843245</v>
      </c>
      <c r="F106" s="205">
        <v>19.079811075851801</v>
      </c>
      <c r="G106" s="205">
        <v>308.42485597134902</v>
      </c>
      <c r="H106" s="205">
        <v>0</v>
      </c>
      <c r="I106" s="205">
        <v>0</v>
      </c>
      <c r="J106" s="205">
        <v>0</v>
      </c>
    </row>
    <row r="107" spans="1:10">
      <c r="A107" s="204" t="s">
        <v>794</v>
      </c>
      <c r="B107" s="204" t="s">
        <v>794</v>
      </c>
      <c r="C107" s="205" t="s">
        <v>873</v>
      </c>
      <c r="D107" s="205" t="s">
        <v>873</v>
      </c>
      <c r="E107" s="205">
        <v>-9.4156877435838808</v>
      </c>
      <c r="F107" s="205">
        <v>-19.997207517851599</v>
      </c>
      <c r="G107" s="205">
        <v>25.7986321921043</v>
      </c>
      <c r="H107" s="205">
        <v>0</v>
      </c>
      <c r="I107" s="205">
        <v>0</v>
      </c>
      <c r="J107" s="205">
        <v>0</v>
      </c>
    </row>
    <row r="108" spans="1:10">
      <c r="A108" s="204" t="s">
        <v>795</v>
      </c>
      <c r="B108" s="204" t="s">
        <v>795</v>
      </c>
      <c r="C108" s="205" t="s">
        <v>873</v>
      </c>
      <c r="D108" s="205" t="s">
        <v>873</v>
      </c>
      <c r="E108" s="205">
        <v>9.5971649196439106</v>
      </c>
      <c r="F108" s="205">
        <v>18.834165636553699</v>
      </c>
      <c r="G108" s="205">
        <v>328.56045723774997</v>
      </c>
      <c r="H108" s="205">
        <v>0</v>
      </c>
      <c r="I108" s="205">
        <v>0</v>
      </c>
      <c r="J108" s="205">
        <v>0</v>
      </c>
    </row>
    <row r="109" spans="1:10">
      <c r="A109" s="204" t="s">
        <v>795</v>
      </c>
      <c r="B109" s="204" t="s">
        <v>795</v>
      </c>
      <c r="C109" s="205" t="s">
        <v>873</v>
      </c>
      <c r="D109" s="205" t="s">
        <v>873</v>
      </c>
      <c r="E109" s="205">
        <v>-9.4178219951839797</v>
      </c>
      <c r="F109" s="205">
        <v>-19.866479227730899</v>
      </c>
      <c r="G109" s="205">
        <v>15.5257126290965</v>
      </c>
      <c r="H109" s="205">
        <v>0</v>
      </c>
      <c r="I109" s="205">
        <v>0</v>
      </c>
      <c r="J109" s="205">
        <v>0</v>
      </c>
    </row>
    <row r="110" spans="1:10">
      <c r="A110" s="204" t="s">
        <v>796</v>
      </c>
      <c r="B110" s="204" t="s">
        <v>796</v>
      </c>
      <c r="C110" s="205" t="s">
        <v>873</v>
      </c>
      <c r="D110" s="205" t="s">
        <v>873</v>
      </c>
      <c r="E110" s="205">
        <v>9.6018566178086804</v>
      </c>
      <c r="F110" s="205">
        <v>19.385739551460201</v>
      </c>
      <c r="G110" s="205">
        <v>278.42289430887899</v>
      </c>
      <c r="H110" s="205">
        <v>0</v>
      </c>
      <c r="I110" s="205">
        <v>0</v>
      </c>
      <c r="J110" s="205">
        <v>0</v>
      </c>
    </row>
    <row r="111" spans="1:10">
      <c r="A111" s="204" t="s">
        <v>796</v>
      </c>
      <c r="B111" s="204" t="s">
        <v>796</v>
      </c>
      <c r="C111" s="205" t="s">
        <v>873</v>
      </c>
      <c r="D111" s="205" t="s">
        <v>873</v>
      </c>
      <c r="E111" s="205">
        <v>-9.4079394087177999</v>
      </c>
      <c r="F111" s="205">
        <v>-20.1086881241051</v>
      </c>
      <c r="G111" s="205">
        <v>39.133135949553797</v>
      </c>
      <c r="H111" s="205">
        <v>0</v>
      </c>
      <c r="I111" s="205">
        <v>0</v>
      </c>
      <c r="J111" s="205">
        <v>0</v>
      </c>
    </row>
    <row r="112" spans="1:10">
      <c r="A112" s="204" t="s">
        <v>797</v>
      </c>
      <c r="B112" s="204" t="s">
        <v>797</v>
      </c>
      <c r="C112" s="205" t="s">
        <v>873</v>
      </c>
      <c r="D112" s="205" t="s">
        <v>873</v>
      </c>
      <c r="E112" s="205">
        <v>9.6077093928603308</v>
      </c>
      <c r="F112" s="205">
        <v>19.505284075262399</v>
      </c>
      <c r="G112" s="205">
        <v>270.73563572297599</v>
      </c>
      <c r="H112" s="205">
        <v>0</v>
      </c>
      <c r="I112" s="205">
        <v>0</v>
      </c>
      <c r="J112" s="205">
        <v>0</v>
      </c>
    </row>
    <row r="113" spans="1:10">
      <c r="A113" s="204" t="s">
        <v>797</v>
      </c>
      <c r="B113" s="204" t="s">
        <v>797</v>
      </c>
      <c r="C113" s="205" t="s">
        <v>873</v>
      </c>
      <c r="D113" s="205" t="s">
        <v>873</v>
      </c>
      <c r="E113" s="205">
        <v>-9.4075471000813007</v>
      </c>
      <c r="F113" s="205">
        <v>-20.136538857428501</v>
      </c>
      <c r="G113" s="205">
        <v>41.673982868313601</v>
      </c>
      <c r="H113" s="205">
        <v>0</v>
      </c>
      <c r="I113" s="205">
        <v>0</v>
      </c>
      <c r="J113" s="205">
        <v>0</v>
      </c>
    </row>
    <row r="114" spans="1:10">
      <c r="A114" s="204" t="s">
        <v>798</v>
      </c>
      <c r="B114" s="204" t="s">
        <v>798</v>
      </c>
      <c r="C114" s="205" t="s">
        <v>873</v>
      </c>
      <c r="D114" s="205" t="s">
        <v>873</v>
      </c>
      <c r="E114" s="205">
        <v>9.6108405199488995</v>
      </c>
      <c r="F114" s="205">
        <v>19.558125507885499</v>
      </c>
      <c r="G114" s="205">
        <v>265.50672878471698</v>
      </c>
      <c r="H114" s="205">
        <v>0</v>
      </c>
      <c r="I114" s="205">
        <v>0</v>
      </c>
      <c r="J114" s="205">
        <v>0</v>
      </c>
    </row>
    <row r="115" spans="1:10">
      <c r="A115" s="204" t="s">
        <v>798</v>
      </c>
      <c r="B115" s="204" t="s">
        <v>798</v>
      </c>
      <c r="C115" s="205" t="s">
        <v>873</v>
      </c>
      <c r="D115" s="205" t="s">
        <v>873</v>
      </c>
      <c r="E115" s="205">
        <v>-9.4041427112731597</v>
      </c>
      <c r="F115" s="205">
        <v>-20.0978384122287</v>
      </c>
      <c r="G115" s="205">
        <v>40.911466141939002</v>
      </c>
      <c r="H115" s="205">
        <v>0</v>
      </c>
      <c r="I115" s="205">
        <v>0</v>
      </c>
      <c r="J115" s="205">
        <v>0</v>
      </c>
    </row>
    <row r="116" spans="1:10">
      <c r="A116" s="204" t="s">
        <v>803</v>
      </c>
      <c r="B116" s="204" t="s">
        <v>803</v>
      </c>
      <c r="C116" s="205" t="s">
        <v>873</v>
      </c>
      <c r="D116" s="205" t="s">
        <v>873</v>
      </c>
      <c r="E116" s="205">
        <v>12.379488274130701</v>
      </c>
      <c r="F116" s="205">
        <v>19.5630265820311</v>
      </c>
      <c r="G116" s="205">
        <v>234.73085354394701</v>
      </c>
      <c r="H116" s="205">
        <v>0</v>
      </c>
      <c r="I116" s="205">
        <v>0</v>
      </c>
      <c r="J116" s="205">
        <v>0</v>
      </c>
    </row>
    <row r="117" spans="1:10">
      <c r="A117" s="204" t="s">
        <v>803</v>
      </c>
      <c r="B117" s="204" t="s">
        <v>803</v>
      </c>
      <c r="C117" s="205" t="s">
        <v>873</v>
      </c>
      <c r="D117" s="205" t="s">
        <v>873</v>
      </c>
      <c r="E117" s="205">
        <v>-12.3360130698565</v>
      </c>
      <c r="F117" s="205">
        <v>-20.209474991699899</v>
      </c>
      <c r="G117" s="205">
        <v>142.13932272319499</v>
      </c>
      <c r="H117" s="205">
        <v>0</v>
      </c>
      <c r="I117" s="205">
        <v>0</v>
      </c>
      <c r="J117" s="205">
        <v>0</v>
      </c>
    </row>
    <row r="118" spans="1:10">
      <c r="A118" s="204" t="s">
        <v>804</v>
      </c>
      <c r="B118" s="204" t="s">
        <v>804</v>
      </c>
      <c r="C118" s="205" t="s">
        <v>873</v>
      </c>
      <c r="D118" s="205" t="s">
        <v>873</v>
      </c>
      <c r="E118" s="205">
        <v>12.3727733029662</v>
      </c>
      <c r="F118" s="205">
        <v>19.655165842783099</v>
      </c>
      <c r="G118" s="205">
        <v>213.33869336786</v>
      </c>
      <c r="H118" s="205">
        <v>0</v>
      </c>
      <c r="I118" s="205">
        <v>0</v>
      </c>
      <c r="J118" s="205">
        <v>0</v>
      </c>
    </row>
    <row r="119" spans="1:10">
      <c r="A119" s="204" t="s">
        <v>804</v>
      </c>
      <c r="B119" s="204" t="s">
        <v>804</v>
      </c>
      <c r="C119" s="205" t="s">
        <v>873</v>
      </c>
      <c r="D119" s="205" t="s">
        <v>873</v>
      </c>
      <c r="E119" s="205">
        <v>-12.3277794665992</v>
      </c>
      <c r="F119" s="205">
        <v>-20.374982574472799</v>
      </c>
      <c r="G119" s="205">
        <v>163.55947393586101</v>
      </c>
      <c r="H119" s="205">
        <v>0</v>
      </c>
      <c r="I119" s="205">
        <v>0</v>
      </c>
      <c r="J119" s="205">
        <v>0</v>
      </c>
    </row>
    <row r="120" spans="1:10">
      <c r="A120" s="204" t="s">
        <v>805</v>
      </c>
      <c r="B120" s="204" t="s">
        <v>805</v>
      </c>
      <c r="C120" s="205" t="s">
        <v>873</v>
      </c>
      <c r="D120" s="205" t="s">
        <v>873</v>
      </c>
      <c r="E120" s="205">
        <v>12.3869996680836</v>
      </c>
      <c r="F120" s="205">
        <v>19.414092726793399</v>
      </c>
      <c r="G120" s="205">
        <v>254.39745717811499</v>
      </c>
      <c r="H120" s="205">
        <v>0</v>
      </c>
      <c r="I120" s="205">
        <v>0</v>
      </c>
      <c r="J120" s="205">
        <v>0</v>
      </c>
    </row>
    <row r="121" spans="1:10">
      <c r="A121" s="204" t="s">
        <v>805</v>
      </c>
      <c r="B121" s="204" t="s">
        <v>805</v>
      </c>
      <c r="C121" s="205" t="s">
        <v>873</v>
      </c>
      <c r="D121" s="205" t="s">
        <v>873</v>
      </c>
      <c r="E121" s="205">
        <v>-12.3433459654338</v>
      </c>
      <c r="F121" s="205">
        <v>-19.990790298519901</v>
      </c>
      <c r="G121" s="205">
        <v>118.71197254681999</v>
      </c>
      <c r="H121" s="205">
        <v>0</v>
      </c>
      <c r="I121" s="205">
        <v>0</v>
      </c>
      <c r="J121" s="205">
        <v>0</v>
      </c>
    </row>
    <row r="122" spans="1:10">
      <c r="A122" s="204" t="s">
        <v>810</v>
      </c>
      <c r="B122" s="204" t="s">
        <v>810</v>
      </c>
      <c r="C122" s="205" t="s">
        <v>873</v>
      </c>
      <c r="D122" s="205" t="s">
        <v>873</v>
      </c>
      <c r="E122" s="205">
        <v>8.4579465432783199</v>
      </c>
      <c r="F122" s="205">
        <v>11.1926932742234</v>
      </c>
      <c r="G122" s="205">
        <v>178.89919220778401</v>
      </c>
      <c r="H122" s="205">
        <v>0</v>
      </c>
      <c r="I122" s="205">
        <v>0</v>
      </c>
      <c r="J122" s="205">
        <v>0</v>
      </c>
    </row>
    <row r="123" spans="1:10">
      <c r="A123" s="204" t="s">
        <v>810</v>
      </c>
      <c r="B123" s="204" t="s">
        <v>810</v>
      </c>
      <c r="C123" s="205" t="s">
        <v>873</v>
      </c>
      <c r="D123" s="205" t="s">
        <v>873</v>
      </c>
      <c r="E123" s="205">
        <v>-8.2185641564473606</v>
      </c>
      <c r="F123" s="205">
        <v>-11.9613461762701</v>
      </c>
      <c r="G123" s="205">
        <v>66.512017405633898</v>
      </c>
      <c r="H123" s="205">
        <v>0</v>
      </c>
      <c r="I123" s="205">
        <v>0</v>
      </c>
      <c r="J123" s="205">
        <v>0</v>
      </c>
    </row>
    <row r="124" spans="1:10">
      <c r="A124" s="204" t="s">
        <v>811</v>
      </c>
      <c r="B124" s="204" t="s">
        <v>811</v>
      </c>
      <c r="C124" s="205" t="s">
        <v>873</v>
      </c>
      <c r="D124" s="205" t="s">
        <v>873</v>
      </c>
      <c r="E124" s="205">
        <v>7.8896162921200901</v>
      </c>
      <c r="F124" s="205">
        <v>11.490574432553901</v>
      </c>
      <c r="G124" s="205">
        <v>174.21603369222001</v>
      </c>
      <c r="H124" s="205">
        <v>0</v>
      </c>
      <c r="I124" s="205">
        <v>0</v>
      </c>
      <c r="J124" s="205">
        <v>0</v>
      </c>
    </row>
    <row r="125" spans="1:10">
      <c r="A125" s="204" t="s">
        <v>811</v>
      </c>
      <c r="B125" s="204" t="s">
        <v>811</v>
      </c>
      <c r="C125" s="205" t="s">
        <v>873</v>
      </c>
      <c r="D125" s="205" t="s">
        <v>873</v>
      </c>
      <c r="E125" s="205">
        <v>-7.7779888639822996</v>
      </c>
      <c r="F125" s="205">
        <v>-12.1696173888965</v>
      </c>
      <c r="G125" s="205">
        <v>73.119233190682195</v>
      </c>
      <c r="H125" s="205">
        <v>0</v>
      </c>
      <c r="I125" s="205">
        <v>0</v>
      </c>
      <c r="J125" s="205">
        <v>0</v>
      </c>
    </row>
    <row r="126" spans="1:10">
      <c r="A126" s="204" t="s">
        <v>812</v>
      </c>
      <c r="B126" s="204" t="s">
        <v>812</v>
      </c>
      <c r="C126" s="205" t="s">
        <v>873</v>
      </c>
      <c r="D126" s="205" t="s">
        <v>873</v>
      </c>
      <c r="E126" s="205">
        <v>8.5540816542847598</v>
      </c>
      <c r="F126" s="205">
        <v>11.4127831284775</v>
      </c>
      <c r="G126" s="205">
        <v>152.95944811373499</v>
      </c>
      <c r="H126" s="205">
        <v>0</v>
      </c>
      <c r="I126" s="205">
        <v>0</v>
      </c>
      <c r="J126" s="205">
        <v>0</v>
      </c>
    </row>
    <row r="127" spans="1:10">
      <c r="A127" s="204" t="s">
        <v>812</v>
      </c>
      <c r="B127" s="204" t="s">
        <v>812</v>
      </c>
      <c r="C127" s="205" t="s">
        <v>873</v>
      </c>
      <c r="D127" s="205" t="s">
        <v>873</v>
      </c>
      <c r="E127" s="205">
        <v>-8.2931894775766004</v>
      </c>
      <c r="F127" s="205">
        <v>-12.112808512705501</v>
      </c>
      <c r="G127" s="205">
        <v>89.864522745793707</v>
      </c>
      <c r="H127" s="205">
        <v>0</v>
      </c>
      <c r="I127" s="205">
        <v>0</v>
      </c>
      <c r="J127" s="205">
        <v>0</v>
      </c>
    </row>
    <row r="128" spans="1:10">
      <c r="A128" s="204" t="s">
        <v>813</v>
      </c>
      <c r="B128" s="204" t="s">
        <v>813</v>
      </c>
      <c r="C128" s="205" t="s">
        <v>873</v>
      </c>
      <c r="D128" s="205" t="s">
        <v>873</v>
      </c>
      <c r="E128" s="205">
        <v>7.9855709661856604</v>
      </c>
      <c r="F128" s="205">
        <v>11.708459072684301</v>
      </c>
      <c r="G128" s="205">
        <v>150.103628740142</v>
      </c>
      <c r="H128" s="205">
        <v>0</v>
      </c>
      <c r="I128" s="205">
        <v>0</v>
      </c>
      <c r="J128" s="205">
        <v>0</v>
      </c>
    </row>
    <row r="129" spans="1:10">
      <c r="A129" s="204" t="s">
        <v>813</v>
      </c>
      <c r="B129" s="204" t="s">
        <v>813</v>
      </c>
      <c r="C129" s="205" t="s">
        <v>873</v>
      </c>
      <c r="D129" s="205" t="s">
        <v>873</v>
      </c>
      <c r="E129" s="205">
        <v>-7.8532125077783501</v>
      </c>
      <c r="F129" s="205">
        <v>-12.3174051504679</v>
      </c>
      <c r="G129" s="205">
        <v>93.966024473565099</v>
      </c>
      <c r="H129" s="205">
        <v>0</v>
      </c>
      <c r="I129" s="205">
        <v>0</v>
      </c>
      <c r="J129" s="205">
        <v>0</v>
      </c>
    </row>
    <row r="130" spans="1:10">
      <c r="A130" s="204" t="s">
        <v>814</v>
      </c>
      <c r="B130" s="204" t="s">
        <v>814</v>
      </c>
      <c r="C130" s="205" t="s">
        <v>873</v>
      </c>
      <c r="D130" s="205" t="s">
        <v>873</v>
      </c>
      <c r="E130" s="205">
        <v>7.6782573055857704</v>
      </c>
      <c r="F130" s="205">
        <v>11.593874740934201</v>
      </c>
      <c r="G130" s="205">
        <v>169.90684998129899</v>
      </c>
      <c r="H130" s="205">
        <v>0</v>
      </c>
      <c r="I130" s="205">
        <v>0</v>
      </c>
      <c r="J130" s="205">
        <v>0</v>
      </c>
    </row>
    <row r="131" spans="1:10">
      <c r="A131" s="204" t="s">
        <v>814</v>
      </c>
      <c r="B131" s="204" t="s">
        <v>814</v>
      </c>
      <c r="C131" s="205" t="s">
        <v>873</v>
      </c>
      <c r="D131" s="205" t="s">
        <v>873</v>
      </c>
      <c r="E131" s="205">
        <v>-7.6118790225351596</v>
      </c>
      <c r="F131" s="205">
        <v>-12.2407985223869</v>
      </c>
      <c r="G131" s="205">
        <v>74.383609776745899</v>
      </c>
      <c r="H131" s="205">
        <v>0</v>
      </c>
      <c r="I131" s="205">
        <v>0</v>
      </c>
      <c r="J131" s="205">
        <v>0</v>
      </c>
    </row>
    <row r="132" spans="1:10">
      <c r="A132" s="204" t="s">
        <v>820</v>
      </c>
      <c r="B132" s="204" t="s">
        <v>820</v>
      </c>
      <c r="C132" s="205" t="s">
        <v>873</v>
      </c>
      <c r="D132" s="205" t="s">
        <v>873</v>
      </c>
      <c r="E132" s="205">
        <v>8.66720666755735</v>
      </c>
      <c r="F132" s="205">
        <v>11.6516122672575</v>
      </c>
      <c r="G132" s="205">
        <v>189.66245055482099</v>
      </c>
      <c r="H132" s="205">
        <v>0</v>
      </c>
      <c r="I132" s="205">
        <v>0</v>
      </c>
      <c r="J132" s="205">
        <v>0</v>
      </c>
    </row>
    <row r="133" spans="1:10">
      <c r="A133" s="204" t="s">
        <v>820</v>
      </c>
      <c r="B133" s="204" t="s">
        <v>820</v>
      </c>
      <c r="C133" s="205" t="s">
        <v>873</v>
      </c>
      <c r="D133" s="205" t="s">
        <v>873</v>
      </c>
      <c r="E133" s="205">
        <v>-8.3758688689828098</v>
      </c>
      <c r="F133" s="205">
        <v>-12.258598633275501</v>
      </c>
      <c r="G133" s="205">
        <v>66.183073158716198</v>
      </c>
      <c r="H133" s="205">
        <v>0</v>
      </c>
      <c r="I133" s="205">
        <v>0</v>
      </c>
      <c r="J133" s="205">
        <v>0</v>
      </c>
    </row>
    <row r="134" spans="1:10">
      <c r="A134" s="204" t="s">
        <v>821</v>
      </c>
      <c r="B134" s="204" t="s">
        <v>821</v>
      </c>
      <c r="C134" s="205" t="s">
        <v>873</v>
      </c>
      <c r="D134" s="205" t="s">
        <v>873</v>
      </c>
      <c r="E134" s="205">
        <v>8.9380265633510501</v>
      </c>
      <c r="F134" s="205">
        <v>11.569201875701401</v>
      </c>
      <c r="G134" s="205">
        <v>202.63328841138801</v>
      </c>
      <c r="H134" s="205">
        <v>0</v>
      </c>
      <c r="I134" s="205">
        <v>0</v>
      </c>
      <c r="J134" s="205">
        <v>0</v>
      </c>
    </row>
    <row r="135" spans="1:10">
      <c r="A135" s="204" t="s">
        <v>821</v>
      </c>
      <c r="B135" s="204" t="s">
        <v>821</v>
      </c>
      <c r="C135" s="205" t="s">
        <v>873</v>
      </c>
      <c r="D135" s="205" t="s">
        <v>873</v>
      </c>
      <c r="E135" s="205">
        <v>-8.5722719052308793</v>
      </c>
      <c r="F135" s="205">
        <v>-12.2001724221603</v>
      </c>
      <c r="G135" s="205">
        <v>53.4396841830809</v>
      </c>
      <c r="H135" s="205">
        <v>0</v>
      </c>
      <c r="I135" s="205">
        <v>0</v>
      </c>
      <c r="J135" s="205">
        <v>0</v>
      </c>
    </row>
    <row r="136" spans="1:10">
      <c r="A136" s="204" t="s">
        <v>823</v>
      </c>
      <c r="B136" s="204" t="s">
        <v>823</v>
      </c>
      <c r="C136" s="205" t="s">
        <v>873</v>
      </c>
      <c r="D136" s="205" t="s">
        <v>873</v>
      </c>
      <c r="E136" s="205">
        <v>14.7138431996137</v>
      </c>
      <c r="F136" s="205">
        <v>17.726294597882902</v>
      </c>
      <c r="G136" s="205">
        <v>278.77657741278102</v>
      </c>
      <c r="H136" s="205">
        <v>0</v>
      </c>
      <c r="I136" s="205">
        <v>0</v>
      </c>
      <c r="J136" s="205">
        <v>0</v>
      </c>
    </row>
    <row r="137" spans="1:10">
      <c r="A137" s="204" t="s">
        <v>823</v>
      </c>
      <c r="B137" s="204" t="s">
        <v>823</v>
      </c>
      <c r="C137" s="205" t="s">
        <v>873</v>
      </c>
      <c r="D137" s="205" t="s">
        <v>873</v>
      </c>
      <c r="E137" s="205">
        <v>-14.043456549782499</v>
      </c>
      <c r="F137" s="205">
        <v>-19.063058284729198</v>
      </c>
      <c r="G137" s="205">
        <v>103.56499598162</v>
      </c>
      <c r="H137" s="205">
        <v>0</v>
      </c>
      <c r="I137" s="205">
        <v>0</v>
      </c>
      <c r="J137" s="205">
        <v>0</v>
      </c>
    </row>
    <row r="138" spans="1:10">
      <c r="A138" s="204" t="s">
        <v>824</v>
      </c>
      <c r="B138" s="204" t="s">
        <v>824</v>
      </c>
      <c r="C138" s="205" t="s">
        <v>873</v>
      </c>
      <c r="D138" s="205" t="s">
        <v>873</v>
      </c>
      <c r="E138" s="205">
        <v>9.4638747564936807</v>
      </c>
      <c r="F138" s="205">
        <v>11.3771068640383</v>
      </c>
      <c r="G138" s="205">
        <v>232.32872508757299</v>
      </c>
      <c r="H138" s="205">
        <v>0</v>
      </c>
      <c r="I138" s="205">
        <v>0</v>
      </c>
      <c r="J138" s="205">
        <v>0</v>
      </c>
    </row>
    <row r="139" spans="1:10">
      <c r="A139" s="204" t="s">
        <v>824</v>
      </c>
      <c r="B139" s="204" t="s">
        <v>824</v>
      </c>
      <c r="C139" s="205" t="s">
        <v>873</v>
      </c>
      <c r="D139" s="205" t="s">
        <v>873</v>
      </c>
      <c r="E139" s="205">
        <v>-8.9538540627390599</v>
      </c>
      <c r="F139" s="205">
        <v>-12.059203561679199</v>
      </c>
      <c r="G139" s="205">
        <v>24.328251165578099</v>
      </c>
      <c r="H139" s="205">
        <v>0</v>
      </c>
      <c r="I139" s="205">
        <v>0</v>
      </c>
      <c r="J139" s="205">
        <v>0</v>
      </c>
    </row>
    <row r="140" spans="1:10">
      <c r="A140" s="204" t="s">
        <v>847</v>
      </c>
      <c r="B140" s="204" t="s">
        <v>847</v>
      </c>
      <c r="C140" s="205" t="s">
        <v>873</v>
      </c>
      <c r="D140" s="205" t="s">
        <v>873</v>
      </c>
      <c r="E140" s="205">
        <v>8.3966169439627691</v>
      </c>
      <c r="F140" s="205">
        <v>11.7290836307437</v>
      </c>
      <c r="G140" s="205">
        <v>177.21513370517701</v>
      </c>
      <c r="H140" s="205">
        <v>0</v>
      </c>
      <c r="I140" s="205">
        <v>0</v>
      </c>
      <c r="J140" s="205">
        <v>0</v>
      </c>
    </row>
    <row r="141" spans="1:10">
      <c r="A141" s="204" t="s">
        <v>847</v>
      </c>
      <c r="B141" s="204" t="s">
        <v>847</v>
      </c>
      <c r="C141" s="205" t="s">
        <v>873</v>
      </c>
      <c r="D141" s="205" t="s">
        <v>873</v>
      </c>
      <c r="E141" s="205">
        <v>-8.1729221410911297</v>
      </c>
      <c r="F141" s="205">
        <v>-12.3090541083894</v>
      </c>
      <c r="G141" s="205">
        <v>77.411386356747599</v>
      </c>
      <c r="H141" s="205">
        <v>0</v>
      </c>
      <c r="I141" s="205">
        <v>0</v>
      </c>
      <c r="J141" s="205">
        <v>0</v>
      </c>
    </row>
    <row r="142" spans="1:10">
      <c r="A142" s="204" t="s">
        <v>848</v>
      </c>
      <c r="B142" s="204" t="s">
        <v>848</v>
      </c>
      <c r="C142" s="205" t="s">
        <v>873</v>
      </c>
      <c r="D142" s="205" t="s">
        <v>873</v>
      </c>
      <c r="E142" s="205">
        <v>15.1040908019623</v>
      </c>
      <c r="F142" s="205">
        <v>17.7511695343055</v>
      </c>
      <c r="G142" s="205">
        <v>276.00464765781498</v>
      </c>
      <c r="H142" s="205">
        <v>0</v>
      </c>
      <c r="I142" s="205">
        <v>0</v>
      </c>
      <c r="J142" s="205">
        <v>0</v>
      </c>
    </row>
    <row r="143" spans="1:10">
      <c r="A143" s="204" t="s">
        <v>848</v>
      </c>
      <c r="B143" s="204" t="s">
        <v>848</v>
      </c>
      <c r="C143" s="205" t="s">
        <v>873</v>
      </c>
      <c r="D143" s="205" t="s">
        <v>873</v>
      </c>
      <c r="E143" s="205">
        <v>-14.337124176535699</v>
      </c>
      <c r="F143" s="205">
        <v>-19.077286236369101</v>
      </c>
      <c r="G143" s="205">
        <v>106.781468376432</v>
      </c>
      <c r="H143" s="205">
        <v>0</v>
      </c>
      <c r="I143" s="205">
        <v>0</v>
      </c>
      <c r="J143" s="205">
        <v>0</v>
      </c>
    </row>
    <row r="144" spans="1:10">
      <c r="A144" s="204" t="s">
        <v>849</v>
      </c>
      <c r="B144" s="204" t="s">
        <v>849</v>
      </c>
      <c r="C144" s="205" t="s">
        <v>873</v>
      </c>
      <c r="D144" s="205" t="s">
        <v>873</v>
      </c>
      <c r="E144" s="205">
        <v>9.2065907632013708</v>
      </c>
      <c r="F144" s="205">
        <v>11.4714402258106</v>
      </c>
      <c r="G144" s="205">
        <v>216.78285731391699</v>
      </c>
      <c r="H144" s="205">
        <v>0</v>
      </c>
      <c r="I144" s="205">
        <v>0</v>
      </c>
      <c r="J144" s="205">
        <v>0</v>
      </c>
    </row>
    <row r="145" spans="1:10">
      <c r="A145" s="204" t="s">
        <v>849</v>
      </c>
      <c r="B145" s="204" t="s">
        <v>849</v>
      </c>
      <c r="C145" s="205" t="s">
        <v>873</v>
      </c>
      <c r="D145" s="205" t="s">
        <v>873</v>
      </c>
      <c r="E145" s="205">
        <v>-8.7651856767428793</v>
      </c>
      <c r="F145" s="205">
        <v>-12.127791618184499</v>
      </c>
      <c r="G145" s="205">
        <v>39.039162435776603</v>
      </c>
      <c r="H145" s="205">
        <v>0</v>
      </c>
      <c r="I145" s="205">
        <v>0</v>
      </c>
      <c r="J145" s="205">
        <v>0</v>
      </c>
    </row>
    <row r="146" spans="1:10">
      <c r="A146" s="204" t="s">
        <v>852</v>
      </c>
      <c r="B146" s="204" t="s">
        <v>852</v>
      </c>
      <c r="C146" s="205" t="s">
        <v>873</v>
      </c>
      <c r="D146" s="205" t="s">
        <v>873</v>
      </c>
      <c r="E146" s="205">
        <v>15.441847384728201</v>
      </c>
      <c r="F146" s="205">
        <v>18.1040683844674</v>
      </c>
      <c r="G146" s="205">
        <v>347.59008206992502</v>
      </c>
      <c r="H146" s="205">
        <v>0</v>
      </c>
      <c r="I146" s="205">
        <v>0</v>
      </c>
      <c r="J146" s="205">
        <v>0</v>
      </c>
    </row>
    <row r="147" spans="1:10">
      <c r="A147" s="204" t="s">
        <v>852</v>
      </c>
      <c r="B147" s="204" t="s">
        <v>852</v>
      </c>
      <c r="C147" s="205" t="s">
        <v>873</v>
      </c>
      <c r="D147" s="205" t="s">
        <v>873</v>
      </c>
      <c r="E147" s="205">
        <v>-14.5899724028877</v>
      </c>
      <c r="F147" s="205">
        <v>-19.313611577501501</v>
      </c>
      <c r="G147" s="205">
        <v>54.0586221335492</v>
      </c>
      <c r="H147" s="205">
        <v>0</v>
      </c>
      <c r="I147" s="205">
        <v>0</v>
      </c>
      <c r="J147" s="205">
        <v>0</v>
      </c>
    </row>
    <row r="148" spans="1:10">
      <c r="A148" s="204" t="s">
        <v>854</v>
      </c>
      <c r="B148" s="204" t="s">
        <v>854</v>
      </c>
      <c r="C148" s="205" t="s">
        <v>873</v>
      </c>
      <c r="D148" s="205" t="s">
        <v>873</v>
      </c>
      <c r="E148" s="205">
        <v>8.2196167427314393</v>
      </c>
      <c r="F148" s="205">
        <v>11.449442394406001</v>
      </c>
      <c r="G148" s="205">
        <v>164.89470807184799</v>
      </c>
      <c r="H148" s="205">
        <v>0</v>
      </c>
      <c r="I148" s="205">
        <v>0</v>
      </c>
      <c r="J148" s="205">
        <v>0</v>
      </c>
    </row>
    <row r="149" spans="1:10">
      <c r="A149" s="204" t="s">
        <v>854</v>
      </c>
      <c r="B149" s="204" t="s">
        <v>854</v>
      </c>
      <c r="C149" s="205" t="s">
        <v>873</v>
      </c>
      <c r="D149" s="205" t="s">
        <v>873</v>
      </c>
      <c r="E149" s="205">
        <v>-8.0344844067078007</v>
      </c>
      <c r="F149" s="205">
        <v>-12.139240465619601</v>
      </c>
      <c r="G149" s="205">
        <v>81.243080687818903</v>
      </c>
      <c r="H149" s="205">
        <v>0</v>
      </c>
      <c r="I149" s="205">
        <v>0</v>
      </c>
      <c r="J149" s="205">
        <v>0</v>
      </c>
    </row>
    <row r="150" spans="1:10">
      <c r="A150" s="204" t="s">
        <v>765</v>
      </c>
      <c r="B150" s="204" t="s">
        <v>765</v>
      </c>
      <c r="C150" s="205" t="s">
        <v>874</v>
      </c>
      <c r="D150" s="205" t="s">
        <v>874</v>
      </c>
      <c r="E150" s="205">
        <v>0.12785039428304901</v>
      </c>
      <c r="F150" s="205">
        <v>-0.23978649467207999</v>
      </c>
      <c r="G150" s="205">
        <v>154.291023393751</v>
      </c>
      <c r="H150" s="205">
        <v>0</v>
      </c>
      <c r="I150" s="205">
        <v>0</v>
      </c>
      <c r="J150" s="205">
        <v>0</v>
      </c>
    </row>
    <row r="151" spans="1:10">
      <c r="A151" s="204" t="s">
        <v>766</v>
      </c>
      <c r="B151" s="204" t="s">
        <v>766</v>
      </c>
      <c r="C151" s="205" t="s">
        <v>874</v>
      </c>
      <c r="D151" s="205" t="s">
        <v>874</v>
      </c>
      <c r="E151" s="205">
        <v>6.6376148602349097E-2</v>
      </c>
      <c r="F151" s="205">
        <v>-0.237138540044499</v>
      </c>
      <c r="G151" s="205">
        <v>147.19670966701</v>
      </c>
      <c r="H151" s="205">
        <v>0</v>
      </c>
      <c r="I151" s="205">
        <v>0</v>
      </c>
      <c r="J151" s="205">
        <v>0</v>
      </c>
    </row>
    <row r="152" spans="1:10">
      <c r="A152" s="204" t="s">
        <v>767</v>
      </c>
      <c r="B152" s="204" t="s">
        <v>767</v>
      </c>
      <c r="C152" s="205" t="s">
        <v>874</v>
      </c>
      <c r="D152" s="205" t="s">
        <v>874</v>
      </c>
      <c r="E152" s="205">
        <v>0.129023447756972</v>
      </c>
      <c r="F152" s="205">
        <v>-0.29904512194823302</v>
      </c>
      <c r="G152" s="205">
        <v>155.59592412880099</v>
      </c>
      <c r="H152" s="205">
        <v>0</v>
      </c>
      <c r="I152" s="205">
        <v>0</v>
      </c>
      <c r="J152" s="205">
        <v>0</v>
      </c>
    </row>
    <row r="153" spans="1:10">
      <c r="A153" s="204" t="s">
        <v>768</v>
      </c>
      <c r="B153" s="204" t="s">
        <v>768</v>
      </c>
      <c r="C153" s="205" t="s">
        <v>874</v>
      </c>
      <c r="D153" s="205" t="s">
        <v>874</v>
      </c>
      <c r="E153" s="205">
        <v>6.9087111308286694E-2</v>
      </c>
      <c r="F153" s="205">
        <v>-0.29547365040042201</v>
      </c>
      <c r="G153" s="205">
        <v>148.696408618211</v>
      </c>
      <c r="H153" s="205">
        <v>0</v>
      </c>
      <c r="I153" s="205">
        <v>0</v>
      </c>
      <c r="J153" s="205">
        <v>0</v>
      </c>
    </row>
    <row r="154" spans="1:10">
      <c r="A154" s="204" t="s">
        <v>769</v>
      </c>
      <c r="B154" s="204" t="s">
        <v>769</v>
      </c>
      <c r="C154" s="205" t="s">
        <v>874</v>
      </c>
      <c r="D154" s="205" t="s">
        <v>874</v>
      </c>
      <c r="E154" s="205">
        <v>-0.100355463470623</v>
      </c>
      <c r="F154" s="205">
        <v>-0.23671613045877701</v>
      </c>
      <c r="G154" s="205">
        <v>178.04000345182101</v>
      </c>
      <c r="H154" s="205">
        <v>0</v>
      </c>
      <c r="I154" s="205">
        <v>0</v>
      </c>
      <c r="J154" s="205">
        <v>0</v>
      </c>
    </row>
    <row r="155" spans="1:10">
      <c r="A155" s="204" t="s">
        <v>770</v>
      </c>
      <c r="B155" s="204" t="s">
        <v>770</v>
      </c>
      <c r="C155" s="205" t="s">
        <v>874</v>
      </c>
      <c r="D155" s="205" t="s">
        <v>874</v>
      </c>
      <c r="E155" s="205">
        <v>-5.7091601341749398E-2</v>
      </c>
      <c r="F155" s="205">
        <v>-0.23751635442493799</v>
      </c>
      <c r="G155" s="205">
        <v>158.28132919984699</v>
      </c>
      <c r="H155" s="205">
        <v>0</v>
      </c>
      <c r="I155" s="205">
        <v>0</v>
      </c>
      <c r="J155" s="205">
        <v>0</v>
      </c>
    </row>
    <row r="156" spans="1:10">
      <c r="A156" s="204" t="s">
        <v>771</v>
      </c>
      <c r="B156" s="204" t="s">
        <v>771</v>
      </c>
      <c r="C156" s="205" t="s">
        <v>874</v>
      </c>
      <c r="D156" s="205" t="s">
        <v>874</v>
      </c>
      <c r="E156" s="205">
        <v>-0.103821098572772</v>
      </c>
      <c r="F156" s="205">
        <v>-0.28275742582505597</v>
      </c>
      <c r="G156" s="205">
        <v>181.75924586241101</v>
      </c>
      <c r="H156" s="205">
        <v>0</v>
      </c>
      <c r="I156" s="205">
        <v>0</v>
      </c>
      <c r="J156" s="205">
        <v>0</v>
      </c>
    </row>
    <row r="157" spans="1:10">
      <c r="A157" s="204" t="s">
        <v>772</v>
      </c>
      <c r="B157" s="204" t="s">
        <v>772</v>
      </c>
      <c r="C157" s="205" t="s">
        <v>874</v>
      </c>
      <c r="D157" s="205" t="s">
        <v>874</v>
      </c>
      <c r="E157" s="205">
        <v>-5.6155107772165203E-2</v>
      </c>
      <c r="F157" s="205">
        <v>-0.28268852802668798</v>
      </c>
      <c r="G157" s="205">
        <v>161.95530847218399</v>
      </c>
      <c r="H157" s="205">
        <v>0</v>
      </c>
      <c r="I157" s="205">
        <v>0</v>
      </c>
      <c r="J157" s="205">
        <v>0</v>
      </c>
    </row>
    <row r="158" spans="1:10">
      <c r="A158" s="204" t="s">
        <v>777</v>
      </c>
      <c r="B158" s="204" t="s">
        <v>777</v>
      </c>
      <c r="C158" s="205" t="s">
        <v>874</v>
      </c>
      <c r="D158" s="205" t="s">
        <v>874</v>
      </c>
      <c r="E158" s="205">
        <v>-4.2669883120626098E-2</v>
      </c>
      <c r="F158" s="205">
        <v>0.110420313809367</v>
      </c>
      <c r="G158" s="205">
        <v>198.25463842820699</v>
      </c>
      <c r="H158" s="205">
        <v>0</v>
      </c>
      <c r="I158" s="205">
        <v>0</v>
      </c>
      <c r="J158" s="205">
        <v>0</v>
      </c>
    </row>
    <row r="159" spans="1:10">
      <c r="A159" s="204" t="s">
        <v>778</v>
      </c>
      <c r="B159" s="204" t="s">
        <v>778</v>
      </c>
      <c r="C159" s="205" t="s">
        <v>874</v>
      </c>
      <c r="D159" s="205" t="s">
        <v>874</v>
      </c>
      <c r="E159" s="205">
        <v>-4.3293339265006697E-2</v>
      </c>
      <c r="F159" s="205">
        <v>3.8342950642211403E-2</v>
      </c>
      <c r="G159" s="205">
        <v>184.67557435865101</v>
      </c>
      <c r="H159" s="205">
        <v>0</v>
      </c>
      <c r="I159" s="205">
        <v>0</v>
      </c>
      <c r="J159" s="205">
        <v>0</v>
      </c>
    </row>
    <row r="160" spans="1:10">
      <c r="A160" s="204" t="s">
        <v>779</v>
      </c>
      <c r="B160" s="204" t="s">
        <v>779</v>
      </c>
      <c r="C160" s="205" t="s">
        <v>874</v>
      </c>
      <c r="D160" s="205" t="s">
        <v>874</v>
      </c>
      <c r="E160" s="205">
        <v>2.7526480234506299E-2</v>
      </c>
      <c r="F160" s="205">
        <v>0.115043473178173</v>
      </c>
      <c r="G160" s="205">
        <v>179.75110172727901</v>
      </c>
      <c r="H160" s="205">
        <v>0</v>
      </c>
      <c r="I160" s="205">
        <v>0</v>
      </c>
      <c r="J160" s="205">
        <v>0</v>
      </c>
    </row>
    <row r="161" spans="1:10">
      <c r="A161" s="204" t="s">
        <v>780</v>
      </c>
      <c r="B161" s="204" t="s">
        <v>780</v>
      </c>
      <c r="C161" s="205" t="s">
        <v>874</v>
      </c>
      <c r="D161" s="205" t="s">
        <v>874</v>
      </c>
      <c r="E161" s="205">
        <v>0.18357651769035299</v>
      </c>
      <c r="F161" s="205">
        <v>0.135135585163978</v>
      </c>
      <c r="G161" s="205">
        <v>184.256287242241</v>
      </c>
      <c r="H161" s="205">
        <v>0</v>
      </c>
      <c r="I161" s="205">
        <v>0</v>
      </c>
      <c r="J161" s="205">
        <v>0</v>
      </c>
    </row>
    <row r="162" spans="1:10">
      <c r="A162" s="204" t="s">
        <v>781</v>
      </c>
      <c r="B162" s="204" t="s">
        <v>781</v>
      </c>
      <c r="C162" s="205" t="s">
        <v>874</v>
      </c>
      <c r="D162" s="205" t="s">
        <v>874</v>
      </c>
      <c r="E162" s="205">
        <v>0.180798961873328</v>
      </c>
      <c r="F162" s="205">
        <v>8.97550345917527E-2</v>
      </c>
      <c r="G162" s="205">
        <v>168.231235080847</v>
      </c>
      <c r="H162" s="205">
        <v>0</v>
      </c>
      <c r="I162" s="205">
        <v>0</v>
      </c>
      <c r="J162" s="205">
        <v>0</v>
      </c>
    </row>
    <row r="163" spans="1:10">
      <c r="A163" s="204" t="s">
        <v>782</v>
      </c>
      <c r="B163" s="204" t="s">
        <v>782</v>
      </c>
      <c r="C163" s="205" t="s">
        <v>874</v>
      </c>
      <c r="D163" s="205" t="s">
        <v>874</v>
      </c>
      <c r="E163" s="205">
        <v>0.137318288038737</v>
      </c>
      <c r="F163" s="205">
        <v>0.13253403945268299</v>
      </c>
      <c r="G163" s="205">
        <v>173.18158289061799</v>
      </c>
      <c r="H163" s="205">
        <v>0</v>
      </c>
      <c r="I163" s="205">
        <v>0</v>
      </c>
      <c r="J163" s="205">
        <v>0</v>
      </c>
    </row>
    <row r="164" spans="1:10">
      <c r="A164" s="204" t="s">
        <v>793</v>
      </c>
      <c r="B164" s="204" t="s">
        <v>793</v>
      </c>
      <c r="C164" s="205" t="s">
        <v>874</v>
      </c>
      <c r="D164" s="205" t="s">
        <v>874</v>
      </c>
      <c r="E164" s="205">
        <v>0.13322855302436501</v>
      </c>
      <c r="F164" s="205">
        <v>9.4617059237100995E-2</v>
      </c>
      <c r="G164" s="205">
        <v>175.21208002263799</v>
      </c>
      <c r="H164" s="205">
        <v>0</v>
      </c>
      <c r="I164" s="205">
        <v>0</v>
      </c>
      <c r="J164" s="205">
        <v>0</v>
      </c>
    </row>
    <row r="165" spans="1:10">
      <c r="A165" s="204" t="s">
        <v>794</v>
      </c>
      <c r="B165" s="204" t="s">
        <v>794</v>
      </c>
      <c r="C165" s="205" t="s">
        <v>874</v>
      </c>
      <c r="D165" s="205" t="s">
        <v>874</v>
      </c>
      <c r="E165" s="205">
        <v>0.13083741952584299</v>
      </c>
      <c r="F165" s="205">
        <v>0.112422299295002</v>
      </c>
      <c r="G165" s="205">
        <v>180.52360276421899</v>
      </c>
      <c r="H165" s="205">
        <v>0</v>
      </c>
      <c r="I165" s="205">
        <v>0</v>
      </c>
      <c r="J165" s="205">
        <v>0</v>
      </c>
    </row>
    <row r="166" spans="1:10">
      <c r="A166" s="204" t="s">
        <v>795</v>
      </c>
      <c r="B166" s="204" t="s">
        <v>795</v>
      </c>
      <c r="C166" s="205" t="s">
        <v>874</v>
      </c>
      <c r="D166" s="205" t="s">
        <v>874</v>
      </c>
      <c r="E166" s="205">
        <v>0.12796091240443599</v>
      </c>
      <c r="F166" s="205">
        <v>0.121412623092768</v>
      </c>
      <c r="G166" s="205">
        <v>186.002869312467</v>
      </c>
      <c r="H166" s="205">
        <v>0</v>
      </c>
      <c r="I166" s="205">
        <v>0</v>
      </c>
      <c r="J166" s="205">
        <v>0</v>
      </c>
    </row>
    <row r="167" spans="1:10">
      <c r="A167" s="204" t="s">
        <v>796</v>
      </c>
      <c r="B167" s="204" t="s">
        <v>796</v>
      </c>
      <c r="C167" s="205" t="s">
        <v>874</v>
      </c>
      <c r="D167" s="205" t="s">
        <v>874</v>
      </c>
      <c r="E167" s="205">
        <v>0.13555291527079599</v>
      </c>
      <c r="F167" s="205">
        <v>7.2766216328219294E-2</v>
      </c>
      <c r="G167" s="205">
        <v>171.32195160148399</v>
      </c>
      <c r="H167" s="205">
        <v>0</v>
      </c>
      <c r="I167" s="205">
        <v>0</v>
      </c>
      <c r="J167" s="205">
        <v>0</v>
      </c>
    </row>
    <row r="168" spans="1:10">
      <c r="A168" s="204" t="s">
        <v>797</v>
      </c>
      <c r="B168" s="204" t="s">
        <v>797</v>
      </c>
      <c r="C168" s="205" t="s">
        <v>874</v>
      </c>
      <c r="D168" s="205" t="s">
        <v>874</v>
      </c>
      <c r="E168" s="205">
        <v>0.13901527459600099</v>
      </c>
      <c r="F168" s="205">
        <v>4.93797902813818E-2</v>
      </c>
      <c r="G168" s="205">
        <v>168.46650777302301</v>
      </c>
      <c r="H168" s="205">
        <v>0</v>
      </c>
      <c r="I168" s="205">
        <v>0</v>
      </c>
      <c r="J168" s="205">
        <v>0</v>
      </c>
    </row>
    <row r="169" spans="1:10">
      <c r="A169" s="204" t="s">
        <v>798</v>
      </c>
      <c r="B169" s="204" t="s">
        <v>798</v>
      </c>
      <c r="C169" s="205" t="s">
        <v>874</v>
      </c>
      <c r="D169" s="205" t="s">
        <v>874</v>
      </c>
      <c r="E169" s="205">
        <v>0.14252516102523699</v>
      </c>
      <c r="F169" s="205">
        <v>2.5091975812045999E-2</v>
      </c>
      <c r="G169" s="205">
        <v>165.142880666096</v>
      </c>
      <c r="H169" s="205">
        <v>0</v>
      </c>
      <c r="I169" s="205">
        <v>0</v>
      </c>
      <c r="J169" s="205">
        <v>0</v>
      </c>
    </row>
    <row r="170" spans="1:10">
      <c r="A170" s="204" t="s">
        <v>803</v>
      </c>
      <c r="B170" s="204" t="s">
        <v>803</v>
      </c>
      <c r="C170" s="205" t="s">
        <v>874</v>
      </c>
      <c r="D170" s="205" t="s">
        <v>874</v>
      </c>
      <c r="E170" s="205">
        <v>-0.157712935717326</v>
      </c>
      <c r="F170" s="205">
        <v>3.3460386543213497E-2</v>
      </c>
      <c r="G170" s="205">
        <v>202.25082005945001</v>
      </c>
      <c r="H170" s="205">
        <v>0</v>
      </c>
      <c r="I170" s="205">
        <v>0</v>
      </c>
      <c r="J170" s="205">
        <v>0</v>
      </c>
    </row>
    <row r="171" spans="1:10">
      <c r="A171" s="204" t="s">
        <v>804</v>
      </c>
      <c r="B171" s="204" t="s">
        <v>804</v>
      </c>
      <c r="C171" s="205" t="s">
        <v>874</v>
      </c>
      <c r="D171" s="205" t="s">
        <v>874</v>
      </c>
      <c r="E171" s="205">
        <v>-0.15654676259300601</v>
      </c>
      <c r="F171" s="205">
        <v>7.0525442050653905E-2</v>
      </c>
      <c r="G171" s="205">
        <v>201.58873400713301</v>
      </c>
      <c r="H171" s="205">
        <v>0</v>
      </c>
      <c r="I171" s="205">
        <v>0</v>
      </c>
      <c r="J171" s="205">
        <v>0</v>
      </c>
    </row>
    <row r="172" spans="1:10">
      <c r="A172" s="204" t="s">
        <v>805</v>
      </c>
      <c r="B172" s="204" t="s">
        <v>805</v>
      </c>
      <c r="C172" s="205" t="s">
        <v>874</v>
      </c>
      <c r="D172" s="205" t="s">
        <v>874</v>
      </c>
      <c r="E172" s="205">
        <v>-0.158021111814034</v>
      </c>
      <c r="F172" s="205">
        <v>-6.7746525113080696E-3</v>
      </c>
      <c r="G172" s="205">
        <v>200.27741335347801</v>
      </c>
      <c r="H172" s="205">
        <v>0</v>
      </c>
      <c r="I172" s="205">
        <v>0</v>
      </c>
      <c r="J172" s="205">
        <v>0</v>
      </c>
    </row>
    <row r="173" spans="1:10">
      <c r="A173" s="204" t="s">
        <v>810</v>
      </c>
      <c r="B173" s="204" t="s">
        <v>810</v>
      </c>
      <c r="C173" s="205" t="s">
        <v>874</v>
      </c>
      <c r="D173" s="205" t="s">
        <v>874</v>
      </c>
      <c r="E173" s="205">
        <v>-7.4790109489548603E-2</v>
      </c>
      <c r="F173" s="205">
        <v>6.6460161367821402E-2</v>
      </c>
      <c r="G173" s="205">
        <v>130.62338091234199</v>
      </c>
      <c r="H173" s="205">
        <v>0</v>
      </c>
      <c r="I173" s="205">
        <v>0</v>
      </c>
      <c r="J173" s="205">
        <v>0</v>
      </c>
    </row>
    <row r="174" spans="1:10">
      <c r="A174" s="204" t="s">
        <v>811</v>
      </c>
      <c r="B174" s="204" t="s">
        <v>811</v>
      </c>
      <c r="C174" s="205" t="s">
        <v>874</v>
      </c>
      <c r="D174" s="205" t="s">
        <v>874</v>
      </c>
      <c r="E174" s="205">
        <v>-7.3672444211313304E-2</v>
      </c>
      <c r="F174" s="205">
        <v>6.8002670892995595E-2</v>
      </c>
      <c r="G174" s="205">
        <v>131.72543411188099</v>
      </c>
      <c r="H174" s="205">
        <v>0</v>
      </c>
      <c r="I174" s="205">
        <v>0</v>
      </c>
      <c r="J174" s="205">
        <v>0</v>
      </c>
    </row>
    <row r="175" spans="1:10">
      <c r="A175" s="204" t="s">
        <v>812</v>
      </c>
      <c r="B175" s="204" t="s">
        <v>812</v>
      </c>
      <c r="C175" s="205" t="s">
        <v>874</v>
      </c>
      <c r="D175" s="205" t="s">
        <v>874</v>
      </c>
      <c r="E175" s="205">
        <v>-7.4773852138706007E-2</v>
      </c>
      <c r="F175" s="205">
        <v>6.6588477856608305E-2</v>
      </c>
      <c r="G175" s="205">
        <v>129.92694503695</v>
      </c>
      <c r="H175" s="205">
        <v>0</v>
      </c>
      <c r="I175" s="205">
        <v>0</v>
      </c>
      <c r="J175" s="205">
        <v>0</v>
      </c>
    </row>
    <row r="176" spans="1:10">
      <c r="A176" s="204" t="s">
        <v>813</v>
      </c>
      <c r="B176" s="204" t="s">
        <v>813</v>
      </c>
      <c r="C176" s="205" t="s">
        <v>874</v>
      </c>
      <c r="D176" s="205" t="s">
        <v>874</v>
      </c>
      <c r="E176" s="205">
        <v>-7.4131391316440004E-2</v>
      </c>
      <c r="F176" s="205">
        <v>6.8644783141836904E-2</v>
      </c>
      <c r="G176" s="205">
        <v>130.61648365988799</v>
      </c>
      <c r="H176" s="205">
        <v>0</v>
      </c>
      <c r="I176" s="205">
        <v>0</v>
      </c>
      <c r="J176" s="205">
        <v>0</v>
      </c>
    </row>
    <row r="177" spans="1:10">
      <c r="A177" s="204" t="s">
        <v>814</v>
      </c>
      <c r="B177" s="204" t="s">
        <v>814</v>
      </c>
      <c r="C177" s="205" t="s">
        <v>874</v>
      </c>
      <c r="D177" s="205" t="s">
        <v>874</v>
      </c>
      <c r="E177" s="205">
        <v>-7.2750154031116607E-2</v>
      </c>
      <c r="F177" s="205">
        <v>6.8470194377265606E-2</v>
      </c>
      <c r="G177" s="205">
        <v>130.09196333638999</v>
      </c>
      <c r="H177" s="205">
        <v>0</v>
      </c>
      <c r="I177" s="205">
        <v>0</v>
      </c>
      <c r="J177" s="205">
        <v>0</v>
      </c>
    </row>
    <row r="178" spans="1:10">
      <c r="A178" s="204" t="s">
        <v>820</v>
      </c>
      <c r="B178" s="204" t="s">
        <v>820</v>
      </c>
      <c r="C178" s="205" t="s">
        <v>874</v>
      </c>
      <c r="D178" s="205" t="s">
        <v>874</v>
      </c>
      <c r="E178" s="205">
        <v>-6.7425618368286103E-2</v>
      </c>
      <c r="F178" s="205">
        <v>2.83623842872919E-2</v>
      </c>
      <c r="G178" s="205">
        <v>136.01987094698401</v>
      </c>
      <c r="H178" s="205">
        <v>0</v>
      </c>
      <c r="I178" s="205">
        <v>0</v>
      </c>
      <c r="J178" s="205">
        <v>0</v>
      </c>
    </row>
    <row r="179" spans="1:10">
      <c r="A179" s="204" t="s">
        <v>821</v>
      </c>
      <c r="B179" s="204" t="s">
        <v>821</v>
      </c>
      <c r="C179" s="205" t="s">
        <v>874</v>
      </c>
      <c r="D179" s="205" t="s">
        <v>874</v>
      </c>
      <c r="E179" s="205">
        <v>-5.2226715458237601E-2</v>
      </c>
      <c r="F179" s="205">
        <v>3.54316617118886E-2</v>
      </c>
      <c r="G179" s="205">
        <v>135.50606038203401</v>
      </c>
      <c r="H179" s="205">
        <v>0</v>
      </c>
      <c r="I179" s="205">
        <v>0</v>
      </c>
      <c r="J179" s="205">
        <v>0</v>
      </c>
    </row>
    <row r="180" spans="1:10">
      <c r="A180" s="204" t="s">
        <v>823</v>
      </c>
      <c r="B180" s="204" t="s">
        <v>823</v>
      </c>
      <c r="C180" s="205" t="s">
        <v>874</v>
      </c>
      <c r="D180" s="205" t="s">
        <v>874</v>
      </c>
      <c r="E180" s="205">
        <v>-6.3820018284712302E-2</v>
      </c>
      <c r="F180" s="205">
        <v>0.119517606828064</v>
      </c>
      <c r="G180" s="205">
        <v>202.94749775066501</v>
      </c>
      <c r="H180" s="205">
        <v>0</v>
      </c>
      <c r="I180" s="205">
        <v>0</v>
      </c>
      <c r="J180" s="205">
        <v>0</v>
      </c>
    </row>
    <row r="181" spans="1:10">
      <c r="A181" s="204" t="s">
        <v>824</v>
      </c>
      <c r="B181" s="204" t="s">
        <v>824</v>
      </c>
      <c r="C181" s="205" t="s">
        <v>874</v>
      </c>
      <c r="D181" s="205" t="s">
        <v>874</v>
      </c>
      <c r="E181" s="205">
        <v>-2.4980373691563099E-2</v>
      </c>
      <c r="F181" s="205">
        <v>4.7555274620856597E-2</v>
      </c>
      <c r="G181" s="205">
        <v>134.36547492409201</v>
      </c>
      <c r="H181" s="205">
        <v>0</v>
      </c>
      <c r="I181" s="205">
        <v>0</v>
      </c>
      <c r="J181" s="205">
        <v>0</v>
      </c>
    </row>
    <row r="182" spans="1:10">
      <c r="A182" s="204" t="s">
        <v>847</v>
      </c>
      <c r="B182" s="204" t="s">
        <v>847</v>
      </c>
      <c r="C182" s="205" t="s">
        <v>874</v>
      </c>
      <c r="D182" s="205" t="s">
        <v>874</v>
      </c>
      <c r="E182" s="205">
        <v>-7.8763321499698002E-2</v>
      </c>
      <c r="F182" s="205">
        <v>2.3044574623739399E-2</v>
      </c>
      <c r="G182" s="205">
        <v>135.96180128324801</v>
      </c>
      <c r="H182" s="205">
        <v>0</v>
      </c>
      <c r="I182" s="205">
        <v>0</v>
      </c>
      <c r="J182" s="205">
        <v>0</v>
      </c>
    </row>
    <row r="183" spans="1:10">
      <c r="A183" s="204" t="s">
        <v>848</v>
      </c>
      <c r="B183" s="204" t="s">
        <v>848</v>
      </c>
      <c r="C183" s="205" t="s">
        <v>874</v>
      </c>
      <c r="D183" s="205" t="s">
        <v>874</v>
      </c>
      <c r="E183" s="205">
        <v>-4.9475854784611403E-2</v>
      </c>
      <c r="F183" s="205">
        <v>0.11824778513629999</v>
      </c>
      <c r="G183" s="205">
        <v>204.03627523164201</v>
      </c>
      <c r="H183" s="205">
        <v>0</v>
      </c>
      <c r="I183" s="205">
        <v>0</v>
      </c>
      <c r="J183" s="205">
        <v>0</v>
      </c>
    </row>
    <row r="184" spans="1:10">
      <c r="A184" s="204" t="s">
        <v>849</v>
      </c>
      <c r="B184" s="204" t="s">
        <v>849</v>
      </c>
      <c r="C184" s="205" t="s">
        <v>874</v>
      </c>
      <c r="D184" s="205" t="s">
        <v>874</v>
      </c>
      <c r="E184" s="205">
        <v>-3.7008441081907498E-2</v>
      </c>
      <c r="F184" s="205">
        <v>4.1845256292317001E-2</v>
      </c>
      <c r="G184" s="205">
        <v>134.64922302445899</v>
      </c>
      <c r="H184" s="205">
        <v>0</v>
      </c>
      <c r="I184" s="205">
        <v>0</v>
      </c>
      <c r="J184" s="205">
        <v>0</v>
      </c>
    </row>
    <row r="185" spans="1:10">
      <c r="A185" s="204" t="s">
        <v>852</v>
      </c>
      <c r="B185" s="204" t="s">
        <v>852</v>
      </c>
      <c r="C185" s="205" t="s">
        <v>874</v>
      </c>
      <c r="D185" s="205" t="s">
        <v>874</v>
      </c>
      <c r="E185" s="205">
        <v>-3.6348088202072297E-2</v>
      </c>
      <c r="F185" s="205">
        <v>9.7788094971244202E-2</v>
      </c>
      <c r="G185" s="205">
        <v>211.14078648840501</v>
      </c>
      <c r="H185" s="205">
        <v>0</v>
      </c>
      <c r="I185" s="205">
        <v>0</v>
      </c>
      <c r="J185" s="205">
        <v>0</v>
      </c>
    </row>
    <row r="186" spans="1:10">
      <c r="A186" s="204" t="s">
        <v>854</v>
      </c>
      <c r="B186" s="204" t="s">
        <v>854</v>
      </c>
      <c r="C186" s="205" t="s">
        <v>874</v>
      </c>
      <c r="D186" s="205" t="s">
        <v>874</v>
      </c>
      <c r="E186" s="205">
        <v>-7.4843898666582101E-2</v>
      </c>
      <c r="F186" s="205">
        <v>6.7030782028403596E-2</v>
      </c>
      <c r="G186" s="205">
        <v>131.39995884639501</v>
      </c>
      <c r="H186" s="205">
        <v>0</v>
      </c>
      <c r="I186" s="205">
        <v>0</v>
      </c>
      <c r="J186" s="20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00FF"/>
  </sheetPr>
  <dimension ref="A1:B38"/>
  <sheetViews>
    <sheetView zoomScale="85" zoomScaleNormal="85" workbookViewId="0">
      <pane ySplit="1" topLeftCell="A2" activePane="bottomLeft" state="frozen"/>
      <selection pane="bottomLeft" activeCell="H19" sqref="H19"/>
    </sheetView>
  </sheetViews>
  <sheetFormatPr defaultColWidth="14.28515625" defaultRowHeight="15"/>
  <cols>
    <col min="1" max="1" width="5.85546875" style="199" customWidth="1"/>
    <col min="2" max="2" width="15.5703125" style="200" customWidth="1"/>
    <col min="3" max="16384" width="14.28515625" style="201"/>
  </cols>
  <sheetData>
    <row r="1" spans="1:2">
      <c r="A1" s="202" t="s">
        <v>416</v>
      </c>
      <c r="B1" s="203" t="s">
        <v>875</v>
      </c>
    </row>
    <row r="2" spans="1:2">
      <c r="A2" s="199" t="s">
        <v>765</v>
      </c>
      <c r="B2" s="200" t="s">
        <v>876</v>
      </c>
    </row>
    <row r="3" spans="1:2">
      <c r="A3" s="199" t="s">
        <v>766</v>
      </c>
      <c r="B3" s="200" t="s">
        <v>876</v>
      </c>
    </row>
    <row r="4" spans="1:2">
      <c r="A4" s="199" t="s">
        <v>767</v>
      </c>
      <c r="B4" s="200" t="s">
        <v>876</v>
      </c>
    </row>
    <row r="5" spans="1:2">
      <c r="A5" s="199" t="s">
        <v>768</v>
      </c>
      <c r="B5" s="200" t="s">
        <v>876</v>
      </c>
    </row>
    <row r="6" spans="1:2">
      <c r="A6" s="199" t="s">
        <v>769</v>
      </c>
      <c r="B6" s="200" t="s">
        <v>876</v>
      </c>
    </row>
    <row r="7" spans="1:2">
      <c r="A7" s="199" t="s">
        <v>770</v>
      </c>
      <c r="B7" s="200" t="s">
        <v>876</v>
      </c>
    </row>
    <row r="8" spans="1:2">
      <c r="A8" s="199" t="s">
        <v>771</v>
      </c>
      <c r="B8" s="200" t="s">
        <v>876</v>
      </c>
    </row>
    <row r="9" spans="1:2">
      <c r="A9" s="199" t="s">
        <v>772</v>
      </c>
      <c r="B9" s="200" t="s">
        <v>876</v>
      </c>
    </row>
    <row r="10" spans="1:2">
      <c r="A10" s="199" t="s">
        <v>777</v>
      </c>
      <c r="B10" s="200" t="s">
        <v>876</v>
      </c>
    </row>
    <row r="11" spans="1:2">
      <c r="A11" s="199" t="s">
        <v>778</v>
      </c>
      <c r="B11" s="200" t="s">
        <v>876</v>
      </c>
    </row>
    <row r="12" spans="1:2">
      <c r="A12" s="199" t="s">
        <v>779</v>
      </c>
      <c r="B12" s="200" t="s">
        <v>876</v>
      </c>
    </row>
    <row r="13" spans="1:2">
      <c r="A13" s="199" t="s">
        <v>780</v>
      </c>
      <c r="B13" s="200" t="s">
        <v>876</v>
      </c>
    </row>
    <row r="14" spans="1:2">
      <c r="A14" s="199" t="s">
        <v>781</v>
      </c>
      <c r="B14" s="200" t="s">
        <v>876</v>
      </c>
    </row>
    <row r="15" spans="1:2">
      <c r="A15" s="199" t="s">
        <v>782</v>
      </c>
      <c r="B15" s="200" t="s">
        <v>876</v>
      </c>
    </row>
    <row r="16" spans="1:2">
      <c r="A16" s="199" t="s">
        <v>793</v>
      </c>
      <c r="B16" s="200" t="s">
        <v>876</v>
      </c>
    </row>
    <row r="17" spans="1:2">
      <c r="A17" s="199" t="s">
        <v>794</v>
      </c>
      <c r="B17" s="200" t="s">
        <v>876</v>
      </c>
    </row>
    <row r="18" spans="1:2">
      <c r="A18" s="199" t="s">
        <v>795</v>
      </c>
      <c r="B18" s="200" t="s">
        <v>876</v>
      </c>
    </row>
    <row r="19" spans="1:2">
      <c r="A19" s="199" t="s">
        <v>796</v>
      </c>
      <c r="B19" s="200" t="s">
        <v>876</v>
      </c>
    </row>
    <row r="20" spans="1:2">
      <c r="A20" s="199" t="s">
        <v>797</v>
      </c>
      <c r="B20" s="200" t="s">
        <v>876</v>
      </c>
    </row>
    <row r="21" spans="1:2">
      <c r="A21" s="199" t="s">
        <v>798</v>
      </c>
      <c r="B21" s="200" t="s">
        <v>876</v>
      </c>
    </row>
    <row r="22" spans="1:2">
      <c r="A22" s="199" t="s">
        <v>803</v>
      </c>
      <c r="B22" s="200" t="s">
        <v>876</v>
      </c>
    </row>
    <row r="23" spans="1:2">
      <c r="A23" s="199" t="s">
        <v>804</v>
      </c>
      <c r="B23" s="200" t="s">
        <v>876</v>
      </c>
    </row>
    <row r="24" spans="1:2">
      <c r="A24" s="199" t="s">
        <v>805</v>
      </c>
      <c r="B24" s="200" t="s">
        <v>876</v>
      </c>
    </row>
    <row r="25" spans="1:2">
      <c r="A25" s="199" t="s">
        <v>810</v>
      </c>
      <c r="B25" s="200" t="s">
        <v>877</v>
      </c>
    </row>
    <row r="26" spans="1:2">
      <c r="A26" s="199" t="s">
        <v>811</v>
      </c>
      <c r="B26" s="200" t="s">
        <v>877</v>
      </c>
    </row>
    <row r="27" spans="1:2">
      <c r="A27" s="199" t="s">
        <v>812</v>
      </c>
      <c r="B27" s="200" t="s">
        <v>877</v>
      </c>
    </row>
    <row r="28" spans="1:2">
      <c r="A28" s="199" t="s">
        <v>813</v>
      </c>
      <c r="B28" s="200" t="s">
        <v>877</v>
      </c>
    </row>
    <row r="29" spans="1:2">
      <c r="A29" s="199" t="s">
        <v>814</v>
      </c>
      <c r="B29" s="200" t="s">
        <v>877</v>
      </c>
    </row>
    <row r="30" spans="1:2">
      <c r="A30" s="199" t="s">
        <v>820</v>
      </c>
      <c r="B30" s="200" t="s">
        <v>877</v>
      </c>
    </row>
    <row r="31" spans="1:2">
      <c r="A31" s="199" t="s">
        <v>821</v>
      </c>
      <c r="B31" s="200" t="s">
        <v>877</v>
      </c>
    </row>
    <row r="32" spans="1:2">
      <c r="A32" s="199" t="s">
        <v>823</v>
      </c>
      <c r="B32" s="200" t="s">
        <v>876</v>
      </c>
    </row>
    <row r="33" spans="1:2">
      <c r="A33" s="199" t="s">
        <v>824</v>
      </c>
      <c r="B33" s="200" t="s">
        <v>877</v>
      </c>
    </row>
    <row r="34" spans="1:2">
      <c r="A34" s="199" t="s">
        <v>847</v>
      </c>
      <c r="B34" s="200" t="s">
        <v>877</v>
      </c>
    </row>
    <row r="35" spans="1:2">
      <c r="A35" s="199" t="s">
        <v>848</v>
      </c>
      <c r="B35" s="200" t="s">
        <v>876</v>
      </c>
    </row>
    <row r="36" spans="1:2">
      <c r="A36" s="199" t="s">
        <v>849</v>
      </c>
      <c r="B36" s="200" t="s">
        <v>877</v>
      </c>
    </row>
    <row r="37" spans="1:2">
      <c r="A37" s="199" t="s">
        <v>852</v>
      </c>
      <c r="B37" s="200" t="s">
        <v>876</v>
      </c>
    </row>
    <row r="38" spans="1:2">
      <c r="A38" s="199" t="s">
        <v>854</v>
      </c>
      <c r="B38" s="200" t="s">
        <v>877</v>
      </c>
    </row>
  </sheetData>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pageSetUpPr fitToPage="1"/>
  </sheetPr>
  <dimension ref="A1:AA1000"/>
  <sheetViews>
    <sheetView view="pageBreakPreview" zoomScale="85" zoomScaleNormal="100" workbookViewId="0">
      <selection activeCell="E6" sqref="E6"/>
    </sheetView>
  </sheetViews>
  <sheetFormatPr defaultColWidth="9.140625" defaultRowHeight="12.75"/>
  <cols>
    <col min="1" max="1" width="8" style="157" customWidth="1"/>
    <col min="2" max="2" width="10.140625" style="157" customWidth="1"/>
    <col min="3" max="3" width="10.42578125" style="158" customWidth="1"/>
    <col min="4" max="4" width="8.28515625" style="159" customWidth="1"/>
    <col min="5" max="5" width="11.42578125" style="159" customWidth="1"/>
    <col min="6" max="7" width="7.140625" style="160" customWidth="1"/>
    <col min="8" max="8" width="7.140625" style="159" customWidth="1"/>
    <col min="9" max="9" width="9.42578125" style="159" customWidth="1"/>
    <col min="10" max="10" width="10.140625" style="161" customWidth="1"/>
    <col min="11" max="11" width="9.85546875" style="162" customWidth="1"/>
    <col min="12" max="12" width="12.42578125" style="163" customWidth="1"/>
    <col min="13" max="13" width="9.28515625" style="159" customWidth="1"/>
    <col min="14" max="14" width="9.140625" style="164" customWidth="1"/>
    <col min="15" max="15" width="7.42578125" style="165" customWidth="1"/>
    <col min="16" max="16" width="6.140625" style="166" customWidth="1"/>
    <col min="17" max="17" width="14" style="167" customWidth="1"/>
    <col min="18" max="18" width="6.85546875" style="167" customWidth="1"/>
    <col min="19" max="19" width="7.42578125" style="167" customWidth="1"/>
    <col min="20" max="20" width="7.7109375" style="167" customWidth="1"/>
    <col min="21" max="21" width="8.7109375" style="167" customWidth="1"/>
    <col min="22" max="24" width="9.140625" style="166"/>
    <col min="25" max="25" width="9.7109375" style="166" customWidth="1"/>
    <col min="26" max="16384" width="9.140625" style="166"/>
  </cols>
  <sheetData>
    <row r="1" spans="1:21" ht="33" customHeight="1">
      <c r="A1" s="157" t="s">
        <v>878</v>
      </c>
      <c r="B1" s="168">
        <f>IF(M10="Thử tĩnh",1,0)</f>
        <v>0</v>
      </c>
      <c r="C1" s="508" t="s">
        <v>228</v>
      </c>
      <c r="D1" s="508"/>
      <c r="E1" s="508"/>
      <c r="F1" s="508"/>
      <c r="G1" s="508"/>
      <c r="H1" s="508"/>
      <c r="I1" s="508"/>
      <c r="J1" s="508"/>
      <c r="K1" s="508"/>
      <c r="L1" s="508"/>
      <c r="M1" s="508"/>
      <c r="N1" s="509" t="s">
        <v>879</v>
      </c>
      <c r="O1" s="509"/>
      <c r="P1" s="169">
        <v>3.5</v>
      </c>
      <c r="Q1" s="167" t="s">
        <v>875</v>
      </c>
      <c r="R1" s="167" t="s">
        <v>880</v>
      </c>
      <c r="S1" s="170" t="s">
        <v>881</v>
      </c>
      <c r="T1" s="170" t="s">
        <v>882</v>
      </c>
      <c r="U1" s="167" t="s">
        <v>883</v>
      </c>
    </row>
    <row r="2" spans="1:21" ht="15" customHeight="1">
      <c r="A2" s="157" t="s">
        <v>884</v>
      </c>
      <c r="B2" s="168"/>
      <c r="C2" s="510" t="s">
        <v>253</v>
      </c>
      <c r="D2" s="510"/>
      <c r="E2" s="510"/>
      <c r="F2" s="511"/>
      <c r="G2" s="512"/>
      <c r="H2" s="513"/>
      <c r="I2" s="510" t="s">
        <v>255</v>
      </c>
      <c r="J2" s="510"/>
      <c r="K2" s="510"/>
      <c r="L2" s="514" t="s">
        <v>256</v>
      </c>
      <c r="M2" s="514"/>
      <c r="N2" s="171"/>
      <c r="O2" s="172"/>
      <c r="Q2" s="167" t="s">
        <v>876</v>
      </c>
      <c r="R2" s="167">
        <v>1</v>
      </c>
      <c r="S2" s="167">
        <v>250</v>
      </c>
      <c r="T2" s="167">
        <v>300</v>
      </c>
      <c r="U2" s="167">
        <v>1</v>
      </c>
    </row>
    <row r="3" spans="1:21" ht="15">
      <c r="A3" s="166"/>
      <c r="B3" s="166"/>
      <c r="C3" s="510" t="s">
        <v>257</v>
      </c>
      <c r="D3" s="510"/>
      <c r="E3" s="510"/>
      <c r="F3" s="511"/>
      <c r="G3" s="512"/>
      <c r="H3" s="513"/>
      <c r="I3" s="510" t="s">
        <v>258</v>
      </c>
      <c r="J3" s="510"/>
      <c r="K3" s="510"/>
      <c r="L3" s="515">
        <f ca="1">TODAY()</f>
        <v>46281</v>
      </c>
      <c r="M3" s="515"/>
      <c r="N3" s="173"/>
      <c r="O3" s="166"/>
      <c r="Q3" s="167" t="s">
        <v>877</v>
      </c>
      <c r="R3" s="167">
        <v>1</v>
      </c>
      <c r="S3" s="167">
        <v>250</v>
      </c>
      <c r="T3" s="167">
        <v>200</v>
      </c>
      <c r="U3" s="167">
        <v>1</v>
      </c>
    </row>
    <row r="4" spans="1:21" ht="15">
      <c r="A4" s="166"/>
      <c r="B4" s="166"/>
      <c r="C4" s="510" t="s">
        <v>885</v>
      </c>
      <c r="D4" s="510"/>
      <c r="E4" s="510"/>
      <c r="F4" s="511"/>
      <c r="G4" s="512"/>
      <c r="H4" s="513"/>
      <c r="I4" s="510" t="s">
        <v>886</v>
      </c>
      <c r="J4" s="510"/>
      <c r="K4" s="510"/>
      <c r="L4" s="510" t="s">
        <v>254</v>
      </c>
      <c r="M4" s="510"/>
      <c r="N4" s="173"/>
      <c r="O4" s="166"/>
    </row>
    <row r="5" spans="1:21" ht="15" customHeight="1">
      <c r="A5" s="166"/>
      <c r="B5" s="166"/>
      <c r="C5" s="510" t="s">
        <v>887</v>
      </c>
      <c r="D5" s="510"/>
      <c r="E5" s="510"/>
      <c r="F5" s="511" t="s">
        <v>888</v>
      </c>
      <c r="G5" s="516"/>
      <c r="H5" s="517"/>
      <c r="I5" s="510" t="s">
        <v>889</v>
      </c>
      <c r="J5" s="510"/>
      <c r="K5" s="510"/>
      <c r="L5" s="510"/>
      <c r="M5" s="510"/>
      <c r="N5" s="173"/>
      <c r="O5" s="166"/>
    </row>
    <row r="6" spans="1:21">
      <c r="A6" s="166"/>
      <c r="B6" s="166"/>
      <c r="C6" s="174"/>
      <c r="D6" s="175"/>
      <c r="E6" s="175"/>
      <c r="F6" s="175"/>
      <c r="G6" s="175"/>
      <c r="H6" s="175"/>
      <c r="I6" s="175"/>
      <c r="J6" s="175"/>
      <c r="K6" s="176"/>
      <c r="L6" s="175"/>
      <c r="M6" s="177"/>
      <c r="N6" s="173"/>
      <c r="O6" s="166"/>
    </row>
    <row r="7" spans="1:21" ht="15" customHeight="1">
      <c r="A7" s="166"/>
      <c r="B7" s="166"/>
      <c r="C7" s="523" t="s">
        <v>890</v>
      </c>
      <c r="D7" s="523"/>
      <c r="E7" s="523"/>
      <c r="F7" s="523"/>
      <c r="G7" s="523"/>
      <c r="H7" s="178"/>
      <c r="I7" s="179"/>
      <c r="J7" s="518" t="s">
        <v>891</v>
      </c>
      <c r="K7" s="518"/>
      <c r="L7" s="518"/>
      <c r="M7" s="180" t="s">
        <v>873</v>
      </c>
      <c r="N7" s="173"/>
      <c r="O7" s="166"/>
    </row>
    <row r="8" spans="1:21" ht="15" customHeight="1">
      <c r="A8" s="166"/>
      <c r="B8" s="166"/>
      <c r="C8" s="523"/>
      <c r="D8" s="523"/>
      <c r="E8" s="523"/>
      <c r="F8" s="523"/>
      <c r="G8" s="523"/>
      <c r="H8" s="181"/>
      <c r="I8" s="182"/>
      <c r="J8" s="518" t="s">
        <v>892</v>
      </c>
      <c r="K8" s="518"/>
      <c r="L8" s="518"/>
      <c r="M8" s="180" t="s">
        <v>872</v>
      </c>
      <c r="N8" s="173"/>
      <c r="O8" s="166"/>
    </row>
    <row r="9" spans="1:21" ht="15" customHeight="1">
      <c r="A9" s="166"/>
      <c r="B9" s="166"/>
      <c r="C9" s="519" t="str">
        <f>"Cấp hậu quả của công trình:"</f>
        <v>Cấp hậu quả của công trình:</v>
      </c>
      <c r="D9" s="519"/>
      <c r="E9" s="519"/>
      <c r="F9" s="519"/>
      <c r="G9" s="519"/>
      <c r="H9" s="520" t="s">
        <v>174</v>
      </c>
      <c r="I9" s="520"/>
      <c r="J9" s="518" t="s">
        <v>893</v>
      </c>
      <c r="K9" s="518"/>
      <c r="L9" s="518"/>
      <c r="M9" s="180" t="s">
        <v>874</v>
      </c>
      <c r="N9" s="173"/>
      <c r="O9" s="166"/>
    </row>
    <row r="10" spans="1:21" ht="15" customHeight="1">
      <c r="A10" s="166"/>
      <c r="B10" s="166"/>
      <c r="C10" s="521" t="s">
        <v>894</v>
      </c>
      <c r="D10" s="521"/>
      <c r="E10" s="521"/>
      <c r="F10" s="521"/>
      <c r="G10" s="521"/>
      <c r="H10" s="522">
        <f>IF(H9="C1",1,IF(H9="C2",1.15,1.2))</f>
        <v>1.1499999999999999</v>
      </c>
      <c r="I10" s="522"/>
      <c r="J10" s="518"/>
      <c r="K10" s="518"/>
      <c r="L10" s="518"/>
      <c r="M10" s="180"/>
      <c r="N10" s="173"/>
      <c r="O10" s="166"/>
    </row>
    <row r="11" spans="1:21" hidden="1">
      <c r="A11" s="166"/>
      <c r="B11" s="166"/>
      <c r="C11" s="174"/>
      <c r="D11" s="175"/>
      <c r="E11" s="175"/>
      <c r="F11" s="175"/>
      <c r="G11" s="175"/>
      <c r="H11" s="175"/>
      <c r="I11" s="175"/>
      <c r="J11" s="175"/>
      <c r="K11" s="176"/>
      <c r="L11" s="175"/>
      <c r="M11" s="177"/>
      <c r="N11" s="173"/>
      <c r="O11" s="173"/>
    </row>
    <row r="12" spans="1:21" ht="14.25" hidden="1" customHeight="1">
      <c r="A12" s="166"/>
      <c r="B12" s="166"/>
      <c r="C12" s="524"/>
      <c r="D12" s="524"/>
      <c r="E12" s="524"/>
      <c r="F12" s="524"/>
      <c r="G12" s="525"/>
      <c r="H12" s="526"/>
      <c r="I12" s="526"/>
      <c r="J12" s="183"/>
      <c r="K12" s="184"/>
      <c r="L12" s="183"/>
      <c r="M12" s="183"/>
      <c r="N12" s="173"/>
      <c r="O12" s="166"/>
    </row>
    <row r="13" spans="1:21" ht="15" hidden="1" customHeight="1">
      <c r="A13" s="166"/>
      <c r="B13" s="166"/>
      <c r="C13" s="524"/>
      <c r="D13" s="524"/>
      <c r="E13" s="524"/>
      <c r="F13" s="524"/>
      <c r="G13" s="525"/>
      <c r="H13" s="526"/>
      <c r="I13" s="526"/>
      <c r="J13" s="183"/>
      <c r="K13" s="184"/>
      <c r="L13" s="183"/>
      <c r="M13" s="183"/>
      <c r="N13" s="173"/>
      <c r="O13" s="166"/>
    </row>
    <row r="14" spans="1:21" ht="15" hidden="1" customHeight="1">
      <c r="A14" s="166"/>
      <c r="B14" s="166"/>
      <c r="C14" s="524"/>
      <c r="D14" s="524"/>
      <c r="E14" s="524"/>
      <c r="F14" s="524"/>
      <c r="G14" s="525"/>
      <c r="H14" s="526"/>
      <c r="I14" s="526"/>
      <c r="J14" s="183"/>
      <c r="K14" s="184"/>
      <c r="L14" s="183"/>
      <c r="M14" s="183"/>
      <c r="N14" s="173"/>
      <c r="O14" s="173"/>
    </row>
    <row r="15" spans="1:21" ht="15" hidden="1" customHeight="1">
      <c r="A15" s="166"/>
      <c r="B15" s="166"/>
      <c r="C15" s="524"/>
      <c r="D15" s="524"/>
      <c r="E15" s="524"/>
      <c r="F15" s="524"/>
      <c r="G15" s="525"/>
      <c r="H15" s="526"/>
      <c r="I15" s="526"/>
      <c r="J15" s="183"/>
      <c r="K15" s="184"/>
      <c r="L15" s="183"/>
      <c r="M15" s="183"/>
      <c r="N15" s="173"/>
      <c r="O15" s="173"/>
    </row>
    <row r="16" spans="1:21" ht="15" hidden="1" customHeight="1">
      <c r="A16" s="166"/>
      <c r="B16" s="166"/>
      <c r="C16" s="524"/>
      <c r="D16" s="524"/>
      <c r="E16" s="524"/>
      <c r="F16" s="524"/>
      <c r="G16" s="525"/>
      <c r="H16" s="526"/>
      <c r="I16" s="526"/>
      <c r="J16" s="183"/>
      <c r="K16" s="184"/>
      <c r="L16" s="183"/>
      <c r="M16" s="183"/>
      <c r="N16" s="173"/>
      <c r="O16" s="173"/>
    </row>
    <row r="17" spans="1:27">
      <c r="A17" s="166"/>
      <c r="B17" s="166"/>
      <c r="C17" s="174"/>
      <c r="D17" s="175"/>
      <c r="E17" s="175"/>
      <c r="F17" s="175"/>
      <c r="G17" s="175"/>
      <c r="H17" s="175"/>
      <c r="I17" s="175"/>
      <c r="J17" s="175"/>
      <c r="K17" s="176"/>
      <c r="L17" s="175"/>
      <c r="M17" s="177"/>
      <c r="N17" s="173">
        <f>MAX(MIN(O20:O1000),MIN(N20:N1000))</f>
        <v>401.41000920937103</v>
      </c>
      <c r="O17" s="173">
        <f>N17</f>
        <v>401.41000920937103</v>
      </c>
    </row>
    <row r="18" spans="1:27" ht="28.5">
      <c r="A18" s="527" t="s">
        <v>875</v>
      </c>
      <c r="B18" s="528"/>
      <c r="C18" s="185" t="s">
        <v>895</v>
      </c>
      <c r="D18" s="186" t="s">
        <v>896</v>
      </c>
      <c r="E18" s="187" t="s">
        <v>897</v>
      </c>
      <c r="F18" s="187" t="s">
        <v>898</v>
      </c>
      <c r="G18" s="187" t="s">
        <v>898</v>
      </c>
      <c r="H18" s="187" t="s">
        <v>899</v>
      </c>
      <c r="I18" s="187" t="s">
        <v>900</v>
      </c>
      <c r="J18" s="530" t="s">
        <v>901</v>
      </c>
      <c r="K18" s="188" t="s">
        <v>902</v>
      </c>
      <c r="L18" s="187" t="s">
        <v>903</v>
      </c>
      <c r="M18" s="186" t="s">
        <v>904</v>
      </c>
      <c r="N18" s="529" t="s">
        <v>905</v>
      </c>
      <c r="O18" s="529"/>
    </row>
    <row r="19" spans="1:27" ht="15">
      <c r="C19" s="185" t="s">
        <v>906</v>
      </c>
      <c r="D19" s="186" t="s">
        <v>254</v>
      </c>
      <c r="E19" s="186" t="s">
        <v>906</v>
      </c>
      <c r="F19" s="189" t="s">
        <v>907</v>
      </c>
      <c r="G19" s="189" t="s">
        <v>908</v>
      </c>
      <c r="H19" s="186" t="s">
        <v>909</v>
      </c>
      <c r="I19" s="186" t="s">
        <v>337</v>
      </c>
      <c r="J19" s="531"/>
      <c r="K19" s="190" t="s">
        <v>337</v>
      </c>
      <c r="L19" s="186" t="s">
        <v>254</v>
      </c>
      <c r="M19" s="186" t="s">
        <v>254</v>
      </c>
      <c r="N19" s="191" t="s">
        <v>910</v>
      </c>
      <c r="O19" s="192" t="s">
        <v>911</v>
      </c>
      <c r="V19" s="193">
        <v>0</v>
      </c>
      <c r="W19" s="193">
        <v>0.5</v>
      </c>
      <c r="X19" s="193">
        <v>0.8</v>
      </c>
      <c r="Y19" s="193">
        <v>1</v>
      </c>
      <c r="Z19" s="192" t="s">
        <v>910</v>
      </c>
      <c r="AA19" s="192" t="s">
        <v>911</v>
      </c>
    </row>
    <row r="20" spans="1:27" ht="15">
      <c r="A20" s="157">
        <v>1</v>
      </c>
      <c r="B20" s="157" t="s">
        <v>876</v>
      </c>
      <c r="C20" s="158" t="s">
        <v>765</v>
      </c>
      <c r="D20" s="159">
        <f>VLOOKUP(B20,Q:U,2,0)</f>
        <v>1</v>
      </c>
      <c r="E20" s="159" t="s">
        <v>873</v>
      </c>
      <c r="F20" s="160">
        <v>263.95844468385502</v>
      </c>
      <c r="G20" s="160">
        <v>23.129962059754099</v>
      </c>
      <c r="H20" s="159">
        <f>VLOOKUP(B20,Q:U,3,0)</f>
        <v>250</v>
      </c>
      <c r="I20" s="159">
        <f>VLOOKUP(B20,Q:U,4,0)</f>
        <v>300</v>
      </c>
      <c r="J20" s="161">
        <f>IF(E20=$M$7,1,IF(E20=$M$8,1,$H$10))</f>
        <v>1</v>
      </c>
      <c r="K20" s="162">
        <f>I20/$H$10*J20</f>
        <v>260.86956521739103</v>
      </c>
      <c r="L20" s="163">
        <f>IFERROR(K20/F20,"")</f>
        <v>0.988297856997289</v>
      </c>
      <c r="M20" s="159" t="str">
        <f>IF(L20&lt;1,"NOT OK","OK")</f>
        <v>NOT OK</v>
      </c>
      <c r="N20" s="194">
        <f>VLOOKUP(C20,'Point Coordinates'!$A:$D,2,0)*1000</f>
        <v>7274.5910540707</v>
      </c>
      <c r="O20" s="195">
        <f>VLOOKUP(C20,'Point Coordinates'!$A:$D,3,0)*1000</f>
        <v>401.56975269889</v>
      </c>
      <c r="V20" s="196">
        <f>IFERROR(IF(AND(1/L20&gt;$V$19,1/L20&lt;=$W$19),1/L20,0),"")</f>
        <v>0</v>
      </c>
      <c r="W20" s="197">
        <f>IFERROR(IF(AND(1/L20&gt;$W$19,1/L20&lt;=$X$19),1/L20,0),"")</f>
        <v>0</v>
      </c>
      <c r="X20" s="197">
        <f>IFERROR(IF(AND(1/L20&gt;$X$19,1/L20&lt;=$Y$19),1/L20,0),"")</f>
        <v>0</v>
      </c>
      <c r="Y20" s="197">
        <f>IFERROR(IF(1/L20&gt;$Y$19,1/L20,0),"")</f>
        <v>1.0118407046214399</v>
      </c>
      <c r="Z20" s="157">
        <f>IF(N20&lt;&gt;"",(N20-$N$17)/1000,1/0)</f>
        <v>6.8731810448613304</v>
      </c>
      <c r="AA20" s="157">
        <f>IF(O20&lt;&gt;"",(O20-$O$17)/1000,1/0)</f>
        <v>1.5974348951886E-4</v>
      </c>
    </row>
    <row r="21" spans="1:27" ht="15">
      <c r="A21" s="157">
        <v>1</v>
      </c>
      <c r="B21" s="157" t="s">
        <v>876</v>
      </c>
      <c r="C21" s="158" t="s">
        <v>766</v>
      </c>
      <c r="D21" s="159">
        <f t="shared" ref="D21:D84" si="0">VLOOKUP(B21,Q:U,2,0)</f>
        <v>1</v>
      </c>
      <c r="E21" s="159" t="s">
        <v>873</v>
      </c>
      <c r="F21" s="160">
        <v>197.46734271429199</v>
      </c>
      <c r="G21" s="160">
        <v>76.5798358067603</v>
      </c>
      <c r="H21" s="159">
        <f t="shared" ref="H21:H84" si="1">VLOOKUP(B21,Q:U,3,0)</f>
        <v>250</v>
      </c>
      <c r="I21" s="159">
        <f t="shared" ref="I21:I84" si="2">VLOOKUP(B21,Q:U,4,0)</f>
        <v>300</v>
      </c>
      <c r="J21" s="161">
        <f t="shared" ref="J21:J84" si="3">IF(E21=$M$7,1,IF(E21=$M$8,1,$H$10))</f>
        <v>1</v>
      </c>
      <c r="K21" s="162">
        <f t="shared" ref="K21:K84" si="4">I21/$H$10*J21</f>
        <v>260.86956521739103</v>
      </c>
      <c r="L21" s="163">
        <f t="shared" ref="L21:L84" si="5">IFERROR(K21/F21,"")</f>
        <v>1.3210770025645899</v>
      </c>
      <c r="M21" s="159" t="str">
        <f t="shared" ref="M21:M84" si="6">IF(L21&lt;1,"NOT OK","OK")</f>
        <v>OK</v>
      </c>
      <c r="N21" s="194">
        <f>VLOOKUP(C21,'Point Coordinates'!$A:$D,2,0)*1000</f>
        <v>7274.5910540707</v>
      </c>
      <c r="O21" s="195">
        <f>VLOOKUP(C21,'Point Coordinates'!$A:$D,3,0)*1000</f>
        <v>1151.5697526988899</v>
      </c>
      <c r="V21" s="196">
        <f t="shared" ref="V21:V84" si="7">IFERROR(IF(AND(1/L21&gt;$V$19,1/L21&lt;=$W$19),1/L21,0),"")</f>
        <v>0</v>
      </c>
      <c r="W21" s="197">
        <f t="shared" ref="W21:W84" si="8">IFERROR(IF(AND(1/L21&gt;$W$19,1/L21&lt;=$X$19),1/L21,0),"")</f>
        <v>0.75695814707145304</v>
      </c>
      <c r="X21" s="197">
        <f t="shared" ref="X21:X84" si="9">IFERROR(IF(AND(1/L21&gt;$X$19,1/L21&lt;=$Y$19),1/L21,0),"")</f>
        <v>0</v>
      </c>
      <c r="Y21" s="197">
        <f t="shared" ref="Y21:Y84" si="10">IFERROR(IF(1/L21&gt;$Y$19,1/L21,0),"")</f>
        <v>0</v>
      </c>
      <c r="Z21" s="157">
        <f t="shared" ref="Z21:Z84" si="11">IF(N21&lt;&gt;"",(N21-$N$17)/1000,1/0)</f>
        <v>6.8731810448613304</v>
      </c>
      <c r="AA21" s="157">
        <f t="shared" ref="AA21:AA84" si="12">IF(O21&lt;&gt;"",(O21-$O$17)/1000,1/0)</f>
        <v>0.75015974348951897</v>
      </c>
    </row>
    <row r="22" spans="1:27" ht="15">
      <c r="A22" s="157">
        <v>1</v>
      </c>
      <c r="B22" s="157" t="s">
        <v>876</v>
      </c>
      <c r="C22" s="158" t="s">
        <v>767</v>
      </c>
      <c r="D22" s="159">
        <f t="shared" si="0"/>
        <v>1</v>
      </c>
      <c r="E22" s="159" t="s">
        <v>873</v>
      </c>
      <c r="F22" s="160">
        <v>262.87021873873499</v>
      </c>
      <c r="G22" s="160">
        <v>26.456960438945199</v>
      </c>
      <c r="H22" s="159">
        <f t="shared" si="1"/>
        <v>250</v>
      </c>
      <c r="I22" s="159">
        <f t="shared" si="2"/>
        <v>300</v>
      </c>
      <c r="J22" s="161">
        <f t="shared" si="3"/>
        <v>1</v>
      </c>
      <c r="K22" s="162">
        <f t="shared" si="4"/>
        <v>260.86956521739103</v>
      </c>
      <c r="L22" s="163">
        <f t="shared" si="5"/>
        <v>0.99238919672626702</v>
      </c>
      <c r="M22" s="159" t="str">
        <f t="shared" si="6"/>
        <v>NOT OK</v>
      </c>
      <c r="N22" s="194">
        <f>VLOOKUP(C22,'Point Coordinates'!$A:$D,2,0)*1000</f>
        <v>6524.5910540707</v>
      </c>
      <c r="O22" s="195">
        <f>VLOOKUP(C22,'Point Coordinates'!$A:$D,3,0)*1000</f>
        <v>401.56975269889</v>
      </c>
      <c r="V22" s="196">
        <f t="shared" si="7"/>
        <v>0</v>
      </c>
      <c r="W22" s="197">
        <f t="shared" si="8"/>
        <v>0</v>
      </c>
      <c r="X22" s="197">
        <f t="shared" si="9"/>
        <v>0</v>
      </c>
      <c r="Y22" s="197">
        <f t="shared" si="10"/>
        <v>1.00766917183182</v>
      </c>
      <c r="Z22" s="157">
        <f t="shared" si="11"/>
        <v>6.1231810448613304</v>
      </c>
      <c r="AA22" s="157">
        <f t="shared" si="12"/>
        <v>1.5974348951886E-4</v>
      </c>
    </row>
    <row r="23" spans="1:27" ht="15">
      <c r="A23" s="157">
        <v>1</v>
      </c>
      <c r="B23" s="157" t="s">
        <v>876</v>
      </c>
      <c r="C23" s="158" t="s">
        <v>768</v>
      </c>
      <c r="D23" s="159">
        <f t="shared" si="0"/>
        <v>1</v>
      </c>
      <c r="E23" s="159" t="s">
        <v>873</v>
      </c>
      <c r="F23" s="160">
        <v>197.31475932323099</v>
      </c>
      <c r="G23" s="160">
        <v>79.354940611050594</v>
      </c>
      <c r="H23" s="159">
        <f t="shared" si="1"/>
        <v>250</v>
      </c>
      <c r="I23" s="159">
        <f t="shared" si="2"/>
        <v>300</v>
      </c>
      <c r="J23" s="161">
        <f t="shared" si="3"/>
        <v>1</v>
      </c>
      <c r="K23" s="162">
        <f t="shared" si="4"/>
        <v>260.86956521739103</v>
      </c>
      <c r="L23" s="163">
        <f t="shared" si="5"/>
        <v>1.32209859065863</v>
      </c>
      <c r="M23" s="159" t="str">
        <f t="shared" si="6"/>
        <v>OK</v>
      </c>
      <c r="N23" s="194">
        <f>VLOOKUP(C23,'Point Coordinates'!$A:$D,2,0)*1000</f>
        <v>6524.5910540707</v>
      </c>
      <c r="O23" s="195">
        <f>VLOOKUP(C23,'Point Coordinates'!$A:$D,3,0)*1000</f>
        <v>1151.5697526988899</v>
      </c>
      <c r="V23" s="196">
        <f t="shared" si="7"/>
        <v>0</v>
      </c>
      <c r="W23" s="197">
        <f t="shared" si="8"/>
        <v>0.75637324407238504</v>
      </c>
      <c r="X23" s="197">
        <f t="shared" si="9"/>
        <v>0</v>
      </c>
      <c r="Y23" s="197">
        <f t="shared" si="10"/>
        <v>0</v>
      </c>
      <c r="Z23" s="157">
        <f t="shared" si="11"/>
        <v>6.1231810448613304</v>
      </c>
      <c r="AA23" s="157">
        <f t="shared" si="12"/>
        <v>0.75015974348951897</v>
      </c>
    </row>
    <row r="24" spans="1:27" ht="15">
      <c r="A24" s="157">
        <v>1</v>
      </c>
      <c r="B24" s="157" t="s">
        <v>876</v>
      </c>
      <c r="C24" s="158" t="s">
        <v>769</v>
      </c>
      <c r="D24" s="159">
        <f t="shared" si="0"/>
        <v>1</v>
      </c>
      <c r="E24" s="159" t="s">
        <v>873</v>
      </c>
      <c r="F24" s="160">
        <v>287.34277636038797</v>
      </c>
      <c r="G24" s="160">
        <v>43.559965823938299</v>
      </c>
      <c r="H24" s="159">
        <f t="shared" si="1"/>
        <v>250</v>
      </c>
      <c r="I24" s="159">
        <f t="shared" si="2"/>
        <v>300</v>
      </c>
      <c r="J24" s="161">
        <f t="shared" si="3"/>
        <v>1</v>
      </c>
      <c r="K24" s="162">
        <f t="shared" si="4"/>
        <v>260.86956521739103</v>
      </c>
      <c r="L24" s="163">
        <f t="shared" si="5"/>
        <v>0.90786888232125296</v>
      </c>
      <c r="M24" s="159" t="str">
        <f t="shared" si="6"/>
        <v>NOT OK</v>
      </c>
      <c r="N24" s="194">
        <f>VLOOKUP(C24,'Point Coordinates'!$A:$D,2,0)*1000</f>
        <v>7274.5910540707</v>
      </c>
      <c r="O24" s="195">
        <f>VLOOKUP(C24,'Point Coordinates'!$A:$D,3,0)*1000</f>
        <v>3393.73888074448</v>
      </c>
      <c r="V24" s="196">
        <f t="shared" si="7"/>
        <v>0</v>
      </c>
      <c r="W24" s="197">
        <f t="shared" si="8"/>
        <v>0</v>
      </c>
      <c r="X24" s="197">
        <f t="shared" si="9"/>
        <v>0</v>
      </c>
      <c r="Y24" s="197">
        <f t="shared" si="10"/>
        <v>1.10148064271482</v>
      </c>
      <c r="Z24" s="157">
        <f t="shared" si="11"/>
        <v>6.8731810448613304</v>
      </c>
      <c r="AA24" s="157">
        <f t="shared" si="12"/>
        <v>2.99232887153511</v>
      </c>
    </row>
    <row r="25" spans="1:27" ht="15">
      <c r="A25" s="157">
        <v>1</v>
      </c>
      <c r="B25" s="157" t="s">
        <v>876</v>
      </c>
      <c r="C25" s="158" t="s">
        <v>770</v>
      </c>
      <c r="D25" s="159">
        <f t="shared" si="0"/>
        <v>1</v>
      </c>
      <c r="E25" s="159" t="s">
        <v>873</v>
      </c>
      <c r="F25" s="160">
        <v>215.503617238967</v>
      </c>
      <c r="G25" s="160">
        <v>78.908700295586399</v>
      </c>
      <c r="H25" s="159">
        <f t="shared" si="1"/>
        <v>250</v>
      </c>
      <c r="I25" s="159">
        <f t="shared" si="2"/>
        <v>300</v>
      </c>
      <c r="J25" s="161">
        <f t="shared" si="3"/>
        <v>1</v>
      </c>
      <c r="K25" s="162">
        <f t="shared" si="4"/>
        <v>260.86956521739103</v>
      </c>
      <c r="L25" s="163">
        <f t="shared" si="5"/>
        <v>1.2105113063049799</v>
      </c>
      <c r="M25" s="159" t="str">
        <f t="shared" si="6"/>
        <v>OK</v>
      </c>
      <c r="N25" s="194">
        <f>VLOOKUP(C25,'Point Coordinates'!$A:$D,2,0)*1000</f>
        <v>7274.5910540707</v>
      </c>
      <c r="O25" s="195">
        <f>VLOOKUP(C25,'Point Coordinates'!$A:$D,3,0)*1000</f>
        <v>2643.73888074448</v>
      </c>
      <c r="V25" s="196">
        <f t="shared" si="7"/>
        <v>0</v>
      </c>
      <c r="W25" s="197">
        <f t="shared" si="8"/>
        <v>0</v>
      </c>
      <c r="X25" s="197">
        <f t="shared" si="9"/>
        <v>0.82609719941603998</v>
      </c>
      <c r="Y25" s="197">
        <f t="shared" si="10"/>
        <v>0</v>
      </c>
      <c r="Z25" s="157">
        <f t="shared" si="11"/>
        <v>6.8731810448613304</v>
      </c>
      <c r="AA25" s="157">
        <f t="shared" si="12"/>
        <v>2.24232887153511</v>
      </c>
    </row>
    <row r="26" spans="1:27" ht="15">
      <c r="A26" s="157">
        <v>1</v>
      </c>
      <c r="B26" s="157" t="s">
        <v>876</v>
      </c>
      <c r="C26" s="158" t="s">
        <v>771</v>
      </c>
      <c r="D26" s="159">
        <f t="shared" si="0"/>
        <v>1</v>
      </c>
      <c r="E26" s="159" t="s">
        <v>873</v>
      </c>
      <c r="F26" s="160">
        <v>280.43172435177598</v>
      </c>
      <c r="G26" s="160">
        <v>57.621150228273997</v>
      </c>
      <c r="H26" s="159">
        <f t="shared" si="1"/>
        <v>250</v>
      </c>
      <c r="I26" s="159">
        <f t="shared" si="2"/>
        <v>300</v>
      </c>
      <c r="J26" s="161">
        <f t="shared" si="3"/>
        <v>1</v>
      </c>
      <c r="K26" s="162">
        <f t="shared" si="4"/>
        <v>260.86956521739103</v>
      </c>
      <c r="L26" s="163">
        <f t="shared" si="5"/>
        <v>0.93024270281972199</v>
      </c>
      <c r="M26" s="159" t="str">
        <f t="shared" si="6"/>
        <v>NOT OK</v>
      </c>
      <c r="N26" s="194">
        <f>VLOOKUP(C26,'Point Coordinates'!$A:$D,2,0)*1000</f>
        <v>6524.5910540707</v>
      </c>
      <c r="O26" s="195">
        <f>VLOOKUP(C26,'Point Coordinates'!$A:$D,3,0)*1000</f>
        <v>3393.73888074448</v>
      </c>
      <c r="V26" s="196">
        <f t="shared" si="7"/>
        <v>0</v>
      </c>
      <c r="W26" s="197">
        <f t="shared" si="8"/>
        <v>0</v>
      </c>
      <c r="X26" s="197">
        <f t="shared" si="9"/>
        <v>0</v>
      </c>
      <c r="Y26" s="197">
        <f t="shared" si="10"/>
        <v>1.07498827668181</v>
      </c>
      <c r="Z26" s="157">
        <f t="shared" si="11"/>
        <v>6.1231810448613304</v>
      </c>
      <c r="AA26" s="157">
        <f t="shared" si="12"/>
        <v>2.99232887153511</v>
      </c>
    </row>
    <row r="27" spans="1:27" ht="15">
      <c r="A27" s="157">
        <v>1</v>
      </c>
      <c r="B27" s="157" t="s">
        <v>876</v>
      </c>
      <c r="C27" s="158" t="s">
        <v>772</v>
      </c>
      <c r="D27" s="159">
        <f t="shared" si="0"/>
        <v>1</v>
      </c>
      <c r="E27" s="159" t="s">
        <v>873</v>
      </c>
      <c r="F27" s="160">
        <v>209.33271207449101</v>
      </c>
      <c r="G27" s="160">
        <v>92.122803045187695</v>
      </c>
      <c r="H27" s="159">
        <f t="shared" si="1"/>
        <v>250</v>
      </c>
      <c r="I27" s="159">
        <f t="shared" si="2"/>
        <v>300</v>
      </c>
      <c r="J27" s="161">
        <f t="shared" si="3"/>
        <v>1</v>
      </c>
      <c r="K27" s="162">
        <f t="shared" si="4"/>
        <v>260.86956521739103</v>
      </c>
      <c r="L27" s="163">
        <f t="shared" si="5"/>
        <v>1.2461958889853799</v>
      </c>
      <c r="M27" s="159" t="str">
        <f t="shared" si="6"/>
        <v>OK</v>
      </c>
      <c r="N27" s="194">
        <f>VLOOKUP(C27,'Point Coordinates'!$A:$D,2,0)*1000</f>
        <v>6524.5910540707</v>
      </c>
      <c r="O27" s="195">
        <f>VLOOKUP(C27,'Point Coordinates'!$A:$D,3,0)*1000</f>
        <v>2643.73888074448</v>
      </c>
      <c r="V27" s="196">
        <f t="shared" si="7"/>
        <v>0</v>
      </c>
      <c r="W27" s="197">
        <f t="shared" si="8"/>
        <v>0</v>
      </c>
      <c r="X27" s="197">
        <f t="shared" si="9"/>
        <v>0.80244206295221598</v>
      </c>
      <c r="Y27" s="197">
        <f t="shared" si="10"/>
        <v>0</v>
      </c>
      <c r="Z27" s="157">
        <f t="shared" si="11"/>
        <v>6.1231810448613304</v>
      </c>
      <c r="AA27" s="157">
        <f t="shared" si="12"/>
        <v>2.24232887153511</v>
      </c>
    </row>
    <row r="28" spans="1:27" ht="15">
      <c r="A28" s="157">
        <v>1</v>
      </c>
      <c r="B28" s="157" t="s">
        <v>876</v>
      </c>
      <c r="C28" s="158" t="s">
        <v>777</v>
      </c>
      <c r="D28" s="159">
        <f t="shared" si="0"/>
        <v>1</v>
      </c>
      <c r="E28" s="159" t="s">
        <v>873</v>
      </c>
      <c r="F28" s="160">
        <v>344.90663875316102</v>
      </c>
      <c r="G28" s="160">
        <v>21.787269221561601</v>
      </c>
      <c r="H28" s="159">
        <f t="shared" si="1"/>
        <v>250</v>
      </c>
      <c r="I28" s="159">
        <f t="shared" si="2"/>
        <v>300</v>
      </c>
      <c r="J28" s="161">
        <f t="shared" si="3"/>
        <v>1</v>
      </c>
      <c r="K28" s="162">
        <f t="shared" si="4"/>
        <v>260.86956521739103</v>
      </c>
      <c r="L28" s="163">
        <f t="shared" si="5"/>
        <v>0.75634834446920496</v>
      </c>
      <c r="M28" s="159" t="str">
        <f t="shared" si="6"/>
        <v>NOT OK</v>
      </c>
      <c r="N28" s="194">
        <f>VLOOKUP(C28,'Point Coordinates'!$A:$D,2,0)*1000</f>
        <v>10583.8280698332</v>
      </c>
      <c r="O28" s="195">
        <f>VLOOKUP(C28,'Point Coordinates'!$A:$D,3,0)*1000</f>
        <v>3393.73888074448</v>
      </c>
      <c r="V28" s="196">
        <f t="shared" si="7"/>
        <v>0</v>
      </c>
      <c r="W28" s="197">
        <f t="shared" si="8"/>
        <v>0</v>
      </c>
      <c r="X28" s="197">
        <f t="shared" si="9"/>
        <v>0</v>
      </c>
      <c r="Y28" s="197">
        <f t="shared" si="10"/>
        <v>1.32214211522045</v>
      </c>
      <c r="Z28" s="157">
        <f t="shared" si="11"/>
        <v>10.1824180606238</v>
      </c>
      <c r="AA28" s="157">
        <f t="shared" si="12"/>
        <v>2.99232887153511</v>
      </c>
    </row>
    <row r="29" spans="1:27" ht="15">
      <c r="A29" s="157">
        <v>1</v>
      </c>
      <c r="B29" s="157" t="s">
        <v>876</v>
      </c>
      <c r="C29" s="158" t="s">
        <v>778</v>
      </c>
      <c r="D29" s="159">
        <f t="shared" si="0"/>
        <v>1</v>
      </c>
      <c r="E29" s="159" t="s">
        <v>873</v>
      </c>
      <c r="F29" s="160">
        <v>317.46611756943901</v>
      </c>
      <c r="G29" s="160">
        <v>24.592165240456801</v>
      </c>
      <c r="H29" s="159">
        <f t="shared" si="1"/>
        <v>250</v>
      </c>
      <c r="I29" s="159">
        <f t="shared" si="2"/>
        <v>300</v>
      </c>
      <c r="J29" s="161">
        <f t="shared" si="3"/>
        <v>1</v>
      </c>
      <c r="K29" s="162">
        <f t="shared" si="4"/>
        <v>260.86956521739103</v>
      </c>
      <c r="L29" s="163">
        <f t="shared" si="5"/>
        <v>0.821724117252707</v>
      </c>
      <c r="M29" s="159" t="str">
        <f t="shared" si="6"/>
        <v>NOT OK</v>
      </c>
      <c r="N29" s="194">
        <f>VLOOKUP(C29,'Point Coordinates'!$A:$D,2,0)*1000</f>
        <v>9833.8280698332001</v>
      </c>
      <c r="O29" s="195">
        <f>VLOOKUP(C29,'Point Coordinates'!$A:$D,3,0)*1000</f>
        <v>3393.73888074448</v>
      </c>
      <c r="V29" s="196">
        <f t="shared" si="7"/>
        <v>0</v>
      </c>
      <c r="W29" s="197">
        <f t="shared" si="8"/>
        <v>0</v>
      </c>
      <c r="X29" s="197">
        <f t="shared" si="9"/>
        <v>0</v>
      </c>
      <c r="Y29" s="197">
        <f t="shared" si="10"/>
        <v>1.2169534506828501</v>
      </c>
      <c r="Z29" s="157">
        <f t="shared" si="11"/>
        <v>9.4324180606238297</v>
      </c>
      <c r="AA29" s="157">
        <f t="shared" si="12"/>
        <v>2.99232887153511</v>
      </c>
    </row>
    <row r="30" spans="1:27" ht="15">
      <c r="A30" s="157">
        <v>1</v>
      </c>
      <c r="B30" s="157" t="s">
        <v>876</v>
      </c>
      <c r="C30" s="158" t="s">
        <v>779</v>
      </c>
      <c r="D30" s="159">
        <f t="shared" si="0"/>
        <v>1</v>
      </c>
      <c r="E30" s="159" t="s">
        <v>873</v>
      </c>
      <c r="F30" s="160">
        <v>260.06389177034202</v>
      </c>
      <c r="G30" s="160">
        <v>73.060965445570105</v>
      </c>
      <c r="H30" s="159">
        <f t="shared" si="1"/>
        <v>250</v>
      </c>
      <c r="I30" s="159">
        <f t="shared" si="2"/>
        <v>300</v>
      </c>
      <c r="J30" s="161">
        <f t="shared" si="3"/>
        <v>1</v>
      </c>
      <c r="K30" s="162">
        <f t="shared" si="4"/>
        <v>260.86956521739103</v>
      </c>
      <c r="L30" s="163">
        <f t="shared" si="5"/>
        <v>1.00309798273634</v>
      </c>
      <c r="M30" s="159" t="str">
        <f t="shared" si="6"/>
        <v>OK</v>
      </c>
      <c r="N30" s="194">
        <f>VLOOKUP(C30,'Point Coordinates'!$A:$D,2,0)*1000</f>
        <v>10642.2812065832</v>
      </c>
      <c r="O30" s="195">
        <f>VLOOKUP(C30,'Point Coordinates'!$A:$D,3,0)*1000</f>
        <v>2648.1274488449499</v>
      </c>
      <c r="V30" s="196">
        <f t="shared" si="7"/>
        <v>0</v>
      </c>
      <c r="W30" s="197">
        <f t="shared" si="8"/>
        <v>0</v>
      </c>
      <c r="X30" s="197">
        <f t="shared" si="9"/>
        <v>0.99691158511964395</v>
      </c>
      <c r="Y30" s="197">
        <f t="shared" si="10"/>
        <v>0</v>
      </c>
      <c r="Z30" s="157">
        <f t="shared" si="11"/>
        <v>10.240871197373901</v>
      </c>
      <c r="AA30" s="157">
        <f t="shared" si="12"/>
        <v>2.24671743963557</v>
      </c>
    </row>
    <row r="31" spans="1:27" ht="15">
      <c r="A31" s="157">
        <v>1</v>
      </c>
      <c r="B31" s="157" t="s">
        <v>876</v>
      </c>
      <c r="C31" s="158" t="s">
        <v>780</v>
      </c>
      <c r="D31" s="159">
        <f t="shared" si="0"/>
        <v>1</v>
      </c>
      <c r="E31" s="159" t="s">
        <v>873</v>
      </c>
      <c r="F31" s="160">
        <v>286.94854509778997</v>
      </c>
      <c r="G31" s="160">
        <v>55.771025307210401</v>
      </c>
      <c r="H31" s="159">
        <f t="shared" si="1"/>
        <v>250</v>
      </c>
      <c r="I31" s="159">
        <f t="shared" si="2"/>
        <v>300</v>
      </c>
      <c r="J31" s="161">
        <f t="shared" si="3"/>
        <v>1</v>
      </c>
      <c r="K31" s="162">
        <f t="shared" si="4"/>
        <v>260.86956521739103</v>
      </c>
      <c r="L31" s="163">
        <f t="shared" si="5"/>
        <v>0.90911618014473194</v>
      </c>
      <c r="M31" s="159" t="str">
        <f t="shared" si="6"/>
        <v>NOT OK</v>
      </c>
      <c r="N31" s="194">
        <f>VLOOKUP(C31,'Point Coordinates'!$A:$D,2,0)*1000</f>
        <v>10810.949168466501</v>
      </c>
      <c r="O31" s="195">
        <f>VLOOKUP(C31,'Point Coordinates'!$A:$D,3,0)*1000</f>
        <v>401.56975269889</v>
      </c>
      <c r="V31" s="196">
        <f t="shared" si="7"/>
        <v>0</v>
      </c>
      <c r="W31" s="197">
        <f t="shared" si="8"/>
        <v>0</v>
      </c>
      <c r="X31" s="197">
        <f t="shared" si="9"/>
        <v>0</v>
      </c>
      <c r="Y31" s="197">
        <f t="shared" si="10"/>
        <v>1.09996942287486</v>
      </c>
      <c r="Z31" s="157">
        <f t="shared" si="11"/>
        <v>10.4095391592571</v>
      </c>
      <c r="AA31" s="157">
        <f t="shared" si="12"/>
        <v>1.5974348951886E-4</v>
      </c>
    </row>
    <row r="32" spans="1:27" ht="15">
      <c r="A32" s="157">
        <v>1</v>
      </c>
      <c r="B32" s="157" t="s">
        <v>876</v>
      </c>
      <c r="C32" s="158" t="s">
        <v>781</v>
      </c>
      <c r="D32" s="159">
        <f t="shared" si="0"/>
        <v>1</v>
      </c>
      <c r="E32" s="159" t="s">
        <v>873</v>
      </c>
      <c r="F32" s="160">
        <v>274.11370354004703</v>
      </c>
      <c r="G32" s="160">
        <v>39.141780844800202</v>
      </c>
      <c r="H32" s="159">
        <f t="shared" si="1"/>
        <v>250</v>
      </c>
      <c r="I32" s="159">
        <f t="shared" si="2"/>
        <v>300</v>
      </c>
      <c r="J32" s="161">
        <f t="shared" si="3"/>
        <v>1</v>
      </c>
      <c r="K32" s="162">
        <f t="shared" si="4"/>
        <v>260.86956521739103</v>
      </c>
      <c r="L32" s="163">
        <f t="shared" si="5"/>
        <v>0.95168377884208599</v>
      </c>
      <c r="M32" s="159" t="str">
        <f t="shared" si="6"/>
        <v>NOT OK</v>
      </c>
      <c r="N32" s="194">
        <f>VLOOKUP(C32,'Point Coordinates'!$A:$D,2,0)*1000</f>
        <v>10060.949168466501</v>
      </c>
      <c r="O32" s="195">
        <f>VLOOKUP(C32,'Point Coordinates'!$A:$D,3,0)*1000</f>
        <v>401.56975269889</v>
      </c>
      <c r="V32" s="196">
        <f t="shared" si="7"/>
        <v>0</v>
      </c>
      <c r="W32" s="197">
        <f t="shared" si="8"/>
        <v>0</v>
      </c>
      <c r="X32" s="197">
        <f t="shared" si="9"/>
        <v>0</v>
      </c>
      <c r="Y32" s="197">
        <f t="shared" si="10"/>
        <v>1.05076919690351</v>
      </c>
      <c r="Z32" s="157">
        <f t="shared" si="11"/>
        <v>9.65953915925712</v>
      </c>
      <c r="AA32" s="157">
        <f t="shared" si="12"/>
        <v>1.5974348951886E-4</v>
      </c>
    </row>
    <row r="33" spans="1:27" ht="15">
      <c r="A33" s="157">
        <v>1</v>
      </c>
      <c r="B33" s="157" t="s">
        <v>876</v>
      </c>
      <c r="C33" s="158" t="s">
        <v>782</v>
      </c>
      <c r="D33" s="159">
        <f t="shared" si="0"/>
        <v>1</v>
      </c>
      <c r="E33" s="159" t="s">
        <v>873</v>
      </c>
      <c r="F33" s="160">
        <v>214.698064733081</v>
      </c>
      <c r="G33" s="160">
        <v>105.549923971262</v>
      </c>
      <c r="H33" s="159">
        <f t="shared" si="1"/>
        <v>250</v>
      </c>
      <c r="I33" s="159">
        <f t="shared" si="2"/>
        <v>300</v>
      </c>
      <c r="J33" s="161">
        <f t="shared" si="3"/>
        <v>1</v>
      </c>
      <c r="K33" s="162">
        <f t="shared" si="4"/>
        <v>260.86956521739103</v>
      </c>
      <c r="L33" s="163">
        <f t="shared" si="5"/>
        <v>1.2150531749865201</v>
      </c>
      <c r="M33" s="159" t="str">
        <f t="shared" si="6"/>
        <v>OK</v>
      </c>
      <c r="N33" s="194">
        <f>VLOOKUP(C33,'Point Coordinates'!$A:$D,2,0)*1000</f>
        <v>10766.1099085285</v>
      </c>
      <c r="O33" s="195">
        <f>VLOOKUP(C33,'Point Coordinates'!$A:$D,3,0)*1000</f>
        <v>1148.2032889803099</v>
      </c>
      <c r="V33" s="196">
        <f t="shared" si="7"/>
        <v>0</v>
      </c>
      <c r="W33" s="197">
        <f t="shared" si="8"/>
        <v>0</v>
      </c>
      <c r="X33" s="197">
        <f t="shared" si="9"/>
        <v>0.82300924814347698</v>
      </c>
      <c r="Y33" s="197">
        <f t="shared" si="10"/>
        <v>0</v>
      </c>
      <c r="Z33" s="157">
        <f t="shared" si="11"/>
        <v>10.364699899319101</v>
      </c>
      <c r="AA33" s="157">
        <f t="shared" si="12"/>
        <v>0.74679327977094101</v>
      </c>
    </row>
    <row r="34" spans="1:27" ht="15">
      <c r="A34" s="157">
        <v>1</v>
      </c>
      <c r="B34" s="157" t="s">
        <v>876</v>
      </c>
      <c r="C34" s="158" t="s">
        <v>793</v>
      </c>
      <c r="D34" s="159">
        <f t="shared" si="0"/>
        <v>1</v>
      </c>
      <c r="E34" s="159" t="s">
        <v>873</v>
      </c>
      <c r="F34" s="198">
        <v>290.865200688703</v>
      </c>
      <c r="G34" s="160">
        <v>33.733988449965302</v>
      </c>
      <c r="H34" s="159">
        <f t="shared" si="1"/>
        <v>250</v>
      </c>
      <c r="I34" s="159">
        <f t="shared" si="2"/>
        <v>300</v>
      </c>
      <c r="J34" s="161">
        <f t="shared" si="3"/>
        <v>1</v>
      </c>
      <c r="K34" s="162">
        <f t="shared" si="4"/>
        <v>260.86956521739103</v>
      </c>
      <c r="L34" s="163">
        <f t="shared" si="5"/>
        <v>0.896874444243282</v>
      </c>
      <c r="M34" s="159" t="str">
        <f t="shared" si="6"/>
        <v>NOT OK</v>
      </c>
      <c r="N34" s="194">
        <f>VLOOKUP(C34,'Point Coordinates'!$A:$D,2,0)*1000</f>
        <v>1902.8695858417</v>
      </c>
      <c r="O34" s="195">
        <f>VLOOKUP(C34,'Point Coordinates'!$A:$D,3,0)*1000</f>
        <v>401.41000920937103</v>
      </c>
      <c r="V34" s="196">
        <f t="shared" si="7"/>
        <v>0</v>
      </c>
      <c r="W34" s="197">
        <f t="shared" si="8"/>
        <v>0</v>
      </c>
      <c r="X34" s="197">
        <f t="shared" si="9"/>
        <v>0</v>
      </c>
      <c r="Y34" s="197">
        <f t="shared" si="10"/>
        <v>1.1149832693066899</v>
      </c>
      <c r="Z34" s="157">
        <f t="shared" si="11"/>
        <v>1.50145957663233</v>
      </c>
      <c r="AA34" s="157">
        <f t="shared" si="12"/>
        <v>0</v>
      </c>
    </row>
    <row r="35" spans="1:27" ht="15">
      <c r="A35" s="157">
        <v>1</v>
      </c>
      <c r="B35" s="157" t="s">
        <v>876</v>
      </c>
      <c r="C35" s="158" t="s">
        <v>794</v>
      </c>
      <c r="D35" s="159">
        <f t="shared" si="0"/>
        <v>1</v>
      </c>
      <c r="E35" s="159" t="s">
        <v>873</v>
      </c>
      <c r="F35" s="160">
        <v>308.42485597134902</v>
      </c>
      <c r="G35" s="160">
        <v>25.7986321921043</v>
      </c>
      <c r="H35" s="159">
        <f t="shared" si="1"/>
        <v>250</v>
      </c>
      <c r="I35" s="159">
        <f t="shared" si="2"/>
        <v>300</v>
      </c>
      <c r="J35" s="161">
        <f t="shared" si="3"/>
        <v>1</v>
      </c>
      <c r="K35" s="162">
        <f t="shared" si="4"/>
        <v>260.86956521739103</v>
      </c>
      <c r="L35" s="163">
        <f t="shared" si="5"/>
        <v>0.84581239211675197</v>
      </c>
      <c r="M35" s="159" t="str">
        <f t="shared" si="6"/>
        <v>NOT OK</v>
      </c>
      <c r="N35" s="194">
        <f>VLOOKUP(C35,'Point Coordinates'!$A:$D,2,0)*1000</f>
        <v>1152.8695858417</v>
      </c>
      <c r="O35" s="195">
        <f>VLOOKUP(C35,'Point Coordinates'!$A:$D,3,0)*1000</f>
        <v>401.41000920937103</v>
      </c>
      <c r="V35" s="196">
        <f t="shared" si="7"/>
        <v>0</v>
      </c>
      <c r="W35" s="197">
        <f t="shared" si="8"/>
        <v>0</v>
      </c>
      <c r="X35" s="197">
        <f t="shared" si="9"/>
        <v>0</v>
      </c>
      <c r="Y35" s="197">
        <f t="shared" si="10"/>
        <v>1.1822952812234999</v>
      </c>
      <c r="Z35" s="157">
        <f t="shared" si="11"/>
        <v>0.75145957663232799</v>
      </c>
      <c r="AA35" s="157">
        <f t="shared" si="12"/>
        <v>0</v>
      </c>
    </row>
    <row r="36" spans="1:27" ht="15">
      <c r="A36" s="157">
        <v>1</v>
      </c>
      <c r="B36" s="157" t="s">
        <v>876</v>
      </c>
      <c r="C36" s="158" t="s">
        <v>795</v>
      </c>
      <c r="D36" s="159">
        <f t="shared" si="0"/>
        <v>1</v>
      </c>
      <c r="E36" s="159" t="s">
        <v>873</v>
      </c>
      <c r="F36" s="160">
        <v>328.56045723774997</v>
      </c>
      <c r="G36" s="160">
        <v>15.5257126290965</v>
      </c>
      <c r="H36" s="159">
        <f t="shared" si="1"/>
        <v>250</v>
      </c>
      <c r="I36" s="159">
        <f t="shared" si="2"/>
        <v>300</v>
      </c>
      <c r="J36" s="161">
        <f t="shared" si="3"/>
        <v>1</v>
      </c>
      <c r="K36" s="162">
        <f t="shared" si="4"/>
        <v>260.86956521739103</v>
      </c>
      <c r="L36" s="163">
        <f t="shared" si="5"/>
        <v>0.79397736237207395</v>
      </c>
      <c r="M36" s="159" t="str">
        <f t="shared" si="6"/>
        <v>NOT OK</v>
      </c>
      <c r="N36" s="194">
        <f>VLOOKUP(C36,'Point Coordinates'!$A:$D,2,0)*1000</f>
        <v>402.86958584169997</v>
      </c>
      <c r="O36" s="195">
        <f>VLOOKUP(C36,'Point Coordinates'!$A:$D,3,0)*1000</f>
        <v>401.41000920937103</v>
      </c>
      <c r="V36" s="196">
        <f t="shared" si="7"/>
        <v>0</v>
      </c>
      <c r="W36" s="197">
        <f t="shared" si="8"/>
        <v>0</v>
      </c>
      <c r="X36" s="197">
        <f t="shared" si="9"/>
        <v>0</v>
      </c>
      <c r="Y36" s="197">
        <f t="shared" si="10"/>
        <v>1.25948175274471</v>
      </c>
      <c r="Z36" s="157">
        <f t="shared" si="11"/>
        <v>1.4595766323282099E-3</v>
      </c>
      <c r="AA36" s="157">
        <f t="shared" si="12"/>
        <v>0</v>
      </c>
    </row>
    <row r="37" spans="1:27" ht="15">
      <c r="A37" s="157">
        <v>1</v>
      </c>
      <c r="B37" s="157" t="s">
        <v>876</v>
      </c>
      <c r="C37" s="158" t="s">
        <v>796</v>
      </c>
      <c r="D37" s="159">
        <f t="shared" si="0"/>
        <v>1</v>
      </c>
      <c r="E37" s="159" t="s">
        <v>873</v>
      </c>
      <c r="F37" s="160">
        <v>278.42289430887899</v>
      </c>
      <c r="G37" s="160">
        <v>39.133135949553797</v>
      </c>
      <c r="H37" s="159">
        <f t="shared" si="1"/>
        <v>250</v>
      </c>
      <c r="I37" s="159">
        <f t="shared" si="2"/>
        <v>300</v>
      </c>
      <c r="J37" s="161">
        <f t="shared" si="3"/>
        <v>1</v>
      </c>
      <c r="K37" s="162">
        <f t="shared" si="4"/>
        <v>260.86956521739103</v>
      </c>
      <c r="L37" s="163">
        <f t="shared" si="5"/>
        <v>0.93695443352437002</v>
      </c>
      <c r="M37" s="159" t="str">
        <f t="shared" si="6"/>
        <v>NOT OK</v>
      </c>
      <c r="N37" s="194">
        <f>VLOOKUP(C37,'Point Coordinates'!$A:$D,2,0)*1000</f>
        <v>2652.8695858417</v>
      </c>
      <c r="O37" s="195">
        <f>VLOOKUP(C37,'Point Coordinates'!$A:$D,3,0)*1000</f>
        <v>401.41000920937103</v>
      </c>
      <c r="V37" s="196">
        <f t="shared" si="7"/>
        <v>0</v>
      </c>
      <c r="W37" s="197">
        <f t="shared" si="8"/>
        <v>0</v>
      </c>
      <c r="X37" s="197">
        <f t="shared" si="9"/>
        <v>0</v>
      </c>
      <c r="Y37" s="197">
        <f t="shared" si="10"/>
        <v>1.0672877615173699</v>
      </c>
      <c r="Z37" s="157">
        <f t="shared" si="11"/>
        <v>2.25145957663233</v>
      </c>
      <c r="AA37" s="157">
        <f t="shared" si="12"/>
        <v>0</v>
      </c>
    </row>
    <row r="38" spans="1:27" ht="15">
      <c r="A38" s="157">
        <v>1</v>
      </c>
      <c r="B38" s="157" t="s">
        <v>876</v>
      </c>
      <c r="C38" s="158" t="s">
        <v>797</v>
      </c>
      <c r="D38" s="159">
        <f t="shared" si="0"/>
        <v>1</v>
      </c>
      <c r="E38" s="159" t="s">
        <v>873</v>
      </c>
      <c r="F38" s="160">
        <v>270.73563572297599</v>
      </c>
      <c r="G38" s="160">
        <v>41.673982868313601</v>
      </c>
      <c r="H38" s="159">
        <f t="shared" si="1"/>
        <v>250</v>
      </c>
      <c r="I38" s="159">
        <f t="shared" si="2"/>
        <v>300</v>
      </c>
      <c r="J38" s="161">
        <f t="shared" si="3"/>
        <v>1</v>
      </c>
      <c r="K38" s="162">
        <f t="shared" si="4"/>
        <v>260.86956521739103</v>
      </c>
      <c r="L38" s="163">
        <f t="shared" si="5"/>
        <v>0.96355828637320595</v>
      </c>
      <c r="M38" s="159" t="str">
        <f t="shared" si="6"/>
        <v>NOT OK</v>
      </c>
      <c r="N38" s="194">
        <f>VLOOKUP(C38,'Point Coordinates'!$A:$D,2,0)*1000</f>
        <v>3402.8695858417</v>
      </c>
      <c r="O38" s="195">
        <f>VLOOKUP(C38,'Point Coordinates'!$A:$D,3,0)*1000</f>
        <v>401.41000920937103</v>
      </c>
      <c r="V38" s="196">
        <f t="shared" si="7"/>
        <v>0</v>
      </c>
      <c r="W38" s="197">
        <f t="shared" si="8"/>
        <v>0</v>
      </c>
      <c r="X38" s="197">
        <f t="shared" si="9"/>
        <v>0</v>
      </c>
      <c r="Y38" s="197">
        <f t="shared" si="10"/>
        <v>1.0378199369380701</v>
      </c>
      <c r="Z38" s="157">
        <f t="shared" si="11"/>
        <v>3.00145957663233</v>
      </c>
      <c r="AA38" s="157">
        <f t="shared" si="12"/>
        <v>0</v>
      </c>
    </row>
    <row r="39" spans="1:27" ht="15">
      <c r="A39" s="157">
        <v>1</v>
      </c>
      <c r="B39" s="157" t="s">
        <v>876</v>
      </c>
      <c r="C39" s="158" t="s">
        <v>798</v>
      </c>
      <c r="D39" s="159">
        <f t="shared" si="0"/>
        <v>1</v>
      </c>
      <c r="E39" s="159" t="s">
        <v>873</v>
      </c>
      <c r="F39" s="160">
        <v>265.50672878471698</v>
      </c>
      <c r="G39" s="160">
        <v>40.911466141939002</v>
      </c>
      <c r="H39" s="159">
        <f t="shared" si="1"/>
        <v>250</v>
      </c>
      <c r="I39" s="159">
        <f t="shared" si="2"/>
        <v>300</v>
      </c>
      <c r="J39" s="161">
        <f t="shared" si="3"/>
        <v>1</v>
      </c>
      <c r="K39" s="162">
        <f t="shared" si="4"/>
        <v>260.86956521739103</v>
      </c>
      <c r="L39" s="163">
        <f t="shared" si="5"/>
        <v>0.98253466649018295</v>
      </c>
      <c r="M39" s="159" t="str">
        <f t="shared" si="6"/>
        <v>NOT OK</v>
      </c>
      <c r="N39" s="194">
        <f>VLOOKUP(C39,'Point Coordinates'!$A:$D,2,0)*1000</f>
        <v>4152.8695858417004</v>
      </c>
      <c r="O39" s="195">
        <f>VLOOKUP(C39,'Point Coordinates'!$A:$D,3,0)*1000</f>
        <v>401.41000920937103</v>
      </c>
      <c r="V39" s="196">
        <f t="shared" si="7"/>
        <v>0</v>
      </c>
      <c r="W39" s="197">
        <f t="shared" si="8"/>
        <v>0</v>
      </c>
      <c r="X39" s="197">
        <f t="shared" si="9"/>
        <v>0</v>
      </c>
      <c r="Y39" s="197">
        <f t="shared" si="10"/>
        <v>1.01777579367475</v>
      </c>
      <c r="Z39" s="157">
        <f t="shared" si="11"/>
        <v>3.75145957663233</v>
      </c>
      <c r="AA39" s="157">
        <f t="shared" si="12"/>
        <v>0</v>
      </c>
    </row>
    <row r="40" spans="1:27" ht="15">
      <c r="A40" s="157">
        <v>1</v>
      </c>
      <c r="B40" s="157" t="s">
        <v>876</v>
      </c>
      <c r="C40" s="158" t="s">
        <v>803</v>
      </c>
      <c r="D40" s="159">
        <f t="shared" si="0"/>
        <v>1</v>
      </c>
      <c r="E40" s="159" t="s">
        <v>873</v>
      </c>
      <c r="F40" s="160">
        <v>234.73085354394701</v>
      </c>
      <c r="G40" s="160">
        <v>142.13932272319499</v>
      </c>
      <c r="H40" s="159">
        <f t="shared" si="1"/>
        <v>250</v>
      </c>
      <c r="I40" s="159">
        <f t="shared" si="2"/>
        <v>300</v>
      </c>
      <c r="J40" s="161">
        <f t="shared" si="3"/>
        <v>1</v>
      </c>
      <c r="K40" s="162">
        <f t="shared" si="4"/>
        <v>260.86956521739103</v>
      </c>
      <c r="L40" s="163">
        <f t="shared" si="5"/>
        <v>1.11135609690334</v>
      </c>
      <c r="M40" s="159" t="str">
        <f t="shared" si="6"/>
        <v>OK</v>
      </c>
      <c r="N40" s="194">
        <f>VLOOKUP(C40,'Point Coordinates'!$A:$D,2,0)*1000</f>
        <v>3457.3442635216302</v>
      </c>
      <c r="O40" s="195">
        <f>VLOOKUP(C40,'Point Coordinates'!$A:$D,3,0)*1000</f>
        <v>3390.4243586417201</v>
      </c>
      <c r="V40" s="196">
        <f t="shared" si="7"/>
        <v>0</v>
      </c>
      <c r="W40" s="197">
        <f t="shared" si="8"/>
        <v>0</v>
      </c>
      <c r="X40" s="197">
        <f t="shared" si="9"/>
        <v>0.89980160525179698</v>
      </c>
      <c r="Y40" s="197">
        <f t="shared" si="10"/>
        <v>0</v>
      </c>
      <c r="Z40" s="157">
        <f t="shared" si="11"/>
        <v>3.0559342543122598</v>
      </c>
      <c r="AA40" s="157">
        <f t="shared" si="12"/>
        <v>2.9890143494323498</v>
      </c>
    </row>
    <row r="41" spans="1:27" ht="15">
      <c r="A41" s="157">
        <v>1</v>
      </c>
      <c r="B41" s="157" t="s">
        <v>876</v>
      </c>
      <c r="C41" s="158" t="s">
        <v>804</v>
      </c>
      <c r="D41" s="159">
        <f t="shared" si="0"/>
        <v>1</v>
      </c>
      <c r="E41" s="159" t="s">
        <v>873</v>
      </c>
      <c r="F41" s="160">
        <v>213.33869336786</v>
      </c>
      <c r="G41" s="160">
        <v>163.55947393586101</v>
      </c>
      <c r="H41" s="159">
        <f t="shared" si="1"/>
        <v>250</v>
      </c>
      <c r="I41" s="159">
        <f t="shared" si="2"/>
        <v>300</v>
      </c>
      <c r="J41" s="161">
        <f t="shared" si="3"/>
        <v>1</v>
      </c>
      <c r="K41" s="162">
        <f t="shared" si="4"/>
        <v>260.86956521739103</v>
      </c>
      <c r="L41" s="163">
        <f t="shared" si="5"/>
        <v>1.2227953640250999</v>
      </c>
      <c r="M41" s="159" t="str">
        <f t="shared" si="6"/>
        <v>OK</v>
      </c>
      <c r="N41" s="194">
        <f>VLOOKUP(C41,'Point Coordinates'!$A:$D,2,0)*1000</f>
        <v>2707.3442635216302</v>
      </c>
      <c r="O41" s="195">
        <f>VLOOKUP(C41,'Point Coordinates'!$A:$D,3,0)*1000</f>
        <v>3390.4243586417201</v>
      </c>
      <c r="V41" s="196">
        <f t="shared" si="7"/>
        <v>0</v>
      </c>
      <c r="W41" s="197">
        <f t="shared" si="8"/>
        <v>0</v>
      </c>
      <c r="X41" s="197">
        <f t="shared" si="9"/>
        <v>0.81779832457679702</v>
      </c>
      <c r="Y41" s="197">
        <f t="shared" si="10"/>
        <v>0</v>
      </c>
      <c r="Z41" s="157">
        <f t="shared" si="11"/>
        <v>2.3059342543122598</v>
      </c>
      <c r="AA41" s="157">
        <f t="shared" si="12"/>
        <v>2.9890143494323498</v>
      </c>
    </row>
    <row r="42" spans="1:27" ht="15">
      <c r="A42" s="157">
        <v>1</v>
      </c>
      <c r="B42" s="157" t="s">
        <v>876</v>
      </c>
      <c r="C42" s="158" t="s">
        <v>805</v>
      </c>
      <c r="D42" s="159">
        <f t="shared" si="0"/>
        <v>1</v>
      </c>
      <c r="E42" s="159" t="s">
        <v>873</v>
      </c>
      <c r="F42" s="160">
        <v>254.39745717811499</v>
      </c>
      <c r="G42" s="160">
        <v>118.71197254681999</v>
      </c>
      <c r="H42" s="159">
        <f t="shared" si="1"/>
        <v>250</v>
      </c>
      <c r="I42" s="159">
        <f t="shared" si="2"/>
        <v>300</v>
      </c>
      <c r="J42" s="161">
        <f t="shared" si="3"/>
        <v>1</v>
      </c>
      <c r="K42" s="162">
        <f t="shared" si="4"/>
        <v>260.86956521739103</v>
      </c>
      <c r="L42" s="163">
        <f t="shared" si="5"/>
        <v>1.02544093054651</v>
      </c>
      <c r="M42" s="159" t="str">
        <f t="shared" si="6"/>
        <v>OK</v>
      </c>
      <c r="N42" s="194">
        <f>VLOOKUP(C42,'Point Coordinates'!$A:$D,2,0)*1000</f>
        <v>4207.3442635216297</v>
      </c>
      <c r="O42" s="195">
        <f>VLOOKUP(C42,'Point Coordinates'!$A:$D,3,0)*1000</f>
        <v>3390.4243586417201</v>
      </c>
      <c r="V42" s="196">
        <f t="shared" si="7"/>
        <v>0</v>
      </c>
      <c r="W42" s="197">
        <f t="shared" si="8"/>
        <v>0</v>
      </c>
      <c r="X42" s="197">
        <f t="shared" si="9"/>
        <v>0.97519025251610703</v>
      </c>
      <c r="Y42" s="197">
        <f t="shared" si="10"/>
        <v>0</v>
      </c>
      <c r="Z42" s="157">
        <f t="shared" si="11"/>
        <v>3.8059342543122598</v>
      </c>
      <c r="AA42" s="157">
        <f t="shared" si="12"/>
        <v>2.9890143494323498</v>
      </c>
    </row>
    <row r="43" spans="1:27" ht="15">
      <c r="A43" s="157">
        <v>1</v>
      </c>
      <c r="B43" s="157" t="s">
        <v>877</v>
      </c>
      <c r="C43" s="158" t="s">
        <v>810</v>
      </c>
      <c r="D43" s="159">
        <f t="shared" si="0"/>
        <v>1</v>
      </c>
      <c r="E43" s="159" t="s">
        <v>873</v>
      </c>
      <c r="F43" s="160">
        <v>178.89919220778401</v>
      </c>
      <c r="G43" s="160">
        <v>66.512017405633898</v>
      </c>
      <c r="H43" s="159">
        <f t="shared" si="1"/>
        <v>250</v>
      </c>
      <c r="I43" s="159">
        <f t="shared" si="2"/>
        <v>200</v>
      </c>
      <c r="J43" s="161">
        <f t="shared" si="3"/>
        <v>1</v>
      </c>
      <c r="K43" s="162">
        <f t="shared" si="4"/>
        <v>173.91304347826099</v>
      </c>
      <c r="L43" s="163">
        <f t="shared" si="5"/>
        <v>0.97212872418265595</v>
      </c>
      <c r="M43" s="159" t="str">
        <f t="shared" si="6"/>
        <v>NOT OK</v>
      </c>
      <c r="N43" s="194">
        <f>VLOOKUP(C43,'Point Coordinates'!$A:$D,2,0)*1000</f>
        <v>-805.11640550662401</v>
      </c>
      <c r="O43" s="195">
        <f>VLOOKUP(C43,'Point Coordinates'!$A:$D,3,0)*1000</f>
        <v>5953.7047509239801</v>
      </c>
      <c r="V43" s="196">
        <f t="shared" si="7"/>
        <v>0</v>
      </c>
      <c r="W43" s="197">
        <f t="shared" si="8"/>
        <v>0</v>
      </c>
      <c r="X43" s="197">
        <f t="shared" si="9"/>
        <v>0</v>
      </c>
      <c r="Y43" s="197">
        <f t="shared" si="10"/>
        <v>1.02867035519476</v>
      </c>
      <c r="Z43" s="157">
        <f t="shared" si="11"/>
        <v>-1.206526414716</v>
      </c>
      <c r="AA43" s="157">
        <f t="shared" si="12"/>
        <v>5.5522947417145998</v>
      </c>
    </row>
    <row r="44" spans="1:27" ht="15">
      <c r="A44" s="157">
        <v>1</v>
      </c>
      <c r="B44" s="157" t="s">
        <v>877</v>
      </c>
      <c r="C44" s="158" t="s">
        <v>811</v>
      </c>
      <c r="D44" s="159">
        <f t="shared" si="0"/>
        <v>1</v>
      </c>
      <c r="E44" s="159" t="s">
        <v>873</v>
      </c>
      <c r="F44" s="160">
        <v>174.21603369222001</v>
      </c>
      <c r="G44" s="160">
        <v>73.119233190682195</v>
      </c>
      <c r="H44" s="159">
        <f t="shared" si="1"/>
        <v>250</v>
      </c>
      <c r="I44" s="159">
        <f t="shared" si="2"/>
        <v>200</v>
      </c>
      <c r="J44" s="161">
        <f t="shared" si="3"/>
        <v>1</v>
      </c>
      <c r="K44" s="162">
        <f t="shared" si="4"/>
        <v>173.91304347826099</v>
      </c>
      <c r="L44" s="163">
        <f t="shared" si="5"/>
        <v>0.99826083622995099</v>
      </c>
      <c r="M44" s="159" t="str">
        <f t="shared" si="6"/>
        <v>NOT OK</v>
      </c>
      <c r="N44" s="194">
        <f>VLOOKUP(C44,'Point Coordinates'!$A:$D,2,0)*1000</f>
        <v>73.6902393347236</v>
      </c>
      <c r="O44" s="195">
        <f>VLOOKUP(C44,'Point Coordinates'!$A:$D,3,0)*1000</f>
        <v>4046.3357402749698</v>
      </c>
      <c r="V44" s="196">
        <f t="shared" si="7"/>
        <v>0</v>
      </c>
      <c r="W44" s="197">
        <f t="shared" si="8"/>
        <v>0</v>
      </c>
      <c r="X44" s="197">
        <f t="shared" si="9"/>
        <v>0</v>
      </c>
      <c r="Y44" s="197">
        <f t="shared" si="10"/>
        <v>1.00174219373027</v>
      </c>
      <c r="Z44" s="157">
        <f t="shared" si="11"/>
        <v>-0.32771976987464801</v>
      </c>
      <c r="AA44" s="157">
        <f t="shared" si="12"/>
        <v>3.6449257310655998</v>
      </c>
    </row>
    <row r="45" spans="1:27" ht="15">
      <c r="A45" s="157">
        <v>1</v>
      </c>
      <c r="B45" s="157" t="s">
        <v>877</v>
      </c>
      <c r="C45" s="158" t="s">
        <v>812</v>
      </c>
      <c r="D45" s="159">
        <f t="shared" si="0"/>
        <v>1</v>
      </c>
      <c r="E45" s="159" t="s">
        <v>873</v>
      </c>
      <c r="F45" s="160">
        <v>152.95944811373499</v>
      </c>
      <c r="G45" s="160">
        <v>89.864522745793707</v>
      </c>
      <c r="H45" s="159">
        <f t="shared" si="1"/>
        <v>250</v>
      </c>
      <c r="I45" s="159">
        <f t="shared" si="2"/>
        <v>200</v>
      </c>
      <c r="J45" s="161">
        <f t="shared" si="3"/>
        <v>1</v>
      </c>
      <c r="K45" s="162">
        <f t="shared" si="4"/>
        <v>173.91304347826099</v>
      </c>
      <c r="L45" s="163">
        <f t="shared" si="5"/>
        <v>1.1369879116518899</v>
      </c>
      <c r="M45" s="159" t="str">
        <f t="shared" si="6"/>
        <v>OK</v>
      </c>
      <c r="N45" s="194">
        <f>VLOOKUP(C45,'Point Coordinates'!$A:$D,2,0)*1000</f>
        <v>-123.966479541707</v>
      </c>
      <c r="O45" s="195">
        <f>VLOOKUP(C45,'Point Coordinates'!$A:$D,3,0)*1000</f>
        <v>6267.6072550891004</v>
      </c>
      <c r="V45" s="196">
        <f t="shared" si="7"/>
        <v>0</v>
      </c>
      <c r="W45" s="197">
        <f t="shared" si="8"/>
        <v>0</v>
      </c>
      <c r="X45" s="197">
        <f t="shared" si="9"/>
        <v>0.87951682665397601</v>
      </c>
      <c r="Y45" s="197">
        <f t="shared" si="10"/>
        <v>0</v>
      </c>
      <c r="Z45" s="157">
        <f t="shared" si="11"/>
        <v>-0.52537648875107801</v>
      </c>
      <c r="AA45" s="157">
        <f t="shared" si="12"/>
        <v>5.8661972458797296</v>
      </c>
    </row>
    <row r="46" spans="1:27" ht="15">
      <c r="A46" s="157">
        <v>1</v>
      </c>
      <c r="B46" s="157" t="s">
        <v>877</v>
      </c>
      <c r="C46" s="158" t="s">
        <v>813</v>
      </c>
      <c r="D46" s="159">
        <f t="shared" si="0"/>
        <v>1</v>
      </c>
      <c r="E46" s="159" t="s">
        <v>873</v>
      </c>
      <c r="F46" s="160">
        <v>150.103628740142</v>
      </c>
      <c r="G46" s="160">
        <v>93.966024473565099</v>
      </c>
      <c r="H46" s="159">
        <f t="shared" si="1"/>
        <v>250</v>
      </c>
      <c r="I46" s="159">
        <f t="shared" si="2"/>
        <v>200</v>
      </c>
      <c r="J46" s="161">
        <f t="shared" si="3"/>
        <v>1</v>
      </c>
      <c r="K46" s="162">
        <f t="shared" si="4"/>
        <v>173.91304347826099</v>
      </c>
      <c r="L46" s="163">
        <f t="shared" si="5"/>
        <v>1.15861984775423</v>
      </c>
      <c r="M46" s="159" t="str">
        <f t="shared" si="6"/>
        <v>OK</v>
      </c>
      <c r="N46" s="194">
        <f>VLOOKUP(C46,'Point Coordinates'!$A:$D,2,0)*1000</f>
        <v>754.84016529958399</v>
      </c>
      <c r="O46" s="195">
        <f>VLOOKUP(C46,'Point Coordinates'!$A:$D,3,0)*1000</f>
        <v>4360.2382444401501</v>
      </c>
      <c r="V46" s="196">
        <f t="shared" si="7"/>
        <v>0</v>
      </c>
      <c r="W46" s="197">
        <f t="shared" si="8"/>
        <v>0</v>
      </c>
      <c r="X46" s="197">
        <f t="shared" si="9"/>
        <v>0.86309586525581605</v>
      </c>
      <c r="Y46" s="197">
        <f t="shared" si="10"/>
        <v>0</v>
      </c>
      <c r="Z46" s="157">
        <f t="shared" si="11"/>
        <v>0.353430156090212</v>
      </c>
      <c r="AA46" s="157">
        <f t="shared" si="12"/>
        <v>3.9588282352307802</v>
      </c>
    </row>
    <row r="47" spans="1:27" ht="15">
      <c r="A47" s="157">
        <v>1</v>
      </c>
      <c r="B47" s="157" t="s">
        <v>877</v>
      </c>
      <c r="C47" s="158" t="s">
        <v>814</v>
      </c>
      <c r="D47" s="159">
        <f t="shared" si="0"/>
        <v>1</v>
      </c>
      <c r="E47" s="159" t="s">
        <v>873</v>
      </c>
      <c r="F47" s="160">
        <v>169.90684998129899</v>
      </c>
      <c r="G47" s="160">
        <v>74.383609776745899</v>
      </c>
      <c r="H47" s="159">
        <f t="shared" si="1"/>
        <v>250</v>
      </c>
      <c r="I47" s="159">
        <f t="shared" si="2"/>
        <v>200</v>
      </c>
      <c r="J47" s="161">
        <f t="shared" si="3"/>
        <v>1</v>
      </c>
      <c r="K47" s="162">
        <f t="shared" si="4"/>
        <v>173.91304347826099</v>
      </c>
      <c r="L47" s="163">
        <f t="shared" si="5"/>
        <v>1.0235787638779901</v>
      </c>
      <c r="M47" s="159" t="str">
        <f t="shared" si="6"/>
        <v>OK</v>
      </c>
      <c r="N47" s="194">
        <f>VLOOKUP(C47,'Point Coordinates'!$A:$D,2,0)*1000</f>
        <v>387.53702873589202</v>
      </c>
      <c r="O47" s="195">
        <f>VLOOKUP(C47,'Point Coordinates'!$A:$D,3,0)*1000</f>
        <v>3365.1601441305802</v>
      </c>
      <c r="V47" s="196">
        <f t="shared" si="7"/>
        <v>0</v>
      </c>
      <c r="W47" s="197">
        <f t="shared" si="8"/>
        <v>0</v>
      </c>
      <c r="X47" s="197">
        <f t="shared" si="9"/>
        <v>0.97696438739246905</v>
      </c>
      <c r="Y47" s="197">
        <f t="shared" si="10"/>
        <v>0</v>
      </c>
      <c r="Z47" s="157">
        <f t="shared" si="11"/>
        <v>-1.38729804734794E-2</v>
      </c>
      <c r="AA47" s="157">
        <f t="shared" si="12"/>
        <v>2.9637501349212099</v>
      </c>
    </row>
    <row r="48" spans="1:27" ht="15">
      <c r="A48" s="157">
        <v>1</v>
      </c>
      <c r="B48" s="157" t="s">
        <v>877</v>
      </c>
      <c r="C48" s="158" t="s">
        <v>820</v>
      </c>
      <c r="D48" s="159">
        <f t="shared" si="0"/>
        <v>1</v>
      </c>
      <c r="E48" s="159" t="s">
        <v>873</v>
      </c>
      <c r="F48" s="160">
        <v>189.66245055482099</v>
      </c>
      <c r="G48" s="160">
        <v>66.183073158716198</v>
      </c>
      <c r="H48" s="159">
        <f t="shared" si="1"/>
        <v>250</v>
      </c>
      <c r="I48" s="159">
        <f t="shared" si="2"/>
        <v>200</v>
      </c>
      <c r="J48" s="161">
        <f t="shared" si="3"/>
        <v>1</v>
      </c>
      <c r="K48" s="162">
        <f t="shared" si="4"/>
        <v>173.91304347826099</v>
      </c>
      <c r="L48" s="163">
        <f t="shared" si="5"/>
        <v>0.91696085845939301</v>
      </c>
      <c r="M48" s="159" t="str">
        <f t="shared" si="6"/>
        <v>NOT OK</v>
      </c>
      <c r="N48" s="194">
        <f>VLOOKUP(C48,'Point Coordinates'!$A:$D,2,0)*1000</f>
        <v>1300.1544278946001</v>
      </c>
      <c r="O48" s="195">
        <f>VLOOKUP(C48,'Point Coordinates'!$A:$D,3,0)*1000</f>
        <v>6504.4158964726603</v>
      </c>
      <c r="V48" s="196">
        <f t="shared" si="7"/>
        <v>0</v>
      </c>
      <c r="W48" s="197">
        <f t="shared" si="8"/>
        <v>0</v>
      </c>
      <c r="X48" s="197">
        <f t="shared" si="9"/>
        <v>0</v>
      </c>
      <c r="Y48" s="197">
        <f t="shared" si="10"/>
        <v>1.0905590906902201</v>
      </c>
      <c r="Z48" s="157">
        <f t="shared" si="11"/>
        <v>0.89874441868522603</v>
      </c>
      <c r="AA48" s="157">
        <f t="shared" si="12"/>
        <v>6.10300588726329</v>
      </c>
    </row>
    <row r="49" spans="1:27" ht="15">
      <c r="A49" s="157">
        <v>1</v>
      </c>
      <c r="B49" s="157" t="s">
        <v>877</v>
      </c>
      <c r="C49" s="158" t="s">
        <v>821</v>
      </c>
      <c r="D49" s="159">
        <f t="shared" si="0"/>
        <v>1</v>
      </c>
      <c r="E49" s="159" t="s">
        <v>873</v>
      </c>
      <c r="F49" s="160">
        <v>202.63328841138801</v>
      </c>
      <c r="G49" s="160">
        <v>53.4396841830809</v>
      </c>
      <c r="H49" s="159">
        <f t="shared" si="1"/>
        <v>250</v>
      </c>
      <c r="I49" s="159">
        <f t="shared" si="2"/>
        <v>200</v>
      </c>
      <c r="J49" s="161">
        <f t="shared" si="3"/>
        <v>1</v>
      </c>
      <c r="K49" s="162">
        <f t="shared" si="4"/>
        <v>173.91304347826099</v>
      </c>
      <c r="L49" s="163">
        <f t="shared" si="5"/>
        <v>0.85826492202594595</v>
      </c>
      <c r="M49" s="159" t="str">
        <f t="shared" si="6"/>
        <v>NOT OK</v>
      </c>
      <c r="N49" s="194">
        <f>VLOOKUP(C49,'Point Coordinates'!$A:$D,2,0)*1000</f>
        <v>955.002779575011</v>
      </c>
      <c r="O49" s="195">
        <f>VLOOKUP(C49,'Point Coordinates'!$A:$D,3,0)*1000</f>
        <v>7170.2764972459399</v>
      </c>
      <c r="V49" s="196">
        <f t="shared" si="7"/>
        <v>0</v>
      </c>
      <c r="W49" s="197">
        <f t="shared" si="8"/>
        <v>0</v>
      </c>
      <c r="X49" s="197">
        <f t="shared" si="9"/>
        <v>0</v>
      </c>
      <c r="Y49" s="197">
        <f t="shared" si="10"/>
        <v>1.1651414083654801</v>
      </c>
      <c r="Z49" s="157">
        <f t="shared" si="11"/>
        <v>0.55359277036564003</v>
      </c>
      <c r="AA49" s="157">
        <f t="shared" si="12"/>
        <v>6.7688664880365597</v>
      </c>
    </row>
    <row r="50" spans="1:27" ht="15">
      <c r="A50" s="157">
        <v>2</v>
      </c>
      <c r="B50" s="157" t="s">
        <v>876</v>
      </c>
      <c r="C50" s="158" t="s">
        <v>823</v>
      </c>
      <c r="D50" s="159">
        <f t="shared" si="0"/>
        <v>1</v>
      </c>
      <c r="E50" s="159" t="s">
        <v>873</v>
      </c>
      <c r="F50" s="160">
        <v>278.77657741278102</v>
      </c>
      <c r="G50" s="160">
        <v>103.56499598162</v>
      </c>
      <c r="H50" s="159">
        <f t="shared" si="1"/>
        <v>250</v>
      </c>
      <c r="I50" s="159">
        <f t="shared" si="2"/>
        <v>300</v>
      </c>
      <c r="J50" s="161">
        <f t="shared" si="3"/>
        <v>1</v>
      </c>
      <c r="K50" s="162">
        <f t="shared" si="4"/>
        <v>260.86956521739103</v>
      </c>
      <c r="L50" s="163">
        <f t="shared" si="5"/>
        <v>0.935765721921196</v>
      </c>
      <c r="M50" s="159" t="str">
        <f t="shared" si="6"/>
        <v>NOT OK</v>
      </c>
      <c r="N50" s="194">
        <f>VLOOKUP(C50,'Point Coordinates'!$A:$D,2,0)*1000</f>
        <v>-1516.4104788526099</v>
      </c>
      <c r="O50" s="195">
        <f>VLOOKUP(C50,'Point Coordinates'!$A:$D,3,0)*1000</f>
        <v>7528.3760707880001</v>
      </c>
      <c r="V50" s="196">
        <f t="shared" si="7"/>
        <v>0</v>
      </c>
      <c r="W50" s="197">
        <f t="shared" si="8"/>
        <v>0</v>
      </c>
      <c r="X50" s="197">
        <f t="shared" si="9"/>
        <v>0</v>
      </c>
      <c r="Y50" s="197">
        <f t="shared" si="10"/>
        <v>1.0686435467489901</v>
      </c>
      <c r="Z50" s="157">
        <f t="shared" si="11"/>
        <v>-1.91782048806198</v>
      </c>
      <c r="AA50" s="157">
        <f t="shared" si="12"/>
        <v>7.1269660615786297</v>
      </c>
    </row>
    <row r="51" spans="1:27" ht="15">
      <c r="A51" s="157">
        <v>1</v>
      </c>
      <c r="B51" s="157" t="s">
        <v>877</v>
      </c>
      <c r="C51" s="158" t="s">
        <v>824</v>
      </c>
      <c r="D51" s="159">
        <f t="shared" si="0"/>
        <v>1</v>
      </c>
      <c r="E51" s="159" t="s">
        <v>873</v>
      </c>
      <c r="F51" s="160">
        <v>232.32872508757299</v>
      </c>
      <c r="G51" s="160">
        <v>24.328251165578099</v>
      </c>
      <c r="H51" s="159">
        <f t="shared" si="1"/>
        <v>250</v>
      </c>
      <c r="I51" s="159">
        <f t="shared" si="2"/>
        <v>200</v>
      </c>
      <c r="J51" s="161">
        <f t="shared" si="3"/>
        <v>1</v>
      </c>
      <c r="K51" s="162">
        <f t="shared" si="4"/>
        <v>173.91304347826099</v>
      </c>
      <c r="L51" s="163">
        <f t="shared" si="5"/>
        <v>0.74856453248605803</v>
      </c>
      <c r="M51" s="159" t="str">
        <f t="shared" si="6"/>
        <v>NOT OK</v>
      </c>
      <c r="N51" s="194">
        <f>VLOOKUP(C51,'Point Coordinates'!$A:$D,2,0)*1000</f>
        <v>254.11145985145799</v>
      </c>
      <c r="O51" s="195">
        <f>VLOOKUP(C51,'Point Coordinates'!$A:$D,3,0)*1000</f>
        <v>8525.1999708641506</v>
      </c>
      <c r="V51" s="196">
        <f t="shared" si="7"/>
        <v>0</v>
      </c>
      <c r="W51" s="197">
        <f t="shared" si="8"/>
        <v>0</v>
      </c>
      <c r="X51" s="197">
        <f t="shared" si="9"/>
        <v>0</v>
      </c>
      <c r="Y51" s="197">
        <f t="shared" si="10"/>
        <v>1.3358901692535401</v>
      </c>
      <c r="Z51" s="157">
        <f t="shared" si="11"/>
        <v>-0.14729854935791301</v>
      </c>
      <c r="AA51" s="157">
        <f t="shared" si="12"/>
        <v>8.1237899616547793</v>
      </c>
    </row>
    <row r="52" spans="1:27" ht="15">
      <c r="A52" s="157">
        <v>1</v>
      </c>
      <c r="B52" s="157" t="s">
        <v>877</v>
      </c>
      <c r="C52" s="158" t="s">
        <v>847</v>
      </c>
      <c r="D52" s="159">
        <f t="shared" si="0"/>
        <v>1</v>
      </c>
      <c r="E52" s="159" t="s">
        <v>873</v>
      </c>
      <c r="F52" s="160">
        <v>177.21513370517701</v>
      </c>
      <c r="G52" s="160">
        <v>77.411386356747599</v>
      </c>
      <c r="H52" s="159">
        <f t="shared" si="1"/>
        <v>250</v>
      </c>
      <c r="I52" s="159">
        <f t="shared" si="2"/>
        <v>200</v>
      </c>
      <c r="J52" s="161">
        <f t="shared" si="3"/>
        <v>1</v>
      </c>
      <c r="K52" s="162">
        <f t="shared" si="4"/>
        <v>173.91304347826099</v>
      </c>
      <c r="L52" s="163">
        <f t="shared" si="5"/>
        <v>0.98136677067089695</v>
      </c>
      <c r="M52" s="159" t="str">
        <f t="shared" si="6"/>
        <v>NOT OK</v>
      </c>
      <c r="N52" s="194">
        <f>VLOOKUP(C52,'Point Coordinates'!$A:$D,2,0)*1000</f>
        <v>1645.3060762141799</v>
      </c>
      <c r="O52" s="195">
        <f>VLOOKUP(C52,'Point Coordinates'!$A:$D,3,0)*1000</f>
        <v>5838.5552956993897</v>
      </c>
      <c r="V52" s="196">
        <f t="shared" si="7"/>
        <v>0</v>
      </c>
      <c r="W52" s="197">
        <f t="shared" si="8"/>
        <v>0</v>
      </c>
      <c r="X52" s="197">
        <f t="shared" si="9"/>
        <v>0</v>
      </c>
      <c r="Y52" s="197">
        <f t="shared" si="10"/>
        <v>1.0189870188047701</v>
      </c>
      <c r="Z52" s="157">
        <f t="shared" si="11"/>
        <v>1.24389606700481</v>
      </c>
      <c r="AA52" s="157">
        <f t="shared" si="12"/>
        <v>5.4371452864900203</v>
      </c>
    </row>
    <row r="53" spans="1:27" ht="15">
      <c r="A53" s="157">
        <v>2</v>
      </c>
      <c r="B53" s="157" t="s">
        <v>876</v>
      </c>
      <c r="C53" s="158" t="s">
        <v>848</v>
      </c>
      <c r="D53" s="159">
        <f t="shared" si="0"/>
        <v>1</v>
      </c>
      <c r="E53" s="159" t="s">
        <v>873</v>
      </c>
      <c r="F53" s="160">
        <v>276.00464765781498</v>
      </c>
      <c r="G53" s="160">
        <v>106.781468376432</v>
      </c>
      <c r="H53" s="159">
        <f t="shared" si="1"/>
        <v>250</v>
      </c>
      <c r="I53" s="159">
        <f t="shared" si="2"/>
        <v>300</v>
      </c>
      <c r="J53" s="161">
        <f t="shared" si="3"/>
        <v>1</v>
      </c>
      <c r="K53" s="162">
        <f t="shared" si="4"/>
        <v>260.86956521739103</v>
      </c>
      <c r="L53" s="163">
        <f t="shared" si="5"/>
        <v>0.94516366818870401</v>
      </c>
      <c r="M53" s="159" t="str">
        <f t="shared" si="6"/>
        <v>NOT OK</v>
      </c>
      <c r="N53" s="194">
        <f>VLOOKUP(C53,'Point Coordinates'!$A:$D,2,0)*1000</f>
        <v>-1443.62652714974</v>
      </c>
      <c r="O53" s="195">
        <f>VLOOKUP(C53,'Point Coordinates'!$A:$D,3,0)*1000</f>
        <v>8143.1533863021496</v>
      </c>
      <c r="V53" s="196">
        <f t="shared" si="7"/>
        <v>0</v>
      </c>
      <c r="W53" s="197">
        <f t="shared" si="8"/>
        <v>0</v>
      </c>
      <c r="X53" s="197">
        <f t="shared" si="9"/>
        <v>0</v>
      </c>
      <c r="Y53" s="197">
        <f t="shared" si="10"/>
        <v>1.05801781602162</v>
      </c>
      <c r="Z53" s="157">
        <f t="shared" si="11"/>
        <v>-1.8450365363591099</v>
      </c>
      <c r="AA53" s="157">
        <f t="shared" si="12"/>
        <v>7.7417433770927797</v>
      </c>
    </row>
    <row r="54" spans="1:27" ht="15">
      <c r="A54" s="157">
        <v>1</v>
      </c>
      <c r="B54" s="157" t="s">
        <v>877</v>
      </c>
      <c r="C54" s="158" t="s">
        <v>849</v>
      </c>
      <c r="D54" s="159">
        <f t="shared" si="0"/>
        <v>1</v>
      </c>
      <c r="E54" s="159" t="s">
        <v>873</v>
      </c>
      <c r="F54" s="160">
        <v>216.78285731391699</v>
      </c>
      <c r="G54" s="160">
        <v>39.039162435776603</v>
      </c>
      <c r="H54" s="159">
        <f t="shared" si="1"/>
        <v>250</v>
      </c>
      <c r="I54" s="159">
        <f t="shared" si="2"/>
        <v>200</v>
      </c>
      <c r="J54" s="161">
        <f t="shared" si="3"/>
        <v>1</v>
      </c>
      <c r="K54" s="162">
        <f t="shared" si="4"/>
        <v>173.91304347826099</v>
      </c>
      <c r="L54" s="163">
        <f t="shared" si="5"/>
        <v>0.80224536955162695</v>
      </c>
      <c r="M54" s="159" t="str">
        <f t="shared" si="6"/>
        <v>NOT OK</v>
      </c>
      <c r="N54" s="194">
        <f>VLOOKUP(C54,'Point Coordinates'!$A:$D,2,0)*1000</f>
        <v>599.11285401918997</v>
      </c>
      <c r="O54" s="195">
        <f>VLOOKUP(C54,'Point Coordinates'!$A:$D,3,0)*1000</f>
        <v>7858.2627806971404</v>
      </c>
      <c r="V54" s="196">
        <f t="shared" si="7"/>
        <v>0</v>
      </c>
      <c r="W54" s="197">
        <f t="shared" si="8"/>
        <v>0</v>
      </c>
      <c r="X54" s="197">
        <f t="shared" si="9"/>
        <v>0</v>
      </c>
      <c r="Y54" s="197">
        <f t="shared" si="10"/>
        <v>1.2465014295550201</v>
      </c>
      <c r="Z54" s="157">
        <f t="shared" si="11"/>
        <v>0.19770284480981901</v>
      </c>
      <c r="AA54" s="157">
        <f t="shared" si="12"/>
        <v>7.4568527714877701</v>
      </c>
    </row>
    <row r="55" spans="1:27" ht="15">
      <c r="A55" s="157">
        <v>1</v>
      </c>
      <c r="B55" s="157" t="s">
        <v>876</v>
      </c>
      <c r="C55" s="158" t="s">
        <v>852</v>
      </c>
      <c r="D55" s="159">
        <f t="shared" si="0"/>
        <v>1</v>
      </c>
      <c r="E55" s="159" t="s">
        <v>873</v>
      </c>
      <c r="F55" s="160">
        <v>347.59008206992502</v>
      </c>
      <c r="G55" s="160">
        <v>54.0586221335492</v>
      </c>
      <c r="H55" s="159">
        <f t="shared" si="1"/>
        <v>250</v>
      </c>
      <c r="I55" s="159">
        <f t="shared" si="2"/>
        <v>300</v>
      </c>
      <c r="J55" s="161">
        <f t="shared" si="3"/>
        <v>1</v>
      </c>
      <c r="K55" s="162">
        <f t="shared" si="4"/>
        <v>260.86956521739103</v>
      </c>
      <c r="L55" s="163">
        <f t="shared" si="5"/>
        <v>0.75050923105715095</v>
      </c>
      <c r="M55" s="159" t="str">
        <f t="shared" si="6"/>
        <v>NOT OK</v>
      </c>
      <c r="N55" s="194">
        <f>VLOOKUP(C55,'Point Coordinates'!$A:$D,2,0)*1000</f>
        <v>-561.80774916190603</v>
      </c>
      <c r="O55" s="195">
        <f>VLOOKUP(C55,'Point Coordinates'!$A:$D,3,0)*1000</f>
        <v>8675.9436242526608</v>
      </c>
      <c r="V55" s="196">
        <f t="shared" si="7"/>
        <v>0</v>
      </c>
      <c r="W55" s="197">
        <f t="shared" si="8"/>
        <v>0</v>
      </c>
      <c r="X55" s="197">
        <f t="shared" si="9"/>
        <v>0</v>
      </c>
      <c r="Y55" s="197">
        <f t="shared" si="10"/>
        <v>1.3324286479347101</v>
      </c>
      <c r="Z55" s="157">
        <f t="shared" si="11"/>
        <v>-0.96321775837127799</v>
      </c>
      <c r="AA55" s="157">
        <f t="shared" si="12"/>
        <v>8.2745336150432909</v>
      </c>
    </row>
    <row r="56" spans="1:27" ht="15">
      <c r="A56" s="157">
        <v>1</v>
      </c>
      <c r="B56" s="157" t="s">
        <v>877</v>
      </c>
      <c r="C56" s="158" t="s">
        <v>854</v>
      </c>
      <c r="D56" s="159">
        <f t="shared" si="0"/>
        <v>1</v>
      </c>
      <c r="E56" s="159" t="s">
        <v>873</v>
      </c>
      <c r="F56" s="160">
        <v>164.89470807184799</v>
      </c>
      <c r="G56" s="160">
        <v>81.243080687818903</v>
      </c>
      <c r="H56" s="159">
        <f t="shared" si="1"/>
        <v>250</v>
      </c>
      <c r="I56" s="159">
        <f t="shared" si="2"/>
        <v>200</v>
      </c>
      <c r="J56" s="161">
        <f t="shared" si="3"/>
        <v>1</v>
      </c>
      <c r="K56" s="162">
        <f t="shared" si="4"/>
        <v>173.91304347826099</v>
      </c>
      <c r="L56" s="163">
        <f t="shared" si="5"/>
        <v>1.0546914786524499</v>
      </c>
      <c r="M56" s="159" t="str">
        <f t="shared" si="6"/>
        <v>OK</v>
      </c>
      <c r="N56" s="194">
        <f>VLOOKUP(C56,'Point Coordinates'!$A:$D,2,0)*1000</f>
        <v>-25.138120103491602</v>
      </c>
      <c r="O56" s="195">
        <f>VLOOKUP(C56,'Point Coordinates'!$A:$D,3,0)*1000</f>
        <v>5156.9714976820396</v>
      </c>
      <c r="V56" s="196">
        <f t="shared" si="7"/>
        <v>0</v>
      </c>
      <c r="W56" s="197">
        <f t="shared" si="8"/>
        <v>0</v>
      </c>
      <c r="X56" s="197">
        <f t="shared" si="9"/>
        <v>0.94814457141312602</v>
      </c>
      <c r="Y56" s="197">
        <f t="shared" si="10"/>
        <v>0</v>
      </c>
      <c r="Z56" s="157">
        <f t="shared" si="11"/>
        <v>-0.42654812931286301</v>
      </c>
      <c r="AA56" s="157">
        <f t="shared" si="12"/>
        <v>4.7555614884726598</v>
      </c>
    </row>
    <row r="57" spans="1:27" ht="15">
      <c r="A57" s="157">
        <v>1</v>
      </c>
      <c r="B57" s="157" t="s">
        <v>876</v>
      </c>
      <c r="C57" s="158" t="s">
        <v>765</v>
      </c>
      <c r="D57" s="159">
        <f t="shared" si="0"/>
        <v>1</v>
      </c>
      <c r="E57" s="159" t="s">
        <v>872</v>
      </c>
      <c r="F57" s="160">
        <v>187.244170264584</v>
      </c>
      <c r="G57" s="160">
        <v>67.479690869099201</v>
      </c>
      <c r="H57" s="159">
        <f t="shared" si="1"/>
        <v>250</v>
      </c>
      <c r="I57" s="159">
        <f t="shared" si="2"/>
        <v>300</v>
      </c>
      <c r="J57" s="161">
        <f t="shared" si="3"/>
        <v>1</v>
      </c>
      <c r="K57" s="162">
        <f t="shared" si="4"/>
        <v>260.86956521739103</v>
      </c>
      <c r="L57" s="163">
        <f t="shared" si="5"/>
        <v>1.39320527228576</v>
      </c>
      <c r="M57" s="159" t="str">
        <f t="shared" si="6"/>
        <v>OK</v>
      </c>
      <c r="N57" s="194">
        <f>VLOOKUP(C57,'Point Coordinates'!$A:$D,2,0)*1000</f>
        <v>7274.5910540707</v>
      </c>
      <c r="O57" s="195">
        <f>VLOOKUP(C57,'Point Coordinates'!$A:$D,3,0)*1000</f>
        <v>401.56975269889</v>
      </c>
      <c r="V57" s="196">
        <f t="shared" si="7"/>
        <v>0</v>
      </c>
      <c r="W57" s="197">
        <f t="shared" si="8"/>
        <v>0.71776931934757204</v>
      </c>
      <c r="X57" s="197">
        <f t="shared" si="9"/>
        <v>0</v>
      </c>
      <c r="Y57" s="197">
        <f t="shared" si="10"/>
        <v>0</v>
      </c>
      <c r="Z57" s="157">
        <f t="shared" si="11"/>
        <v>6.8731810448613304</v>
      </c>
      <c r="AA57" s="157">
        <f t="shared" si="12"/>
        <v>1.5974348951886E-4</v>
      </c>
    </row>
    <row r="58" spans="1:27" ht="15">
      <c r="A58" s="157">
        <v>1</v>
      </c>
      <c r="B58" s="157" t="s">
        <v>876</v>
      </c>
      <c r="C58" s="158" t="s">
        <v>766</v>
      </c>
      <c r="D58" s="159">
        <f t="shared" si="0"/>
        <v>1</v>
      </c>
      <c r="E58" s="159" t="s">
        <v>872</v>
      </c>
      <c r="F58" s="160">
        <v>152.76756946290499</v>
      </c>
      <c r="G58" s="160">
        <v>90.310741872566297</v>
      </c>
      <c r="H58" s="159">
        <f t="shared" si="1"/>
        <v>250</v>
      </c>
      <c r="I58" s="159">
        <f t="shared" si="2"/>
        <v>300</v>
      </c>
      <c r="J58" s="161">
        <f t="shared" si="3"/>
        <v>1</v>
      </c>
      <c r="K58" s="162">
        <f t="shared" si="4"/>
        <v>260.86956521739103</v>
      </c>
      <c r="L58" s="163">
        <f t="shared" si="5"/>
        <v>1.7076239815462599</v>
      </c>
      <c r="M58" s="159" t="str">
        <f t="shared" si="6"/>
        <v>OK</v>
      </c>
      <c r="N58" s="194">
        <f>VLOOKUP(C58,'Point Coordinates'!$A:$D,2,0)*1000</f>
        <v>7274.5910540707</v>
      </c>
      <c r="O58" s="195">
        <f>VLOOKUP(C58,'Point Coordinates'!$A:$D,3,0)*1000</f>
        <v>1151.5697526988899</v>
      </c>
      <c r="V58" s="196">
        <f t="shared" si="7"/>
        <v>0</v>
      </c>
      <c r="W58" s="197">
        <f t="shared" si="8"/>
        <v>0.58560901627446904</v>
      </c>
      <c r="X58" s="197">
        <f t="shared" si="9"/>
        <v>0</v>
      </c>
      <c r="Y58" s="197">
        <f t="shared" si="10"/>
        <v>0</v>
      </c>
      <c r="Z58" s="157">
        <f t="shared" si="11"/>
        <v>6.8731810448613304</v>
      </c>
      <c r="AA58" s="157">
        <f t="shared" si="12"/>
        <v>0.75015974348951897</v>
      </c>
    </row>
    <row r="59" spans="1:27" ht="15">
      <c r="A59" s="157">
        <v>1</v>
      </c>
      <c r="B59" s="157" t="s">
        <v>876</v>
      </c>
      <c r="C59" s="158" t="s">
        <v>767</v>
      </c>
      <c r="D59" s="159">
        <f t="shared" si="0"/>
        <v>1</v>
      </c>
      <c r="E59" s="159" t="s">
        <v>872</v>
      </c>
      <c r="F59" s="160">
        <v>187.270387732731</v>
      </c>
      <c r="G59" s="160">
        <v>69.573682611639299</v>
      </c>
      <c r="H59" s="159">
        <f t="shared" si="1"/>
        <v>250</v>
      </c>
      <c r="I59" s="159">
        <f t="shared" si="2"/>
        <v>300</v>
      </c>
      <c r="J59" s="161">
        <f t="shared" si="3"/>
        <v>1</v>
      </c>
      <c r="K59" s="162">
        <f t="shared" si="4"/>
        <v>260.86956521739103</v>
      </c>
      <c r="L59" s="163">
        <f t="shared" si="5"/>
        <v>1.3930102264203099</v>
      </c>
      <c r="M59" s="159" t="str">
        <f t="shared" si="6"/>
        <v>OK</v>
      </c>
      <c r="N59" s="194">
        <f>VLOOKUP(C59,'Point Coordinates'!$A:$D,2,0)*1000</f>
        <v>6524.5910540707</v>
      </c>
      <c r="O59" s="195">
        <f>VLOOKUP(C59,'Point Coordinates'!$A:$D,3,0)*1000</f>
        <v>401.56975269889</v>
      </c>
      <c r="V59" s="196">
        <f t="shared" si="7"/>
        <v>0</v>
      </c>
      <c r="W59" s="197">
        <f t="shared" si="8"/>
        <v>0.71786981964213503</v>
      </c>
      <c r="X59" s="197">
        <f t="shared" si="9"/>
        <v>0</v>
      </c>
      <c r="Y59" s="197">
        <f t="shared" si="10"/>
        <v>0</v>
      </c>
      <c r="Z59" s="157">
        <f t="shared" si="11"/>
        <v>6.1231810448613304</v>
      </c>
      <c r="AA59" s="157">
        <f t="shared" si="12"/>
        <v>1.5974348951886E-4</v>
      </c>
    </row>
    <row r="60" spans="1:27" ht="15">
      <c r="A60" s="157">
        <v>1</v>
      </c>
      <c r="B60" s="157" t="s">
        <v>876</v>
      </c>
      <c r="C60" s="158" t="s">
        <v>768</v>
      </c>
      <c r="D60" s="159">
        <f t="shared" si="0"/>
        <v>1</v>
      </c>
      <c r="E60" s="159" t="s">
        <v>872</v>
      </c>
      <c r="F60" s="160">
        <v>153.31782060462899</v>
      </c>
      <c r="G60" s="160">
        <v>92.213409270654395</v>
      </c>
      <c r="H60" s="159">
        <f t="shared" si="1"/>
        <v>250</v>
      </c>
      <c r="I60" s="159">
        <f t="shared" si="2"/>
        <v>300</v>
      </c>
      <c r="J60" s="161">
        <f t="shared" si="3"/>
        <v>1</v>
      </c>
      <c r="K60" s="162">
        <f t="shared" si="4"/>
        <v>260.86956521739103</v>
      </c>
      <c r="L60" s="163">
        <f t="shared" si="5"/>
        <v>1.70149539165518</v>
      </c>
      <c r="M60" s="159" t="str">
        <f t="shared" si="6"/>
        <v>OK</v>
      </c>
      <c r="N60" s="194">
        <f>VLOOKUP(C60,'Point Coordinates'!$A:$D,2,0)*1000</f>
        <v>6524.5910540707</v>
      </c>
      <c r="O60" s="195">
        <f>VLOOKUP(C60,'Point Coordinates'!$A:$D,3,0)*1000</f>
        <v>1151.5697526988899</v>
      </c>
      <c r="V60" s="196">
        <f t="shared" si="7"/>
        <v>0</v>
      </c>
      <c r="W60" s="197">
        <f t="shared" si="8"/>
        <v>0.58771831231774396</v>
      </c>
      <c r="X60" s="197">
        <f t="shared" si="9"/>
        <v>0</v>
      </c>
      <c r="Y60" s="197">
        <f t="shared" si="10"/>
        <v>0</v>
      </c>
      <c r="Z60" s="157">
        <f t="shared" si="11"/>
        <v>6.1231810448613304</v>
      </c>
      <c r="AA60" s="157">
        <f t="shared" si="12"/>
        <v>0.75015974348951897</v>
      </c>
    </row>
    <row r="61" spans="1:27" ht="15">
      <c r="A61" s="157">
        <v>1</v>
      </c>
      <c r="B61" s="157" t="s">
        <v>876</v>
      </c>
      <c r="C61" s="158" t="s">
        <v>769</v>
      </c>
      <c r="D61" s="159">
        <f t="shared" si="0"/>
        <v>1</v>
      </c>
      <c r="E61" s="159" t="s">
        <v>872</v>
      </c>
      <c r="F61" s="160">
        <v>207.70733754880499</v>
      </c>
      <c r="G61" s="160">
        <v>85.330633869547199</v>
      </c>
      <c r="H61" s="159">
        <f t="shared" si="1"/>
        <v>250</v>
      </c>
      <c r="I61" s="159">
        <f t="shared" si="2"/>
        <v>300</v>
      </c>
      <c r="J61" s="161">
        <f t="shared" si="3"/>
        <v>1</v>
      </c>
      <c r="K61" s="162">
        <f t="shared" si="4"/>
        <v>260.86956521739103</v>
      </c>
      <c r="L61" s="163">
        <f t="shared" si="5"/>
        <v>1.25594775945792</v>
      </c>
      <c r="M61" s="159" t="str">
        <f t="shared" si="6"/>
        <v>OK</v>
      </c>
      <c r="N61" s="194">
        <f>VLOOKUP(C61,'Point Coordinates'!$A:$D,2,0)*1000</f>
        <v>7274.5910540707</v>
      </c>
      <c r="O61" s="195">
        <f>VLOOKUP(C61,'Point Coordinates'!$A:$D,3,0)*1000</f>
        <v>3393.73888074448</v>
      </c>
      <c r="V61" s="196">
        <f t="shared" si="7"/>
        <v>0</v>
      </c>
      <c r="W61" s="197">
        <f t="shared" si="8"/>
        <v>0.79621146060375203</v>
      </c>
      <c r="X61" s="197">
        <f t="shared" si="9"/>
        <v>0</v>
      </c>
      <c r="Y61" s="197">
        <f t="shared" si="10"/>
        <v>0</v>
      </c>
      <c r="Z61" s="157">
        <f t="shared" si="11"/>
        <v>6.8731810448613304</v>
      </c>
      <c r="AA61" s="157">
        <f t="shared" si="12"/>
        <v>2.99232887153511</v>
      </c>
    </row>
    <row r="62" spans="1:27" ht="15">
      <c r="A62" s="157">
        <v>1</v>
      </c>
      <c r="B62" s="157" t="s">
        <v>876</v>
      </c>
      <c r="C62" s="158" t="s">
        <v>770</v>
      </c>
      <c r="D62" s="159">
        <f t="shared" si="0"/>
        <v>1</v>
      </c>
      <c r="E62" s="159" t="s">
        <v>872</v>
      </c>
      <c r="F62" s="160">
        <v>165.704010003684</v>
      </c>
      <c r="G62" s="160">
        <v>95.197314939721394</v>
      </c>
      <c r="H62" s="159">
        <f t="shared" si="1"/>
        <v>250</v>
      </c>
      <c r="I62" s="159">
        <f t="shared" si="2"/>
        <v>300</v>
      </c>
      <c r="J62" s="161">
        <f t="shared" si="3"/>
        <v>1</v>
      </c>
      <c r="K62" s="162">
        <f t="shared" si="4"/>
        <v>260.86956521739103</v>
      </c>
      <c r="L62" s="163">
        <f t="shared" si="5"/>
        <v>1.5743105143417599</v>
      </c>
      <c r="M62" s="159" t="str">
        <f t="shared" si="6"/>
        <v>OK</v>
      </c>
      <c r="N62" s="194">
        <f>VLOOKUP(C62,'Point Coordinates'!$A:$D,2,0)*1000</f>
        <v>7274.5910540707</v>
      </c>
      <c r="O62" s="195">
        <f>VLOOKUP(C62,'Point Coordinates'!$A:$D,3,0)*1000</f>
        <v>2643.73888074448</v>
      </c>
      <c r="V62" s="196">
        <f t="shared" si="7"/>
        <v>0</v>
      </c>
      <c r="W62" s="197">
        <f t="shared" si="8"/>
        <v>0.63519870501412201</v>
      </c>
      <c r="X62" s="197">
        <f t="shared" si="9"/>
        <v>0</v>
      </c>
      <c r="Y62" s="197">
        <f t="shared" si="10"/>
        <v>0</v>
      </c>
      <c r="Z62" s="157">
        <f t="shared" si="11"/>
        <v>6.8731810448613304</v>
      </c>
      <c r="AA62" s="157">
        <f t="shared" si="12"/>
        <v>2.24232887153511</v>
      </c>
    </row>
    <row r="63" spans="1:27" ht="15">
      <c r="A63" s="157">
        <v>1</v>
      </c>
      <c r="B63" s="157" t="s">
        <v>876</v>
      </c>
      <c r="C63" s="158" t="s">
        <v>771</v>
      </c>
      <c r="D63" s="159">
        <f t="shared" si="0"/>
        <v>1</v>
      </c>
      <c r="E63" s="159" t="s">
        <v>872</v>
      </c>
      <c r="F63" s="160">
        <v>205.94647096807</v>
      </c>
      <c r="G63" s="160">
        <v>93.439118364317693</v>
      </c>
      <c r="H63" s="159">
        <f t="shared" si="1"/>
        <v>250</v>
      </c>
      <c r="I63" s="159">
        <f t="shared" si="2"/>
        <v>300</v>
      </c>
      <c r="J63" s="161">
        <f t="shared" si="3"/>
        <v>1</v>
      </c>
      <c r="K63" s="162">
        <f t="shared" si="4"/>
        <v>260.86956521739103</v>
      </c>
      <c r="L63" s="163">
        <f t="shared" si="5"/>
        <v>1.2666862607120699</v>
      </c>
      <c r="M63" s="159" t="str">
        <f t="shared" si="6"/>
        <v>OK</v>
      </c>
      <c r="N63" s="194">
        <f>VLOOKUP(C63,'Point Coordinates'!$A:$D,2,0)*1000</f>
        <v>6524.5910540707</v>
      </c>
      <c r="O63" s="195">
        <f>VLOOKUP(C63,'Point Coordinates'!$A:$D,3,0)*1000</f>
        <v>3393.73888074448</v>
      </c>
      <c r="V63" s="196">
        <f t="shared" si="7"/>
        <v>0</v>
      </c>
      <c r="W63" s="197">
        <f t="shared" si="8"/>
        <v>0.78946147204426798</v>
      </c>
      <c r="X63" s="197">
        <f t="shared" si="9"/>
        <v>0</v>
      </c>
      <c r="Y63" s="197">
        <f t="shared" si="10"/>
        <v>0</v>
      </c>
      <c r="Z63" s="157">
        <f t="shared" si="11"/>
        <v>6.1231810448613304</v>
      </c>
      <c r="AA63" s="157">
        <f t="shared" si="12"/>
        <v>2.99232887153511</v>
      </c>
    </row>
    <row r="64" spans="1:27" ht="15">
      <c r="A64" s="157">
        <v>1</v>
      </c>
      <c r="B64" s="157" t="s">
        <v>876</v>
      </c>
      <c r="C64" s="158" t="s">
        <v>772</v>
      </c>
      <c r="D64" s="159">
        <f t="shared" si="0"/>
        <v>1</v>
      </c>
      <c r="E64" s="159" t="s">
        <v>872</v>
      </c>
      <c r="F64" s="160">
        <v>164.27555388074799</v>
      </c>
      <c r="G64" s="160">
        <v>102.883491949938</v>
      </c>
      <c r="H64" s="159">
        <f t="shared" si="1"/>
        <v>250</v>
      </c>
      <c r="I64" s="159">
        <f t="shared" si="2"/>
        <v>300</v>
      </c>
      <c r="J64" s="161">
        <f t="shared" si="3"/>
        <v>1</v>
      </c>
      <c r="K64" s="162">
        <f t="shared" si="4"/>
        <v>260.86956521739103</v>
      </c>
      <c r="L64" s="163">
        <f t="shared" si="5"/>
        <v>1.58799991267577</v>
      </c>
      <c r="M64" s="159" t="str">
        <f t="shared" si="6"/>
        <v>OK</v>
      </c>
      <c r="N64" s="194">
        <f>VLOOKUP(C64,'Point Coordinates'!$A:$D,2,0)*1000</f>
        <v>6524.5910540707</v>
      </c>
      <c r="O64" s="195">
        <f>VLOOKUP(C64,'Point Coordinates'!$A:$D,3,0)*1000</f>
        <v>2643.73888074448</v>
      </c>
      <c r="V64" s="196">
        <f t="shared" si="7"/>
        <v>0</v>
      </c>
      <c r="W64" s="197">
        <f t="shared" si="8"/>
        <v>0.62972295654286703</v>
      </c>
      <c r="X64" s="197">
        <f t="shared" si="9"/>
        <v>0</v>
      </c>
      <c r="Y64" s="197">
        <f t="shared" si="10"/>
        <v>0</v>
      </c>
      <c r="Z64" s="157">
        <f t="shared" si="11"/>
        <v>6.1231810448613304</v>
      </c>
      <c r="AA64" s="157">
        <f t="shared" si="12"/>
        <v>2.24232887153511</v>
      </c>
    </row>
    <row r="65" spans="1:27" ht="15">
      <c r="A65" s="157">
        <v>1</v>
      </c>
      <c r="B65" s="157" t="s">
        <v>876</v>
      </c>
      <c r="C65" s="158" t="s">
        <v>777</v>
      </c>
      <c r="D65" s="159">
        <f t="shared" si="0"/>
        <v>1</v>
      </c>
      <c r="E65" s="159" t="s">
        <v>872</v>
      </c>
      <c r="F65" s="160">
        <v>243.03784625663201</v>
      </c>
      <c r="G65" s="160">
        <v>82.083597898041603</v>
      </c>
      <c r="H65" s="159">
        <f t="shared" si="1"/>
        <v>250</v>
      </c>
      <c r="I65" s="159">
        <f t="shared" si="2"/>
        <v>300</v>
      </c>
      <c r="J65" s="161">
        <f t="shared" si="3"/>
        <v>1</v>
      </c>
      <c r="K65" s="162">
        <f t="shared" si="4"/>
        <v>260.86956521739103</v>
      </c>
      <c r="L65" s="163">
        <f t="shared" si="5"/>
        <v>1.07337013241111</v>
      </c>
      <c r="M65" s="159" t="str">
        <f t="shared" si="6"/>
        <v>OK</v>
      </c>
      <c r="N65" s="194">
        <f>VLOOKUP(C65,'Point Coordinates'!$A:$D,2,0)*1000</f>
        <v>10583.8280698332</v>
      </c>
      <c r="O65" s="195">
        <f>VLOOKUP(C65,'Point Coordinates'!$A:$D,3,0)*1000</f>
        <v>3393.73888074448</v>
      </c>
      <c r="V65" s="196">
        <f t="shared" si="7"/>
        <v>0</v>
      </c>
      <c r="W65" s="197">
        <f t="shared" si="8"/>
        <v>0</v>
      </c>
      <c r="X65" s="197">
        <f t="shared" si="9"/>
        <v>0.93164507731708901</v>
      </c>
      <c r="Y65" s="197">
        <f t="shared" si="10"/>
        <v>0</v>
      </c>
      <c r="Z65" s="157">
        <f t="shared" si="11"/>
        <v>10.1824180606238</v>
      </c>
      <c r="AA65" s="157">
        <f t="shared" si="12"/>
        <v>2.99232887153511</v>
      </c>
    </row>
    <row r="66" spans="1:27" ht="15">
      <c r="A66" s="157">
        <v>1</v>
      </c>
      <c r="B66" s="157" t="s">
        <v>876</v>
      </c>
      <c r="C66" s="158" t="s">
        <v>778</v>
      </c>
      <c r="D66" s="159">
        <f t="shared" si="0"/>
        <v>1</v>
      </c>
      <c r="E66" s="159" t="s">
        <v>872</v>
      </c>
      <c r="F66" s="160">
        <v>224.62720847656499</v>
      </c>
      <c r="G66" s="160">
        <v>78.608349222691103</v>
      </c>
      <c r="H66" s="159">
        <f t="shared" si="1"/>
        <v>250</v>
      </c>
      <c r="I66" s="159">
        <f t="shared" si="2"/>
        <v>300</v>
      </c>
      <c r="J66" s="161">
        <f t="shared" si="3"/>
        <v>1</v>
      </c>
      <c r="K66" s="162">
        <f t="shared" si="4"/>
        <v>260.86956521739103</v>
      </c>
      <c r="L66" s="163">
        <f t="shared" si="5"/>
        <v>1.16134446484299</v>
      </c>
      <c r="M66" s="159" t="str">
        <f t="shared" si="6"/>
        <v>OK</v>
      </c>
      <c r="N66" s="194">
        <f>VLOOKUP(C66,'Point Coordinates'!$A:$D,2,0)*1000</f>
        <v>9833.8280698332001</v>
      </c>
      <c r="O66" s="195">
        <f>VLOOKUP(C66,'Point Coordinates'!$A:$D,3,0)*1000</f>
        <v>3393.73888074448</v>
      </c>
      <c r="V66" s="196">
        <f t="shared" si="7"/>
        <v>0</v>
      </c>
      <c r="W66" s="197">
        <f t="shared" si="8"/>
        <v>0</v>
      </c>
      <c r="X66" s="197">
        <f t="shared" si="9"/>
        <v>0.86107096582683196</v>
      </c>
      <c r="Y66" s="197">
        <f t="shared" si="10"/>
        <v>0</v>
      </c>
      <c r="Z66" s="157">
        <f t="shared" si="11"/>
        <v>9.4324180606238297</v>
      </c>
      <c r="AA66" s="157">
        <f t="shared" si="12"/>
        <v>2.99232887153511</v>
      </c>
    </row>
    <row r="67" spans="1:27" ht="15">
      <c r="A67" s="157">
        <v>1</v>
      </c>
      <c r="B67" s="157" t="s">
        <v>876</v>
      </c>
      <c r="C67" s="158" t="s">
        <v>779</v>
      </c>
      <c r="D67" s="159">
        <f t="shared" si="0"/>
        <v>1</v>
      </c>
      <c r="E67" s="159" t="s">
        <v>872</v>
      </c>
      <c r="F67" s="160">
        <v>195.37999624798101</v>
      </c>
      <c r="G67" s="160">
        <v>100.04977980996701</v>
      </c>
      <c r="H67" s="159">
        <f t="shared" si="1"/>
        <v>250</v>
      </c>
      <c r="I67" s="159">
        <f t="shared" si="2"/>
        <v>300</v>
      </c>
      <c r="J67" s="161">
        <f t="shared" si="3"/>
        <v>1</v>
      </c>
      <c r="K67" s="162">
        <f t="shared" si="4"/>
        <v>260.86956521739103</v>
      </c>
      <c r="L67" s="163">
        <f t="shared" si="5"/>
        <v>1.3351907576366699</v>
      </c>
      <c r="M67" s="159" t="str">
        <f t="shared" si="6"/>
        <v>OK</v>
      </c>
      <c r="N67" s="194">
        <f>VLOOKUP(C67,'Point Coordinates'!$A:$D,2,0)*1000</f>
        <v>10642.2812065832</v>
      </c>
      <c r="O67" s="195">
        <f>VLOOKUP(C67,'Point Coordinates'!$A:$D,3,0)*1000</f>
        <v>2648.1274488449499</v>
      </c>
      <c r="V67" s="196">
        <f t="shared" si="7"/>
        <v>0</v>
      </c>
      <c r="W67" s="197">
        <f t="shared" si="8"/>
        <v>0.74895665228392705</v>
      </c>
      <c r="X67" s="197">
        <f t="shared" si="9"/>
        <v>0</v>
      </c>
      <c r="Y67" s="197">
        <f t="shared" si="10"/>
        <v>0</v>
      </c>
      <c r="Z67" s="157">
        <f t="shared" si="11"/>
        <v>10.240871197373901</v>
      </c>
      <c r="AA67" s="157">
        <f t="shared" si="12"/>
        <v>2.24671743963557</v>
      </c>
    </row>
    <row r="68" spans="1:27" ht="15">
      <c r="A68" s="157">
        <v>1</v>
      </c>
      <c r="B68" s="157" t="s">
        <v>876</v>
      </c>
      <c r="C68" s="158" t="s">
        <v>780</v>
      </c>
      <c r="D68" s="159">
        <f t="shared" si="0"/>
        <v>1</v>
      </c>
      <c r="E68" s="159" t="s">
        <v>872</v>
      </c>
      <c r="F68" s="160">
        <v>210.08361918684901</v>
      </c>
      <c r="G68" s="160">
        <v>93.821077058596998</v>
      </c>
      <c r="H68" s="159">
        <f t="shared" si="1"/>
        <v>250</v>
      </c>
      <c r="I68" s="159">
        <f t="shared" si="2"/>
        <v>300</v>
      </c>
      <c r="J68" s="161">
        <f t="shared" si="3"/>
        <v>1</v>
      </c>
      <c r="K68" s="162">
        <f t="shared" si="4"/>
        <v>260.86956521739103</v>
      </c>
      <c r="L68" s="163">
        <f t="shared" si="5"/>
        <v>1.2417415799818901</v>
      </c>
      <c r="M68" s="159" t="str">
        <f t="shared" si="6"/>
        <v>OK</v>
      </c>
      <c r="N68" s="194">
        <f>VLOOKUP(C68,'Point Coordinates'!$A:$D,2,0)*1000</f>
        <v>10810.949168466501</v>
      </c>
      <c r="O68" s="195">
        <f>VLOOKUP(C68,'Point Coordinates'!$A:$D,3,0)*1000</f>
        <v>401.56975269889</v>
      </c>
      <c r="V68" s="196">
        <f t="shared" si="7"/>
        <v>0</v>
      </c>
      <c r="W68" s="197">
        <f t="shared" si="8"/>
        <v>0</v>
      </c>
      <c r="X68" s="197">
        <f t="shared" si="9"/>
        <v>0.80532054021625399</v>
      </c>
      <c r="Y68" s="197">
        <f t="shared" si="10"/>
        <v>0</v>
      </c>
      <c r="Z68" s="157">
        <f t="shared" si="11"/>
        <v>10.4095391592571</v>
      </c>
      <c r="AA68" s="157">
        <f t="shared" si="12"/>
        <v>1.5974348951886E-4</v>
      </c>
    </row>
    <row r="69" spans="1:27" ht="15">
      <c r="A69" s="157">
        <v>1</v>
      </c>
      <c r="B69" s="157" t="s">
        <v>876</v>
      </c>
      <c r="C69" s="158" t="s">
        <v>781</v>
      </c>
      <c r="D69" s="159">
        <f t="shared" si="0"/>
        <v>1</v>
      </c>
      <c r="E69" s="159" t="s">
        <v>872</v>
      </c>
      <c r="F69" s="160">
        <v>197.634783487188</v>
      </c>
      <c r="G69" s="160">
        <v>80.166603655302097</v>
      </c>
      <c r="H69" s="159">
        <f t="shared" si="1"/>
        <v>250</v>
      </c>
      <c r="I69" s="159">
        <f t="shared" si="2"/>
        <v>300</v>
      </c>
      <c r="J69" s="161">
        <f t="shared" si="3"/>
        <v>1</v>
      </c>
      <c r="K69" s="162">
        <f t="shared" si="4"/>
        <v>260.86956521739103</v>
      </c>
      <c r="L69" s="163">
        <f t="shared" si="5"/>
        <v>1.31995775548439</v>
      </c>
      <c r="M69" s="159" t="str">
        <f t="shared" si="6"/>
        <v>OK</v>
      </c>
      <c r="N69" s="194">
        <f>VLOOKUP(C69,'Point Coordinates'!$A:$D,2,0)*1000</f>
        <v>10060.949168466501</v>
      </c>
      <c r="O69" s="195">
        <f>VLOOKUP(C69,'Point Coordinates'!$A:$D,3,0)*1000</f>
        <v>401.56975269889</v>
      </c>
      <c r="V69" s="196">
        <f t="shared" si="7"/>
        <v>0</v>
      </c>
      <c r="W69" s="197">
        <f t="shared" si="8"/>
        <v>0.75760000336755395</v>
      </c>
      <c r="X69" s="197">
        <f t="shared" si="9"/>
        <v>0</v>
      </c>
      <c r="Y69" s="197">
        <f t="shared" si="10"/>
        <v>0</v>
      </c>
      <c r="Z69" s="157">
        <f t="shared" si="11"/>
        <v>9.65953915925712</v>
      </c>
      <c r="AA69" s="157">
        <f t="shared" si="12"/>
        <v>1.5974348951886E-4</v>
      </c>
    </row>
    <row r="70" spans="1:27" ht="15">
      <c r="A70" s="157">
        <v>1</v>
      </c>
      <c r="B70" s="157" t="s">
        <v>876</v>
      </c>
      <c r="C70" s="158" t="s">
        <v>782</v>
      </c>
      <c r="D70" s="159">
        <f t="shared" si="0"/>
        <v>1</v>
      </c>
      <c r="E70" s="159" t="s">
        <v>872</v>
      </c>
      <c r="F70" s="160">
        <v>171.2642105045</v>
      </c>
      <c r="G70" s="160">
        <v>113.439623256697</v>
      </c>
      <c r="H70" s="159">
        <f t="shared" si="1"/>
        <v>250</v>
      </c>
      <c r="I70" s="159">
        <f t="shared" si="2"/>
        <v>300</v>
      </c>
      <c r="J70" s="161">
        <f t="shared" si="3"/>
        <v>1</v>
      </c>
      <c r="K70" s="162">
        <f t="shared" si="4"/>
        <v>260.86956521739103</v>
      </c>
      <c r="L70" s="163">
        <f t="shared" si="5"/>
        <v>1.52319953158303</v>
      </c>
      <c r="M70" s="159" t="str">
        <f t="shared" si="6"/>
        <v>OK</v>
      </c>
      <c r="N70" s="194">
        <f>VLOOKUP(C70,'Point Coordinates'!$A:$D,2,0)*1000</f>
        <v>10766.1099085285</v>
      </c>
      <c r="O70" s="195">
        <f>VLOOKUP(C70,'Point Coordinates'!$A:$D,3,0)*1000</f>
        <v>1148.2032889803099</v>
      </c>
      <c r="V70" s="196">
        <f t="shared" si="7"/>
        <v>0</v>
      </c>
      <c r="W70" s="197">
        <f t="shared" si="8"/>
        <v>0.656512806933917</v>
      </c>
      <c r="X70" s="197">
        <f t="shared" si="9"/>
        <v>0</v>
      </c>
      <c r="Y70" s="197">
        <f t="shared" si="10"/>
        <v>0</v>
      </c>
      <c r="Z70" s="157">
        <f t="shared" si="11"/>
        <v>10.364699899319101</v>
      </c>
      <c r="AA70" s="157">
        <f t="shared" si="12"/>
        <v>0.74679327977094101</v>
      </c>
    </row>
    <row r="71" spans="1:27" ht="15">
      <c r="A71" s="157">
        <v>1</v>
      </c>
      <c r="B71" s="157" t="s">
        <v>876</v>
      </c>
      <c r="C71" s="158" t="s">
        <v>793</v>
      </c>
      <c r="D71" s="159">
        <f t="shared" si="0"/>
        <v>1</v>
      </c>
      <c r="E71" s="159" t="s">
        <v>872</v>
      </c>
      <c r="F71" s="160">
        <v>209.407175409627</v>
      </c>
      <c r="G71" s="160">
        <v>81.687116950508894</v>
      </c>
      <c r="H71" s="159">
        <f t="shared" si="1"/>
        <v>250</v>
      </c>
      <c r="I71" s="159">
        <f t="shared" si="2"/>
        <v>300</v>
      </c>
      <c r="J71" s="161">
        <f t="shared" si="3"/>
        <v>1</v>
      </c>
      <c r="K71" s="162">
        <f t="shared" si="4"/>
        <v>260.86956521739103</v>
      </c>
      <c r="L71" s="163">
        <f t="shared" si="5"/>
        <v>1.24575275277505</v>
      </c>
      <c r="M71" s="159" t="str">
        <f t="shared" si="6"/>
        <v>OK</v>
      </c>
      <c r="N71" s="194">
        <f>VLOOKUP(C71,'Point Coordinates'!$A:$D,2,0)*1000</f>
        <v>1902.8695858417</v>
      </c>
      <c r="O71" s="195">
        <f>VLOOKUP(C71,'Point Coordinates'!$A:$D,3,0)*1000</f>
        <v>401.41000920937103</v>
      </c>
      <c r="V71" s="196">
        <f t="shared" si="7"/>
        <v>0</v>
      </c>
      <c r="W71" s="197">
        <f t="shared" si="8"/>
        <v>0</v>
      </c>
      <c r="X71" s="197">
        <f t="shared" si="9"/>
        <v>0.80272750573690399</v>
      </c>
      <c r="Y71" s="197">
        <f t="shared" si="10"/>
        <v>0</v>
      </c>
      <c r="Z71" s="157">
        <f t="shared" si="11"/>
        <v>1.50145957663233</v>
      </c>
      <c r="AA71" s="157">
        <f t="shared" si="12"/>
        <v>0</v>
      </c>
    </row>
    <row r="72" spans="1:27" ht="15">
      <c r="A72" s="157">
        <v>1</v>
      </c>
      <c r="B72" s="157" t="s">
        <v>876</v>
      </c>
      <c r="C72" s="158" t="s">
        <v>794</v>
      </c>
      <c r="D72" s="159">
        <f t="shared" si="0"/>
        <v>1</v>
      </c>
      <c r="E72" s="159" t="s">
        <v>872</v>
      </c>
      <c r="F72" s="160">
        <v>220.14676567525899</v>
      </c>
      <c r="G72" s="160">
        <v>80.2349738060052</v>
      </c>
      <c r="H72" s="159">
        <f t="shared" si="1"/>
        <v>250</v>
      </c>
      <c r="I72" s="159">
        <f t="shared" si="2"/>
        <v>300</v>
      </c>
      <c r="J72" s="161">
        <f t="shared" si="3"/>
        <v>1</v>
      </c>
      <c r="K72" s="162">
        <f t="shared" si="4"/>
        <v>260.86956521739103</v>
      </c>
      <c r="L72" s="163">
        <f t="shared" si="5"/>
        <v>1.18498023088017</v>
      </c>
      <c r="M72" s="159" t="str">
        <f t="shared" si="6"/>
        <v>OK</v>
      </c>
      <c r="N72" s="194">
        <f>VLOOKUP(C72,'Point Coordinates'!$A:$D,2,0)*1000</f>
        <v>1152.8695858417</v>
      </c>
      <c r="O72" s="195">
        <f>VLOOKUP(C72,'Point Coordinates'!$A:$D,3,0)*1000</f>
        <v>401.41000920937103</v>
      </c>
      <c r="V72" s="196">
        <f t="shared" si="7"/>
        <v>0</v>
      </c>
      <c r="W72" s="197">
        <f t="shared" si="8"/>
        <v>0</v>
      </c>
      <c r="X72" s="197">
        <f t="shared" si="9"/>
        <v>0.84389593508849303</v>
      </c>
      <c r="Y72" s="197">
        <f t="shared" si="10"/>
        <v>0</v>
      </c>
      <c r="Z72" s="157">
        <f t="shared" si="11"/>
        <v>0.75145957663232799</v>
      </c>
      <c r="AA72" s="157">
        <f t="shared" si="12"/>
        <v>0</v>
      </c>
    </row>
    <row r="73" spans="1:27" ht="15">
      <c r="A73" s="157">
        <v>1</v>
      </c>
      <c r="B73" s="157" t="s">
        <v>876</v>
      </c>
      <c r="C73" s="158" t="s">
        <v>795</v>
      </c>
      <c r="D73" s="159">
        <f t="shared" si="0"/>
        <v>1</v>
      </c>
      <c r="E73" s="159" t="s">
        <v>872</v>
      </c>
      <c r="F73" s="160">
        <v>232.18048432740301</v>
      </c>
      <c r="G73" s="160">
        <v>77.725755695599801</v>
      </c>
      <c r="H73" s="159">
        <f t="shared" si="1"/>
        <v>250</v>
      </c>
      <c r="I73" s="159">
        <f t="shared" si="2"/>
        <v>300</v>
      </c>
      <c r="J73" s="161">
        <f t="shared" si="3"/>
        <v>1</v>
      </c>
      <c r="K73" s="162">
        <f t="shared" si="4"/>
        <v>260.86956521739103</v>
      </c>
      <c r="L73" s="163">
        <f t="shared" si="5"/>
        <v>1.12356370507666</v>
      </c>
      <c r="M73" s="159" t="str">
        <f t="shared" si="6"/>
        <v>OK</v>
      </c>
      <c r="N73" s="194">
        <f>VLOOKUP(C73,'Point Coordinates'!$A:$D,2,0)*1000</f>
        <v>402.86958584169997</v>
      </c>
      <c r="O73" s="195">
        <f>VLOOKUP(C73,'Point Coordinates'!$A:$D,3,0)*1000</f>
        <v>401.41000920937103</v>
      </c>
      <c r="V73" s="196">
        <f t="shared" si="7"/>
        <v>0</v>
      </c>
      <c r="W73" s="197">
        <f t="shared" si="8"/>
        <v>0</v>
      </c>
      <c r="X73" s="197">
        <f t="shared" si="9"/>
        <v>0.89002518992171198</v>
      </c>
      <c r="Y73" s="197">
        <f t="shared" si="10"/>
        <v>0</v>
      </c>
      <c r="Z73" s="157">
        <f t="shared" si="11"/>
        <v>1.4595766323282099E-3</v>
      </c>
      <c r="AA73" s="157">
        <f t="shared" si="12"/>
        <v>0</v>
      </c>
    </row>
    <row r="74" spans="1:27" ht="15">
      <c r="A74" s="157">
        <v>1</v>
      </c>
      <c r="B74" s="157" t="s">
        <v>876</v>
      </c>
      <c r="C74" s="158" t="s">
        <v>796</v>
      </c>
      <c r="D74" s="159">
        <f t="shared" si="0"/>
        <v>1</v>
      </c>
      <c r="E74" s="159" t="s">
        <v>872</v>
      </c>
      <c r="F74" s="160">
        <v>201.68359721956901</v>
      </c>
      <c r="G74" s="160">
        <v>82.463409648240898</v>
      </c>
      <c r="H74" s="159">
        <f t="shared" si="1"/>
        <v>250</v>
      </c>
      <c r="I74" s="159">
        <f t="shared" si="2"/>
        <v>300</v>
      </c>
      <c r="J74" s="161">
        <f t="shared" si="3"/>
        <v>1</v>
      </c>
      <c r="K74" s="162">
        <f t="shared" si="4"/>
        <v>260.86956521739103</v>
      </c>
      <c r="L74" s="163">
        <f t="shared" si="5"/>
        <v>1.2934595019811499</v>
      </c>
      <c r="M74" s="159" t="str">
        <f t="shared" si="6"/>
        <v>OK</v>
      </c>
      <c r="N74" s="194">
        <f>VLOOKUP(C74,'Point Coordinates'!$A:$D,2,0)*1000</f>
        <v>2652.8695858417</v>
      </c>
      <c r="O74" s="195">
        <f>VLOOKUP(C74,'Point Coordinates'!$A:$D,3,0)*1000</f>
        <v>401.41000920937103</v>
      </c>
      <c r="V74" s="196">
        <f t="shared" si="7"/>
        <v>0</v>
      </c>
      <c r="W74" s="197">
        <f t="shared" si="8"/>
        <v>0.773120456008348</v>
      </c>
      <c r="X74" s="197">
        <f t="shared" si="9"/>
        <v>0</v>
      </c>
      <c r="Y74" s="197">
        <f t="shared" si="10"/>
        <v>0</v>
      </c>
      <c r="Z74" s="157">
        <f t="shared" si="11"/>
        <v>2.25145957663233</v>
      </c>
      <c r="AA74" s="157">
        <f t="shared" si="12"/>
        <v>0</v>
      </c>
    </row>
    <row r="75" spans="1:27" ht="15">
      <c r="A75" s="157">
        <v>1</v>
      </c>
      <c r="B75" s="157" t="s">
        <v>876</v>
      </c>
      <c r="C75" s="158" t="s">
        <v>797</v>
      </c>
      <c r="D75" s="159">
        <f t="shared" si="0"/>
        <v>1</v>
      </c>
      <c r="E75" s="159" t="s">
        <v>872</v>
      </c>
      <c r="F75" s="160">
        <v>196.658637563897</v>
      </c>
      <c r="G75" s="160">
        <v>82.285875532602105</v>
      </c>
      <c r="H75" s="159">
        <f t="shared" si="1"/>
        <v>250</v>
      </c>
      <c r="I75" s="159">
        <f t="shared" si="2"/>
        <v>300</v>
      </c>
      <c r="J75" s="161">
        <f t="shared" si="3"/>
        <v>1</v>
      </c>
      <c r="K75" s="162">
        <f t="shared" si="4"/>
        <v>260.86956521739103</v>
      </c>
      <c r="L75" s="163">
        <f t="shared" si="5"/>
        <v>1.3265095723681699</v>
      </c>
      <c r="M75" s="159" t="str">
        <f t="shared" si="6"/>
        <v>OK</v>
      </c>
      <c r="N75" s="194">
        <f>VLOOKUP(C75,'Point Coordinates'!$A:$D,2,0)*1000</f>
        <v>3402.8695858417</v>
      </c>
      <c r="O75" s="195">
        <f>VLOOKUP(C75,'Point Coordinates'!$A:$D,3,0)*1000</f>
        <v>401.41000920937103</v>
      </c>
      <c r="V75" s="196">
        <f t="shared" si="7"/>
        <v>0</v>
      </c>
      <c r="W75" s="197">
        <f t="shared" si="8"/>
        <v>0.75385811066160502</v>
      </c>
      <c r="X75" s="197">
        <f t="shared" si="9"/>
        <v>0</v>
      </c>
      <c r="Y75" s="197">
        <f t="shared" si="10"/>
        <v>0</v>
      </c>
      <c r="Z75" s="157">
        <f t="shared" si="11"/>
        <v>3.00145957663233</v>
      </c>
      <c r="AA75" s="157">
        <f t="shared" si="12"/>
        <v>0</v>
      </c>
    </row>
    <row r="76" spans="1:27" ht="15">
      <c r="A76" s="157">
        <v>1</v>
      </c>
      <c r="B76" s="157" t="s">
        <v>876</v>
      </c>
      <c r="C76" s="158" t="s">
        <v>798</v>
      </c>
      <c r="D76" s="159">
        <f t="shared" si="0"/>
        <v>1</v>
      </c>
      <c r="E76" s="159" t="s">
        <v>872</v>
      </c>
      <c r="F76" s="160">
        <v>192.64010538090901</v>
      </c>
      <c r="G76" s="160">
        <v>80.396934060686604</v>
      </c>
      <c r="H76" s="159">
        <f t="shared" si="1"/>
        <v>250</v>
      </c>
      <c r="I76" s="159">
        <f t="shared" si="2"/>
        <v>300</v>
      </c>
      <c r="J76" s="161">
        <f t="shared" si="3"/>
        <v>1</v>
      </c>
      <c r="K76" s="162">
        <f t="shared" si="4"/>
        <v>260.86956521739103</v>
      </c>
      <c r="L76" s="163">
        <f t="shared" si="5"/>
        <v>1.3541809723451499</v>
      </c>
      <c r="M76" s="159" t="str">
        <f t="shared" si="6"/>
        <v>OK</v>
      </c>
      <c r="N76" s="194">
        <f>VLOOKUP(C76,'Point Coordinates'!$A:$D,2,0)*1000</f>
        <v>4152.8695858417004</v>
      </c>
      <c r="O76" s="195">
        <f>VLOOKUP(C76,'Point Coordinates'!$A:$D,3,0)*1000</f>
        <v>401.41000920937103</v>
      </c>
      <c r="V76" s="196">
        <f t="shared" si="7"/>
        <v>0</v>
      </c>
      <c r="W76" s="197">
        <f t="shared" si="8"/>
        <v>0.73845373729348396</v>
      </c>
      <c r="X76" s="197">
        <f t="shared" si="9"/>
        <v>0</v>
      </c>
      <c r="Y76" s="197">
        <f t="shared" si="10"/>
        <v>0</v>
      </c>
      <c r="Z76" s="157">
        <f t="shared" si="11"/>
        <v>3.75145957663233</v>
      </c>
      <c r="AA76" s="157">
        <f t="shared" si="12"/>
        <v>0</v>
      </c>
    </row>
    <row r="77" spans="1:27" ht="15">
      <c r="A77" s="157">
        <v>1</v>
      </c>
      <c r="B77" s="157" t="s">
        <v>876</v>
      </c>
      <c r="C77" s="158" t="s">
        <v>803</v>
      </c>
      <c r="D77" s="159">
        <f t="shared" si="0"/>
        <v>1</v>
      </c>
      <c r="E77" s="159" t="s">
        <v>872</v>
      </c>
      <c r="F77" s="160">
        <v>193.182882924392</v>
      </c>
      <c r="G77" s="160">
        <v>141.84431074588099</v>
      </c>
      <c r="H77" s="159">
        <f t="shared" si="1"/>
        <v>250</v>
      </c>
      <c r="I77" s="159">
        <f t="shared" si="2"/>
        <v>300</v>
      </c>
      <c r="J77" s="161">
        <f t="shared" si="3"/>
        <v>1</v>
      </c>
      <c r="K77" s="162">
        <f t="shared" si="4"/>
        <v>260.86956521739103</v>
      </c>
      <c r="L77" s="163">
        <f t="shared" si="5"/>
        <v>1.35037618896852</v>
      </c>
      <c r="M77" s="159" t="str">
        <f t="shared" si="6"/>
        <v>OK</v>
      </c>
      <c r="N77" s="194">
        <f>VLOOKUP(C77,'Point Coordinates'!$A:$D,2,0)*1000</f>
        <v>3457.3442635216302</v>
      </c>
      <c r="O77" s="195">
        <f>VLOOKUP(C77,'Point Coordinates'!$A:$D,3,0)*1000</f>
        <v>3390.4243586417201</v>
      </c>
      <c r="V77" s="196">
        <f t="shared" si="7"/>
        <v>0</v>
      </c>
      <c r="W77" s="197">
        <f t="shared" si="8"/>
        <v>0.74053438454350295</v>
      </c>
      <c r="X77" s="197">
        <f t="shared" si="9"/>
        <v>0</v>
      </c>
      <c r="Y77" s="197">
        <f t="shared" si="10"/>
        <v>0</v>
      </c>
      <c r="Z77" s="157">
        <f t="shared" si="11"/>
        <v>3.0559342543122598</v>
      </c>
      <c r="AA77" s="157">
        <f t="shared" si="12"/>
        <v>2.9890143494323498</v>
      </c>
    </row>
    <row r="78" spans="1:27" ht="15">
      <c r="A78" s="157">
        <v>1</v>
      </c>
      <c r="B78" s="157" t="s">
        <v>876</v>
      </c>
      <c r="C78" s="158" t="s">
        <v>804</v>
      </c>
      <c r="D78" s="159">
        <f t="shared" si="0"/>
        <v>1</v>
      </c>
      <c r="E78" s="159" t="s">
        <v>872</v>
      </c>
      <c r="F78" s="160">
        <v>183.34112305559299</v>
      </c>
      <c r="G78" s="160">
        <v>152.106578090113</v>
      </c>
      <c r="H78" s="159">
        <f t="shared" si="1"/>
        <v>250</v>
      </c>
      <c r="I78" s="159">
        <f t="shared" si="2"/>
        <v>300</v>
      </c>
      <c r="J78" s="161">
        <f t="shared" si="3"/>
        <v>1</v>
      </c>
      <c r="K78" s="162">
        <f t="shared" si="4"/>
        <v>260.86956521739103</v>
      </c>
      <c r="L78" s="163">
        <f t="shared" si="5"/>
        <v>1.42286444453757</v>
      </c>
      <c r="M78" s="159" t="str">
        <f t="shared" si="6"/>
        <v>OK</v>
      </c>
      <c r="N78" s="194">
        <f>VLOOKUP(C78,'Point Coordinates'!$A:$D,2,0)*1000</f>
        <v>2707.3442635216302</v>
      </c>
      <c r="O78" s="195">
        <f>VLOOKUP(C78,'Point Coordinates'!$A:$D,3,0)*1000</f>
        <v>3390.4243586417201</v>
      </c>
      <c r="V78" s="196">
        <f t="shared" si="7"/>
        <v>0</v>
      </c>
      <c r="W78" s="197">
        <f t="shared" si="8"/>
        <v>0.702807638379773</v>
      </c>
      <c r="X78" s="197">
        <f t="shared" si="9"/>
        <v>0</v>
      </c>
      <c r="Y78" s="197">
        <f t="shared" si="10"/>
        <v>0</v>
      </c>
      <c r="Z78" s="157">
        <f t="shared" si="11"/>
        <v>2.3059342543122598</v>
      </c>
      <c r="AA78" s="157">
        <f t="shared" si="12"/>
        <v>2.9890143494323498</v>
      </c>
    </row>
    <row r="79" spans="1:27" ht="15">
      <c r="A79" s="157">
        <v>1</v>
      </c>
      <c r="B79" s="157" t="s">
        <v>876</v>
      </c>
      <c r="C79" s="158" t="s">
        <v>805</v>
      </c>
      <c r="D79" s="159">
        <f t="shared" si="0"/>
        <v>1</v>
      </c>
      <c r="E79" s="159" t="s">
        <v>872</v>
      </c>
      <c r="F79" s="160">
        <v>201.239471796445</v>
      </c>
      <c r="G79" s="160">
        <v>129.701427115146</v>
      </c>
      <c r="H79" s="159">
        <f t="shared" si="1"/>
        <v>250</v>
      </c>
      <c r="I79" s="159">
        <f t="shared" si="2"/>
        <v>300</v>
      </c>
      <c r="J79" s="161">
        <f t="shared" si="3"/>
        <v>1</v>
      </c>
      <c r="K79" s="162">
        <f t="shared" si="4"/>
        <v>260.86956521739103</v>
      </c>
      <c r="L79" s="163">
        <f t="shared" si="5"/>
        <v>1.29631410224164</v>
      </c>
      <c r="M79" s="159" t="str">
        <f t="shared" si="6"/>
        <v>OK</v>
      </c>
      <c r="N79" s="194">
        <f>VLOOKUP(C79,'Point Coordinates'!$A:$D,2,0)*1000</f>
        <v>4207.3442635216297</v>
      </c>
      <c r="O79" s="195">
        <f>VLOOKUP(C79,'Point Coordinates'!$A:$D,3,0)*1000</f>
        <v>3390.4243586417201</v>
      </c>
      <c r="V79" s="196">
        <f t="shared" si="7"/>
        <v>0</v>
      </c>
      <c r="W79" s="197">
        <f t="shared" si="8"/>
        <v>0.77141797521970601</v>
      </c>
      <c r="X79" s="197">
        <f t="shared" si="9"/>
        <v>0</v>
      </c>
      <c r="Y79" s="197">
        <f t="shared" si="10"/>
        <v>0</v>
      </c>
      <c r="Z79" s="157">
        <f t="shared" si="11"/>
        <v>3.8059342543122598</v>
      </c>
      <c r="AA79" s="157">
        <f t="shared" si="12"/>
        <v>2.9890143494323498</v>
      </c>
    </row>
    <row r="80" spans="1:27" ht="15">
      <c r="A80" s="157">
        <v>1</v>
      </c>
      <c r="B80" s="157" t="s">
        <v>877</v>
      </c>
      <c r="C80" s="158" t="s">
        <v>810</v>
      </c>
      <c r="D80" s="159">
        <f t="shared" si="0"/>
        <v>1</v>
      </c>
      <c r="E80" s="159" t="s">
        <v>872</v>
      </c>
      <c r="F80" s="160">
        <v>138.12600223639299</v>
      </c>
      <c r="G80" s="160">
        <v>80.2633265519774</v>
      </c>
      <c r="H80" s="159">
        <f t="shared" si="1"/>
        <v>250</v>
      </c>
      <c r="I80" s="159">
        <f t="shared" si="2"/>
        <v>200</v>
      </c>
      <c r="J80" s="161">
        <f t="shared" si="3"/>
        <v>1</v>
      </c>
      <c r="K80" s="162">
        <f t="shared" si="4"/>
        <v>173.91304347826099</v>
      </c>
      <c r="L80" s="163">
        <f t="shared" si="5"/>
        <v>1.25908982134023</v>
      </c>
      <c r="M80" s="159" t="str">
        <f t="shared" si="6"/>
        <v>OK</v>
      </c>
      <c r="N80" s="194">
        <f>VLOOKUP(C80,'Point Coordinates'!$A:$D,2,0)*1000</f>
        <v>-805.11640550662401</v>
      </c>
      <c r="O80" s="195">
        <f>VLOOKUP(C80,'Point Coordinates'!$A:$D,3,0)*1000</f>
        <v>5953.7047509239801</v>
      </c>
      <c r="V80" s="196">
        <f t="shared" si="7"/>
        <v>0</v>
      </c>
      <c r="W80" s="197">
        <f t="shared" si="8"/>
        <v>0.79422451285925999</v>
      </c>
      <c r="X80" s="197">
        <f t="shared" si="9"/>
        <v>0</v>
      </c>
      <c r="Y80" s="197">
        <f t="shared" si="10"/>
        <v>0</v>
      </c>
      <c r="Z80" s="157">
        <f t="shared" si="11"/>
        <v>-1.206526414716</v>
      </c>
      <c r="AA80" s="157">
        <f t="shared" si="12"/>
        <v>5.5522947417145998</v>
      </c>
    </row>
    <row r="81" spans="1:27" ht="15">
      <c r="A81" s="157">
        <v>1</v>
      </c>
      <c r="B81" s="157" t="s">
        <v>877</v>
      </c>
      <c r="C81" s="158" t="s">
        <v>811</v>
      </c>
      <c r="D81" s="159">
        <f t="shared" si="0"/>
        <v>1</v>
      </c>
      <c r="E81" s="159" t="s">
        <v>872</v>
      </c>
      <c r="F81" s="160">
        <v>136.31350171301901</v>
      </c>
      <c r="G81" s="160">
        <v>83.833319743098301</v>
      </c>
      <c r="H81" s="159">
        <f t="shared" si="1"/>
        <v>250</v>
      </c>
      <c r="I81" s="159">
        <f t="shared" si="2"/>
        <v>200</v>
      </c>
      <c r="J81" s="161">
        <f t="shared" si="3"/>
        <v>1</v>
      </c>
      <c r="K81" s="162">
        <f t="shared" si="4"/>
        <v>173.91304347826099</v>
      </c>
      <c r="L81" s="163">
        <f t="shared" si="5"/>
        <v>1.2758313834854</v>
      </c>
      <c r="M81" s="159" t="str">
        <f t="shared" si="6"/>
        <v>OK</v>
      </c>
      <c r="N81" s="194">
        <f>VLOOKUP(C81,'Point Coordinates'!$A:$D,2,0)*1000</f>
        <v>73.6902393347236</v>
      </c>
      <c r="O81" s="195">
        <f>VLOOKUP(C81,'Point Coordinates'!$A:$D,3,0)*1000</f>
        <v>4046.3357402749698</v>
      </c>
      <c r="V81" s="196">
        <f t="shared" si="7"/>
        <v>0</v>
      </c>
      <c r="W81" s="197">
        <f t="shared" si="8"/>
        <v>0.78380263484985901</v>
      </c>
      <c r="X81" s="197">
        <f t="shared" si="9"/>
        <v>0</v>
      </c>
      <c r="Y81" s="197">
        <f t="shared" si="10"/>
        <v>0</v>
      </c>
      <c r="Z81" s="157">
        <f t="shared" si="11"/>
        <v>-0.32771976987464801</v>
      </c>
      <c r="AA81" s="157">
        <f t="shared" si="12"/>
        <v>3.6449257310655998</v>
      </c>
    </row>
    <row r="82" spans="1:27" ht="15">
      <c r="A82" s="157">
        <v>1</v>
      </c>
      <c r="B82" s="157" t="s">
        <v>877</v>
      </c>
      <c r="C82" s="158" t="s">
        <v>812</v>
      </c>
      <c r="D82" s="159">
        <f t="shared" si="0"/>
        <v>1</v>
      </c>
      <c r="E82" s="159" t="s">
        <v>872</v>
      </c>
      <c r="F82" s="160">
        <v>125.46819039151301</v>
      </c>
      <c r="G82" s="160">
        <v>91.001761794706596</v>
      </c>
      <c r="H82" s="159">
        <f t="shared" si="1"/>
        <v>250</v>
      </c>
      <c r="I82" s="159">
        <f t="shared" si="2"/>
        <v>200</v>
      </c>
      <c r="J82" s="161">
        <f t="shared" si="3"/>
        <v>1</v>
      </c>
      <c r="K82" s="162">
        <f t="shared" si="4"/>
        <v>173.91304347826099</v>
      </c>
      <c r="L82" s="163">
        <f t="shared" si="5"/>
        <v>1.38611263090334</v>
      </c>
      <c r="M82" s="159" t="str">
        <f t="shared" si="6"/>
        <v>OK</v>
      </c>
      <c r="N82" s="194">
        <f>VLOOKUP(C82,'Point Coordinates'!$A:$D,2,0)*1000</f>
        <v>-123.966479541707</v>
      </c>
      <c r="O82" s="195">
        <f>VLOOKUP(C82,'Point Coordinates'!$A:$D,3,0)*1000</f>
        <v>6267.6072550891004</v>
      </c>
      <c r="V82" s="196">
        <f t="shared" si="7"/>
        <v>0</v>
      </c>
      <c r="W82" s="197">
        <f t="shared" si="8"/>
        <v>0.72144209475120002</v>
      </c>
      <c r="X82" s="197">
        <f t="shared" si="9"/>
        <v>0</v>
      </c>
      <c r="Y82" s="197">
        <f t="shared" si="10"/>
        <v>0</v>
      </c>
      <c r="Z82" s="157">
        <f t="shared" si="11"/>
        <v>-0.52537648875107801</v>
      </c>
      <c r="AA82" s="157">
        <f t="shared" si="12"/>
        <v>5.8661972458797296</v>
      </c>
    </row>
    <row r="83" spans="1:27" ht="15">
      <c r="A83" s="157">
        <v>1</v>
      </c>
      <c r="B83" s="157" t="s">
        <v>877</v>
      </c>
      <c r="C83" s="158" t="s">
        <v>813</v>
      </c>
      <c r="D83" s="159">
        <f t="shared" si="0"/>
        <v>1</v>
      </c>
      <c r="E83" s="159" t="s">
        <v>872</v>
      </c>
      <c r="F83" s="160">
        <v>124.51524333928501</v>
      </c>
      <c r="G83" s="160">
        <v>93.197779444067905</v>
      </c>
      <c r="H83" s="159">
        <f t="shared" si="1"/>
        <v>250</v>
      </c>
      <c r="I83" s="159">
        <f t="shared" si="2"/>
        <v>200</v>
      </c>
      <c r="J83" s="161">
        <f t="shared" si="3"/>
        <v>1</v>
      </c>
      <c r="K83" s="162">
        <f t="shared" si="4"/>
        <v>173.91304347826099</v>
      </c>
      <c r="L83" s="163">
        <f t="shared" si="5"/>
        <v>1.39672090592454</v>
      </c>
      <c r="M83" s="159" t="str">
        <f t="shared" si="6"/>
        <v>OK</v>
      </c>
      <c r="N83" s="194">
        <f>VLOOKUP(C83,'Point Coordinates'!$A:$D,2,0)*1000</f>
        <v>754.84016529958399</v>
      </c>
      <c r="O83" s="195">
        <f>VLOOKUP(C83,'Point Coordinates'!$A:$D,3,0)*1000</f>
        <v>4360.2382444401501</v>
      </c>
      <c r="V83" s="196">
        <f t="shared" si="7"/>
        <v>0</v>
      </c>
      <c r="W83" s="197">
        <f t="shared" si="8"/>
        <v>0.71596264920088903</v>
      </c>
      <c r="X83" s="197">
        <f t="shared" si="9"/>
        <v>0</v>
      </c>
      <c r="Y83" s="197">
        <f t="shared" si="10"/>
        <v>0</v>
      </c>
      <c r="Z83" s="157">
        <f t="shared" si="11"/>
        <v>0.353430156090212</v>
      </c>
      <c r="AA83" s="157">
        <f t="shared" si="12"/>
        <v>3.9588282352307802</v>
      </c>
    </row>
    <row r="84" spans="1:27" ht="15">
      <c r="A84" s="157">
        <v>1</v>
      </c>
      <c r="B84" s="157" t="s">
        <v>877</v>
      </c>
      <c r="C84" s="158" t="s">
        <v>814</v>
      </c>
      <c r="D84" s="159">
        <f t="shared" si="0"/>
        <v>1</v>
      </c>
      <c r="E84" s="159" t="s">
        <v>872</v>
      </c>
      <c r="F84" s="160">
        <v>133.598757636653</v>
      </c>
      <c r="G84" s="160">
        <v>83.866026457028994</v>
      </c>
      <c r="H84" s="159">
        <f t="shared" si="1"/>
        <v>250</v>
      </c>
      <c r="I84" s="159">
        <f t="shared" si="2"/>
        <v>200</v>
      </c>
      <c r="J84" s="161">
        <f t="shared" si="3"/>
        <v>1</v>
      </c>
      <c r="K84" s="162">
        <f t="shared" si="4"/>
        <v>173.91304347826099</v>
      </c>
      <c r="L84" s="163">
        <f t="shared" si="5"/>
        <v>1.30175644261042</v>
      </c>
      <c r="M84" s="159" t="str">
        <f t="shared" si="6"/>
        <v>OK</v>
      </c>
      <c r="N84" s="194">
        <f>VLOOKUP(C84,'Point Coordinates'!$A:$D,2,0)*1000</f>
        <v>387.53702873589202</v>
      </c>
      <c r="O84" s="195">
        <f>VLOOKUP(C84,'Point Coordinates'!$A:$D,3,0)*1000</f>
        <v>3365.1601441305802</v>
      </c>
      <c r="V84" s="196">
        <f t="shared" si="7"/>
        <v>0</v>
      </c>
      <c r="W84" s="197">
        <f t="shared" si="8"/>
        <v>0.76819285641075497</v>
      </c>
      <c r="X84" s="197">
        <f t="shared" si="9"/>
        <v>0</v>
      </c>
      <c r="Y84" s="197">
        <f t="shared" si="10"/>
        <v>0</v>
      </c>
      <c r="Z84" s="157">
        <f t="shared" si="11"/>
        <v>-1.38729804734794E-2</v>
      </c>
      <c r="AA84" s="157">
        <f t="shared" si="12"/>
        <v>2.9637501349212099</v>
      </c>
    </row>
    <row r="85" spans="1:27" ht="15">
      <c r="A85" s="157">
        <v>1</v>
      </c>
      <c r="B85" s="157" t="s">
        <v>877</v>
      </c>
      <c r="C85" s="158" t="s">
        <v>820</v>
      </c>
      <c r="D85" s="159">
        <f t="shared" ref="D85:D130" si="13">VLOOKUP(B85,Q:U,2,0)</f>
        <v>1</v>
      </c>
      <c r="E85" s="159" t="s">
        <v>872</v>
      </c>
      <c r="F85" s="160">
        <v>145.076262761615</v>
      </c>
      <c r="G85" s="160">
        <v>81.688813899700605</v>
      </c>
      <c r="H85" s="159">
        <f t="shared" ref="H85:H130" si="14">VLOOKUP(B85,Q:U,3,0)</f>
        <v>250</v>
      </c>
      <c r="I85" s="159">
        <f t="shared" ref="I85:I130" si="15">VLOOKUP(B85,Q:U,4,0)</f>
        <v>200</v>
      </c>
      <c r="J85" s="161">
        <f t="shared" ref="J85:J130" si="16">IF(E85=$M$7,1,IF(E85=$M$8,1,$H$10))</f>
        <v>1</v>
      </c>
      <c r="K85" s="162">
        <f t="shared" ref="K85:K130" si="17">I85/$H$10*J85</f>
        <v>173.91304347826099</v>
      </c>
      <c r="L85" s="163">
        <f t="shared" ref="L85:L130" si="18">IFERROR(K85/F85,"")</f>
        <v>1.1987698067741801</v>
      </c>
      <c r="M85" s="159" t="str">
        <f t="shared" ref="M85:M130" si="19">IF(L85&lt;1,"NOT OK","OK")</f>
        <v>OK</v>
      </c>
      <c r="N85" s="194">
        <f>VLOOKUP(C85,'Point Coordinates'!$A:$D,2,0)*1000</f>
        <v>1300.1544278946001</v>
      </c>
      <c r="O85" s="195">
        <f>VLOOKUP(C85,'Point Coordinates'!$A:$D,3,0)*1000</f>
        <v>6504.4158964726603</v>
      </c>
      <c r="V85" s="196">
        <f t="shared" ref="V85:V148" si="20">IFERROR(IF(AND(1/L85&gt;$V$19,1/L85&lt;=$W$19),1/L85,0),"")</f>
        <v>0</v>
      </c>
      <c r="W85" s="197">
        <f t="shared" ref="W85:W148" si="21">IFERROR(IF(AND(1/L85&gt;$W$19,1/L85&lt;=$X$19),1/L85,0),"")</f>
        <v>0</v>
      </c>
      <c r="X85" s="197">
        <f t="shared" ref="X85:X148" si="22">IFERROR(IF(AND(1/L85&gt;$X$19,1/L85&lt;=$Y$19),1/L85,0),"")</f>
        <v>0.83418851087928603</v>
      </c>
      <c r="Y85" s="197">
        <f t="shared" ref="Y85:Y148" si="23">IFERROR(IF(1/L85&gt;$Y$19,1/L85,0),"")</f>
        <v>0</v>
      </c>
      <c r="Z85" s="157">
        <f t="shared" ref="Z85:Z148" si="24">IF(N85&lt;&gt;"",(N85-$N$17)/1000,1/0)</f>
        <v>0.89874441868522603</v>
      </c>
      <c r="AA85" s="157">
        <f t="shared" ref="AA85:AA148" si="25">IF(O85&lt;&gt;"",(O85-$O$17)/1000,1/0)</f>
        <v>6.10300588726329</v>
      </c>
    </row>
    <row r="86" spans="1:27" ht="15">
      <c r="A86" s="157">
        <v>1</v>
      </c>
      <c r="B86" s="157" t="s">
        <v>877</v>
      </c>
      <c r="C86" s="158" t="s">
        <v>821</v>
      </c>
      <c r="D86" s="159">
        <f t="shared" si="13"/>
        <v>1</v>
      </c>
      <c r="E86" s="159" t="s">
        <v>872</v>
      </c>
      <c r="F86" s="160">
        <v>151.11090437671601</v>
      </c>
      <c r="G86" s="160">
        <v>75.575166621144405</v>
      </c>
      <c r="H86" s="159">
        <f t="shared" si="14"/>
        <v>250</v>
      </c>
      <c r="I86" s="159">
        <f t="shared" si="15"/>
        <v>200</v>
      </c>
      <c r="J86" s="161">
        <f t="shared" si="16"/>
        <v>1</v>
      </c>
      <c r="K86" s="162">
        <f t="shared" si="17"/>
        <v>173.91304347826099</v>
      </c>
      <c r="L86" s="163">
        <f t="shared" si="18"/>
        <v>1.1508967152013001</v>
      </c>
      <c r="M86" s="159" t="str">
        <f t="shared" si="19"/>
        <v>OK</v>
      </c>
      <c r="N86" s="194">
        <f>VLOOKUP(C86,'Point Coordinates'!$A:$D,2,0)*1000</f>
        <v>955.002779575011</v>
      </c>
      <c r="O86" s="195">
        <f>VLOOKUP(C86,'Point Coordinates'!$A:$D,3,0)*1000</f>
        <v>7170.2764972459399</v>
      </c>
      <c r="V86" s="196">
        <f t="shared" si="20"/>
        <v>0</v>
      </c>
      <c r="W86" s="197">
        <f t="shared" si="21"/>
        <v>0</v>
      </c>
      <c r="X86" s="197">
        <f t="shared" si="22"/>
        <v>0.86888770016611705</v>
      </c>
      <c r="Y86" s="197">
        <f t="shared" si="23"/>
        <v>0</v>
      </c>
      <c r="Z86" s="157">
        <f t="shared" si="24"/>
        <v>0.55359277036564003</v>
      </c>
      <c r="AA86" s="157">
        <f t="shared" si="25"/>
        <v>6.7688664880365597</v>
      </c>
    </row>
    <row r="87" spans="1:27" ht="15">
      <c r="A87" s="157">
        <v>2</v>
      </c>
      <c r="B87" s="157" t="s">
        <v>876</v>
      </c>
      <c r="C87" s="158" t="s">
        <v>823</v>
      </c>
      <c r="D87" s="159">
        <f t="shared" si="13"/>
        <v>1</v>
      </c>
      <c r="E87" s="159" t="s">
        <v>872</v>
      </c>
      <c r="F87" s="160">
        <v>215.20912087708999</v>
      </c>
      <c r="G87" s="160">
        <v>125.33921150142601</v>
      </c>
      <c r="H87" s="159">
        <f t="shared" si="14"/>
        <v>250</v>
      </c>
      <c r="I87" s="159">
        <f t="shared" si="15"/>
        <v>300</v>
      </c>
      <c r="J87" s="161">
        <f t="shared" si="16"/>
        <v>1</v>
      </c>
      <c r="K87" s="162">
        <f t="shared" si="17"/>
        <v>260.86956521739103</v>
      </c>
      <c r="L87" s="163">
        <f t="shared" si="18"/>
        <v>1.2121677936056401</v>
      </c>
      <c r="M87" s="159" t="str">
        <f t="shared" si="19"/>
        <v>OK</v>
      </c>
      <c r="N87" s="194">
        <f>VLOOKUP(C87,'Point Coordinates'!$A:$D,2,0)*1000</f>
        <v>-1516.4104788526099</v>
      </c>
      <c r="O87" s="195">
        <f>VLOOKUP(C87,'Point Coordinates'!$A:$D,3,0)*1000</f>
        <v>7528.3760707880001</v>
      </c>
      <c r="V87" s="196">
        <f t="shared" si="20"/>
        <v>0</v>
      </c>
      <c r="W87" s="197">
        <f t="shared" si="21"/>
        <v>0</v>
      </c>
      <c r="X87" s="197">
        <f t="shared" si="22"/>
        <v>0.82496829669551197</v>
      </c>
      <c r="Y87" s="197">
        <f t="shared" si="23"/>
        <v>0</v>
      </c>
      <c r="Z87" s="157">
        <f t="shared" si="24"/>
        <v>-1.91782048806198</v>
      </c>
      <c r="AA87" s="157">
        <f t="shared" si="25"/>
        <v>7.1269660615786297</v>
      </c>
    </row>
    <row r="88" spans="1:27" ht="15">
      <c r="A88" s="157">
        <v>1</v>
      </c>
      <c r="B88" s="157" t="s">
        <v>877</v>
      </c>
      <c r="C88" s="158" t="s">
        <v>824</v>
      </c>
      <c r="D88" s="159">
        <f t="shared" si="13"/>
        <v>1</v>
      </c>
      <c r="E88" s="159" t="s">
        <v>872</v>
      </c>
      <c r="F88" s="160">
        <v>164.95186040040301</v>
      </c>
      <c r="G88" s="160">
        <v>61.677414932758502</v>
      </c>
      <c r="H88" s="159">
        <f t="shared" si="14"/>
        <v>250</v>
      </c>
      <c r="I88" s="159">
        <f t="shared" si="15"/>
        <v>200</v>
      </c>
      <c r="J88" s="161">
        <f t="shared" si="16"/>
        <v>1</v>
      </c>
      <c r="K88" s="162">
        <f t="shared" si="17"/>
        <v>173.91304347826099</v>
      </c>
      <c r="L88" s="163">
        <f t="shared" si="18"/>
        <v>1.0543260503767899</v>
      </c>
      <c r="M88" s="159" t="str">
        <f t="shared" si="19"/>
        <v>OK</v>
      </c>
      <c r="N88" s="194">
        <f>VLOOKUP(C88,'Point Coordinates'!$A:$D,2,0)*1000</f>
        <v>254.11145985145799</v>
      </c>
      <c r="O88" s="195">
        <f>VLOOKUP(C88,'Point Coordinates'!$A:$D,3,0)*1000</f>
        <v>8525.1999708641506</v>
      </c>
      <c r="V88" s="196">
        <f t="shared" si="20"/>
        <v>0</v>
      </c>
      <c r="W88" s="197">
        <f t="shared" si="21"/>
        <v>0</v>
      </c>
      <c r="X88" s="197">
        <f t="shared" si="22"/>
        <v>0.94847319730231705</v>
      </c>
      <c r="Y88" s="197">
        <f t="shared" si="23"/>
        <v>0</v>
      </c>
      <c r="Z88" s="157">
        <f t="shared" si="24"/>
        <v>-0.14729854935791301</v>
      </c>
      <c r="AA88" s="157">
        <f t="shared" si="25"/>
        <v>8.1237899616547793</v>
      </c>
    </row>
    <row r="89" spans="1:27" ht="15">
      <c r="A89" s="157">
        <v>1</v>
      </c>
      <c r="B89" s="157" t="s">
        <v>877</v>
      </c>
      <c r="C89" s="158" t="s">
        <v>847</v>
      </c>
      <c r="D89" s="159">
        <f t="shared" si="13"/>
        <v>1</v>
      </c>
      <c r="E89" s="159" t="s">
        <v>872</v>
      </c>
      <c r="F89" s="160">
        <v>139.06927300436701</v>
      </c>
      <c r="G89" s="160">
        <v>86.897410065764106</v>
      </c>
      <c r="H89" s="159">
        <f t="shared" si="14"/>
        <v>250</v>
      </c>
      <c r="I89" s="159">
        <f t="shared" si="15"/>
        <v>200</v>
      </c>
      <c r="J89" s="161">
        <f t="shared" si="16"/>
        <v>1</v>
      </c>
      <c r="K89" s="162">
        <f t="shared" si="17"/>
        <v>173.91304347826099</v>
      </c>
      <c r="L89" s="163">
        <f t="shared" si="18"/>
        <v>1.25054974201814</v>
      </c>
      <c r="M89" s="159" t="str">
        <f t="shared" si="19"/>
        <v>OK</v>
      </c>
      <c r="N89" s="194">
        <f>VLOOKUP(C89,'Point Coordinates'!$A:$D,2,0)*1000</f>
        <v>1645.3060762141799</v>
      </c>
      <c r="O89" s="195">
        <f>VLOOKUP(C89,'Point Coordinates'!$A:$D,3,0)*1000</f>
        <v>5838.5552956993897</v>
      </c>
      <c r="V89" s="196">
        <f t="shared" si="20"/>
        <v>0</v>
      </c>
      <c r="W89" s="197">
        <f t="shared" si="21"/>
        <v>0.79964831977510997</v>
      </c>
      <c r="X89" s="197">
        <f t="shared" si="22"/>
        <v>0</v>
      </c>
      <c r="Y89" s="197">
        <f t="shared" si="23"/>
        <v>0</v>
      </c>
      <c r="Z89" s="157">
        <f t="shared" si="24"/>
        <v>1.24389606700481</v>
      </c>
      <c r="AA89" s="157">
        <f t="shared" si="25"/>
        <v>5.4371452864900203</v>
      </c>
    </row>
    <row r="90" spans="1:27" ht="15">
      <c r="A90" s="157">
        <v>2</v>
      </c>
      <c r="B90" s="157" t="s">
        <v>876</v>
      </c>
      <c r="C90" s="158" t="s">
        <v>848</v>
      </c>
      <c r="D90" s="159">
        <f t="shared" si="13"/>
        <v>1</v>
      </c>
      <c r="E90" s="159" t="s">
        <v>872</v>
      </c>
      <c r="F90" s="160">
        <v>214.34418532175201</v>
      </c>
      <c r="G90" s="160">
        <v>127.43429323863499</v>
      </c>
      <c r="H90" s="159">
        <f t="shared" si="14"/>
        <v>250</v>
      </c>
      <c r="I90" s="159">
        <f t="shared" si="15"/>
        <v>300</v>
      </c>
      <c r="J90" s="161">
        <f t="shared" si="16"/>
        <v>1</v>
      </c>
      <c r="K90" s="162">
        <f t="shared" si="17"/>
        <v>260.86956521739103</v>
      </c>
      <c r="L90" s="163">
        <f t="shared" si="18"/>
        <v>1.21705921168704</v>
      </c>
      <c r="M90" s="159" t="str">
        <f t="shared" si="19"/>
        <v>OK</v>
      </c>
      <c r="N90" s="194">
        <f>VLOOKUP(C90,'Point Coordinates'!$A:$D,2,0)*1000</f>
        <v>-1443.62652714974</v>
      </c>
      <c r="O90" s="195">
        <f>VLOOKUP(C90,'Point Coordinates'!$A:$D,3,0)*1000</f>
        <v>8143.1533863021496</v>
      </c>
      <c r="V90" s="196">
        <f t="shared" si="20"/>
        <v>0</v>
      </c>
      <c r="W90" s="197">
        <f t="shared" si="21"/>
        <v>0</v>
      </c>
      <c r="X90" s="197">
        <f t="shared" si="22"/>
        <v>0.82165271040004895</v>
      </c>
      <c r="Y90" s="197">
        <f t="shared" si="23"/>
        <v>0</v>
      </c>
      <c r="Z90" s="157">
        <f t="shared" si="24"/>
        <v>-1.8450365363591099</v>
      </c>
      <c r="AA90" s="157">
        <f t="shared" si="25"/>
        <v>7.7417433770927797</v>
      </c>
    </row>
    <row r="91" spans="1:27" ht="15">
      <c r="A91" s="157">
        <v>1</v>
      </c>
      <c r="B91" s="157" t="s">
        <v>877</v>
      </c>
      <c r="C91" s="158" t="s">
        <v>849</v>
      </c>
      <c r="D91" s="159">
        <f t="shared" si="13"/>
        <v>1</v>
      </c>
      <c r="E91" s="159" t="s">
        <v>872</v>
      </c>
      <c r="F91" s="160">
        <v>157.582341872201</v>
      </c>
      <c r="G91" s="160">
        <v>68.587569601714094</v>
      </c>
      <c r="H91" s="159">
        <f t="shared" si="14"/>
        <v>250</v>
      </c>
      <c r="I91" s="159">
        <f t="shared" si="15"/>
        <v>200</v>
      </c>
      <c r="J91" s="161">
        <f t="shared" si="16"/>
        <v>1</v>
      </c>
      <c r="K91" s="162">
        <f t="shared" si="17"/>
        <v>173.91304347826099</v>
      </c>
      <c r="L91" s="163">
        <f t="shared" si="18"/>
        <v>1.1036328145148699</v>
      </c>
      <c r="M91" s="159" t="str">
        <f t="shared" si="19"/>
        <v>OK</v>
      </c>
      <c r="N91" s="194">
        <f>VLOOKUP(C91,'Point Coordinates'!$A:$D,2,0)*1000</f>
        <v>599.11285401918997</v>
      </c>
      <c r="O91" s="195">
        <f>VLOOKUP(C91,'Point Coordinates'!$A:$D,3,0)*1000</f>
        <v>7858.2627806971404</v>
      </c>
      <c r="V91" s="196">
        <f t="shared" si="20"/>
        <v>0</v>
      </c>
      <c r="W91" s="197">
        <f t="shared" si="21"/>
        <v>0</v>
      </c>
      <c r="X91" s="197">
        <f t="shared" si="22"/>
        <v>0.90609846576515596</v>
      </c>
      <c r="Y91" s="197">
        <f t="shared" si="23"/>
        <v>0</v>
      </c>
      <c r="Z91" s="157">
        <f t="shared" si="24"/>
        <v>0.19770284480981901</v>
      </c>
      <c r="AA91" s="157">
        <f t="shared" si="25"/>
        <v>7.4568527714877701</v>
      </c>
    </row>
    <row r="92" spans="1:27" ht="15">
      <c r="A92" s="157">
        <v>1</v>
      </c>
      <c r="B92" s="157" t="s">
        <v>876</v>
      </c>
      <c r="C92" s="158" t="s">
        <v>852</v>
      </c>
      <c r="D92" s="159">
        <f t="shared" si="13"/>
        <v>1</v>
      </c>
      <c r="E92" s="159" t="s">
        <v>872</v>
      </c>
      <c r="F92" s="160">
        <v>251.10609035585401</v>
      </c>
      <c r="G92" s="160">
        <v>104.818481087734</v>
      </c>
      <c r="H92" s="159">
        <f t="shared" si="14"/>
        <v>250</v>
      </c>
      <c r="I92" s="159">
        <f t="shared" si="15"/>
        <v>300</v>
      </c>
      <c r="J92" s="161">
        <f t="shared" si="16"/>
        <v>1</v>
      </c>
      <c r="K92" s="162">
        <f t="shared" si="17"/>
        <v>260.86956521739103</v>
      </c>
      <c r="L92" s="163">
        <f t="shared" si="18"/>
        <v>1.0388818719916399</v>
      </c>
      <c r="M92" s="159" t="str">
        <f t="shared" si="19"/>
        <v>OK</v>
      </c>
      <c r="N92" s="194">
        <f>VLOOKUP(C92,'Point Coordinates'!$A:$D,2,0)*1000</f>
        <v>-561.80774916190603</v>
      </c>
      <c r="O92" s="195">
        <f>VLOOKUP(C92,'Point Coordinates'!$A:$D,3,0)*1000</f>
        <v>8675.9436242526608</v>
      </c>
      <c r="V92" s="196">
        <f t="shared" si="20"/>
        <v>0</v>
      </c>
      <c r="W92" s="197">
        <f t="shared" si="21"/>
        <v>0</v>
      </c>
      <c r="X92" s="197">
        <f t="shared" si="22"/>
        <v>0.96257334636410696</v>
      </c>
      <c r="Y92" s="197">
        <f t="shared" si="23"/>
        <v>0</v>
      </c>
      <c r="Z92" s="157">
        <f t="shared" si="24"/>
        <v>-0.96321775837127799</v>
      </c>
      <c r="AA92" s="157">
        <f t="shared" si="25"/>
        <v>8.2745336150432909</v>
      </c>
    </row>
    <row r="93" spans="1:27" ht="15">
      <c r="A93" s="157">
        <v>1</v>
      </c>
      <c r="B93" s="157" t="s">
        <v>877</v>
      </c>
      <c r="C93" s="158" t="s">
        <v>854</v>
      </c>
      <c r="D93" s="159">
        <f t="shared" si="13"/>
        <v>1</v>
      </c>
      <c r="E93" s="159" t="s">
        <v>872</v>
      </c>
      <c r="F93" s="160">
        <v>131.694754250432</v>
      </c>
      <c r="G93" s="160">
        <v>87.491231265687205</v>
      </c>
      <c r="H93" s="159">
        <f t="shared" si="14"/>
        <v>250</v>
      </c>
      <c r="I93" s="159">
        <f t="shared" si="15"/>
        <v>200</v>
      </c>
      <c r="J93" s="161">
        <f t="shared" si="16"/>
        <v>1</v>
      </c>
      <c r="K93" s="162">
        <f t="shared" si="17"/>
        <v>173.91304347826099</v>
      </c>
      <c r="L93" s="163">
        <f t="shared" si="18"/>
        <v>1.3205768480918101</v>
      </c>
      <c r="M93" s="159" t="str">
        <f t="shared" si="19"/>
        <v>OK</v>
      </c>
      <c r="N93" s="194">
        <f>VLOOKUP(C93,'Point Coordinates'!$A:$D,2,0)*1000</f>
        <v>-25.138120103491602</v>
      </c>
      <c r="O93" s="195">
        <f>VLOOKUP(C93,'Point Coordinates'!$A:$D,3,0)*1000</f>
        <v>5156.9714976820396</v>
      </c>
      <c r="V93" s="196">
        <f t="shared" si="20"/>
        <v>0</v>
      </c>
      <c r="W93" s="197">
        <f t="shared" si="21"/>
        <v>0.75724483693998401</v>
      </c>
      <c r="X93" s="197">
        <f t="shared" si="22"/>
        <v>0</v>
      </c>
      <c r="Y93" s="197">
        <f t="shared" si="23"/>
        <v>0</v>
      </c>
      <c r="Z93" s="157">
        <f t="shared" si="24"/>
        <v>-0.42654812931286301</v>
      </c>
      <c r="AA93" s="157">
        <f t="shared" si="25"/>
        <v>4.7555614884726598</v>
      </c>
    </row>
    <row r="94" spans="1:27" ht="15">
      <c r="A94" s="157">
        <v>1</v>
      </c>
      <c r="B94" s="157" t="s">
        <v>876</v>
      </c>
      <c r="C94" s="158" t="s">
        <v>765</v>
      </c>
      <c r="D94" s="159">
        <f t="shared" si="13"/>
        <v>1</v>
      </c>
      <c r="E94" s="159" t="s">
        <v>874</v>
      </c>
      <c r="F94" s="160">
        <v>154.291023393751</v>
      </c>
      <c r="G94" s="160">
        <v>154.291023393751</v>
      </c>
      <c r="H94" s="159">
        <f t="shared" si="14"/>
        <v>250</v>
      </c>
      <c r="I94" s="159">
        <f t="shared" si="15"/>
        <v>300</v>
      </c>
      <c r="J94" s="161">
        <f t="shared" si="16"/>
        <v>1.1499999999999999</v>
      </c>
      <c r="K94" s="162">
        <f t="shared" si="17"/>
        <v>300</v>
      </c>
      <c r="L94" s="163">
        <f t="shared" si="18"/>
        <v>1.9443775366918099</v>
      </c>
      <c r="M94" s="159" t="str">
        <f t="shared" si="19"/>
        <v>OK</v>
      </c>
      <c r="N94" s="194">
        <f>VLOOKUP(C94,'Point Coordinates'!$A:$D,2,0)*1000</f>
        <v>7274.5910540707</v>
      </c>
      <c r="O94" s="195">
        <f>VLOOKUP(C94,'Point Coordinates'!$A:$D,3,0)*1000</f>
        <v>401.56975269889</v>
      </c>
      <c r="V94" s="196">
        <f t="shared" si="20"/>
        <v>0</v>
      </c>
      <c r="W94" s="197">
        <f t="shared" si="21"/>
        <v>0.51430341131250301</v>
      </c>
      <c r="X94" s="197">
        <f t="shared" si="22"/>
        <v>0</v>
      </c>
      <c r="Y94" s="197">
        <f t="shared" si="23"/>
        <v>0</v>
      </c>
      <c r="Z94" s="157">
        <f t="shared" si="24"/>
        <v>6.8731810448613304</v>
      </c>
      <c r="AA94" s="157">
        <f t="shared" si="25"/>
        <v>1.5974348951886E-4</v>
      </c>
    </row>
    <row r="95" spans="1:27" ht="15">
      <c r="A95" s="157">
        <v>1</v>
      </c>
      <c r="B95" s="157" t="s">
        <v>876</v>
      </c>
      <c r="C95" s="158" t="s">
        <v>766</v>
      </c>
      <c r="D95" s="159">
        <f t="shared" si="13"/>
        <v>1</v>
      </c>
      <c r="E95" s="159" t="s">
        <v>874</v>
      </c>
      <c r="F95" s="160">
        <v>147.19670966701</v>
      </c>
      <c r="G95" s="160">
        <v>147.19670966701</v>
      </c>
      <c r="H95" s="159">
        <f t="shared" si="14"/>
        <v>250</v>
      </c>
      <c r="I95" s="159">
        <f t="shared" si="15"/>
        <v>300</v>
      </c>
      <c r="J95" s="161">
        <f t="shared" si="16"/>
        <v>1.1499999999999999</v>
      </c>
      <c r="K95" s="162">
        <f t="shared" si="17"/>
        <v>300</v>
      </c>
      <c r="L95" s="163">
        <f t="shared" si="18"/>
        <v>2.0380890352689498</v>
      </c>
      <c r="M95" s="159" t="str">
        <f t="shared" si="19"/>
        <v>OK</v>
      </c>
      <c r="N95" s="194">
        <f>VLOOKUP(C95,'Point Coordinates'!$A:$D,2,0)*1000</f>
        <v>7274.5910540707</v>
      </c>
      <c r="O95" s="195">
        <f>VLOOKUP(C95,'Point Coordinates'!$A:$D,3,0)*1000</f>
        <v>1151.5697526988899</v>
      </c>
      <c r="V95" s="196">
        <f t="shared" si="20"/>
        <v>0.49065569889003302</v>
      </c>
      <c r="W95" s="197">
        <f t="shared" si="21"/>
        <v>0</v>
      </c>
      <c r="X95" s="197">
        <f t="shared" si="22"/>
        <v>0</v>
      </c>
      <c r="Y95" s="197">
        <f t="shared" si="23"/>
        <v>0</v>
      </c>
      <c r="Z95" s="157">
        <f t="shared" si="24"/>
        <v>6.8731810448613304</v>
      </c>
      <c r="AA95" s="157">
        <f t="shared" si="25"/>
        <v>0.75015974348951897</v>
      </c>
    </row>
    <row r="96" spans="1:27" ht="15">
      <c r="A96" s="157">
        <v>1</v>
      </c>
      <c r="B96" s="157" t="s">
        <v>876</v>
      </c>
      <c r="C96" s="158" t="s">
        <v>767</v>
      </c>
      <c r="D96" s="159">
        <f t="shared" si="13"/>
        <v>1</v>
      </c>
      <c r="E96" s="159" t="s">
        <v>874</v>
      </c>
      <c r="F96" s="160">
        <v>155.59592412880099</v>
      </c>
      <c r="G96" s="160">
        <v>155.59592412880099</v>
      </c>
      <c r="H96" s="159">
        <f t="shared" si="14"/>
        <v>250</v>
      </c>
      <c r="I96" s="159">
        <f t="shared" si="15"/>
        <v>300</v>
      </c>
      <c r="J96" s="161">
        <f t="shared" si="16"/>
        <v>1.1499999999999999</v>
      </c>
      <c r="K96" s="162">
        <f t="shared" si="17"/>
        <v>300</v>
      </c>
      <c r="L96" s="163">
        <f t="shared" si="18"/>
        <v>1.92807107049708</v>
      </c>
      <c r="M96" s="159" t="str">
        <f t="shared" si="19"/>
        <v>OK</v>
      </c>
      <c r="N96" s="194">
        <f>VLOOKUP(C96,'Point Coordinates'!$A:$D,2,0)*1000</f>
        <v>6524.5910540707</v>
      </c>
      <c r="O96" s="195">
        <f>VLOOKUP(C96,'Point Coordinates'!$A:$D,3,0)*1000</f>
        <v>401.56975269889</v>
      </c>
      <c r="V96" s="196">
        <f t="shared" si="20"/>
        <v>0</v>
      </c>
      <c r="W96" s="197">
        <f t="shared" si="21"/>
        <v>0.518653080429337</v>
      </c>
      <c r="X96" s="197">
        <f t="shared" si="22"/>
        <v>0</v>
      </c>
      <c r="Y96" s="197">
        <f t="shared" si="23"/>
        <v>0</v>
      </c>
      <c r="Z96" s="157">
        <f t="shared" si="24"/>
        <v>6.1231810448613304</v>
      </c>
      <c r="AA96" s="157">
        <f t="shared" si="25"/>
        <v>1.5974348951886E-4</v>
      </c>
    </row>
    <row r="97" spans="1:27" ht="15">
      <c r="A97" s="157">
        <v>1</v>
      </c>
      <c r="B97" s="157" t="s">
        <v>876</v>
      </c>
      <c r="C97" s="158" t="s">
        <v>768</v>
      </c>
      <c r="D97" s="159">
        <f t="shared" si="13"/>
        <v>1</v>
      </c>
      <c r="E97" s="159" t="s">
        <v>874</v>
      </c>
      <c r="F97" s="160">
        <v>148.696408618211</v>
      </c>
      <c r="G97" s="160">
        <v>148.696408618211</v>
      </c>
      <c r="H97" s="159">
        <f t="shared" si="14"/>
        <v>250</v>
      </c>
      <c r="I97" s="159">
        <f t="shared" si="15"/>
        <v>300</v>
      </c>
      <c r="J97" s="161">
        <f t="shared" si="16"/>
        <v>1.1499999999999999</v>
      </c>
      <c r="K97" s="162">
        <f t="shared" si="17"/>
        <v>300</v>
      </c>
      <c r="L97" s="163">
        <f t="shared" si="18"/>
        <v>2.0175335960552498</v>
      </c>
      <c r="M97" s="159" t="str">
        <f t="shared" si="19"/>
        <v>OK</v>
      </c>
      <c r="N97" s="194">
        <f>VLOOKUP(C97,'Point Coordinates'!$A:$D,2,0)*1000</f>
        <v>6524.5910540707</v>
      </c>
      <c r="O97" s="195">
        <f>VLOOKUP(C97,'Point Coordinates'!$A:$D,3,0)*1000</f>
        <v>1151.5697526988899</v>
      </c>
      <c r="V97" s="196">
        <f t="shared" si="20"/>
        <v>0.495654695394037</v>
      </c>
      <c r="W97" s="197">
        <f t="shared" si="21"/>
        <v>0</v>
      </c>
      <c r="X97" s="197">
        <f t="shared" si="22"/>
        <v>0</v>
      </c>
      <c r="Y97" s="197">
        <f t="shared" si="23"/>
        <v>0</v>
      </c>
      <c r="Z97" s="157">
        <f t="shared" si="24"/>
        <v>6.1231810448613304</v>
      </c>
      <c r="AA97" s="157">
        <f t="shared" si="25"/>
        <v>0.75015974348951897</v>
      </c>
    </row>
    <row r="98" spans="1:27" ht="15">
      <c r="A98" s="157">
        <v>1</v>
      </c>
      <c r="B98" s="157" t="s">
        <v>876</v>
      </c>
      <c r="C98" s="158" t="s">
        <v>769</v>
      </c>
      <c r="D98" s="159">
        <f t="shared" si="13"/>
        <v>1</v>
      </c>
      <c r="E98" s="159" t="s">
        <v>874</v>
      </c>
      <c r="F98" s="160">
        <v>178.04000345182101</v>
      </c>
      <c r="G98" s="160">
        <v>178.04000345182101</v>
      </c>
      <c r="H98" s="159">
        <f t="shared" si="14"/>
        <v>250</v>
      </c>
      <c r="I98" s="159">
        <f t="shared" si="15"/>
        <v>300</v>
      </c>
      <c r="J98" s="161">
        <f t="shared" si="16"/>
        <v>1.1499999999999999</v>
      </c>
      <c r="K98" s="162">
        <f t="shared" si="17"/>
        <v>300</v>
      </c>
      <c r="L98" s="163">
        <f t="shared" si="18"/>
        <v>1.68501457079101</v>
      </c>
      <c r="M98" s="159" t="str">
        <f t="shared" si="19"/>
        <v>OK</v>
      </c>
      <c r="N98" s="194">
        <f>VLOOKUP(C98,'Point Coordinates'!$A:$D,2,0)*1000</f>
        <v>7274.5910540707</v>
      </c>
      <c r="O98" s="195">
        <f>VLOOKUP(C98,'Point Coordinates'!$A:$D,3,0)*1000</f>
        <v>3393.73888074448</v>
      </c>
      <c r="V98" s="196">
        <f t="shared" si="20"/>
        <v>0</v>
      </c>
      <c r="W98" s="197">
        <f t="shared" si="21"/>
        <v>0.59346667817273702</v>
      </c>
      <c r="X98" s="197">
        <f t="shared" si="22"/>
        <v>0</v>
      </c>
      <c r="Y98" s="197">
        <f t="shared" si="23"/>
        <v>0</v>
      </c>
      <c r="Z98" s="157">
        <f t="shared" si="24"/>
        <v>6.8731810448613304</v>
      </c>
      <c r="AA98" s="157">
        <f t="shared" si="25"/>
        <v>2.99232887153511</v>
      </c>
    </row>
    <row r="99" spans="1:27" ht="15">
      <c r="A99" s="157">
        <v>1</v>
      </c>
      <c r="B99" s="157" t="s">
        <v>876</v>
      </c>
      <c r="C99" s="158" t="s">
        <v>770</v>
      </c>
      <c r="D99" s="159">
        <f t="shared" si="13"/>
        <v>1</v>
      </c>
      <c r="E99" s="159" t="s">
        <v>874</v>
      </c>
      <c r="F99" s="160">
        <v>158.28132919984699</v>
      </c>
      <c r="G99" s="160">
        <v>158.28132919984699</v>
      </c>
      <c r="H99" s="159">
        <f t="shared" si="14"/>
        <v>250</v>
      </c>
      <c r="I99" s="159">
        <f t="shared" si="15"/>
        <v>300</v>
      </c>
      <c r="J99" s="161">
        <f t="shared" si="16"/>
        <v>1.1499999999999999</v>
      </c>
      <c r="K99" s="162">
        <f t="shared" si="17"/>
        <v>300</v>
      </c>
      <c r="L99" s="163">
        <f t="shared" si="18"/>
        <v>1.8953593675045399</v>
      </c>
      <c r="M99" s="159" t="str">
        <f t="shared" si="19"/>
        <v>OK</v>
      </c>
      <c r="N99" s="194">
        <f>VLOOKUP(C99,'Point Coordinates'!$A:$D,2,0)*1000</f>
        <v>7274.5910540707</v>
      </c>
      <c r="O99" s="195">
        <f>VLOOKUP(C99,'Point Coordinates'!$A:$D,3,0)*1000</f>
        <v>2643.73888074448</v>
      </c>
      <c r="V99" s="196">
        <f t="shared" si="20"/>
        <v>0</v>
      </c>
      <c r="W99" s="197">
        <f t="shared" si="21"/>
        <v>0.52760443066615703</v>
      </c>
      <c r="X99" s="197">
        <f t="shared" si="22"/>
        <v>0</v>
      </c>
      <c r="Y99" s="197">
        <f t="shared" si="23"/>
        <v>0</v>
      </c>
      <c r="Z99" s="157">
        <f t="shared" si="24"/>
        <v>6.8731810448613304</v>
      </c>
      <c r="AA99" s="157">
        <f t="shared" si="25"/>
        <v>2.24232887153511</v>
      </c>
    </row>
    <row r="100" spans="1:27" ht="15">
      <c r="A100" s="157">
        <v>1</v>
      </c>
      <c r="B100" s="157" t="s">
        <v>876</v>
      </c>
      <c r="C100" s="158" t="s">
        <v>771</v>
      </c>
      <c r="D100" s="159">
        <f t="shared" si="13"/>
        <v>1</v>
      </c>
      <c r="E100" s="159" t="s">
        <v>874</v>
      </c>
      <c r="F100" s="160">
        <v>181.75924586241101</v>
      </c>
      <c r="G100" s="160">
        <v>181.75924586241101</v>
      </c>
      <c r="H100" s="159">
        <f t="shared" si="14"/>
        <v>250</v>
      </c>
      <c r="I100" s="159">
        <f t="shared" si="15"/>
        <v>300</v>
      </c>
      <c r="J100" s="161">
        <f t="shared" si="16"/>
        <v>1.1499999999999999</v>
      </c>
      <c r="K100" s="162">
        <f t="shared" si="17"/>
        <v>300</v>
      </c>
      <c r="L100" s="163">
        <f t="shared" si="18"/>
        <v>1.65053501722325</v>
      </c>
      <c r="M100" s="159" t="str">
        <f t="shared" si="19"/>
        <v>OK</v>
      </c>
      <c r="N100" s="194">
        <f>VLOOKUP(C100,'Point Coordinates'!$A:$D,2,0)*1000</f>
        <v>6524.5910540707</v>
      </c>
      <c r="O100" s="195">
        <f>VLOOKUP(C100,'Point Coordinates'!$A:$D,3,0)*1000</f>
        <v>3393.73888074448</v>
      </c>
      <c r="V100" s="196">
        <f t="shared" si="20"/>
        <v>0</v>
      </c>
      <c r="W100" s="197">
        <f t="shared" si="21"/>
        <v>0.60586415287470297</v>
      </c>
      <c r="X100" s="197">
        <f t="shared" si="22"/>
        <v>0</v>
      </c>
      <c r="Y100" s="197">
        <f t="shared" si="23"/>
        <v>0</v>
      </c>
      <c r="Z100" s="157">
        <f t="shared" si="24"/>
        <v>6.1231810448613304</v>
      </c>
      <c r="AA100" s="157">
        <f t="shared" si="25"/>
        <v>2.99232887153511</v>
      </c>
    </row>
    <row r="101" spans="1:27" ht="15">
      <c r="A101" s="157">
        <v>1</v>
      </c>
      <c r="B101" s="157" t="s">
        <v>876</v>
      </c>
      <c r="C101" s="158" t="s">
        <v>772</v>
      </c>
      <c r="D101" s="159">
        <f t="shared" si="13"/>
        <v>1</v>
      </c>
      <c r="E101" s="159" t="s">
        <v>874</v>
      </c>
      <c r="F101" s="160">
        <v>161.95530847218399</v>
      </c>
      <c r="G101" s="160">
        <v>161.95530847218399</v>
      </c>
      <c r="H101" s="159">
        <f t="shared" si="14"/>
        <v>250</v>
      </c>
      <c r="I101" s="159">
        <f t="shared" si="15"/>
        <v>300</v>
      </c>
      <c r="J101" s="161">
        <f t="shared" si="16"/>
        <v>1.1499999999999999</v>
      </c>
      <c r="K101" s="162">
        <f t="shared" si="17"/>
        <v>300</v>
      </c>
      <c r="L101" s="163">
        <f t="shared" si="18"/>
        <v>1.8523628699180601</v>
      </c>
      <c r="M101" s="159" t="str">
        <f t="shared" si="19"/>
        <v>OK</v>
      </c>
      <c r="N101" s="194">
        <f>VLOOKUP(C101,'Point Coordinates'!$A:$D,2,0)*1000</f>
        <v>6524.5910540707</v>
      </c>
      <c r="O101" s="195">
        <f>VLOOKUP(C101,'Point Coordinates'!$A:$D,3,0)*1000</f>
        <v>2643.73888074448</v>
      </c>
      <c r="V101" s="196">
        <f t="shared" si="20"/>
        <v>0</v>
      </c>
      <c r="W101" s="197">
        <f t="shared" si="21"/>
        <v>0.53985102824061304</v>
      </c>
      <c r="X101" s="197">
        <f t="shared" si="22"/>
        <v>0</v>
      </c>
      <c r="Y101" s="197">
        <f t="shared" si="23"/>
        <v>0</v>
      </c>
      <c r="Z101" s="157">
        <f t="shared" si="24"/>
        <v>6.1231810448613304</v>
      </c>
      <c r="AA101" s="157">
        <f t="shared" si="25"/>
        <v>2.24232887153511</v>
      </c>
    </row>
    <row r="102" spans="1:27" ht="15">
      <c r="A102" s="157">
        <v>1</v>
      </c>
      <c r="B102" s="157" t="s">
        <v>876</v>
      </c>
      <c r="C102" s="158" t="s">
        <v>777</v>
      </c>
      <c r="D102" s="159">
        <f t="shared" si="13"/>
        <v>1</v>
      </c>
      <c r="E102" s="159" t="s">
        <v>874</v>
      </c>
      <c r="F102" s="160">
        <v>198.25463842820699</v>
      </c>
      <c r="G102" s="160">
        <v>198.25463842820699</v>
      </c>
      <c r="H102" s="159">
        <f t="shared" si="14"/>
        <v>250</v>
      </c>
      <c r="I102" s="159">
        <f t="shared" si="15"/>
        <v>300</v>
      </c>
      <c r="J102" s="161">
        <f t="shared" si="16"/>
        <v>1.1499999999999999</v>
      </c>
      <c r="K102" s="162">
        <f t="shared" si="17"/>
        <v>300</v>
      </c>
      <c r="L102" s="163">
        <f t="shared" si="18"/>
        <v>1.51320545324158</v>
      </c>
      <c r="M102" s="159" t="str">
        <f t="shared" si="19"/>
        <v>OK</v>
      </c>
      <c r="N102" s="194">
        <f>VLOOKUP(C102,'Point Coordinates'!$A:$D,2,0)*1000</f>
        <v>10583.8280698332</v>
      </c>
      <c r="O102" s="195">
        <f>VLOOKUP(C102,'Point Coordinates'!$A:$D,3,0)*1000</f>
        <v>3393.73888074448</v>
      </c>
      <c r="V102" s="196">
        <f t="shared" si="20"/>
        <v>0</v>
      </c>
      <c r="W102" s="197">
        <f t="shared" si="21"/>
        <v>0.66084879476069003</v>
      </c>
      <c r="X102" s="197">
        <f t="shared" si="22"/>
        <v>0</v>
      </c>
      <c r="Y102" s="197">
        <f t="shared" si="23"/>
        <v>0</v>
      </c>
      <c r="Z102" s="157">
        <f t="shared" si="24"/>
        <v>10.1824180606238</v>
      </c>
      <c r="AA102" s="157">
        <f t="shared" si="25"/>
        <v>2.99232887153511</v>
      </c>
    </row>
    <row r="103" spans="1:27" ht="15">
      <c r="A103" s="157">
        <v>1</v>
      </c>
      <c r="B103" s="157" t="s">
        <v>876</v>
      </c>
      <c r="C103" s="158" t="s">
        <v>778</v>
      </c>
      <c r="D103" s="159">
        <f t="shared" si="13"/>
        <v>1</v>
      </c>
      <c r="E103" s="159" t="s">
        <v>874</v>
      </c>
      <c r="F103" s="160">
        <v>184.67557435865101</v>
      </c>
      <c r="G103" s="160">
        <v>184.67557435865101</v>
      </c>
      <c r="H103" s="159">
        <f t="shared" si="14"/>
        <v>250</v>
      </c>
      <c r="I103" s="159">
        <f t="shared" si="15"/>
        <v>300</v>
      </c>
      <c r="J103" s="161">
        <f t="shared" si="16"/>
        <v>1.1499999999999999</v>
      </c>
      <c r="K103" s="162">
        <f t="shared" si="17"/>
        <v>300</v>
      </c>
      <c r="L103" s="163">
        <f t="shared" si="18"/>
        <v>1.62447037753559</v>
      </c>
      <c r="M103" s="159" t="str">
        <f t="shared" si="19"/>
        <v>OK</v>
      </c>
      <c r="N103" s="194">
        <f>VLOOKUP(C103,'Point Coordinates'!$A:$D,2,0)*1000</f>
        <v>9833.8280698332001</v>
      </c>
      <c r="O103" s="195">
        <f>VLOOKUP(C103,'Point Coordinates'!$A:$D,3,0)*1000</f>
        <v>3393.73888074448</v>
      </c>
      <c r="V103" s="196">
        <f t="shared" si="20"/>
        <v>0</v>
      </c>
      <c r="W103" s="197">
        <f t="shared" si="21"/>
        <v>0.61558524786216995</v>
      </c>
      <c r="X103" s="197">
        <f t="shared" si="22"/>
        <v>0</v>
      </c>
      <c r="Y103" s="197">
        <f t="shared" si="23"/>
        <v>0</v>
      </c>
      <c r="Z103" s="157">
        <f t="shared" si="24"/>
        <v>9.4324180606238297</v>
      </c>
      <c r="AA103" s="157">
        <f t="shared" si="25"/>
        <v>2.99232887153511</v>
      </c>
    </row>
    <row r="104" spans="1:27" ht="15">
      <c r="A104" s="157">
        <v>1</v>
      </c>
      <c r="B104" s="157" t="s">
        <v>876</v>
      </c>
      <c r="C104" s="158" t="s">
        <v>779</v>
      </c>
      <c r="D104" s="159">
        <f t="shared" si="13"/>
        <v>1</v>
      </c>
      <c r="E104" s="159" t="s">
        <v>874</v>
      </c>
      <c r="F104" s="160">
        <v>179.75110172727901</v>
      </c>
      <c r="G104" s="160">
        <v>179.75110172727901</v>
      </c>
      <c r="H104" s="159">
        <f t="shared" si="14"/>
        <v>250</v>
      </c>
      <c r="I104" s="159">
        <f t="shared" si="15"/>
        <v>300</v>
      </c>
      <c r="J104" s="161">
        <f t="shared" si="16"/>
        <v>1.1499999999999999</v>
      </c>
      <c r="K104" s="162">
        <f t="shared" si="17"/>
        <v>300</v>
      </c>
      <c r="L104" s="163">
        <f t="shared" si="18"/>
        <v>1.6689744714620101</v>
      </c>
      <c r="M104" s="159" t="str">
        <f t="shared" si="19"/>
        <v>OK</v>
      </c>
      <c r="N104" s="194">
        <f>VLOOKUP(C104,'Point Coordinates'!$A:$D,2,0)*1000</f>
        <v>10642.2812065832</v>
      </c>
      <c r="O104" s="195">
        <f>VLOOKUP(C104,'Point Coordinates'!$A:$D,3,0)*1000</f>
        <v>2648.1274488449499</v>
      </c>
      <c r="V104" s="196">
        <f t="shared" si="20"/>
        <v>0</v>
      </c>
      <c r="W104" s="197">
        <f t="shared" si="21"/>
        <v>0.59917033909092998</v>
      </c>
      <c r="X104" s="197">
        <f t="shared" si="22"/>
        <v>0</v>
      </c>
      <c r="Y104" s="197">
        <f t="shared" si="23"/>
        <v>0</v>
      </c>
      <c r="Z104" s="157">
        <f t="shared" si="24"/>
        <v>10.240871197373901</v>
      </c>
      <c r="AA104" s="157">
        <f t="shared" si="25"/>
        <v>2.24671743963557</v>
      </c>
    </row>
    <row r="105" spans="1:27" ht="15">
      <c r="A105" s="157">
        <v>1</v>
      </c>
      <c r="B105" s="157" t="s">
        <v>876</v>
      </c>
      <c r="C105" s="158" t="s">
        <v>780</v>
      </c>
      <c r="D105" s="159">
        <f t="shared" si="13"/>
        <v>1</v>
      </c>
      <c r="E105" s="159" t="s">
        <v>874</v>
      </c>
      <c r="F105" s="160">
        <v>184.256287242241</v>
      </c>
      <c r="G105" s="160">
        <v>184.256287242241</v>
      </c>
      <c r="H105" s="159">
        <f t="shared" si="14"/>
        <v>250</v>
      </c>
      <c r="I105" s="159">
        <f t="shared" si="15"/>
        <v>300</v>
      </c>
      <c r="J105" s="161">
        <f t="shared" si="16"/>
        <v>1.1499999999999999</v>
      </c>
      <c r="K105" s="162">
        <f t="shared" si="17"/>
        <v>300</v>
      </c>
      <c r="L105" s="163">
        <f t="shared" si="18"/>
        <v>1.6281669651011199</v>
      </c>
      <c r="M105" s="159" t="str">
        <f t="shared" si="19"/>
        <v>OK</v>
      </c>
      <c r="N105" s="194">
        <f>VLOOKUP(C105,'Point Coordinates'!$A:$D,2,0)*1000</f>
        <v>10810.949168466501</v>
      </c>
      <c r="O105" s="195">
        <f>VLOOKUP(C105,'Point Coordinates'!$A:$D,3,0)*1000</f>
        <v>401.56975269889</v>
      </c>
      <c r="V105" s="196">
        <f t="shared" si="20"/>
        <v>0</v>
      </c>
      <c r="W105" s="197">
        <f t="shared" si="21"/>
        <v>0.61418762414080297</v>
      </c>
      <c r="X105" s="197">
        <f t="shared" si="22"/>
        <v>0</v>
      </c>
      <c r="Y105" s="197">
        <f t="shared" si="23"/>
        <v>0</v>
      </c>
      <c r="Z105" s="157">
        <f t="shared" si="24"/>
        <v>10.4095391592571</v>
      </c>
      <c r="AA105" s="157">
        <f t="shared" si="25"/>
        <v>1.5974348951886E-4</v>
      </c>
    </row>
    <row r="106" spans="1:27" ht="15">
      <c r="A106" s="157">
        <v>1</v>
      </c>
      <c r="B106" s="157" t="s">
        <v>876</v>
      </c>
      <c r="C106" s="158" t="s">
        <v>781</v>
      </c>
      <c r="D106" s="159">
        <f t="shared" si="13"/>
        <v>1</v>
      </c>
      <c r="E106" s="159" t="s">
        <v>874</v>
      </c>
      <c r="F106" s="160">
        <v>168.231235080847</v>
      </c>
      <c r="G106" s="160">
        <v>168.231235080847</v>
      </c>
      <c r="H106" s="159">
        <f t="shared" si="14"/>
        <v>250</v>
      </c>
      <c r="I106" s="159">
        <f t="shared" si="15"/>
        <v>300</v>
      </c>
      <c r="J106" s="161">
        <f t="shared" si="16"/>
        <v>1.1499999999999999</v>
      </c>
      <c r="K106" s="162">
        <f t="shared" si="17"/>
        <v>300</v>
      </c>
      <c r="L106" s="163">
        <f t="shared" si="18"/>
        <v>1.78325980817907</v>
      </c>
      <c r="M106" s="159" t="str">
        <f t="shared" si="19"/>
        <v>OK</v>
      </c>
      <c r="N106" s="194">
        <f>VLOOKUP(C106,'Point Coordinates'!$A:$D,2,0)*1000</f>
        <v>10060.949168466501</v>
      </c>
      <c r="O106" s="195">
        <f>VLOOKUP(C106,'Point Coordinates'!$A:$D,3,0)*1000</f>
        <v>401.56975269889</v>
      </c>
      <c r="V106" s="196">
        <f t="shared" si="20"/>
        <v>0</v>
      </c>
      <c r="W106" s="197">
        <f t="shared" si="21"/>
        <v>0.56077078360282295</v>
      </c>
      <c r="X106" s="197">
        <f t="shared" si="22"/>
        <v>0</v>
      </c>
      <c r="Y106" s="197">
        <f t="shared" si="23"/>
        <v>0</v>
      </c>
      <c r="Z106" s="157">
        <f t="shared" si="24"/>
        <v>9.65953915925712</v>
      </c>
      <c r="AA106" s="157">
        <f t="shared" si="25"/>
        <v>1.5974348951886E-4</v>
      </c>
    </row>
    <row r="107" spans="1:27" ht="15">
      <c r="A107" s="157">
        <v>1</v>
      </c>
      <c r="B107" s="157" t="s">
        <v>876</v>
      </c>
      <c r="C107" s="158" t="s">
        <v>782</v>
      </c>
      <c r="D107" s="159">
        <f t="shared" si="13"/>
        <v>1</v>
      </c>
      <c r="E107" s="159" t="s">
        <v>874</v>
      </c>
      <c r="F107" s="160">
        <v>173.18158289061799</v>
      </c>
      <c r="G107" s="160">
        <v>173.18158289061799</v>
      </c>
      <c r="H107" s="159">
        <f t="shared" si="14"/>
        <v>250</v>
      </c>
      <c r="I107" s="159">
        <f t="shared" si="15"/>
        <v>300</v>
      </c>
      <c r="J107" s="161">
        <f t="shared" si="16"/>
        <v>1.1499999999999999</v>
      </c>
      <c r="K107" s="162">
        <f t="shared" si="17"/>
        <v>300</v>
      </c>
      <c r="L107" s="163">
        <f t="shared" si="18"/>
        <v>1.73228581811428</v>
      </c>
      <c r="M107" s="159" t="str">
        <f t="shared" si="19"/>
        <v>OK</v>
      </c>
      <c r="N107" s="194">
        <f>VLOOKUP(C107,'Point Coordinates'!$A:$D,2,0)*1000</f>
        <v>10766.1099085285</v>
      </c>
      <c r="O107" s="195">
        <f>VLOOKUP(C107,'Point Coordinates'!$A:$D,3,0)*1000</f>
        <v>1148.2032889803099</v>
      </c>
      <c r="V107" s="196">
        <f t="shared" si="20"/>
        <v>0</v>
      </c>
      <c r="W107" s="197">
        <f t="shared" si="21"/>
        <v>0.57727194296872697</v>
      </c>
      <c r="X107" s="197">
        <f t="shared" si="22"/>
        <v>0</v>
      </c>
      <c r="Y107" s="197">
        <f t="shared" si="23"/>
        <v>0</v>
      </c>
      <c r="Z107" s="157">
        <f t="shared" si="24"/>
        <v>10.364699899319101</v>
      </c>
      <c r="AA107" s="157">
        <f t="shared" si="25"/>
        <v>0.74679327977094101</v>
      </c>
    </row>
    <row r="108" spans="1:27" ht="15">
      <c r="A108" s="157">
        <v>1</v>
      </c>
      <c r="B108" s="157" t="s">
        <v>876</v>
      </c>
      <c r="C108" s="158" t="s">
        <v>793</v>
      </c>
      <c r="D108" s="159">
        <f t="shared" si="13"/>
        <v>1</v>
      </c>
      <c r="E108" s="159" t="s">
        <v>874</v>
      </c>
      <c r="F108" s="160">
        <v>175.21208002263799</v>
      </c>
      <c r="G108" s="160">
        <v>175.21208002263799</v>
      </c>
      <c r="H108" s="159">
        <f t="shared" si="14"/>
        <v>250</v>
      </c>
      <c r="I108" s="159">
        <f t="shared" si="15"/>
        <v>300</v>
      </c>
      <c r="J108" s="161">
        <f t="shared" si="16"/>
        <v>1.1499999999999999</v>
      </c>
      <c r="K108" s="162">
        <f t="shared" si="17"/>
        <v>300</v>
      </c>
      <c r="L108" s="163">
        <f t="shared" si="18"/>
        <v>1.7122107103644899</v>
      </c>
      <c r="M108" s="159" t="str">
        <f t="shared" si="19"/>
        <v>OK</v>
      </c>
      <c r="N108" s="194">
        <f>VLOOKUP(C108,'Point Coordinates'!$A:$D,2,0)*1000</f>
        <v>1902.8695858417</v>
      </c>
      <c r="O108" s="195">
        <f>VLOOKUP(C108,'Point Coordinates'!$A:$D,3,0)*1000</f>
        <v>401.41000920937103</v>
      </c>
      <c r="V108" s="196">
        <f t="shared" si="20"/>
        <v>0</v>
      </c>
      <c r="W108" s="197">
        <f t="shared" si="21"/>
        <v>0.58404026674212695</v>
      </c>
      <c r="X108" s="197">
        <f t="shared" si="22"/>
        <v>0</v>
      </c>
      <c r="Y108" s="197">
        <f t="shared" si="23"/>
        <v>0</v>
      </c>
      <c r="Z108" s="157">
        <f t="shared" si="24"/>
        <v>1.50145957663233</v>
      </c>
      <c r="AA108" s="157">
        <f t="shared" si="25"/>
        <v>0</v>
      </c>
    </row>
    <row r="109" spans="1:27" ht="15">
      <c r="A109" s="157">
        <v>1</v>
      </c>
      <c r="B109" s="157" t="s">
        <v>876</v>
      </c>
      <c r="C109" s="158" t="s">
        <v>794</v>
      </c>
      <c r="D109" s="159">
        <f t="shared" si="13"/>
        <v>1</v>
      </c>
      <c r="E109" s="159" t="s">
        <v>874</v>
      </c>
      <c r="F109" s="160">
        <v>180.52360276421899</v>
      </c>
      <c r="G109" s="160">
        <v>180.52360276421899</v>
      </c>
      <c r="H109" s="159">
        <f t="shared" si="14"/>
        <v>250</v>
      </c>
      <c r="I109" s="159">
        <f t="shared" si="15"/>
        <v>300</v>
      </c>
      <c r="J109" s="161">
        <f t="shared" si="16"/>
        <v>1.1499999999999999</v>
      </c>
      <c r="K109" s="162">
        <f t="shared" si="17"/>
        <v>300</v>
      </c>
      <c r="L109" s="163">
        <f t="shared" si="18"/>
        <v>1.66183255489216</v>
      </c>
      <c r="M109" s="159" t="str">
        <f t="shared" si="19"/>
        <v>OK</v>
      </c>
      <c r="N109" s="194">
        <f>VLOOKUP(C109,'Point Coordinates'!$A:$D,2,0)*1000</f>
        <v>1152.8695858417</v>
      </c>
      <c r="O109" s="195">
        <f>VLOOKUP(C109,'Point Coordinates'!$A:$D,3,0)*1000</f>
        <v>401.41000920937103</v>
      </c>
      <c r="V109" s="196">
        <f t="shared" si="20"/>
        <v>0</v>
      </c>
      <c r="W109" s="197">
        <f t="shared" si="21"/>
        <v>0.60174534254739698</v>
      </c>
      <c r="X109" s="197">
        <f t="shared" si="22"/>
        <v>0</v>
      </c>
      <c r="Y109" s="197">
        <f t="shared" si="23"/>
        <v>0</v>
      </c>
      <c r="Z109" s="157">
        <f t="shared" si="24"/>
        <v>0.75145957663232799</v>
      </c>
      <c r="AA109" s="157">
        <f t="shared" si="25"/>
        <v>0</v>
      </c>
    </row>
    <row r="110" spans="1:27" ht="15">
      <c r="A110" s="157">
        <v>1</v>
      </c>
      <c r="B110" s="157" t="s">
        <v>876</v>
      </c>
      <c r="C110" s="158" t="s">
        <v>795</v>
      </c>
      <c r="D110" s="159">
        <f t="shared" si="13"/>
        <v>1</v>
      </c>
      <c r="E110" s="159" t="s">
        <v>874</v>
      </c>
      <c r="F110" s="160">
        <v>186.002869312467</v>
      </c>
      <c r="G110" s="160">
        <v>186.002869312467</v>
      </c>
      <c r="H110" s="159">
        <f t="shared" si="14"/>
        <v>250</v>
      </c>
      <c r="I110" s="159">
        <f t="shared" si="15"/>
        <v>300</v>
      </c>
      <c r="J110" s="161">
        <f t="shared" si="16"/>
        <v>1.1499999999999999</v>
      </c>
      <c r="K110" s="162">
        <f t="shared" si="17"/>
        <v>300</v>
      </c>
      <c r="L110" s="163">
        <f t="shared" si="18"/>
        <v>1.6128783448820301</v>
      </c>
      <c r="M110" s="159" t="str">
        <f t="shared" si="19"/>
        <v>OK</v>
      </c>
      <c r="N110" s="194">
        <f>VLOOKUP(C110,'Point Coordinates'!$A:$D,2,0)*1000</f>
        <v>402.86958584169997</v>
      </c>
      <c r="O110" s="195">
        <f>VLOOKUP(C110,'Point Coordinates'!$A:$D,3,0)*1000</f>
        <v>401.41000920937103</v>
      </c>
      <c r="V110" s="196">
        <f t="shared" si="20"/>
        <v>0</v>
      </c>
      <c r="W110" s="197">
        <f t="shared" si="21"/>
        <v>0.62000956437488997</v>
      </c>
      <c r="X110" s="197">
        <f t="shared" si="22"/>
        <v>0</v>
      </c>
      <c r="Y110" s="197">
        <f t="shared" si="23"/>
        <v>0</v>
      </c>
      <c r="Z110" s="157">
        <f t="shared" si="24"/>
        <v>1.4595766323282099E-3</v>
      </c>
      <c r="AA110" s="157">
        <f t="shared" si="25"/>
        <v>0</v>
      </c>
    </row>
    <row r="111" spans="1:27" ht="15">
      <c r="A111" s="157">
        <v>1</v>
      </c>
      <c r="B111" s="157" t="s">
        <v>876</v>
      </c>
      <c r="C111" s="158" t="s">
        <v>796</v>
      </c>
      <c r="D111" s="159">
        <f t="shared" si="13"/>
        <v>1</v>
      </c>
      <c r="E111" s="159" t="s">
        <v>874</v>
      </c>
      <c r="F111" s="160">
        <v>171.32195160148399</v>
      </c>
      <c r="G111" s="160">
        <v>171.32195160148399</v>
      </c>
      <c r="H111" s="159">
        <f t="shared" si="14"/>
        <v>250</v>
      </c>
      <c r="I111" s="159">
        <f t="shared" si="15"/>
        <v>300</v>
      </c>
      <c r="J111" s="161">
        <f t="shared" si="16"/>
        <v>1.1499999999999999</v>
      </c>
      <c r="K111" s="162">
        <f t="shared" si="17"/>
        <v>300</v>
      </c>
      <c r="L111" s="163">
        <f t="shared" si="18"/>
        <v>1.75108908809209</v>
      </c>
      <c r="M111" s="159" t="str">
        <f t="shared" si="19"/>
        <v>OK</v>
      </c>
      <c r="N111" s="194">
        <f>VLOOKUP(C111,'Point Coordinates'!$A:$D,2,0)*1000</f>
        <v>2652.8695858417</v>
      </c>
      <c r="O111" s="195">
        <f>VLOOKUP(C111,'Point Coordinates'!$A:$D,3,0)*1000</f>
        <v>401.41000920937103</v>
      </c>
      <c r="V111" s="196">
        <f t="shared" si="20"/>
        <v>0</v>
      </c>
      <c r="W111" s="197">
        <f t="shared" si="21"/>
        <v>0.57107317200494701</v>
      </c>
      <c r="X111" s="197">
        <f t="shared" si="22"/>
        <v>0</v>
      </c>
      <c r="Y111" s="197">
        <f t="shared" si="23"/>
        <v>0</v>
      </c>
      <c r="Z111" s="157">
        <f t="shared" si="24"/>
        <v>2.25145957663233</v>
      </c>
      <c r="AA111" s="157">
        <f t="shared" si="25"/>
        <v>0</v>
      </c>
    </row>
    <row r="112" spans="1:27" ht="15">
      <c r="A112" s="157">
        <v>1</v>
      </c>
      <c r="B112" s="157" t="s">
        <v>876</v>
      </c>
      <c r="C112" s="158" t="s">
        <v>797</v>
      </c>
      <c r="D112" s="159">
        <f t="shared" si="13"/>
        <v>1</v>
      </c>
      <c r="E112" s="159" t="s">
        <v>874</v>
      </c>
      <c r="F112" s="160">
        <v>168.46650777302301</v>
      </c>
      <c r="G112" s="160">
        <v>168.46650777302301</v>
      </c>
      <c r="H112" s="159">
        <f t="shared" si="14"/>
        <v>250</v>
      </c>
      <c r="I112" s="159">
        <f t="shared" si="15"/>
        <v>300</v>
      </c>
      <c r="J112" s="161">
        <f t="shared" si="16"/>
        <v>1.1499999999999999</v>
      </c>
      <c r="K112" s="162">
        <f t="shared" si="17"/>
        <v>300</v>
      </c>
      <c r="L112" s="163">
        <f t="shared" si="18"/>
        <v>1.7807693883237199</v>
      </c>
      <c r="M112" s="159" t="str">
        <f t="shared" si="19"/>
        <v>OK</v>
      </c>
      <c r="N112" s="194">
        <f>VLOOKUP(C112,'Point Coordinates'!$A:$D,2,0)*1000</f>
        <v>3402.8695858417</v>
      </c>
      <c r="O112" s="195">
        <f>VLOOKUP(C112,'Point Coordinates'!$A:$D,3,0)*1000</f>
        <v>401.41000920937103</v>
      </c>
      <c r="V112" s="196">
        <f t="shared" si="20"/>
        <v>0</v>
      </c>
      <c r="W112" s="197">
        <f t="shared" si="21"/>
        <v>0.561555025910077</v>
      </c>
      <c r="X112" s="197">
        <f t="shared" si="22"/>
        <v>0</v>
      </c>
      <c r="Y112" s="197">
        <f t="shared" si="23"/>
        <v>0</v>
      </c>
      <c r="Z112" s="157">
        <f t="shared" si="24"/>
        <v>3.00145957663233</v>
      </c>
      <c r="AA112" s="157">
        <f t="shared" si="25"/>
        <v>0</v>
      </c>
    </row>
    <row r="113" spans="1:27" ht="15">
      <c r="A113" s="157">
        <v>1</v>
      </c>
      <c r="B113" s="157" t="s">
        <v>876</v>
      </c>
      <c r="C113" s="158" t="s">
        <v>798</v>
      </c>
      <c r="D113" s="159">
        <f t="shared" si="13"/>
        <v>1</v>
      </c>
      <c r="E113" s="159" t="s">
        <v>874</v>
      </c>
      <c r="F113" s="160">
        <v>165.142880666096</v>
      </c>
      <c r="G113" s="160">
        <v>165.142880666096</v>
      </c>
      <c r="H113" s="159">
        <f t="shared" si="14"/>
        <v>250</v>
      </c>
      <c r="I113" s="159">
        <f t="shared" si="15"/>
        <v>300</v>
      </c>
      <c r="J113" s="161">
        <f t="shared" si="16"/>
        <v>1.1499999999999999</v>
      </c>
      <c r="K113" s="162">
        <f t="shared" si="17"/>
        <v>300</v>
      </c>
      <c r="L113" s="163">
        <f t="shared" si="18"/>
        <v>1.81660873777885</v>
      </c>
      <c r="M113" s="159" t="str">
        <f t="shared" si="19"/>
        <v>OK</v>
      </c>
      <c r="N113" s="194">
        <f>VLOOKUP(C113,'Point Coordinates'!$A:$D,2,0)*1000</f>
        <v>4152.8695858417004</v>
      </c>
      <c r="O113" s="195">
        <f>VLOOKUP(C113,'Point Coordinates'!$A:$D,3,0)*1000</f>
        <v>401.41000920937103</v>
      </c>
      <c r="V113" s="196">
        <f t="shared" si="20"/>
        <v>0</v>
      </c>
      <c r="W113" s="197">
        <f t="shared" si="21"/>
        <v>0.55047626888698697</v>
      </c>
      <c r="X113" s="197">
        <f t="shared" si="22"/>
        <v>0</v>
      </c>
      <c r="Y113" s="197">
        <f t="shared" si="23"/>
        <v>0</v>
      </c>
      <c r="Z113" s="157">
        <f t="shared" si="24"/>
        <v>3.75145957663233</v>
      </c>
      <c r="AA113" s="157">
        <f t="shared" si="25"/>
        <v>0</v>
      </c>
    </row>
    <row r="114" spans="1:27" ht="15">
      <c r="A114" s="157">
        <v>1</v>
      </c>
      <c r="B114" s="157" t="s">
        <v>876</v>
      </c>
      <c r="C114" s="158" t="s">
        <v>803</v>
      </c>
      <c r="D114" s="159">
        <f t="shared" si="13"/>
        <v>1</v>
      </c>
      <c r="E114" s="159" t="s">
        <v>874</v>
      </c>
      <c r="F114" s="160">
        <v>202.25082005945001</v>
      </c>
      <c r="G114" s="160">
        <v>202.25082005945001</v>
      </c>
      <c r="H114" s="159">
        <f t="shared" si="14"/>
        <v>250</v>
      </c>
      <c r="I114" s="159">
        <f t="shared" si="15"/>
        <v>300</v>
      </c>
      <c r="J114" s="161">
        <f t="shared" si="16"/>
        <v>1.1499999999999999</v>
      </c>
      <c r="K114" s="162">
        <f t="shared" si="17"/>
        <v>300</v>
      </c>
      <c r="L114" s="163">
        <f t="shared" si="18"/>
        <v>1.48330671743045</v>
      </c>
      <c r="M114" s="159" t="str">
        <f t="shared" si="19"/>
        <v>OK</v>
      </c>
      <c r="N114" s="194">
        <f>VLOOKUP(C114,'Point Coordinates'!$A:$D,2,0)*1000</f>
        <v>3457.3442635216302</v>
      </c>
      <c r="O114" s="195">
        <f>VLOOKUP(C114,'Point Coordinates'!$A:$D,3,0)*1000</f>
        <v>3390.4243586417201</v>
      </c>
      <c r="V114" s="196">
        <f t="shared" si="20"/>
        <v>0</v>
      </c>
      <c r="W114" s="197">
        <f t="shared" si="21"/>
        <v>0.67416940019816696</v>
      </c>
      <c r="X114" s="197">
        <f t="shared" si="22"/>
        <v>0</v>
      </c>
      <c r="Y114" s="197">
        <f t="shared" si="23"/>
        <v>0</v>
      </c>
      <c r="Z114" s="157">
        <f t="shared" si="24"/>
        <v>3.0559342543122598</v>
      </c>
      <c r="AA114" s="157">
        <f t="shared" si="25"/>
        <v>2.9890143494323498</v>
      </c>
    </row>
    <row r="115" spans="1:27" ht="15">
      <c r="A115" s="157">
        <v>1</v>
      </c>
      <c r="B115" s="157" t="s">
        <v>876</v>
      </c>
      <c r="C115" s="158" t="s">
        <v>804</v>
      </c>
      <c r="D115" s="159">
        <f t="shared" si="13"/>
        <v>1</v>
      </c>
      <c r="E115" s="159" t="s">
        <v>874</v>
      </c>
      <c r="F115" s="160">
        <v>201.58873400713301</v>
      </c>
      <c r="G115" s="160">
        <v>201.58873400713301</v>
      </c>
      <c r="H115" s="159">
        <f t="shared" si="14"/>
        <v>250</v>
      </c>
      <c r="I115" s="159">
        <f t="shared" si="15"/>
        <v>300</v>
      </c>
      <c r="J115" s="161">
        <f t="shared" si="16"/>
        <v>1.1499999999999999</v>
      </c>
      <c r="K115" s="162">
        <f t="shared" si="17"/>
        <v>300</v>
      </c>
      <c r="L115" s="163">
        <f t="shared" si="18"/>
        <v>1.4881784018217199</v>
      </c>
      <c r="M115" s="159" t="str">
        <f t="shared" si="19"/>
        <v>OK</v>
      </c>
      <c r="N115" s="194">
        <f>VLOOKUP(C115,'Point Coordinates'!$A:$D,2,0)*1000</f>
        <v>2707.3442635216302</v>
      </c>
      <c r="O115" s="195">
        <f>VLOOKUP(C115,'Point Coordinates'!$A:$D,3,0)*1000</f>
        <v>3390.4243586417201</v>
      </c>
      <c r="V115" s="196">
        <f t="shared" si="20"/>
        <v>0</v>
      </c>
      <c r="W115" s="197">
        <f t="shared" si="21"/>
        <v>0.67196244669044303</v>
      </c>
      <c r="X115" s="197">
        <f t="shared" si="22"/>
        <v>0</v>
      </c>
      <c r="Y115" s="197">
        <f t="shared" si="23"/>
        <v>0</v>
      </c>
      <c r="Z115" s="157">
        <f t="shared" si="24"/>
        <v>2.3059342543122598</v>
      </c>
      <c r="AA115" s="157">
        <f t="shared" si="25"/>
        <v>2.9890143494323498</v>
      </c>
    </row>
    <row r="116" spans="1:27" ht="15">
      <c r="A116" s="157">
        <v>1</v>
      </c>
      <c r="B116" s="157" t="s">
        <v>876</v>
      </c>
      <c r="C116" s="158" t="s">
        <v>805</v>
      </c>
      <c r="D116" s="159">
        <f t="shared" si="13"/>
        <v>1</v>
      </c>
      <c r="E116" s="159" t="s">
        <v>874</v>
      </c>
      <c r="F116" s="160">
        <v>200.27741335347801</v>
      </c>
      <c r="G116" s="160">
        <v>200.27741335347801</v>
      </c>
      <c r="H116" s="159">
        <f t="shared" si="14"/>
        <v>250</v>
      </c>
      <c r="I116" s="159">
        <f t="shared" si="15"/>
        <v>300</v>
      </c>
      <c r="J116" s="161">
        <f t="shared" si="16"/>
        <v>1.1499999999999999</v>
      </c>
      <c r="K116" s="162">
        <f t="shared" si="17"/>
        <v>300</v>
      </c>
      <c r="L116" s="163">
        <f t="shared" si="18"/>
        <v>1.49792228178281</v>
      </c>
      <c r="M116" s="159" t="str">
        <f t="shared" si="19"/>
        <v>OK</v>
      </c>
      <c r="N116" s="194">
        <f>VLOOKUP(C116,'Point Coordinates'!$A:$D,2,0)*1000</f>
        <v>4207.3442635216297</v>
      </c>
      <c r="O116" s="195">
        <f>VLOOKUP(C116,'Point Coordinates'!$A:$D,3,0)*1000</f>
        <v>3390.4243586417201</v>
      </c>
      <c r="V116" s="196">
        <f t="shared" si="20"/>
        <v>0</v>
      </c>
      <c r="W116" s="197">
        <f t="shared" si="21"/>
        <v>0.66759137784492695</v>
      </c>
      <c r="X116" s="197">
        <f t="shared" si="22"/>
        <v>0</v>
      </c>
      <c r="Y116" s="197">
        <f t="shared" si="23"/>
        <v>0</v>
      </c>
      <c r="Z116" s="157">
        <f t="shared" si="24"/>
        <v>3.8059342543122598</v>
      </c>
      <c r="AA116" s="157">
        <f t="shared" si="25"/>
        <v>2.9890143494323498</v>
      </c>
    </row>
    <row r="117" spans="1:27" ht="15">
      <c r="A117" s="157">
        <v>1</v>
      </c>
      <c r="B117" s="157" t="s">
        <v>877</v>
      </c>
      <c r="C117" s="158" t="s">
        <v>810</v>
      </c>
      <c r="D117" s="159">
        <f t="shared" si="13"/>
        <v>1</v>
      </c>
      <c r="E117" s="159" t="s">
        <v>874</v>
      </c>
      <c r="F117" s="160">
        <v>130.62338091234199</v>
      </c>
      <c r="G117" s="160">
        <v>130.62338091234199</v>
      </c>
      <c r="H117" s="159">
        <f t="shared" si="14"/>
        <v>250</v>
      </c>
      <c r="I117" s="159">
        <f t="shared" si="15"/>
        <v>200</v>
      </c>
      <c r="J117" s="161">
        <f t="shared" si="16"/>
        <v>1.1499999999999999</v>
      </c>
      <c r="K117" s="162">
        <f t="shared" si="17"/>
        <v>200</v>
      </c>
      <c r="L117" s="163">
        <f t="shared" si="18"/>
        <v>1.53111945658653</v>
      </c>
      <c r="M117" s="159" t="str">
        <f t="shared" si="19"/>
        <v>OK</v>
      </c>
      <c r="N117" s="194">
        <f>VLOOKUP(C117,'Point Coordinates'!$A:$D,2,0)*1000</f>
        <v>-805.11640550662401</v>
      </c>
      <c r="O117" s="195">
        <f>VLOOKUP(C117,'Point Coordinates'!$A:$D,3,0)*1000</f>
        <v>5953.7047509239801</v>
      </c>
      <c r="V117" s="196">
        <f t="shared" si="20"/>
        <v>0</v>
      </c>
      <c r="W117" s="197">
        <f t="shared" si="21"/>
        <v>0.65311690456171001</v>
      </c>
      <c r="X117" s="197">
        <f t="shared" si="22"/>
        <v>0</v>
      </c>
      <c r="Y117" s="197">
        <f t="shared" si="23"/>
        <v>0</v>
      </c>
      <c r="Z117" s="157">
        <f t="shared" si="24"/>
        <v>-1.206526414716</v>
      </c>
      <c r="AA117" s="157">
        <f t="shared" si="25"/>
        <v>5.5522947417145998</v>
      </c>
    </row>
    <row r="118" spans="1:27" ht="15">
      <c r="A118" s="157">
        <v>1</v>
      </c>
      <c r="B118" s="157" t="s">
        <v>877</v>
      </c>
      <c r="C118" s="158" t="s">
        <v>811</v>
      </c>
      <c r="D118" s="159">
        <f t="shared" si="13"/>
        <v>1</v>
      </c>
      <c r="E118" s="159" t="s">
        <v>874</v>
      </c>
      <c r="F118" s="160">
        <v>131.72543411188099</v>
      </c>
      <c r="G118" s="160">
        <v>131.72543411188099</v>
      </c>
      <c r="H118" s="159">
        <f t="shared" si="14"/>
        <v>250</v>
      </c>
      <c r="I118" s="159">
        <f t="shared" si="15"/>
        <v>200</v>
      </c>
      <c r="J118" s="161">
        <f t="shared" si="16"/>
        <v>1.1499999999999999</v>
      </c>
      <c r="K118" s="162">
        <f t="shared" si="17"/>
        <v>200</v>
      </c>
      <c r="L118" s="163">
        <f t="shared" si="18"/>
        <v>1.5183096669860301</v>
      </c>
      <c r="M118" s="159" t="str">
        <f t="shared" si="19"/>
        <v>OK</v>
      </c>
      <c r="N118" s="194">
        <f>VLOOKUP(C118,'Point Coordinates'!$A:$D,2,0)*1000</f>
        <v>73.6902393347236</v>
      </c>
      <c r="O118" s="195">
        <f>VLOOKUP(C118,'Point Coordinates'!$A:$D,3,0)*1000</f>
        <v>4046.3357402749698</v>
      </c>
      <c r="V118" s="196">
        <f t="shared" si="20"/>
        <v>0</v>
      </c>
      <c r="W118" s="197">
        <f t="shared" si="21"/>
        <v>0.65862717055940501</v>
      </c>
      <c r="X118" s="197">
        <f t="shared" si="22"/>
        <v>0</v>
      </c>
      <c r="Y118" s="197">
        <f t="shared" si="23"/>
        <v>0</v>
      </c>
      <c r="Z118" s="157">
        <f t="shared" si="24"/>
        <v>-0.32771976987464801</v>
      </c>
      <c r="AA118" s="157">
        <f t="shared" si="25"/>
        <v>3.6449257310655998</v>
      </c>
    </row>
    <row r="119" spans="1:27" ht="15">
      <c r="A119" s="157">
        <v>1</v>
      </c>
      <c r="B119" s="157" t="s">
        <v>877</v>
      </c>
      <c r="C119" s="158" t="s">
        <v>812</v>
      </c>
      <c r="D119" s="159">
        <f t="shared" si="13"/>
        <v>1</v>
      </c>
      <c r="E119" s="159" t="s">
        <v>874</v>
      </c>
      <c r="F119" s="160">
        <v>129.92694503695</v>
      </c>
      <c r="G119" s="160">
        <v>129.92694503695</v>
      </c>
      <c r="H119" s="159">
        <f t="shared" si="14"/>
        <v>250</v>
      </c>
      <c r="I119" s="159">
        <f t="shared" si="15"/>
        <v>200</v>
      </c>
      <c r="J119" s="161">
        <f t="shared" si="16"/>
        <v>1.1499999999999999</v>
      </c>
      <c r="K119" s="162">
        <f t="shared" si="17"/>
        <v>200</v>
      </c>
      <c r="L119" s="163">
        <f t="shared" si="18"/>
        <v>1.53932658035731</v>
      </c>
      <c r="M119" s="159" t="str">
        <f t="shared" si="19"/>
        <v>OK</v>
      </c>
      <c r="N119" s="194">
        <f>VLOOKUP(C119,'Point Coordinates'!$A:$D,2,0)*1000</f>
        <v>-123.966479541707</v>
      </c>
      <c r="O119" s="195">
        <f>VLOOKUP(C119,'Point Coordinates'!$A:$D,3,0)*1000</f>
        <v>6267.6072550891004</v>
      </c>
      <c r="V119" s="196">
        <f t="shared" si="20"/>
        <v>0</v>
      </c>
      <c r="W119" s="197">
        <f t="shared" si="21"/>
        <v>0.64963472518474996</v>
      </c>
      <c r="X119" s="197">
        <f t="shared" si="22"/>
        <v>0</v>
      </c>
      <c r="Y119" s="197">
        <f t="shared" si="23"/>
        <v>0</v>
      </c>
      <c r="Z119" s="157">
        <f t="shared" si="24"/>
        <v>-0.52537648875107801</v>
      </c>
      <c r="AA119" s="157">
        <f t="shared" si="25"/>
        <v>5.8661972458797296</v>
      </c>
    </row>
    <row r="120" spans="1:27" ht="15">
      <c r="A120" s="157">
        <v>1</v>
      </c>
      <c r="B120" s="157" t="s">
        <v>877</v>
      </c>
      <c r="C120" s="158" t="s">
        <v>813</v>
      </c>
      <c r="D120" s="159">
        <f t="shared" si="13"/>
        <v>1</v>
      </c>
      <c r="E120" s="159" t="s">
        <v>874</v>
      </c>
      <c r="F120" s="160">
        <v>130.61648365988799</v>
      </c>
      <c r="G120" s="160">
        <v>130.61648365988799</v>
      </c>
      <c r="H120" s="159">
        <f t="shared" si="14"/>
        <v>250</v>
      </c>
      <c r="I120" s="159">
        <f t="shared" si="15"/>
        <v>200</v>
      </c>
      <c r="J120" s="161">
        <f t="shared" si="16"/>
        <v>1.1499999999999999</v>
      </c>
      <c r="K120" s="162">
        <f t="shared" si="17"/>
        <v>200</v>
      </c>
      <c r="L120" s="163">
        <f t="shared" si="18"/>
        <v>1.53120030792423</v>
      </c>
      <c r="M120" s="159" t="str">
        <f t="shared" si="19"/>
        <v>OK</v>
      </c>
      <c r="N120" s="194">
        <f>VLOOKUP(C120,'Point Coordinates'!$A:$D,2,0)*1000</f>
        <v>754.84016529958399</v>
      </c>
      <c r="O120" s="195">
        <f>VLOOKUP(C120,'Point Coordinates'!$A:$D,3,0)*1000</f>
        <v>4360.2382444401501</v>
      </c>
      <c r="V120" s="196">
        <f t="shared" si="20"/>
        <v>0</v>
      </c>
      <c r="W120" s="197">
        <f t="shared" si="21"/>
        <v>0.65308241829944003</v>
      </c>
      <c r="X120" s="197">
        <f t="shared" si="22"/>
        <v>0</v>
      </c>
      <c r="Y120" s="197">
        <f t="shared" si="23"/>
        <v>0</v>
      </c>
      <c r="Z120" s="157">
        <f t="shared" si="24"/>
        <v>0.353430156090212</v>
      </c>
      <c r="AA120" s="157">
        <f t="shared" si="25"/>
        <v>3.9588282352307802</v>
      </c>
    </row>
    <row r="121" spans="1:27" ht="15">
      <c r="A121" s="157">
        <v>1</v>
      </c>
      <c r="B121" s="157" t="s">
        <v>877</v>
      </c>
      <c r="C121" s="158" t="s">
        <v>814</v>
      </c>
      <c r="D121" s="159">
        <f t="shared" si="13"/>
        <v>1</v>
      </c>
      <c r="E121" s="159" t="s">
        <v>874</v>
      </c>
      <c r="F121" s="160">
        <v>130.09196333638999</v>
      </c>
      <c r="G121" s="160">
        <v>130.09196333638999</v>
      </c>
      <c r="H121" s="159">
        <f t="shared" si="14"/>
        <v>250</v>
      </c>
      <c r="I121" s="159">
        <f t="shared" si="15"/>
        <v>200</v>
      </c>
      <c r="J121" s="161">
        <f t="shared" si="16"/>
        <v>1.1499999999999999</v>
      </c>
      <c r="K121" s="162">
        <f t="shared" si="17"/>
        <v>200</v>
      </c>
      <c r="L121" s="163">
        <f t="shared" si="18"/>
        <v>1.53737398430096</v>
      </c>
      <c r="M121" s="159" t="str">
        <f t="shared" si="19"/>
        <v>OK</v>
      </c>
      <c r="N121" s="194">
        <f>VLOOKUP(C121,'Point Coordinates'!$A:$D,2,0)*1000</f>
        <v>387.53702873589202</v>
      </c>
      <c r="O121" s="195">
        <f>VLOOKUP(C121,'Point Coordinates'!$A:$D,3,0)*1000</f>
        <v>3365.1601441305802</v>
      </c>
      <c r="V121" s="196">
        <f t="shared" si="20"/>
        <v>0</v>
      </c>
      <c r="W121" s="197">
        <f t="shared" si="21"/>
        <v>0.65045981668194996</v>
      </c>
      <c r="X121" s="197">
        <f t="shared" si="22"/>
        <v>0</v>
      </c>
      <c r="Y121" s="197">
        <f t="shared" si="23"/>
        <v>0</v>
      </c>
      <c r="Z121" s="157">
        <f t="shared" si="24"/>
        <v>-1.38729804734794E-2</v>
      </c>
      <c r="AA121" s="157">
        <f t="shared" si="25"/>
        <v>2.9637501349212099</v>
      </c>
    </row>
    <row r="122" spans="1:27" ht="15">
      <c r="A122" s="157">
        <v>1</v>
      </c>
      <c r="B122" s="157" t="s">
        <v>877</v>
      </c>
      <c r="C122" s="158" t="s">
        <v>820</v>
      </c>
      <c r="D122" s="159">
        <f t="shared" si="13"/>
        <v>1</v>
      </c>
      <c r="E122" s="159" t="s">
        <v>874</v>
      </c>
      <c r="F122" s="160">
        <v>136.01987094698401</v>
      </c>
      <c r="G122" s="160">
        <v>136.01987094698401</v>
      </c>
      <c r="H122" s="159">
        <f t="shared" si="14"/>
        <v>250</v>
      </c>
      <c r="I122" s="159">
        <f t="shared" si="15"/>
        <v>200</v>
      </c>
      <c r="J122" s="161">
        <f t="shared" si="16"/>
        <v>1.1499999999999999</v>
      </c>
      <c r="K122" s="162">
        <f t="shared" si="17"/>
        <v>200</v>
      </c>
      <c r="L122" s="163">
        <f t="shared" si="18"/>
        <v>1.4703733991774901</v>
      </c>
      <c r="M122" s="159" t="str">
        <f t="shared" si="19"/>
        <v>OK</v>
      </c>
      <c r="N122" s="194">
        <f>VLOOKUP(C122,'Point Coordinates'!$A:$D,2,0)*1000</f>
        <v>1300.1544278946001</v>
      </c>
      <c r="O122" s="195">
        <f>VLOOKUP(C122,'Point Coordinates'!$A:$D,3,0)*1000</f>
        <v>6504.4158964726603</v>
      </c>
      <c r="V122" s="196">
        <f t="shared" si="20"/>
        <v>0</v>
      </c>
      <c r="W122" s="197">
        <f t="shared" si="21"/>
        <v>0.68009935473492</v>
      </c>
      <c r="X122" s="197">
        <f t="shared" si="22"/>
        <v>0</v>
      </c>
      <c r="Y122" s="197">
        <f t="shared" si="23"/>
        <v>0</v>
      </c>
      <c r="Z122" s="157">
        <f t="shared" si="24"/>
        <v>0.89874441868522603</v>
      </c>
      <c r="AA122" s="157">
        <f t="shared" si="25"/>
        <v>6.10300588726329</v>
      </c>
    </row>
    <row r="123" spans="1:27" ht="15">
      <c r="A123" s="157">
        <v>1</v>
      </c>
      <c r="B123" s="157" t="s">
        <v>877</v>
      </c>
      <c r="C123" s="158" t="s">
        <v>821</v>
      </c>
      <c r="D123" s="159">
        <f t="shared" si="13"/>
        <v>1</v>
      </c>
      <c r="E123" s="159" t="s">
        <v>874</v>
      </c>
      <c r="F123" s="160">
        <v>135.50606038203401</v>
      </c>
      <c r="G123" s="160">
        <v>135.50606038203401</v>
      </c>
      <c r="H123" s="159">
        <f t="shared" si="14"/>
        <v>250</v>
      </c>
      <c r="I123" s="159">
        <f t="shared" si="15"/>
        <v>200</v>
      </c>
      <c r="J123" s="161">
        <f t="shared" si="16"/>
        <v>1.1499999999999999</v>
      </c>
      <c r="K123" s="162">
        <f t="shared" si="17"/>
        <v>200</v>
      </c>
      <c r="L123" s="163">
        <f t="shared" si="18"/>
        <v>1.4759487467655501</v>
      </c>
      <c r="M123" s="159" t="str">
        <f t="shared" si="19"/>
        <v>OK</v>
      </c>
      <c r="N123" s="194">
        <f>VLOOKUP(C123,'Point Coordinates'!$A:$D,2,0)*1000</f>
        <v>955.002779575011</v>
      </c>
      <c r="O123" s="195">
        <f>VLOOKUP(C123,'Point Coordinates'!$A:$D,3,0)*1000</f>
        <v>7170.2764972459399</v>
      </c>
      <c r="V123" s="196">
        <f t="shared" si="20"/>
        <v>0</v>
      </c>
      <c r="W123" s="197">
        <f t="shared" si="21"/>
        <v>0.67753030191017005</v>
      </c>
      <c r="X123" s="197">
        <f t="shared" si="22"/>
        <v>0</v>
      </c>
      <c r="Y123" s="197">
        <f t="shared" si="23"/>
        <v>0</v>
      </c>
      <c r="Z123" s="157">
        <f t="shared" si="24"/>
        <v>0.55359277036564003</v>
      </c>
      <c r="AA123" s="157">
        <f t="shared" si="25"/>
        <v>6.7688664880365597</v>
      </c>
    </row>
    <row r="124" spans="1:27" ht="15">
      <c r="A124" s="157">
        <v>2</v>
      </c>
      <c r="B124" s="157" t="s">
        <v>876</v>
      </c>
      <c r="C124" s="158" t="s">
        <v>823</v>
      </c>
      <c r="D124" s="159">
        <f t="shared" si="13"/>
        <v>1</v>
      </c>
      <c r="E124" s="159" t="s">
        <v>874</v>
      </c>
      <c r="F124" s="160">
        <v>202.94749775066501</v>
      </c>
      <c r="G124" s="160">
        <v>202.94749775066501</v>
      </c>
      <c r="H124" s="159">
        <f t="shared" si="14"/>
        <v>250</v>
      </c>
      <c r="I124" s="159">
        <f t="shared" si="15"/>
        <v>300</v>
      </c>
      <c r="J124" s="161">
        <f t="shared" si="16"/>
        <v>1.1499999999999999</v>
      </c>
      <c r="K124" s="162">
        <f t="shared" si="17"/>
        <v>300</v>
      </c>
      <c r="L124" s="163">
        <f t="shared" si="18"/>
        <v>1.47821482563225</v>
      </c>
      <c r="M124" s="159" t="str">
        <f t="shared" si="19"/>
        <v>OK</v>
      </c>
      <c r="N124" s="194">
        <f>VLOOKUP(C124,'Point Coordinates'!$A:$D,2,0)*1000</f>
        <v>-1516.4104788526099</v>
      </c>
      <c r="O124" s="195">
        <f>VLOOKUP(C124,'Point Coordinates'!$A:$D,3,0)*1000</f>
        <v>7528.3760707880001</v>
      </c>
      <c r="V124" s="196">
        <f t="shared" si="20"/>
        <v>0</v>
      </c>
      <c r="W124" s="197">
        <f t="shared" si="21"/>
        <v>0.67649165916888299</v>
      </c>
      <c r="X124" s="197">
        <f t="shared" si="22"/>
        <v>0</v>
      </c>
      <c r="Y124" s="197">
        <f t="shared" si="23"/>
        <v>0</v>
      </c>
      <c r="Z124" s="157">
        <f t="shared" si="24"/>
        <v>-1.91782048806198</v>
      </c>
      <c r="AA124" s="157">
        <f t="shared" si="25"/>
        <v>7.1269660615786297</v>
      </c>
    </row>
    <row r="125" spans="1:27" ht="15">
      <c r="A125" s="157">
        <v>1</v>
      </c>
      <c r="B125" s="157" t="s">
        <v>877</v>
      </c>
      <c r="C125" s="158" t="s">
        <v>824</v>
      </c>
      <c r="D125" s="159">
        <f t="shared" si="13"/>
        <v>1</v>
      </c>
      <c r="E125" s="159" t="s">
        <v>874</v>
      </c>
      <c r="F125" s="160">
        <v>134.36547492409201</v>
      </c>
      <c r="G125" s="160">
        <v>134.36547492409201</v>
      </c>
      <c r="H125" s="159">
        <f t="shared" si="14"/>
        <v>250</v>
      </c>
      <c r="I125" s="159">
        <f t="shared" si="15"/>
        <v>200</v>
      </c>
      <c r="J125" s="161">
        <f t="shared" si="16"/>
        <v>1.1499999999999999</v>
      </c>
      <c r="K125" s="162">
        <f t="shared" si="17"/>
        <v>200</v>
      </c>
      <c r="L125" s="163">
        <f t="shared" si="18"/>
        <v>1.4884776026950901</v>
      </c>
      <c r="M125" s="159" t="str">
        <f t="shared" si="19"/>
        <v>OK</v>
      </c>
      <c r="N125" s="194">
        <f>VLOOKUP(C125,'Point Coordinates'!$A:$D,2,0)*1000</f>
        <v>254.11145985145799</v>
      </c>
      <c r="O125" s="195">
        <f>VLOOKUP(C125,'Point Coordinates'!$A:$D,3,0)*1000</f>
        <v>8525.1999708641506</v>
      </c>
      <c r="V125" s="196">
        <f t="shared" si="20"/>
        <v>0</v>
      </c>
      <c r="W125" s="197">
        <f t="shared" si="21"/>
        <v>0.67182737462046005</v>
      </c>
      <c r="X125" s="197">
        <f t="shared" si="22"/>
        <v>0</v>
      </c>
      <c r="Y125" s="197">
        <f t="shared" si="23"/>
        <v>0</v>
      </c>
      <c r="Z125" s="157">
        <f t="shared" si="24"/>
        <v>-0.14729854935791301</v>
      </c>
      <c r="AA125" s="157">
        <f t="shared" si="25"/>
        <v>8.1237899616547793</v>
      </c>
    </row>
    <row r="126" spans="1:27" ht="15">
      <c r="A126" s="157">
        <v>1</v>
      </c>
      <c r="B126" s="157" t="s">
        <v>877</v>
      </c>
      <c r="C126" s="158" t="s">
        <v>847</v>
      </c>
      <c r="D126" s="159">
        <f t="shared" si="13"/>
        <v>1</v>
      </c>
      <c r="E126" s="159" t="s">
        <v>874</v>
      </c>
      <c r="F126" s="160">
        <v>135.96180128324801</v>
      </c>
      <c r="G126" s="160">
        <v>135.96180128324801</v>
      </c>
      <c r="H126" s="159">
        <f t="shared" si="14"/>
        <v>250</v>
      </c>
      <c r="I126" s="159">
        <f t="shared" si="15"/>
        <v>200</v>
      </c>
      <c r="J126" s="161">
        <f t="shared" si="16"/>
        <v>1.1499999999999999</v>
      </c>
      <c r="K126" s="162">
        <f t="shared" si="17"/>
        <v>200</v>
      </c>
      <c r="L126" s="163">
        <f t="shared" si="18"/>
        <v>1.47100139974861</v>
      </c>
      <c r="M126" s="159" t="str">
        <f t="shared" si="19"/>
        <v>OK</v>
      </c>
      <c r="N126" s="194">
        <f>VLOOKUP(C126,'Point Coordinates'!$A:$D,2,0)*1000</f>
        <v>1645.3060762141799</v>
      </c>
      <c r="O126" s="195">
        <f>VLOOKUP(C126,'Point Coordinates'!$A:$D,3,0)*1000</f>
        <v>5838.5552956993897</v>
      </c>
      <c r="V126" s="196">
        <f t="shared" si="20"/>
        <v>0</v>
      </c>
      <c r="W126" s="197">
        <f t="shared" si="21"/>
        <v>0.67980900641623998</v>
      </c>
      <c r="X126" s="197">
        <f t="shared" si="22"/>
        <v>0</v>
      </c>
      <c r="Y126" s="197">
        <f t="shared" si="23"/>
        <v>0</v>
      </c>
      <c r="Z126" s="157">
        <f t="shared" si="24"/>
        <v>1.24389606700481</v>
      </c>
      <c r="AA126" s="157">
        <f t="shared" si="25"/>
        <v>5.4371452864900203</v>
      </c>
    </row>
    <row r="127" spans="1:27" ht="15">
      <c r="A127" s="157">
        <v>2</v>
      </c>
      <c r="B127" s="157" t="s">
        <v>876</v>
      </c>
      <c r="C127" s="158" t="s">
        <v>848</v>
      </c>
      <c r="D127" s="159">
        <f t="shared" si="13"/>
        <v>1</v>
      </c>
      <c r="E127" s="159" t="s">
        <v>874</v>
      </c>
      <c r="F127" s="160">
        <v>204.03627523164201</v>
      </c>
      <c r="G127" s="160">
        <v>204.03627523164201</v>
      </c>
      <c r="H127" s="159">
        <f t="shared" si="14"/>
        <v>250</v>
      </c>
      <c r="I127" s="159">
        <f t="shared" si="15"/>
        <v>300</v>
      </c>
      <c r="J127" s="161">
        <f t="shared" si="16"/>
        <v>1.1499999999999999</v>
      </c>
      <c r="K127" s="162">
        <f t="shared" si="17"/>
        <v>300</v>
      </c>
      <c r="L127" s="163">
        <f t="shared" si="18"/>
        <v>1.47032678213426</v>
      </c>
      <c r="M127" s="159" t="str">
        <f t="shared" si="19"/>
        <v>OK</v>
      </c>
      <c r="N127" s="194">
        <f>VLOOKUP(C127,'Point Coordinates'!$A:$D,2,0)*1000</f>
        <v>-1443.62652714974</v>
      </c>
      <c r="O127" s="195">
        <f>VLOOKUP(C127,'Point Coordinates'!$A:$D,3,0)*1000</f>
        <v>8143.1533863021496</v>
      </c>
      <c r="V127" s="196">
        <f t="shared" si="20"/>
        <v>0</v>
      </c>
      <c r="W127" s="197">
        <f t="shared" si="21"/>
        <v>0.68012091743880698</v>
      </c>
      <c r="X127" s="197">
        <f t="shared" si="22"/>
        <v>0</v>
      </c>
      <c r="Y127" s="197">
        <f t="shared" si="23"/>
        <v>0</v>
      </c>
      <c r="Z127" s="157">
        <f t="shared" si="24"/>
        <v>-1.8450365363591099</v>
      </c>
      <c r="AA127" s="157">
        <f t="shared" si="25"/>
        <v>7.7417433770927797</v>
      </c>
    </row>
    <row r="128" spans="1:27" ht="15">
      <c r="A128" s="157">
        <v>1</v>
      </c>
      <c r="B128" s="157" t="s">
        <v>877</v>
      </c>
      <c r="C128" s="158" t="s">
        <v>849</v>
      </c>
      <c r="D128" s="159">
        <f t="shared" si="13"/>
        <v>1</v>
      </c>
      <c r="E128" s="159" t="s">
        <v>874</v>
      </c>
      <c r="F128" s="160">
        <v>134.64922302445899</v>
      </c>
      <c r="G128" s="160">
        <v>134.64922302445899</v>
      </c>
      <c r="H128" s="159">
        <f t="shared" si="14"/>
        <v>250</v>
      </c>
      <c r="I128" s="159">
        <f t="shared" si="15"/>
        <v>200</v>
      </c>
      <c r="J128" s="161">
        <f t="shared" si="16"/>
        <v>1.1499999999999999</v>
      </c>
      <c r="K128" s="162">
        <f t="shared" si="17"/>
        <v>200</v>
      </c>
      <c r="L128" s="163">
        <f t="shared" si="18"/>
        <v>1.4853409140256999</v>
      </c>
      <c r="M128" s="159" t="str">
        <f t="shared" si="19"/>
        <v>OK</v>
      </c>
      <c r="N128" s="194">
        <f>VLOOKUP(C128,'Point Coordinates'!$A:$D,2,0)*1000</f>
        <v>599.11285401918997</v>
      </c>
      <c r="O128" s="195">
        <f>VLOOKUP(C128,'Point Coordinates'!$A:$D,3,0)*1000</f>
        <v>7858.2627806971404</v>
      </c>
      <c r="V128" s="196">
        <f t="shared" si="20"/>
        <v>0</v>
      </c>
      <c r="W128" s="197">
        <f t="shared" si="21"/>
        <v>0.67324611512229504</v>
      </c>
      <c r="X128" s="197">
        <f t="shared" si="22"/>
        <v>0</v>
      </c>
      <c r="Y128" s="197">
        <f t="shared" si="23"/>
        <v>0</v>
      </c>
      <c r="Z128" s="157">
        <f t="shared" si="24"/>
        <v>0.19770284480981901</v>
      </c>
      <c r="AA128" s="157">
        <f t="shared" si="25"/>
        <v>7.4568527714877701</v>
      </c>
    </row>
    <row r="129" spans="1:27" ht="15">
      <c r="A129" s="157">
        <v>1</v>
      </c>
      <c r="B129" s="157" t="s">
        <v>876</v>
      </c>
      <c r="C129" s="158" t="s">
        <v>852</v>
      </c>
      <c r="D129" s="159">
        <f t="shared" si="13"/>
        <v>1</v>
      </c>
      <c r="E129" s="159" t="s">
        <v>874</v>
      </c>
      <c r="F129" s="160">
        <v>211.14078648840501</v>
      </c>
      <c r="G129" s="160">
        <v>211.14078648840501</v>
      </c>
      <c r="H129" s="159">
        <f t="shared" si="14"/>
        <v>250</v>
      </c>
      <c r="I129" s="159">
        <f t="shared" si="15"/>
        <v>300</v>
      </c>
      <c r="J129" s="161">
        <f t="shared" si="16"/>
        <v>1.1499999999999999</v>
      </c>
      <c r="K129" s="162">
        <f t="shared" si="17"/>
        <v>300</v>
      </c>
      <c r="L129" s="163">
        <f t="shared" si="18"/>
        <v>1.4208529057292101</v>
      </c>
      <c r="M129" s="159" t="str">
        <f t="shared" si="19"/>
        <v>OK</v>
      </c>
      <c r="N129" s="194">
        <f>VLOOKUP(C129,'Point Coordinates'!$A:$D,2,0)*1000</f>
        <v>-561.80774916190603</v>
      </c>
      <c r="O129" s="195">
        <f>VLOOKUP(C129,'Point Coordinates'!$A:$D,3,0)*1000</f>
        <v>8675.9436242526608</v>
      </c>
      <c r="V129" s="196">
        <f t="shared" si="20"/>
        <v>0</v>
      </c>
      <c r="W129" s="197">
        <f t="shared" si="21"/>
        <v>0.70380262162801699</v>
      </c>
      <c r="X129" s="197">
        <f t="shared" si="22"/>
        <v>0</v>
      </c>
      <c r="Y129" s="197">
        <f t="shared" si="23"/>
        <v>0</v>
      </c>
      <c r="Z129" s="157">
        <f t="shared" si="24"/>
        <v>-0.96321775837127799</v>
      </c>
      <c r="AA129" s="157">
        <f t="shared" si="25"/>
        <v>8.2745336150432909</v>
      </c>
    </row>
    <row r="130" spans="1:27" ht="15">
      <c r="A130" s="157">
        <v>1</v>
      </c>
      <c r="B130" s="157" t="s">
        <v>877</v>
      </c>
      <c r="C130" s="158" t="s">
        <v>854</v>
      </c>
      <c r="D130" s="159">
        <f t="shared" si="13"/>
        <v>1</v>
      </c>
      <c r="E130" s="159" t="s">
        <v>874</v>
      </c>
      <c r="F130" s="160">
        <v>131.39995884639501</v>
      </c>
      <c r="G130" s="160">
        <v>131.39995884639501</v>
      </c>
      <c r="H130" s="159">
        <f t="shared" si="14"/>
        <v>250</v>
      </c>
      <c r="I130" s="159">
        <f t="shared" si="15"/>
        <v>200</v>
      </c>
      <c r="J130" s="161">
        <f t="shared" si="16"/>
        <v>1.1499999999999999</v>
      </c>
      <c r="K130" s="162">
        <f t="shared" si="17"/>
        <v>200</v>
      </c>
      <c r="L130" s="163">
        <f t="shared" si="18"/>
        <v>1.5220704919230399</v>
      </c>
      <c r="M130" s="159" t="str">
        <f t="shared" si="19"/>
        <v>OK</v>
      </c>
      <c r="N130" s="194">
        <f>VLOOKUP(C130,'Point Coordinates'!$A:$D,2,0)*1000</f>
        <v>-25.138120103491602</v>
      </c>
      <c r="O130" s="195">
        <f>VLOOKUP(C130,'Point Coordinates'!$A:$D,3,0)*1000</f>
        <v>5156.9714976820396</v>
      </c>
      <c r="V130" s="196">
        <f t="shared" si="20"/>
        <v>0</v>
      </c>
      <c r="W130" s="197">
        <f t="shared" si="21"/>
        <v>0.65699979423197497</v>
      </c>
      <c r="X130" s="197">
        <f t="shared" si="22"/>
        <v>0</v>
      </c>
      <c r="Y130" s="197">
        <f t="shared" si="23"/>
        <v>0</v>
      </c>
      <c r="Z130" s="157">
        <f t="shared" si="24"/>
        <v>-0.42654812931286301</v>
      </c>
      <c r="AA130" s="157">
        <f t="shared" si="25"/>
        <v>4.7555614884726598</v>
      </c>
    </row>
    <row r="131" spans="1:27" ht="15">
      <c r="N131" s="194"/>
      <c r="O131" s="195"/>
      <c r="V131" s="196" t="str">
        <f t="shared" si="20"/>
        <v/>
      </c>
      <c r="W131" s="197" t="str">
        <f t="shared" si="21"/>
        <v/>
      </c>
      <c r="X131" s="197" t="str">
        <f t="shared" si="22"/>
        <v/>
      </c>
      <c r="Y131" s="197" t="str">
        <f t="shared" si="23"/>
        <v/>
      </c>
      <c r="Z131" s="157" t="e">
        <f t="shared" si="24"/>
        <v>#DIV/0!</v>
      </c>
      <c r="AA131" s="157" t="e">
        <f t="shared" si="25"/>
        <v>#DIV/0!</v>
      </c>
    </row>
    <row r="132" spans="1:27" ht="15">
      <c r="N132" s="194"/>
      <c r="O132" s="195"/>
      <c r="V132" s="196" t="str">
        <f t="shared" si="20"/>
        <v/>
      </c>
      <c r="W132" s="197" t="str">
        <f t="shared" si="21"/>
        <v/>
      </c>
      <c r="X132" s="197" t="str">
        <f t="shared" si="22"/>
        <v/>
      </c>
      <c r="Y132" s="197" t="str">
        <f t="shared" si="23"/>
        <v/>
      </c>
      <c r="Z132" s="157" t="e">
        <f t="shared" si="24"/>
        <v>#DIV/0!</v>
      </c>
      <c r="AA132" s="157" t="e">
        <f t="shared" si="25"/>
        <v>#DIV/0!</v>
      </c>
    </row>
    <row r="133" spans="1:27" ht="15">
      <c r="N133" s="194"/>
      <c r="O133" s="195"/>
      <c r="V133" s="196" t="str">
        <f t="shared" si="20"/>
        <v/>
      </c>
      <c r="W133" s="197" t="str">
        <f t="shared" si="21"/>
        <v/>
      </c>
      <c r="X133" s="197" t="str">
        <f t="shared" si="22"/>
        <v/>
      </c>
      <c r="Y133" s="197" t="str">
        <f t="shared" si="23"/>
        <v/>
      </c>
      <c r="Z133" s="157" t="e">
        <f t="shared" si="24"/>
        <v>#DIV/0!</v>
      </c>
      <c r="AA133" s="157" t="e">
        <f t="shared" si="25"/>
        <v>#DIV/0!</v>
      </c>
    </row>
    <row r="134" spans="1:27" ht="15">
      <c r="N134" s="194"/>
      <c r="O134" s="195"/>
      <c r="V134" s="196" t="str">
        <f t="shared" si="20"/>
        <v/>
      </c>
      <c r="W134" s="197" t="str">
        <f t="shared" si="21"/>
        <v/>
      </c>
      <c r="X134" s="197" t="str">
        <f t="shared" si="22"/>
        <v/>
      </c>
      <c r="Y134" s="197" t="str">
        <f t="shared" si="23"/>
        <v/>
      </c>
      <c r="Z134" s="157" t="e">
        <f t="shared" si="24"/>
        <v>#DIV/0!</v>
      </c>
      <c r="AA134" s="157" t="e">
        <f t="shared" si="25"/>
        <v>#DIV/0!</v>
      </c>
    </row>
    <row r="135" spans="1:27" ht="15">
      <c r="N135" s="194"/>
      <c r="O135" s="195"/>
      <c r="V135" s="196" t="str">
        <f t="shared" si="20"/>
        <v/>
      </c>
      <c r="W135" s="197" t="str">
        <f t="shared" si="21"/>
        <v/>
      </c>
      <c r="X135" s="197" t="str">
        <f t="shared" si="22"/>
        <v/>
      </c>
      <c r="Y135" s="197" t="str">
        <f t="shared" si="23"/>
        <v/>
      </c>
      <c r="Z135" s="157" t="e">
        <f t="shared" si="24"/>
        <v>#DIV/0!</v>
      </c>
      <c r="AA135" s="157" t="e">
        <f t="shared" si="25"/>
        <v>#DIV/0!</v>
      </c>
    </row>
    <row r="136" spans="1:27" ht="15">
      <c r="N136" s="194"/>
      <c r="O136" s="195"/>
      <c r="V136" s="196" t="str">
        <f t="shared" si="20"/>
        <v/>
      </c>
      <c r="W136" s="197" t="str">
        <f t="shared" si="21"/>
        <v/>
      </c>
      <c r="X136" s="197" t="str">
        <f t="shared" si="22"/>
        <v/>
      </c>
      <c r="Y136" s="197" t="str">
        <f t="shared" si="23"/>
        <v/>
      </c>
      <c r="Z136" s="157" t="e">
        <f t="shared" si="24"/>
        <v>#DIV/0!</v>
      </c>
      <c r="AA136" s="157" t="e">
        <f t="shared" si="25"/>
        <v>#DIV/0!</v>
      </c>
    </row>
    <row r="137" spans="1:27" ht="15">
      <c r="N137" s="194"/>
      <c r="O137" s="195"/>
      <c r="V137" s="196" t="str">
        <f t="shared" si="20"/>
        <v/>
      </c>
      <c r="W137" s="197" t="str">
        <f t="shared" si="21"/>
        <v/>
      </c>
      <c r="X137" s="197" t="str">
        <f t="shared" si="22"/>
        <v/>
      </c>
      <c r="Y137" s="197" t="str">
        <f t="shared" si="23"/>
        <v/>
      </c>
      <c r="Z137" s="157" t="e">
        <f t="shared" si="24"/>
        <v>#DIV/0!</v>
      </c>
      <c r="AA137" s="157" t="e">
        <f t="shared" si="25"/>
        <v>#DIV/0!</v>
      </c>
    </row>
    <row r="138" spans="1:27" ht="15">
      <c r="N138" s="194"/>
      <c r="O138" s="195"/>
      <c r="V138" s="196" t="str">
        <f t="shared" si="20"/>
        <v/>
      </c>
      <c r="W138" s="197" t="str">
        <f t="shared" si="21"/>
        <v/>
      </c>
      <c r="X138" s="197" t="str">
        <f t="shared" si="22"/>
        <v/>
      </c>
      <c r="Y138" s="197" t="str">
        <f t="shared" si="23"/>
        <v/>
      </c>
      <c r="Z138" s="157" t="e">
        <f t="shared" si="24"/>
        <v>#DIV/0!</v>
      </c>
      <c r="AA138" s="157" t="e">
        <f t="shared" si="25"/>
        <v>#DIV/0!</v>
      </c>
    </row>
    <row r="139" spans="1:27" ht="15">
      <c r="N139" s="194"/>
      <c r="O139" s="195"/>
      <c r="V139" s="196" t="str">
        <f t="shared" si="20"/>
        <v/>
      </c>
      <c r="W139" s="197" t="str">
        <f t="shared" si="21"/>
        <v/>
      </c>
      <c r="X139" s="197" t="str">
        <f t="shared" si="22"/>
        <v/>
      </c>
      <c r="Y139" s="197" t="str">
        <f t="shared" si="23"/>
        <v/>
      </c>
      <c r="Z139" s="157" t="e">
        <f t="shared" si="24"/>
        <v>#DIV/0!</v>
      </c>
      <c r="AA139" s="157" t="e">
        <f t="shared" si="25"/>
        <v>#DIV/0!</v>
      </c>
    </row>
    <row r="140" spans="1:27" ht="15">
      <c r="N140" s="194"/>
      <c r="O140" s="195"/>
      <c r="V140" s="196" t="str">
        <f t="shared" si="20"/>
        <v/>
      </c>
      <c r="W140" s="197" t="str">
        <f t="shared" si="21"/>
        <v/>
      </c>
      <c r="X140" s="197" t="str">
        <f t="shared" si="22"/>
        <v/>
      </c>
      <c r="Y140" s="197" t="str">
        <f t="shared" si="23"/>
        <v/>
      </c>
      <c r="Z140" s="157" t="e">
        <f t="shared" si="24"/>
        <v>#DIV/0!</v>
      </c>
      <c r="AA140" s="157" t="e">
        <f t="shared" si="25"/>
        <v>#DIV/0!</v>
      </c>
    </row>
    <row r="141" spans="1:27" ht="15">
      <c r="N141" s="194"/>
      <c r="O141" s="195"/>
      <c r="V141" s="196" t="str">
        <f t="shared" si="20"/>
        <v/>
      </c>
      <c r="W141" s="197" t="str">
        <f t="shared" si="21"/>
        <v/>
      </c>
      <c r="X141" s="197" t="str">
        <f t="shared" si="22"/>
        <v/>
      </c>
      <c r="Y141" s="197" t="str">
        <f t="shared" si="23"/>
        <v/>
      </c>
      <c r="Z141" s="157" t="e">
        <f t="shared" si="24"/>
        <v>#DIV/0!</v>
      </c>
      <c r="AA141" s="157" t="e">
        <f t="shared" si="25"/>
        <v>#DIV/0!</v>
      </c>
    </row>
    <row r="142" spans="1:27" ht="15">
      <c r="N142" s="194"/>
      <c r="O142" s="195"/>
      <c r="V142" s="196" t="str">
        <f t="shared" si="20"/>
        <v/>
      </c>
      <c r="W142" s="197" t="str">
        <f t="shared" si="21"/>
        <v/>
      </c>
      <c r="X142" s="197" t="str">
        <f t="shared" si="22"/>
        <v/>
      </c>
      <c r="Y142" s="197" t="str">
        <f t="shared" si="23"/>
        <v/>
      </c>
      <c r="Z142" s="157" t="e">
        <f t="shared" si="24"/>
        <v>#DIV/0!</v>
      </c>
      <c r="AA142" s="157" t="e">
        <f t="shared" si="25"/>
        <v>#DIV/0!</v>
      </c>
    </row>
    <row r="143" spans="1:27" ht="15">
      <c r="N143" s="194"/>
      <c r="O143" s="195"/>
      <c r="V143" s="196" t="str">
        <f t="shared" si="20"/>
        <v/>
      </c>
      <c r="W143" s="197" t="str">
        <f t="shared" si="21"/>
        <v/>
      </c>
      <c r="X143" s="197" t="str">
        <f t="shared" si="22"/>
        <v/>
      </c>
      <c r="Y143" s="197" t="str">
        <f t="shared" si="23"/>
        <v/>
      </c>
      <c r="Z143" s="157" t="e">
        <f t="shared" si="24"/>
        <v>#DIV/0!</v>
      </c>
      <c r="AA143" s="157" t="e">
        <f t="shared" si="25"/>
        <v>#DIV/0!</v>
      </c>
    </row>
    <row r="144" spans="1:27" ht="15">
      <c r="N144" s="194"/>
      <c r="O144" s="195"/>
      <c r="V144" s="196" t="str">
        <f t="shared" si="20"/>
        <v/>
      </c>
      <c r="W144" s="197" t="str">
        <f t="shared" si="21"/>
        <v/>
      </c>
      <c r="X144" s="197" t="str">
        <f t="shared" si="22"/>
        <v/>
      </c>
      <c r="Y144" s="197" t="str">
        <f t="shared" si="23"/>
        <v/>
      </c>
      <c r="Z144" s="157" t="e">
        <f t="shared" si="24"/>
        <v>#DIV/0!</v>
      </c>
      <c r="AA144" s="157" t="e">
        <f t="shared" si="25"/>
        <v>#DIV/0!</v>
      </c>
    </row>
    <row r="145" spans="14:27" ht="15">
      <c r="N145" s="194"/>
      <c r="O145" s="195"/>
      <c r="V145" s="196" t="str">
        <f t="shared" si="20"/>
        <v/>
      </c>
      <c r="W145" s="197" t="str">
        <f t="shared" si="21"/>
        <v/>
      </c>
      <c r="X145" s="197" t="str">
        <f t="shared" si="22"/>
        <v/>
      </c>
      <c r="Y145" s="197" t="str">
        <f t="shared" si="23"/>
        <v/>
      </c>
      <c r="Z145" s="157" t="e">
        <f t="shared" si="24"/>
        <v>#DIV/0!</v>
      </c>
      <c r="AA145" s="157" t="e">
        <f t="shared" si="25"/>
        <v>#DIV/0!</v>
      </c>
    </row>
    <row r="146" spans="14:27" ht="15">
      <c r="N146" s="194"/>
      <c r="O146" s="195"/>
      <c r="V146" s="196" t="str">
        <f t="shared" si="20"/>
        <v/>
      </c>
      <c r="W146" s="197" t="str">
        <f t="shared" si="21"/>
        <v/>
      </c>
      <c r="X146" s="197" t="str">
        <f t="shared" si="22"/>
        <v/>
      </c>
      <c r="Y146" s="197" t="str">
        <f t="shared" si="23"/>
        <v/>
      </c>
      <c r="Z146" s="157" t="e">
        <f t="shared" si="24"/>
        <v>#DIV/0!</v>
      </c>
      <c r="AA146" s="157" t="e">
        <f t="shared" si="25"/>
        <v>#DIV/0!</v>
      </c>
    </row>
    <row r="147" spans="14:27" ht="15">
      <c r="N147" s="194"/>
      <c r="O147" s="195"/>
      <c r="V147" s="196" t="str">
        <f t="shared" si="20"/>
        <v/>
      </c>
      <c r="W147" s="197" t="str">
        <f t="shared" si="21"/>
        <v/>
      </c>
      <c r="X147" s="197" t="str">
        <f t="shared" si="22"/>
        <v/>
      </c>
      <c r="Y147" s="197" t="str">
        <f t="shared" si="23"/>
        <v/>
      </c>
      <c r="Z147" s="157" t="e">
        <f t="shared" si="24"/>
        <v>#DIV/0!</v>
      </c>
      <c r="AA147" s="157" t="e">
        <f t="shared" si="25"/>
        <v>#DIV/0!</v>
      </c>
    </row>
    <row r="148" spans="14:27" ht="15">
      <c r="N148" s="194"/>
      <c r="O148" s="195"/>
      <c r="V148" s="196" t="str">
        <f t="shared" si="20"/>
        <v/>
      </c>
      <c r="W148" s="197" t="str">
        <f t="shared" si="21"/>
        <v/>
      </c>
      <c r="X148" s="197" t="str">
        <f t="shared" si="22"/>
        <v/>
      </c>
      <c r="Y148" s="197" t="str">
        <f t="shared" si="23"/>
        <v/>
      </c>
      <c r="Z148" s="157" t="e">
        <f t="shared" si="24"/>
        <v>#DIV/0!</v>
      </c>
      <c r="AA148" s="157" t="e">
        <f t="shared" si="25"/>
        <v>#DIV/0!</v>
      </c>
    </row>
    <row r="149" spans="14:27" ht="15">
      <c r="N149" s="194"/>
      <c r="O149" s="195"/>
      <c r="V149" s="196" t="str">
        <f t="shared" ref="V149:V212" si="26">IFERROR(IF(AND(1/L149&gt;$V$19,1/L149&lt;=$W$19),1/L149,0),"")</f>
        <v/>
      </c>
      <c r="W149" s="197" t="str">
        <f t="shared" ref="W149:W212" si="27">IFERROR(IF(AND(1/L149&gt;$W$19,1/L149&lt;=$X$19),1/L149,0),"")</f>
        <v/>
      </c>
      <c r="X149" s="197" t="str">
        <f t="shared" ref="X149:X212" si="28">IFERROR(IF(AND(1/L149&gt;$X$19,1/L149&lt;=$Y$19),1/L149,0),"")</f>
        <v/>
      </c>
      <c r="Y149" s="197" t="str">
        <f t="shared" ref="Y149:Y212" si="29">IFERROR(IF(1/L149&gt;$Y$19,1/L149,0),"")</f>
        <v/>
      </c>
      <c r="Z149" s="157" t="e">
        <f t="shared" ref="Z149:Z212" si="30">IF(N149&lt;&gt;"",(N149-$N$17)/1000,1/0)</f>
        <v>#DIV/0!</v>
      </c>
      <c r="AA149" s="157" t="e">
        <f t="shared" ref="AA149:AA212" si="31">IF(O149&lt;&gt;"",(O149-$O$17)/1000,1/0)</f>
        <v>#DIV/0!</v>
      </c>
    </row>
    <row r="150" spans="14:27" ht="15">
      <c r="N150" s="194"/>
      <c r="O150" s="195"/>
      <c r="V150" s="196" t="str">
        <f t="shared" si="26"/>
        <v/>
      </c>
      <c r="W150" s="197" t="str">
        <f t="shared" si="27"/>
        <v/>
      </c>
      <c r="X150" s="197" t="str">
        <f t="shared" si="28"/>
        <v/>
      </c>
      <c r="Y150" s="197" t="str">
        <f t="shared" si="29"/>
        <v/>
      </c>
      <c r="Z150" s="157" t="e">
        <f t="shared" si="30"/>
        <v>#DIV/0!</v>
      </c>
      <c r="AA150" s="157" t="e">
        <f t="shared" si="31"/>
        <v>#DIV/0!</v>
      </c>
    </row>
    <row r="151" spans="14:27" ht="15">
      <c r="N151" s="194"/>
      <c r="O151" s="195"/>
      <c r="V151" s="196" t="str">
        <f t="shared" si="26"/>
        <v/>
      </c>
      <c r="W151" s="197" t="str">
        <f t="shared" si="27"/>
        <v/>
      </c>
      <c r="X151" s="197" t="str">
        <f t="shared" si="28"/>
        <v/>
      </c>
      <c r="Y151" s="197" t="str">
        <f t="shared" si="29"/>
        <v/>
      </c>
      <c r="Z151" s="157" t="e">
        <f t="shared" si="30"/>
        <v>#DIV/0!</v>
      </c>
      <c r="AA151" s="157" t="e">
        <f t="shared" si="31"/>
        <v>#DIV/0!</v>
      </c>
    </row>
    <row r="152" spans="14:27" ht="15">
      <c r="N152" s="194"/>
      <c r="O152" s="195"/>
      <c r="V152" s="196" t="str">
        <f t="shared" si="26"/>
        <v/>
      </c>
      <c r="W152" s="197" t="str">
        <f t="shared" si="27"/>
        <v/>
      </c>
      <c r="X152" s="197" t="str">
        <f t="shared" si="28"/>
        <v/>
      </c>
      <c r="Y152" s="197" t="str">
        <f t="shared" si="29"/>
        <v/>
      </c>
      <c r="Z152" s="157" t="e">
        <f t="shared" si="30"/>
        <v>#DIV/0!</v>
      </c>
      <c r="AA152" s="157" t="e">
        <f t="shared" si="31"/>
        <v>#DIV/0!</v>
      </c>
    </row>
    <row r="153" spans="14:27" ht="15">
      <c r="N153" s="194"/>
      <c r="O153" s="195"/>
      <c r="V153" s="196" t="str">
        <f t="shared" si="26"/>
        <v/>
      </c>
      <c r="W153" s="197" t="str">
        <f t="shared" si="27"/>
        <v/>
      </c>
      <c r="X153" s="197" t="str">
        <f t="shared" si="28"/>
        <v/>
      </c>
      <c r="Y153" s="197" t="str">
        <f t="shared" si="29"/>
        <v/>
      </c>
      <c r="Z153" s="157" t="e">
        <f t="shared" si="30"/>
        <v>#DIV/0!</v>
      </c>
      <c r="AA153" s="157" t="e">
        <f t="shared" si="31"/>
        <v>#DIV/0!</v>
      </c>
    </row>
    <row r="154" spans="14:27" ht="15">
      <c r="N154" s="194"/>
      <c r="O154" s="195"/>
      <c r="V154" s="196" t="str">
        <f t="shared" si="26"/>
        <v/>
      </c>
      <c r="W154" s="197" t="str">
        <f t="shared" si="27"/>
        <v/>
      </c>
      <c r="X154" s="197" t="str">
        <f t="shared" si="28"/>
        <v/>
      </c>
      <c r="Y154" s="197" t="str">
        <f t="shared" si="29"/>
        <v/>
      </c>
      <c r="Z154" s="157" t="e">
        <f t="shared" si="30"/>
        <v>#DIV/0!</v>
      </c>
      <c r="AA154" s="157" t="e">
        <f t="shared" si="31"/>
        <v>#DIV/0!</v>
      </c>
    </row>
    <row r="155" spans="14:27" ht="15">
      <c r="N155" s="194"/>
      <c r="O155" s="195"/>
      <c r="V155" s="196" t="str">
        <f t="shared" si="26"/>
        <v/>
      </c>
      <c r="W155" s="197" t="str">
        <f t="shared" si="27"/>
        <v/>
      </c>
      <c r="X155" s="197" t="str">
        <f t="shared" si="28"/>
        <v/>
      </c>
      <c r="Y155" s="197" t="str">
        <f t="shared" si="29"/>
        <v/>
      </c>
      <c r="Z155" s="157" t="e">
        <f t="shared" si="30"/>
        <v>#DIV/0!</v>
      </c>
      <c r="AA155" s="157" t="e">
        <f t="shared" si="31"/>
        <v>#DIV/0!</v>
      </c>
    </row>
    <row r="156" spans="14:27" ht="15">
      <c r="N156" s="194"/>
      <c r="O156" s="195"/>
      <c r="V156" s="196" t="str">
        <f t="shared" si="26"/>
        <v/>
      </c>
      <c r="W156" s="197" t="str">
        <f t="shared" si="27"/>
        <v/>
      </c>
      <c r="X156" s="197" t="str">
        <f t="shared" si="28"/>
        <v/>
      </c>
      <c r="Y156" s="197" t="str">
        <f t="shared" si="29"/>
        <v/>
      </c>
      <c r="Z156" s="157" t="e">
        <f t="shared" si="30"/>
        <v>#DIV/0!</v>
      </c>
      <c r="AA156" s="157" t="e">
        <f t="shared" si="31"/>
        <v>#DIV/0!</v>
      </c>
    </row>
    <row r="157" spans="14:27" ht="15">
      <c r="N157" s="194"/>
      <c r="O157" s="195"/>
      <c r="V157" s="196" t="str">
        <f t="shared" si="26"/>
        <v/>
      </c>
      <c r="W157" s="197" t="str">
        <f t="shared" si="27"/>
        <v/>
      </c>
      <c r="X157" s="197" t="str">
        <f t="shared" si="28"/>
        <v/>
      </c>
      <c r="Y157" s="197" t="str">
        <f t="shared" si="29"/>
        <v/>
      </c>
      <c r="Z157" s="157" t="e">
        <f t="shared" si="30"/>
        <v>#DIV/0!</v>
      </c>
      <c r="AA157" s="157" t="e">
        <f t="shared" si="31"/>
        <v>#DIV/0!</v>
      </c>
    </row>
    <row r="158" spans="14:27" ht="15">
      <c r="N158" s="194"/>
      <c r="O158" s="195"/>
      <c r="V158" s="196" t="str">
        <f t="shared" si="26"/>
        <v/>
      </c>
      <c r="W158" s="197" t="str">
        <f t="shared" si="27"/>
        <v/>
      </c>
      <c r="X158" s="197" t="str">
        <f t="shared" si="28"/>
        <v/>
      </c>
      <c r="Y158" s="197" t="str">
        <f t="shared" si="29"/>
        <v/>
      </c>
      <c r="Z158" s="157" t="e">
        <f t="shared" si="30"/>
        <v>#DIV/0!</v>
      </c>
      <c r="AA158" s="157" t="e">
        <f t="shared" si="31"/>
        <v>#DIV/0!</v>
      </c>
    </row>
    <row r="159" spans="14:27" ht="15">
      <c r="N159" s="194"/>
      <c r="O159" s="195"/>
      <c r="V159" s="196" t="str">
        <f t="shared" si="26"/>
        <v/>
      </c>
      <c r="W159" s="197" t="str">
        <f t="shared" si="27"/>
        <v/>
      </c>
      <c r="X159" s="197" t="str">
        <f t="shared" si="28"/>
        <v/>
      </c>
      <c r="Y159" s="197" t="str">
        <f t="shared" si="29"/>
        <v/>
      </c>
      <c r="Z159" s="157" t="e">
        <f t="shared" si="30"/>
        <v>#DIV/0!</v>
      </c>
      <c r="AA159" s="157" t="e">
        <f t="shared" si="31"/>
        <v>#DIV/0!</v>
      </c>
    </row>
    <row r="160" spans="14:27" ht="15">
      <c r="N160" s="194"/>
      <c r="O160" s="195"/>
      <c r="V160" s="196" t="str">
        <f t="shared" si="26"/>
        <v/>
      </c>
      <c r="W160" s="197" t="str">
        <f t="shared" si="27"/>
        <v/>
      </c>
      <c r="X160" s="197" t="str">
        <f t="shared" si="28"/>
        <v/>
      </c>
      <c r="Y160" s="197" t="str">
        <f t="shared" si="29"/>
        <v/>
      </c>
      <c r="Z160" s="157" t="e">
        <f t="shared" si="30"/>
        <v>#DIV/0!</v>
      </c>
      <c r="AA160" s="157" t="e">
        <f t="shared" si="31"/>
        <v>#DIV/0!</v>
      </c>
    </row>
    <row r="161" spans="14:27" ht="15">
      <c r="N161" s="194"/>
      <c r="O161" s="195"/>
      <c r="V161" s="196" t="str">
        <f t="shared" si="26"/>
        <v/>
      </c>
      <c r="W161" s="197" t="str">
        <f t="shared" si="27"/>
        <v/>
      </c>
      <c r="X161" s="197" t="str">
        <f t="shared" si="28"/>
        <v/>
      </c>
      <c r="Y161" s="197" t="str">
        <f t="shared" si="29"/>
        <v/>
      </c>
      <c r="Z161" s="157" t="e">
        <f t="shared" si="30"/>
        <v>#DIV/0!</v>
      </c>
      <c r="AA161" s="157" t="e">
        <f t="shared" si="31"/>
        <v>#DIV/0!</v>
      </c>
    </row>
    <row r="162" spans="14:27" ht="15">
      <c r="N162" s="194"/>
      <c r="O162" s="195"/>
      <c r="V162" s="196" t="str">
        <f t="shared" si="26"/>
        <v/>
      </c>
      <c r="W162" s="197" t="str">
        <f t="shared" si="27"/>
        <v/>
      </c>
      <c r="X162" s="197" t="str">
        <f t="shared" si="28"/>
        <v/>
      </c>
      <c r="Y162" s="197" t="str">
        <f t="shared" si="29"/>
        <v/>
      </c>
      <c r="Z162" s="157" t="e">
        <f t="shared" si="30"/>
        <v>#DIV/0!</v>
      </c>
      <c r="AA162" s="157" t="e">
        <f t="shared" si="31"/>
        <v>#DIV/0!</v>
      </c>
    </row>
    <row r="163" spans="14:27" ht="15">
      <c r="N163" s="194"/>
      <c r="O163" s="195"/>
      <c r="V163" s="196" t="str">
        <f t="shared" si="26"/>
        <v/>
      </c>
      <c r="W163" s="197" t="str">
        <f t="shared" si="27"/>
        <v/>
      </c>
      <c r="X163" s="197" t="str">
        <f t="shared" si="28"/>
        <v/>
      </c>
      <c r="Y163" s="197" t="str">
        <f t="shared" si="29"/>
        <v/>
      </c>
      <c r="Z163" s="157" t="e">
        <f t="shared" si="30"/>
        <v>#DIV/0!</v>
      </c>
      <c r="AA163" s="157" t="e">
        <f t="shared" si="31"/>
        <v>#DIV/0!</v>
      </c>
    </row>
    <row r="164" spans="14:27" ht="15">
      <c r="N164" s="194"/>
      <c r="O164" s="195"/>
      <c r="V164" s="196" t="str">
        <f t="shared" si="26"/>
        <v/>
      </c>
      <c r="W164" s="197" t="str">
        <f t="shared" si="27"/>
        <v/>
      </c>
      <c r="X164" s="197" t="str">
        <f t="shared" si="28"/>
        <v/>
      </c>
      <c r="Y164" s="197" t="str">
        <f t="shared" si="29"/>
        <v/>
      </c>
      <c r="Z164" s="157" t="e">
        <f t="shared" si="30"/>
        <v>#DIV/0!</v>
      </c>
      <c r="AA164" s="157" t="e">
        <f t="shared" si="31"/>
        <v>#DIV/0!</v>
      </c>
    </row>
    <row r="165" spans="14:27" ht="15">
      <c r="N165" s="194"/>
      <c r="O165" s="195"/>
      <c r="V165" s="196" t="str">
        <f t="shared" si="26"/>
        <v/>
      </c>
      <c r="W165" s="197" t="str">
        <f t="shared" si="27"/>
        <v/>
      </c>
      <c r="X165" s="197" t="str">
        <f t="shared" si="28"/>
        <v/>
      </c>
      <c r="Y165" s="197" t="str">
        <f t="shared" si="29"/>
        <v/>
      </c>
      <c r="Z165" s="157" t="e">
        <f t="shared" si="30"/>
        <v>#DIV/0!</v>
      </c>
      <c r="AA165" s="157" t="e">
        <f t="shared" si="31"/>
        <v>#DIV/0!</v>
      </c>
    </row>
    <row r="166" spans="14:27" ht="15">
      <c r="N166" s="194"/>
      <c r="O166" s="195"/>
      <c r="V166" s="196" t="str">
        <f t="shared" si="26"/>
        <v/>
      </c>
      <c r="W166" s="197" t="str">
        <f t="shared" si="27"/>
        <v/>
      </c>
      <c r="X166" s="197" t="str">
        <f t="shared" si="28"/>
        <v/>
      </c>
      <c r="Y166" s="197" t="str">
        <f t="shared" si="29"/>
        <v/>
      </c>
      <c r="Z166" s="157" t="e">
        <f t="shared" si="30"/>
        <v>#DIV/0!</v>
      </c>
      <c r="AA166" s="157" t="e">
        <f t="shared" si="31"/>
        <v>#DIV/0!</v>
      </c>
    </row>
    <row r="167" spans="14:27" ht="15">
      <c r="N167" s="194"/>
      <c r="O167" s="195"/>
      <c r="V167" s="196" t="str">
        <f t="shared" si="26"/>
        <v/>
      </c>
      <c r="W167" s="197" t="str">
        <f t="shared" si="27"/>
        <v/>
      </c>
      <c r="X167" s="197" t="str">
        <f t="shared" si="28"/>
        <v/>
      </c>
      <c r="Y167" s="197" t="str">
        <f t="shared" si="29"/>
        <v/>
      </c>
      <c r="Z167" s="157" t="e">
        <f t="shared" si="30"/>
        <v>#DIV/0!</v>
      </c>
      <c r="AA167" s="157" t="e">
        <f t="shared" si="31"/>
        <v>#DIV/0!</v>
      </c>
    </row>
    <row r="168" spans="14:27" ht="15">
      <c r="N168" s="194"/>
      <c r="O168" s="195"/>
      <c r="V168" s="196" t="str">
        <f t="shared" si="26"/>
        <v/>
      </c>
      <c r="W168" s="197" t="str">
        <f t="shared" si="27"/>
        <v/>
      </c>
      <c r="X168" s="197" t="str">
        <f t="shared" si="28"/>
        <v/>
      </c>
      <c r="Y168" s="197" t="str">
        <f t="shared" si="29"/>
        <v/>
      </c>
      <c r="Z168" s="157" t="e">
        <f t="shared" si="30"/>
        <v>#DIV/0!</v>
      </c>
      <c r="AA168" s="157" t="e">
        <f t="shared" si="31"/>
        <v>#DIV/0!</v>
      </c>
    </row>
    <row r="169" spans="14:27" ht="15">
      <c r="N169" s="194"/>
      <c r="O169" s="195"/>
      <c r="V169" s="196" t="str">
        <f t="shared" si="26"/>
        <v/>
      </c>
      <c r="W169" s="197" t="str">
        <f t="shared" si="27"/>
        <v/>
      </c>
      <c r="X169" s="197" t="str">
        <f t="shared" si="28"/>
        <v/>
      </c>
      <c r="Y169" s="197" t="str">
        <f t="shared" si="29"/>
        <v/>
      </c>
      <c r="Z169" s="157" t="e">
        <f t="shared" si="30"/>
        <v>#DIV/0!</v>
      </c>
      <c r="AA169" s="157" t="e">
        <f t="shared" si="31"/>
        <v>#DIV/0!</v>
      </c>
    </row>
    <row r="170" spans="14:27" ht="15">
      <c r="N170" s="194"/>
      <c r="O170" s="195"/>
      <c r="V170" s="196" t="str">
        <f t="shared" si="26"/>
        <v/>
      </c>
      <c r="W170" s="197" t="str">
        <f t="shared" si="27"/>
        <v/>
      </c>
      <c r="X170" s="197" t="str">
        <f t="shared" si="28"/>
        <v/>
      </c>
      <c r="Y170" s="197" t="str">
        <f t="shared" si="29"/>
        <v/>
      </c>
      <c r="Z170" s="157" t="e">
        <f t="shared" si="30"/>
        <v>#DIV/0!</v>
      </c>
      <c r="AA170" s="157" t="e">
        <f t="shared" si="31"/>
        <v>#DIV/0!</v>
      </c>
    </row>
    <row r="171" spans="14:27" ht="15">
      <c r="N171" s="194"/>
      <c r="O171" s="195"/>
      <c r="V171" s="196" t="str">
        <f t="shared" si="26"/>
        <v/>
      </c>
      <c r="W171" s="197" t="str">
        <f t="shared" si="27"/>
        <v/>
      </c>
      <c r="X171" s="197" t="str">
        <f t="shared" si="28"/>
        <v/>
      </c>
      <c r="Y171" s="197" t="str">
        <f t="shared" si="29"/>
        <v/>
      </c>
      <c r="Z171" s="157" t="e">
        <f t="shared" si="30"/>
        <v>#DIV/0!</v>
      </c>
      <c r="AA171" s="157" t="e">
        <f t="shared" si="31"/>
        <v>#DIV/0!</v>
      </c>
    </row>
    <row r="172" spans="14:27" ht="15">
      <c r="N172" s="194"/>
      <c r="O172" s="195"/>
      <c r="V172" s="196" t="str">
        <f t="shared" si="26"/>
        <v/>
      </c>
      <c r="W172" s="197" t="str">
        <f t="shared" si="27"/>
        <v/>
      </c>
      <c r="X172" s="197" t="str">
        <f t="shared" si="28"/>
        <v/>
      </c>
      <c r="Y172" s="197" t="str">
        <f t="shared" si="29"/>
        <v/>
      </c>
      <c r="Z172" s="157" t="e">
        <f t="shared" si="30"/>
        <v>#DIV/0!</v>
      </c>
      <c r="AA172" s="157" t="e">
        <f t="shared" si="31"/>
        <v>#DIV/0!</v>
      </c>
    </row>
    <row r="173" spans="14:27" ht="15">
      <c r="N173" s="194"/>
      <c r="O173" s="195"/>
      <c r="V173" s="196" t="str">
        <f t="shared" si="26"/>
        <v/>
      </c>
      <c r="W173" s="197" t="str">
        <f t="shared" si="27"/>
        <v/>
      </c>
      <c r="X173" s="197" t="str">
        <f t="shared" si="28"/>
        <v/>
      </c>
      <c r="Y173" s="197" t="str">
        <f t="shared" si="29"/>
        <v/>
      </c>
      <c r="Z173" s="157" t="e">
        <f t="shared" si="30"/>
        <v>#DIV/0!</v>
      </c>
      <c r="AA173" s="157" t="e">
        <f t="shared" si="31"/>
        <v>#DIV/0!</v>
      </c>
    </row>
    <row r="174" spans="14:27" ht="15">
      <c r="N174" s="194"/>
      <c r="O174" s="195"/>
      <c r="V174" s="196" t="str">
        <f t="shared" si="26"/>
        <v/>
      </c>
      <c r="W174" s="197" t="str">
        <f t="shared" si="27"/>
        <v/>
      </c>
      <c r="X174" s="197" t="str">
        <f t="shared" si="28"/>
        <v/>
      </c>
      <c r="Y174" s="197" t="str">
        <f t="shared" si="29"/>
        <v/>
      </c>
      <c r="Z174" s="157" t="e">
        <f t="shared" si="30"/>
        <v>#DIV/0!</v>
      </c>
      <c r="AA174" s="157" t="e">
        <f t="shared" si="31"/>
        <v>#DIV/0!</v>
      </c>
    </row>
    <row r="175" spans="14:27" ht="15">
      <c r="N175" s="194"/>
      <c r="O175" s="195"/>
      <c r="V175" s="196" t="str">
        <f t="shared" si="26"/>
        <v/>
      </c>
      <c r="W175" s="197" t="str">
        <f t="shared" si="27"/>
        <v/>
      </c>
      <c r="X175" s="197" t="str">
        <f t="shared" si="28"/>
        <v/>
      </c>
      <c r="Y175" s="197" t="str">
        <f t="shared" si="29"/>
        <v/>
      </c>
      <c r="Z175" s="157" t="e">
        <f t="shared" si="30"/>
        <v>#DIV/0!</v>
      </c>
      <c r="AA175" s="157" t="e">
        <f t="shared" si="31"/>
        <v>#DIV/0!</v>
      </c>
    </row>
    <row r="176" spans="14:27" ht="15">
      <c r="N176" s="194"/>
      <c r="O176" s="195"/>
      <c r="V176" s="196" t="str">
        <f t="shared" si="26"/>
        <v/>
      </c>
      <c r="W176" s="197" t="str">
        <f t="shared" si="27"/>
        <v/>
      </c>
      <c r="X176" s="197" t="str">
        <f t="shared" si="28"/>
        <v/>
      </c>
      <c r="Y176" s="197" t="str">
        <f t="shared" si="29"/>
        <v/>
      </c>
      <c r="Z176" s="157" t="e">
        <f t="shared" si="30"/>
        <v>#DIV/0!</v>
      </c>
      <c r="AA176" s="157" t="e">
        <f t="shared" si="31"/>
        <v>#DIV/0!</v>
      </c>
    </row>
    <row r="177" spans="14:27" ht="15">
      <c r="N177" s="194"/>
      <c r="O177" s="195"/>
      <c r="V177" s="196" t="str">
        <f t="shared" si="26"/>
        <v/>
      </c>
      <c r="W177" s="197" t="str">
        <f t="shared" si="27"/>
        <v/>
      </c>
      <c r="X177" s="197" t="str">
        <f t="shared" si="28"/>
        <v/>
      </c>
      <c r="Y177" s="197" t="str">
        <f t="shared" si="29"/>
        <v/>
      </c>
      <c r="Z177" s="157" t="e">
        <f t="shared" si="30"/>
        <v>#DIV/0!</v>
      </c>
      <c r="AA177" s="157" t="e">
        <f t="shared" si="31"/>
        <v>#DIV/0!</v>
      </c>
    </row>
    <row r="178" spans="14:27" ht="15">
      <c r="N178" s="194"/>
      <c r="O178" s="195"/>
      <c r="V178" s="196" t="str">
        <f t="shared" si="26"/>
        <v/>
      </c>
      <c r="W178" s="197" t="str">
        <f t="shared" si="27"/>
        <v/>
      </c>
      <c r="X178" s="197" t="str">
        <f t="shared" si="28"/>
        <v/>
      </c>
      <c r="Y178" s="197" t="str">
        <f t="shared" si="29"/>
        <v/>
      </c>
      <c r="Z178" s="157" t="e">
        <f t="shared" si="30"/>
        <v>#DIV/0!</v>
      </c>
      <c r="AA178" s="157" t="e">
        <f t="shared" si="31"/>
        <v>#DIV/0!</v>
      </c>
    </row>
    <row r="179" spans="14:27" ht="15">
      <c r="N179" s="194"/>
      <c r="O179" s="195"/>
      <c r="V179" s="196" t="str">
        <f t="shared" si="26"/>
        <v/>
      </c>
      <c r="W179" s="197" t="str">
        <f t="shared" si="27"/>
        <v/>
      </c>
      <c r="X179" s="197" t="str">
        <f t="shared" si="28"/>
        <v/>
      </c>
      <c r="Y179" s="197" t="str">
        <f t="shared" si="29"/>
        <v/>
      </c>
      <c r="Z179" s="157" t="e">
        <f t="shared" si="30"/>
        <v>#DIV/0!</v>
      </c>
      <c r="AA179" s="157" t="e">
        <f t="shared" si="31"/>
        <v>#DIV/0!</v>
      </c>
    </row>
    <row r="180" spans="14:27" ht="15">
      <c r="N180" s="194"/>
      <c r="O180" s="195"/>
      <c r="V180" s="196" t="str">
        <f t="shared" si="26"/>
        <v/>
      </c>
      <c r="W180" s="197" t="str">
        <f t="shared" si="27"/>
        <v/>
      </c>
      <c r="X180" s="197" t="str">
        <f t="shared" si="28"/>
        <v/>
      </c>
      <c r="Y180" s="197" t="str">
        <f t="shared" si="29"/>
        <v/>
      </c>
      <c r="Z180" s="157" t="e">
        <f t="shared" si="30"/>
        <v>#DIV/0!</v>
      </c>
      <c r="AA180" s="157" t="e">
        <f t="shared" si="31"/>
        <v>#DIV/0!</v>
      </c>
    </row>
    <row r="181" spans="14:27" ht="15">
      <c r="N181" s="194"/>
      <c r="O181" s="195"/>
      <c r="V181" s="196" t="str">
        <f t="shared" si="26"/>
        <v/>
      </c>
      <c r="W181" s="197" t="str">
        <f t="shared" si="27"/>
        <v/>
      </c>
      <c r="X181" s="197" t="str">
        <f t="shared" si="28"/>
        <v/>
      </c>
      <c r="Y181" s="197" t="str">
        <f t="shared" si="29"/>
        <v/>
      </c>
      <c r="Z181" s="157" t="e">
        <f t="shared" si="30"/>
        <v>#DIV/0!</v>
      </c>
      <c r="AA181" s="157" t="e">
        <f t="shared" si="31"/>
        <v>#DIV/0!</v>
      </c>
    </row>
    <row r="182" spans="14:27" ht="15">
      <c r="N182" s="194"/>
      <c r="O182" s="195"/>
      <c r="V182" s="196" t="str">
        <f t="shared" si="26"/>
        <v/>
      </c>
      <c r="W182" s="197" t="str">
        <f t="shared" si="27"/>
        <v/>
      </c>
      <c r="X182" s="197" t="str">
        <f t="shared" si="28"/>
        <v/>
      </c>
      <c r="Y182" s="197" t="str">
        <f t="shared" si="29"/>
        <v/>
      </c>
      <c r="Z182" s="157" t="e">
        <f t="shared" si="30"/>
        <v>#DIV/0!</v>
      </c>
      <c r="AA182" s="157" t="e">
        <f t="shared" si="31"/>
        <v>#DIV/0!</v>
      </c>
    </row>
    <row r="183" spans="14:27" ht="15">
      <c r="N183" s="194"/>
      <c r="O183" s="195"/>
      <c r="V183" s="196" t="str">
        <f t="shared" si="26"/>
        <v/>
      </c>
      <c r="W183" s="197" t="str">
        <f t="shared" si="27"/>
        <v/>
      </c>
      <c r="X183" s="197" t="str">
        <f t="shared" si="28"/>
        <v/>
      </c>
      <c r="Y183" s="197" t="str">
        <f t="shared" si="29"/>
        <v/>
      </c>
      <c r="Z183" s="157" t="e">
        <f t="shared" si="30"/>
        <v>#DIV/0!</v>
      </c>
      <c r="AA183" s="157" t="e">
        <f t="shared" si="31"/>
        <v>#DIV/0!</v>
      </c>
    </row>
    <row r="184" spans="14:27" ht="15">
      <c r="N184" s="194"/>
      <c r="O184" s="195"/>
      <c r="V184" s="196" t="str">
        <f t="shared" si="26"/>
        <v/>
      </c>
      <c r="W184" s="197" t="str">
        <f t="shared" si="27"/>
        <v/>
      </c>
      <c r="X184" s="197" t="str">
        <f t="shared" si="28"/>
        <v/>
      </c>
      <c r="Y184" s="197" t="str">
        <f t="shared" si="29"/>
        <v/>
      </c>
      <c r="Z184" s="157" t="e">
        <f t="shared" si="30"/>
        <v>#DIV/0!</v>
      </c>
      <c r="AA184" s="157" t="e">
        <f t="shared" si="31"/>
        <v>#DIV/0!</v>
      </c>
    </row>
    <row r="185" spans="14:27" ht="15">
      <c r="N185" s="194"/>
      <c r="O185" s="195"/>
      <c r="V185" s="196" t="str">
        <f t="shared" si="26"/>
        <v/>
      </c>
      <c r="W185" s="197" t="str">
        <f t="shared" si="27"/>
        <v/>
      </c>
      <c r="X185" s="197" t="str">
        <f t="shared" si="28"/>
        <v/>
      </c>
      <c r="Y185" s="197" t="str">
        <f t="shared" si="29"/>
        <v/>
      </c>
      <c r="Z185" s="157" t="e">
        <f t="shared" si="30"/>
        <v>#DIV/0!</v>
      </c>
      <c r="AA185" s="157" t="e">
        <f t="shared" si="31"/>
        <v>#DIV/0!</v>
      </c>
    </row>
    <row r="186" spans="14:27" ht="15">
      <c r="N186" s="194"/>
      <c r="O186" s="195"/>
      <c r="V186" s="196" t="str">
        <f t="shared" si="26"/>
        <v/>
      </c>
      <c r="W186" s="197" t="str">
        <f t="shared" si="27"/>
        <v/>
      </c>
      <c r="X186" s="197" t="str">
        <f t="shared" si="28"/>
        <v/>
      </c>
      <c r="Y186" s="197" t="str">
        <f t="shared" si="29"/>
        <v/>
      </c>
      <c r="Z186" s="157" t="e">
        <f t="shared" si="30"/>
        <v>#DIV/0!</v>
      </c>
      <c r="AA186" s="157" t="e">
        <f t="shared" si="31"/>
        <v>#DIV/0!</v>
      </c>
    </row>
    <row r="187" spans="14:27" ht="15">
      <c r="N187" s="194"/>
      <c r="O187" s="195"/>
      <c r="V187" s="196" t="str">
        <f t="shared" si="26"/>
        <v/>
      </c>
      <c r="W187" s="197" t="str">
        <f t="shared" si="27"/>
        <v/>
      </c>
      <c r="X187" s="197" t="str">
        <f t="shared" si="28"/>
        <v/>
      </c>
      <c r="Y187" s="197" t="str">
        <f t="shared" si="29"/>
        <v/>
      </c>
      <c r="Z187" s="157" t="e">
        <f t="shared" si="30"/>
        <v>#DIV/0!</v>
      </c>
      <c r="AA187" s="157" t="e">
        <f t="shared" si="31"/>
        <v>#DIV/0!</v>
      </c>
    </row>
    <row r="188" spans="14:27" ht="15">
      <c r="N188" s="194"/>
      <c r="O188" s="195"/>
      <c r="V188" s="196" t="str">
        <f t="shared" si="26"/>
        <v/>
      </c>
      <c r="W188" s="197" t="str">
        <f t="shared" si="27"/>
        <v/>
      </c>
      <c r="X188" s="197" t="str">
        <f t="shared" si="28"/>
        <v/>
      </c>
      <c r="Y188" s="197" t="str">
        <f t="shared" si="29"/>
        <v/>
      </c>
      <c r="Z188" s="157" t="e">
        <f t="shared" si="30"/>
        <v>#DIV/0!</v>
      </c>
      <c r="AA188" s="157" t="e">
        <f t="shared" si="31"/>
        <v>#DIV/0!</v>
      </c>
    </row>
    <row r="189" spans="14:27" ht="15">
      <c r="N189" s="194"/>
      <c r="O189" s="195"/>
      <c r="V189" s="196" t="str">
        <f t="shared" si="26"/>
        <v/>
      </c>
      <c r="W189" s="197" t="str">
        <f t="shared" si="27"/>
        <v/>
      </c>
      <c r="X189" s="197" t="str">
        <f t="shared" si="28"/>
        <v/>
      </c>
      <c r="Y189" s="197" t="str">
        <f t="shared" si="29"/>
        <v/>
      </c>
      <c r="Z189" s="157" t="e">
        <f t="shared" si="30"/>
        <v>#DIV/0!</v>
      </c>
      <c r="AA189" s="157" t="e">
        <f t="shared" si="31"/>
        <v>#DIV/0!</v>
      </c>
    </row>
    <row r="190" spans="14:27" ht="15">
      <c r="N190" s="194"/>
      <c r="O190" s="195"/>
      <c r="V190" s="196" t="str">
        <f t="shared" si="26"/>
        <v/>
      </c>
      <c r="W190" s="197" t="str">
        <f t="shared" si="27"/>
        <v/>
      </c>
      <c r="X190" s="197" t="str">
        <f t="shared" si="28"/>
        <v/>
      </c>
      <c r="Y190" s="197" t="str">
        <f t="shared" si="29"/>
        <v/>
      </c>
      <c r="Z190" s="157" t="e">
        <f t="shared" si="30"/>
        <v>#DIV/0!</v>
      </c>
      <c r="AA190" s="157" t="e">
        <f t="shared" si="31"/>
        <v>#DIV/0!</v>
      </c>
    </row>
    <row r="191" spans="14:27" ht="15">
      <c r="N191" s="194"/>
      <c r="O191" s="195"/>
      <c r="V191" s="196" t="str">
        <f t="shared" si="26"/>
        <v/>
      </c>
      <c r="W191" s="197" t="str">
        <f t="shared" si="27"/>
        <v/>
      </c>
      <c r="X191" s="197" t="str">
        <f t="shared" si="28"/>
        <v/>
      </c>
      <c r="Y191" s="197" t="str">
        <f t="shared" si="29"/>
        <v/>
      </c>
      <c r="Z191" s="157" t="e">
        <f t="shared" si="30"/>
        <v>#DIV/0!</v>
      </c>
      <c r="AA191" s="157" t="e">
        <f t="shared" si="31"/>
        <v>#DIV/0!</v>
      </c>
    </row>
    <row r="192" spans="14:27" ht="15">
      <c r="N192" s="194"/>
      <c r="O192" s="195"/>
      <c r="V192" s="196" t="str">
        <f t="shared" si="26"/>
        <v/>
      </c>
      <c r="W192" s="197" t="str">
        <f t="shared" si="27"/>
        <v/>
      </c>
      <c r="X192" s="197" t="str">
        <f t="shared" si="28"/>
        <v/>
      </c>
      <c r="Y192" s="197" t="str">
        <f t="shared" si="29"/>
        <v/>
      </c>
      <c r="Z192" s="157" t="e">
        <f t="shared" si="30"/>
        <v>#DIV/0!</v>
      </c>
      <c r="AA192" s="157" t="e">
        <f t="shared" si="31"/>
        <v>#DIV/0!</v>
      </c>
    </row>
    <row r="193" spans="14:27" ht="15">
      <c r="N193" s="194"/>
      <c r="O193" s="195"/>
      <c r="V193" s="196" t="str">
        <f t="shared" si="26"/>
        <v/>
      </c>
      <c r="W193" s="197" t="str">
        <f t="shared" si="27"/>
        <v/>
      </c>
      <c r="X193" s="197" t="str">
        <f t="shared" si="28"/>
        <v/>
      </c>
      <c r="Y193" s="197" t="str">
        <f t="shared" si="29"/>
        <v/>
      </c>
      <c r="Z193" s="157" t="e">
        <f t="shared" si="30"/>
        <v>#DIV/0!</v>
      </c>
      <c r="AA193" s="157" t="e">
        <f t="shared" si="31"/>
        <v>#DIV/0!</v>
      </c>
    </row>
    <row r="194" spans="14:27" ht="15">
      <c r="N194" s="194"/>
      <c r="O194" s="195"/>
      <c r="V194" s="196" t="str">
        <f t="shared" si="26"/>
        <v/>
      </c>
      <c r="W194" s="197" t="str">
        <f t="shared" si="27"/>
        <v/>
      </c>
      <c r="X194" s="197" t="str">
        <f t="shared" si="28"/>
        <v/>
      </c>
      <c r="Y194" s="197" t="str">
        <f t="shared" si="29"/>
        <v/>
      </c>
      <c r="Z194" s="157" t="e">
        <f t="shared" si="30"/>
        <v>#DIV/0!</v>
      </c>
      <c r="AA194" s="157" t="e">
        <f t="shared" si="31"/>
        <v>#DIV/0!</v>
      </c>
    </row>
    <row r="195" spans="14:27" ht="15">
      <c r="N195" s="194"/>
      <c r="O195" s="195"/>
      <c r="V195" s="196" t="str">
        <f t="shared" si="26"/>
        <v/>
      </c>
      <c r="W195" s="197" t="str">
        <f t="shared" si="27"/>
        <v/>
      </c>
      <c r="X195" s="197" t="str">
        <f t="shared" si="28"/>
        <v/>
      </c>
      <c r="Y195" s="197" t="str">
        <f t="shared" si="29"/>
        <v/>
      </c>
      <c r="Z195" s="157" t="e">
        <f t="shared" si="30"/>
        <v>#DIV/0!</v>
      </c>
      <c r="AA195" s="157" t="e">
        <f t="shared" si="31"/>
        <v>#DIV/0!</v>
      </c>
    </row>
    <row r="196" spans="14:27" ht="15">
      <c r="N196" s="194"/>
      <c r="O196" s="195"/>
      <c r="V196" s="196" t="str">
        <f t="shared" si="26"/>
        <v/>
      </c>
      <c r="W196" s="197" t="str">
        <f t="shared" si="27"/>
        <v/>
      </c>
      <c r="X196" s="197" t="str">
        <f t="shared" si="28"/>
        <v/>
      </c>
      <c r="Y196" s="197" t="str">
        <f t="shared" si="29"/>
        <v/>
      </c>
      <c r="Z196" s="157" t="e">
        <f t="shared" si="30"/>
        <v>#DIV/0!</v>
      </c>
      <c r="AA196" s="157" t="e">
        <f t="shared" si="31"/>
        <v>#DIV/0!</v>
      </c>
    </row>
    <row r="197" spans="14:27" ht="15">
      <c r="N197" s="194"/>
      <c r="O197" s="195"/>
      <c r="V197" s="196" t="str">
        <f t="shared" si="26"/>
        <v/>
      </c>
      <c r="W197" s="197" t="str">
        <f t="shared" si="27"/>
        <v/>
      </c>
      <c r="X197" s="197" t="str">
        <f t="shared" si="28"/>
        <v/>
      </c>
      <c r="Y197" s="197" t="str">
        <f t="shared" si="29"/>
        <v/>
      </c>
      <c r="Z197" s="157" t="e">
        <f t="shared" si="30"/>
        <v>#DIV/0!</v>
      </c>
      <c r="AA197" s="157" t="e">
        <f t="shared" si="31"/>
        <v>#DIV/0!</v>
      </c>
    </row>
    <row r="198" spans="14:27" ht="15">
      <c r="N198" s="194"/>
      <c r="O198" s="195"/>
      <c r="V198" s="196" t="str">
        <f t="shared" si="26"/>
        <v/>
      </c>
      <c r="W198" s="197" t="str">
        <f t="shared" si="27"/>
        <v/>
      </c>
      <c r="X198" s="197" t="str">
        <f t="shared" si="28"/>
        <v/>
      </c>
      <c r="Y198" s="197" t="str">
        <f t="shared" si="29"/>
        <v/>
      </c>
      <c r="Z198" s="157" t="e">
        <f t="shared" si="30"/>
        <v>#DIV/0!</v>
      </c>
      <c r="AA198" s="157" t="e">
        <f t="shared" si="31"/>
        <v>#DIV/0!</v>
      </c>
    </row>
    <row r="199" spans="14:27" ht="15">
      <c r="N199" s="194"/>
      <c r="O199" s="195"/>
      <c r="V199" s="196" t="str">
        <f t="shared" si="26"/>
        <v/>
      </c>
      <c r="W199" s="197" t="str">
        <f t="shared" si="27"/>
        <v/>
      </c>
      <c r="X199" s="197" t="str">
        <f t="shared" si="28"/>
        <v/>
      </c>
      <c r="Y199" s="197" t="str">
        <f t="shared" si="29"/>
        <v/>
      </c>
      <c r="Z199" s="157" t="e">
        <f t="shared" si="30"/>
        <v>#DIV/0!</v>
      </c>
      <c r="AA199" s="157" t="e">
        <f t="shared" si="31"/>
        <v>#DIV/0!</v>
      </c>
    </row>
    <row r="200" spans="14:27" ht="15">
      <c r="N200" s="194"/>
      <c r="O200" s="195"/>
      <c r="V200" s="196" t="str">
        <f t="shared" si="26"/>
        <v/>
      </c>
      <c r="W200" s="197" t="str">
        <f t="shared" si="27"/>
        <v/>
      </c>
      <c r="X200" s="197" t="str">
        <f t="shared" si="28"/>
        <v/>
      </c>
      <c r="Y200" s="197" t="str">
        <f t="shared" si="29"/>
        <v/>
      </c>
      <c r="Z200" s="157" t="e">
        <f t="shared" si="30"/>
        <v>#DIV/0!</v>
      </c>
      <c r="AA200" s="157" t="e">
        <f t="shared" si="31"/>
        <v>#DIV/0!</v>
      </c>
    </row>
    <row r="201" spans="14:27" ht="15">
      <c r="N201" s="194"/>
      <c r="O201" s="195"/>
      <c r="V201" s="196" t="str">
        <f t="shared" si="26"/>
        <v/>
      </c>
      <c r="W201" s="197" t="str">
        <f t="shared" si="27"/>
        <v/>
      </c>
      <c r="X201" s="197" t="str">
        <f t="shared" si="28"/>
        <v/>
      </c>
      <c r="Y201" s="197" t="str">
        <f t="shared" si="29"/>
        <v/>
      </c>
      <c r="Z201" s="157" t="e">
        <f t="shared" si="30"/>
        <v>#DIV/0!</v>
      </c>
      <c r="AA201" s="157" t="e">
        <f t="shared" si="31"/>
        <v>#DIV/0!</v>
      </c>
    </row>
    <row r="202" spans="14:27" ht="15">
      <c r="N202" s="194"/>
      <c r="O202" s="195"/>
      <c r="V202" s="196" t="str">
        <f t="shared" si="26"/>
        <v/>
      </c>
      <c r="W202" s="197" t="str">
        <f t="shared" si="27"/>
        <v/>
      </c>
      <c r="X202" s="197" t="str">
        <f t="shared" si="28"/>
        <v/>
      </c>
      <c r="Y202" s="197" t="str">
        <f t="shared" si="29"/>
        <v/>
      </c>
      <c r="Z202" s="157" t="e">
        <f t="shared" si="30"/>
        <v>#DIV/0!</v>
      </c>
      <c r="AA202" s="157" t="e">
        <f t="shared" si="31"/>
        <v>#DIV/0!</v>
      </c>
    </row>
    <row r="203" spans="14:27" ht="15">
      <c r="N203" s="194"/>
      <c r="O203" s="195"/>
      <c r="V203" s="196" t="str">
        <f t="shared" si="26"/>
        <v/>
      </c>
      <c r="W203" s="197" t="str">
        <f t="shared" si="27"/>
        <v/>
      </c>
      <c r="X203" s="197" t="str">
        <f t="shared" si="28"/>
        <v/>
      </c>
      <c r="Y203" s="197" t="str">
        <f t="shared" si="29"/>
        <v/>
      </c>
      <c r="Z203" s="157" t="e">
        <f t="shared" si="30"/>
        <v>#DIV/0!</v>
      </c>
      <c r="AA203" s="157" t="e">
        <f t="shared" si="31"/>
        <v>#DIV/0!</v>
      </c>
    </row>
    <row r="204" spans="14:27" ht="15">
      <c r="N204" s="194"/>
      <c r="O204" s="195"/>
      <c r="V204" s="196" t="str">
        <f t="shared" si="26"/>
        <v/>
      </c>
      <c r="W204" s="197" t="str">
        <f t="shared" si="27"/>
        <v/>
      </c>
      <c r="X204" s="197" t="str">
        <f t="shared" si="28"/>
        <v/>
      </c>
      <c r="Y204" s="197" t="str">
        <f t="shared" si="29"/>
        <v/>
      </c>
      <c r="Z204" s="157" t="e">
        <f t="shared" si="30"/>
        <v>#DIV/0!</v>
      </c>
      <c r="AA204" s="157" t="e">
        <f t="shared" si="31"/>
        <v>#DIV/0!</v>
      </c>
    </row>
    <row r="205" spans="14:27" ht="15">
      <c r="N205" s="194"/>
      <c r="O205" s="195"/>
      <c r="V205" s="196" t="str">
        <f t="shared" si="26"/>
        <v/>
      </c>
      <c r="W205" s="197" t="str">
        <f t="shared" si="27"/>
        <v/>
      </c>
      <c r="X205" s="197" t="str">
        <f t="shared" si="28"/>
        <v/>
      </c>
      <c r="Y205" s="197" t="str">
        <f t="shared" si="29"/>
        <v/>
      </c>
      <c r="Z205" s="157" t="e">
        <f t="shared" si="30"/>
        <v>#DIV/0!</v>
      </c>
      <c r="AA205" s="157" t="e">
        <f t="shared" si="31"/>
        <v>#DIV/0!</v>
      </c>
    </row>
    <row r="206" spans="14:27" ht="15">
      <c r="N206" s="194"/>
      <c r="O206" s="195"/>
      <c r="V206" s="196" t="str">
        <f t="shared" si="26"/>
        <v/>
      </c>
      <c r="W206" s="197" t="str">
        <f t="shared" si="27"/>
        <v/>
      </c>
      <c r="X206" s="197" t="str">
        <f t="shared" si="28"/>
        <v/>
      </c>
      <c r="Y206" s="197" t="str">
        <f t="shared" si="29"/>
        <v/>
      </c>
      <c r="Z206" s="157" t="e">
        <f t="shared" si="30"/>
        <v>#DIV/0!</v>
      </c>
      <c r="AA206" s="157" t="e">
        <f t="shared" si="31"/>
        <v>#DIV/0!</v>
      </c>
    </row>
    <row r="207" spans="14:27" ht="15">
      <c r="N207" s="194"/>
      <c r="O207" s="195"/>
      <c r="V207" s="196" t="str">
        <f t="shared" si="26"/>
        <v/>
      </c>
      <c r="W207" s="197" t="str">
        <f t="shared" si="27"/>
        <v/>
      </c>
      <c r="X207" s="197" t="str">
        <f t="shared" si="28"/>
        <v/>
      </c>
      <c r="Y207" s="197" t="str">
        <f t="shared" si="29"/>
        <v/>
      </c>
      <c r="Z207" s="157" t="e">
        <f t="shared" si="30"/>
        <v>#DIV/0!</v>
      </c>
      <c r="AA207" s="157" t="e">
        <f t="shared" si="31"/>
        <v>#DIV/0!</v>
      </c>
    </row>
    <row r="208" spans="14:27" ht="15">
      <c r="N208" s="194"/>
      <c r="O208" s="195"/>
      <c r="V208" s="196" t="str">
        <f t="shared" si="26"/>
        <v/>
      </c>
      <c r="W208" s="197" t="str">
        <f t="shared" si="27"/>
        <v/>
      </c>
      <c r="X208" s="197" t="str">
        <f t="shared" si="28"/>
        <v/>
      </c>
      <c r="Y208" s="197" t="str">
        <f t="shared" si="29"/>
        <v/>
      </c>
      <c r="Z208" s="157" t="e">
        <f t="shared" si="30"/>
        <v>#DIV/0!</v>
      </c>
      <c r="AA208" s="157" t="e">
        <f t="shared" si="31"/>
        <v>#DIV/0!</v>
      </c>
    </row>
    <row r="209" spans="14:27" ht="15">
      <c r="N209" s="194"/>
      <c r="O209" s="195"/>
      <c r="V209" s="196" t="str">
        <f t="shared" si="26"/>
        <v/>
      </c>
      <c r="W209" s="197" t="str">
        <f t="shared" si="27"/>
        <v/>
      </c>
      <c r="X209" s="197" t="str">
        <f t="shared" si="28"/>
        <v/>
      </c>
      <c r="Y209" s="197" t="str">
        <f t="shared" si="29"/>
        <v/>
      </c>
      <c r="Z209" s="157" t="e">
        <f t="shared" si="30"/>
        <v>#DIV/0!</v>
      </c>
      <c r="AA209" s="157" t="e">
        <f t="shared" si="31"/>
        <v>#DIV/0!</v>
      </c>
    </row>
    <row r="210" spans="14:27" ht="15">
      <c r="N210" s="194"/>
      <c r="O210" s="195"/>
      <c r="V210" s="196" t="str">
        <f t="shared" si="26"/>
        <v/>
      </c>
      <c r="W210" s="197" t="str">
        <f t="shared" si="27"/>
        <v/>
      </c>
      <c r="X210" s="197" t="str">
        <f t="shared" si="28"/>
        <v/>
      </c>
      <c r="Y210" s="197" t="str">
        <f t="shared" si="29"/>
        <v/>
      </c>
      <c r="Z210" s="157" t="e">
        <f t="shared" si="30"/>
        <v>#DIV/0!</v>
      </c>
      <c r="AA210" s="157" t="e">
        <f t="shared" si="31"/>
        <v>#DIV/0!</v>
      </c>
    </row>
    <row r="211" spans="14:27" ht="15">
      <c r="N211" s="194"/>
      <c r="O211" s="195"/>
      <c r="V211" s="196" t="str">
        <f t="shared" si="26"/>
        <v/>
      </c>
      <c r="W211" s="197" t="str">
        <f t="shared" si="27"/>
        <v/>
      </c>
      <c r="X211" s="197" t="str">
        <f t="shared" si="28"/>
        <v/>
      </c>
      <c r="Y211" s="197" t="str">
        <f t="shared" si="29"/>
        <v/>
      </c>
      <c r="Z211" s="157" t="e">
        <f t="shared" si="30"/>
        <v>#DIV/0!</v>
      </c>
      <c r="AA211" s="157" t="e">
        <f t="shared" si="31"/>
        <v>#DIV/0!</v>
      </c>
    </row>
    <row r="212" spans="14:27" ht="15">
      <c r="N212" s="194"/>
      <c r="O212" s="195"/>
      <c r="V212" s="196" t="str">
        <f t="shared" si="26"/>
        <v/>
      </c>
      <c r="W212" s="197" t="str">
        <f t="shared" si="27"/>
        <v/>
      </c>
      <c r="X212" s="197" t="str">
        <f t="shared" si="28"/>
        <v/>
      </c>
      <c r="Y212" s="197" t="str">
        <f t="shared" si="29"/>
        <v/>
      </c>
      <c r="Z212" s="157" t="e">
        <f t="shared" si="30"/>
        <v>#DIV/0!</v>
      </c>
      <c r="AA212" s="157" t="e">
        <f t="shared" si="31"/>
        <v>#DIV/0!</v>
      </c>
    </row>
    <row r="213" spans="14:27" ht="15">
      <c r="N213" s="194"/>
      <c r="O213" s="195"/>
      <c r="V213" s="196" t="str">
        <f t="shared" ref="V213:V276" si="32">IFERROR(IF(AND(1/L213&gt;$V$19,1/L213&lt;=$W$19),1/L213,0),"")</f>
        <v/>
      </c>
      <c r="W213" s="197" t="str">
        <f t="shared" ref="W213:W276" si="33">IFERROR(IF(AND(1/L213&gt;$W$19,1/L213&lt;=$X$19),1/L213,0),"")</f>
        <v/>
      </c>
      <c r="X213" s="197" t="str">
        <f t="shared" ref="X213:X276" si="34">IFERROR(IF(AND(1/L213&gt;$X$19,1/L213&lt;=$Y$19),1/L213,0),"")</f>
        <v/>
      </c>
      <c r="Y213" s="197" t="str">
        <f t="shared" ref="Y213:Y276" si="35">IFERROR(IF(1/L213&gt;$Y$19,1/L213,0),"")</f>
        <v/>
      </c>
      <c r="Z213" s="157" t="e">
        <f t="shared" ref="Z213:Z276" si="36">IF(N213&lt;&gt;"",(N213-$N$17)/1000,1/0)</f>
        <v>#DIV/0!</v>
      </c>
      <c r="AA213" s="157" t="e">
        <f t="shared" ref="AA213:AA276" si="37">IF(O213&lt;&gt;"",(O213-$O$17)/1000,1/0)</f>
        <v>#DIV/0!</v>
      </c>
    </row>
    <row r="214" spans="14:27" ht="15">
      <c r="N214" s="194"/>
      <c r="O214" s="195"/>
      <c r="V214" s="196" t="str">
        <f t="shared" si="32"/>
        <v/>
      </c>
      <c r="W214" s="197" t="str">
        <f t="shared" si="33"/>
        <v/>
      </c>
      <c r="X214" s="197" t="str">
        <f t="shared" si="34"/>
        <v/>
      </c>
      <c r="Y214" s="197" t="str">
        <f t="shared" si="35"/>
        <v/>
      </c>
      <c r="Z214" s="157" t="e">
        <f t="shared" si="36"/>
        <v>#DIV/0!</v>
      </c>
      <c r="AA214" s="157" t="e">
        <f t="shared" si="37"/>
        <v>#DIV/0!</v>
      </c>
    </row>
    <row r="215" spans="14:27" ht="15">
      <c r="N215" s="194"/>
      <c r="O215" s="195"/>
      <c r="V215" s="196" t="str">
        <f t="shared" si="32"/>
        <v/>
      </c>
      <c r="W215" s="197" t="str">
        <f t="shared" si="33"/>
        <v/>
      </c>
      <c r="X215" s="197" t="str">
        <f t="shared" si="34"/>
        <v/>
      </c>
      <c r="Y215" s="197" t="str">
        <f t="shared" si="35"/>
        <v/>
      </c>
      <c r="Z215" s="157" t="e">
        <f t="shared" si="36"/>
        <v>#DIV/0!</v>
      </c>
      <c r="AA215" s="157" t="e">
        <f t="shared" si="37"/>
        <v>#DIV/0!</v>
      </c>
    </row>
    <row r="216" spans="14:27" ht="15">
      <c r="N216" s="194"/>
      <c r="O216" s="195"/>
      <c r="V216" s="196" t="str">
        <f t="shared" si="32"/>
        <v/>
      </c>
      <c r="W216" s="197" t="str">
        <f t="shared" si="33"/>
        <v/>
      </c>
      <c r="X216" s="197" t="str">
        <f t="shared" si="34"/>
        <v/>
      </c>
      <c r="Y216" s="197" t="str">
        <f t="shared" si="35"/>
        <v/>
      </c>
      <c r="Z216" s="157" t="e">
        <f t="shared" si="36"/>
        <v>#DIV/0!</v>
      </c>
      <c r="AA216" s="157" t="e">
        <f t="shared" si="37"/>
        <v>#DIV/0!</v>
      </c>
    </row>
    <row r="217" spans="14:27" ht="15">
      <c r="N217" s="194"/>
      <c r="O217" s="195"/>
      <c r="V217" s="196" t="str">
        <f t="shared" si="32"/>
        <v/>
      </c>
      <c r="W217" s="197" t="str">
        <f t="shared" si="33"/>
        <v/>
      </c>
      <c r="X217" s="197" t="str">
        <f t="shared" si="34"/>
        <v/>
      </c>
      <c r="Y217" s="197" t="str">
        <f t="shared" si="35"/>
        <v/>
      </c>
      <c r="Z217" s="157" t="e">
        <f t="shared" si="36"/>
        <v>#DIV/0!</v>
      </c>
      <c r="AA217" s="157" t="e">
        <f t="shared" si="37"/>
        <v>#DIV/0!</v>
      </c>
    </row>
    <row r="218" spans="14:27" ht="15">
      <c r="N218" s="194"/>
      <c r="O218" s="195"/>
      <c r="V218" s="196" t="str">
        <f t="shared" si="32"/>
        <v/>
      </c>
      <c r="W218" s="197" t="str">
        <f t="shared" si="33"/>
        <v/>
      </c>
      <c r="X218" s="197" t="str">
        <f t="shared" si="34"/>
        <v/>
      </c>
      <c r="Y218" s="197" t="str">
        <f t="shared" si="35"/>
        <v/>
      </c>
      <c r="Z218" s="157" t="e">
        <f t="shared" si="36"/>
        <v>#DIV/0!</v>
      </c>
      <c r="AA218" s="157" t="e">
        <f t="shared" si="37"/>
        <v>#DIV/0!</v>
      </c>
    </row>
    <row r="219" spans="14:27" ht="15">
      <c r="N219" s="194"/>
      <c r="O219" s="195"/>
      <c r="V219" s="196" t="str">
        <f t="shared" si="32"/>
        <v/>
      </c>
      <c r="W219" s="197" t="str">
        <f t="shared" si="33"/>
        <v/>
      </c>
      <c r="X219" s="197" t="str">
        <f t="shared" si="34"/>
        <v/>
      </c>
      <c r="Y219" s="197" t="str">
        <f t="shared" si="35"/>
        <v/>
      </c>
      <c r="Z219" s="157" t="e">
        <f t="shared" si="36"/>
        <v>#DIV/0!</v>
      </c>
      <c r="AA219" s="157" t="e">
        <f t="shared" si="37"/>
        <v>#DIV/0!</v>
      </c>
    </row>
    <row r="220" spans="14:27" ht="15">
      <c r="N220" s="194"/>
      <c r="O220" s="195"/>
      <c r="V220" s="196" t="str">
        <f t="shared" si="32"/>
        <v/>
      </c>
      <c r="W220" s="197" t="str">
        <f t="shared" si="33"/>
        <v/>
      </c>
      <c r="X220" s="197" t="str">
        <f t="shared" si="34"/>
        <v/>
      </c>
      <c r="Y220" s="197" t="str">
        <f t="shared" si="35"/>
        <v/>
      </c>
      <c r="Z220" s="157" t="e">
        <f t="shared" si="36"/>
        <v>#DIV/0!</v>
      </c>
      <c r="AA220" s="157" t="e">
        <f t="shared" si="37"/>
        <v>#DIV/0!</v>
      </c>
    </row>
    <row r="221" spans="14:27" ht="15">
      <c r="N221" s="194"/>
      <c r="O221" s="195"/>
      <c r="V221" s="196" t="str">
        <f t="shared" si="32"/>
        <v/>
      </c>
      <c r="W221" s="197" t="str">
        <f t="shared" si="33"/>
        <v/>
      </c>
      <c r="X221" s="197" t="str">
        <f t="shared" si="34"/>
        <v/>
      </c>
      <c r="Y221" s="197" t="str">
        <f t="shared" si="35"/>
        <v/>
      </c>
      <c r="Z221" s="157" t="e">
        <f t="shared" si="36"/>
        <v>#DIV/0!</v>
      </c>
      <c r="AA221" s="157" t="e">
        <f t="shared" si="37"/>
        <v>#DIV/0!</v>
      </c>
    </row>
    <row r="222" spans="14:27" ht="15">
      <c r="N222" s="194"/>
      <c r="O222" s="195"/>
      <c r="V222" s="196" t="str">
        <f t="shared" si="32"/>
        <v/>
      </c>
      <c r="W222" s="197" t="str">
        <f t="shared" si="33"/>
        <v/>
      </c>
      <c r="X222" s="197" t="str">
        <f t="shared" si="34"/>
        <v/>
      </c>
      <c r="Y222" s="197" t="str">
        <f t="shared" si="35"/>
        <v/>
      </c>
      <c r="Z222" s="157" t="e">
        <f t="shared" si="36"/>
        <v>#DIV/0!</v>
      </c>
      <c r="AA222" s="157" t="e">
        <f t="shared" si="37"/>
        <v>#DIV/0!</v>
      </c>
    </row>
    <row r="223" spans="14:27" ht="15">
      <c r="N223" s="194"/>
      <c r="O223" s="195"/>
      <c r="V223" s="196" t="str">
        <f t="shared" si="32"/>
        <v/>
      </c>
      <c r="W223" s="197" t="str">
        <f t="shared" si="33"/>
        <v/>
      </c>
      <c r="X223" s="197" t="str">
        <f t="shared" si="34"/>
        <v/>
      </c>
      <c r="Y223" s="197" t="str">
        <f t="shared" si="35"/>
        <v/>
      </c>
      <c r="Z223" s="157" t="e">
        <f t="shared" si="36"/>
        <v>#DIV/0!</v>
      </c>
      <c r="AA223" s="157" t="e">
        <f t="shared" si="37"/>
        <v>#DIV/0!</v>
      </c>
    </row>
    <row r="224" spans="14:27" ht="15">
      <c r="N224" s="194"/>
      <c r="O224" s="195"/>
      <c r="V224" s="196" t="str">
        <f t="shared" si="32"/>
        <v/>
      </c>
      <c r="W224" s="197" t="str">
        <f t="shared" si="33"/>
        <v/>
      </c>
      <c r="X224" s="197" t="str">
        <f t="shared" si="34"/>
        <v/>
      </c>
      <c r="Y224" s="197" t="str">
        <f t="shared" si="35"/>
        <v/>
      </c>
      <c r="Z224" s="157" t="e">
        <f t="shared" si="36"/>
        <v>#DIV/0!</v>
      </c>
      <c r="AA224" s="157" t="e">
        <f t="shared" si="37"/>
        <v>#DIV/0!</v>
      </c>
    </row>
    <row r="225" spans="14:27" ht="15">
      <c r="N225" s="194"/>
      <c r="O225" s="195"/>
      <c r="V225" s="196" t="str">
        <f t="shared" si="32"/>
        <v/>
      </c>
      <c r="W225" s="197" t="str">
        <f t="shared" si="33"/>
        <v/>
      </c>
      <c r="X225" s="197" t="str">
        <f t="shared" si="34"/>
        <v/>
      </c>
      <c r="Y225" s="197" t="str">
        <f t="shared" si="35"/>
        <v/>
      </c>
      <c r="Z225" s="157" t="e">
        <f t="shared" si="36"/>
        <v>#DIV/0!</v>
      </c>
      <c r="AA225" s="157" t="e">
        <f t="shared" si="37"/>
        <v>#DIV/0!</v>
      </c>
    </row>
    <row r="226" spans="14:27" ht="15">
      <c r="N226" s="194"/>
      <c r="O226" s="195"/>
      <c r="V226" s="196" t="str">
        <f t="shared" si="32"/>
        <v/>
      </c>
      <c r="W226" s="197" t="str">
        <f t="shared" si="33"/>
        <v/>
      </c>
      <c r="X226" s="197" t="str">
        <f t="shared" si="34"/>
        <v/>
      </c>
      <c r="Y226" s="197" t="str">
        <f t="shared" si="35"/>
        <v/>
      </c>
      <c r="Z226" s="157" t="e">
        <f t="shared" si="36"/>
        <v>#DIV/0!</v>
      </c>
      <c r="AA226" s="157" t="e">
        <f t="shared" si="37"/>
        <v>#DIV/0!</v>
      </c>
    </row>
    <row r="227" spans="14:27" ht="15">
      <c r="N227" s="194"/>
      <c r="O227" s="195"/>
      <c r="V227" s="196" t="str">
        <f t="shared" si="32"/>
        <v/>
      </c>
      <c r="W227" s="197" t="str">
        <f t="shared" si="33"/>
        <v/>
      </c>
      <c r="X227" s="197" t="str">
        <f t="shared" si="34"/>
        <v/>
      </c>
      <c r="Y227" s="197" t="str">
        <f t="shared" si="35"/>
        <v/>
      </c>
      <c r="Z227" s="157" t="e">
        <f t="shared" si="36"/>
        <v>#DIV/0!</v>
      </c>
      <c r="AA227" s="157" t="e">
        <f t="shared" si="37"/>
        <v>#DIV/0!</v>
      </c>
    </row>
    <row r="228" spans="14:27" ht="15">
      <c r="N228" s="194"/>
      <c r="O228" s="195"/>
      <c r="V228" s="196" t="str">
        <f t="shared" si="32"/>
        <v/>
      </c>
      <c r="W228" s="197" t="str">
        <f t="shared" si="33"/>
        <v/>
      </c>
      <c r="X228" s="197" t="str">
        <f t="shared" si="34"/>
        <v/>
      </c>
      <c r="Y228" s="197" t="str">
        <f t="shared" si="35"/>
        <v/>
      </c>
      <c r="Z228" s="157" t="e">
        <f t="shared" si="36"/>
        <v>#DIV/0!</v>
      </c>
      <c r="AA228" s="157" t="e">
        <f t="shared" si="37"/>
        <v>#DIV/0!</v>
      </c>
    </row>
    <row r="229" spans="14:27" ht="15">
      <c r="N229" s="194"/>
      <c r="O229" s="195"/>
      <c r="V229" s="196" t="str">
        <f t="shared" si="32"/>
        <v/>
      </c>
      <c r="W229" s="197" t="str">
        <f t="shared" si="33"/>
        <v/>
      </c>
      <c r="X229" s="197" t="str">
        <f t="shared" si="34"/>
        <v/>
      </c>
      <c r="Y229" s="197" t="str">
        <f t="shared" si="35"/>
        <v/>
      </c>
      <c r="Z229" s="157" t="e">
        <f t="shared" si="36"/>
        <v>#DIV/0!</v>
      </c>
      <c r="AA229" s="157" t="e">
        <f t="shared" si="37"/>
        <v>#DIV/0!</v>
      </c>
    </row>
    <row r="230" spans="14:27" ht="15">
      <c r="N230" s="194"/>
      <c r="O230" s="195"/>
      <c r="V230" s="196" t="str">
        <f t="shared" si="32"/>
        <v/>
      </c>
      <c r="W230" s="197" t="str">
        <f t="shared" si="33"/>
        <v/>
      </c>
      <c r="X230" s="197" t="str">
        <f t="shared" si="34"/>
        <v/>
      </c>
      <c r="Y230" s="197" t="str">
        <f t="shared" si="35"/>
        <v/>
      </c>
      <c r="Z230" s="157" t="e">
        <f t="shared" si="36"/>
        <v>#DIV/0!</v>
      </c>
      <c r="AA230" s="157" t="e">
        <f t="shared" si="37"/>
        <v>#DIV/0!</v>
      </c>
    </row>
    <row r="231" spans="14:27" ht="15">
      <c r="N231" s="194"/>
      <c r="O231" s="195"/>
      <c r="V231" s="196" t="str">
        <f t="shared" si="32"/>
        <v/>
      </c>
      <c r="W231" s="197" t="str">
        <f t="shared" si="33"/>
        <v/>
      </c>
      <c r="X231" s="197" t="str">
        <f t="shared" si="34"/>
        <v/>
      </c>
      <c r="Y231" s="197" t="str">
        <f t="shared" si="35"/>
        <v/>
      </c>
      <c r="Z231" s="157" t="e">
        <f t="shared" si="36"/>
        <v>#DIV/0!</v>
      </c>
      <c r="AA231" s="157" t="e">
        <f t="shared" si="37"/>
        <v>#DIV/0!</v>
      </c>
    </row>
    <row r="232" spans="14:27" ht="15">
      <c r="N232" s="194"/>
      <c r="O232" s="195"/>
      <c r="V232" s="196" t="str">
        <f t="shared" si="32"/>
        <v/>
      </c>
      <c r="W232" s="197" t="str">
        <f t="shared" si="33"/>
        <v/>
      </c>
      <c r="X232" s="197" t="str">
        <f t="shared" si="34"/>
        <v/>
      </c>
      <c r="Y232" s="197" t="str">
        <f t="shared" si="35"/>
        <v/>
      </c>
      <c r="Z232" s="157" t="e">
        <f t="shared" si="36"/>
        <v>#DIV/0!</v>
      </c>
      <c r="AA232" s="157" t="e">
        <f t="shared" si="37"/>
        <v>#DIV/0!</v>
      </c>
    </row>
    <row r="233" spans="14:27" ht="15">
      <c r="N233" s="194"/>
      <c r="O233" s="195"/>
      <c r="V233" s="196" t="str">
        <f t="shared" si="32"/>
        <v/>
      </c>
      <c r="W233" s="197" t="str">
        <f t="shared" si="33"/>
        <v/>
      </c>
      <c r="X233" s="197" t="str">
        <f t="shared" si="34"/>
        <v/>
      </c>
      <c r="Y233" s="197" t="str">
        <f t="shared" si="35"/>
        <v/>
      </c>
      <c r="Z233" s="157" t="e">
        <f t="shared" si="36"/>
        <v>#DIV/0!</v>
      </c>
      <c r="AA233" s="157" t="e">
        <f t="shared" si="37"/>
        <v>#DIV/0!</v>
      </c>
    </row>
    <row r="234" spans="14:27" ht="15">
      <c r="N234" s="194"/>
      <c r="O234" s="195"/>
      <c r="V234" s="196" t="str">
        <f t="shared" si="32"/>
        <v/>
      </c>
      <c r="W234" s="197" t="str">
        <f t="shared" si="33"/>
        <v/>
      </c>
      <c r="X234" s="197" t="str">
        <f t="shared" si="34"/>
        <v/>
      </c>
      <c r="Y234" s="197" t="str">
        <f t="shared" si="35"/>
        <v/>
      </c>
      <c r="Z234" s="157" t="e">
        <f t="shared" si="36"/>
        <v>#DIV/0!</v>
      </c>
      <c r="AA234" s="157" t="e">
        <f t="shared" si="37"/>
        <v>#DIV/0!</v>
      </c>
    </row>
    <row r="235" spans="14:27" ht="15">
      <c r="N235" s="194"/>
      <c r="O235" s="195"/>
      <c r="V235" s="196" t="str">
        <f t="shared" si="32"/>
        <v/>
      </c>
      <c r="W235" s="197" t="str">
        <f t="shared" si="33"/>
        <v/>
      </c>
      <c r="X235" s="197" t="str">
        <f t="shared" si="34"/>
        <v/>
      </c>
      <c r="Y235" s="197" t="str">
        <f t="shared" si="35"/>
        <v/>
      </c>
      <c r="Z235" s="157" t="e">
        <f t="shared" si="36"/>
        <v>#DIV/0!</v>
      </c>
      <c r="AA235" s="157" t="e">
        <f t="shared" si="37"/>
        <v>#DIV/0!</v>
      </c>
    </row>
    <row r="236" spans="14:27" ht="15">
      <c r="N236" s="194"/>
      <c r="O236" s="195"/>
      <c r="V236" s="196" t="str">
        <f t="shared" si="32"/>
        <v/>
      </c>
      <c r="W236" s="197" t="str">
        <f t="shared" si="33"/>
        <v/>
      </c>
      <c r="X236" s="197" t="str">
        <f t="shared" si="34"/>
        <v/>
      </c>
      <c r="Y236" s="197" t="str">
        <f t="shared" si="35"/>
        <v/>
      </c>
      <c r="Z236" s="157" t="e">
        <f t="shared" si="36"/>
        <v>#DIV/0!</v>
      </c>
      <c r="AA236" s="157" t="e">
        <f t="shared" si="37"/>
        <v>#DIV/0!</v>
      </c>
    </row>
    <row r="237" spans="14:27" ht="15">
      <c r="N237" s="194"/>
      <c r="O237" s="195"/>
      <c r="V237" s="196" t="str">
        <f t="shared" si="32"/>
        <v/>
      </c>
      <c r="W237" s="197" t="str">
        <f t="shared" si="33"/>
        <v/>
      </c>
      <c r="X237" s="197" t="str">
        <f t="shared" si="34"/>
        <v/>
      </c>
      <c r="Y237" s="197" t="str">
        <f t="shared" si="35"/>
        <v/>
      </c>
      <c r="Z237" s="157" t="e">
        <f t="shared" si="36"/>
        <v>#DIV/0!</v>
      </c>
      <c r="AA237" s="157" t="e">
        <f t="shared" si="37"/>
        <v>#DIV/0!</v>
      </c>
    </row>
    <row r="238" spans="14:27" ht="15">
      <c r="N238" s="194"/>
      <c r="O238" s="195"/>
      <c r="V238" s="196" t="str">
        <f t="shared" si="32"/>
        <v/>
      </c>
      <c r="W238" s="197" t="str">
        <f t="shared" si="33"/>
        <v/>
      </c>
      <c r="X238" s="197" t="str">
        <f t="shared" si="34"/>
        <v/>
      </c>
      <c r="Y238" s="197" t="str">
        <f t="shared" si="35"/>
        <v/>
      </c>
      <c r="Z238" s="157" t="e">
        <f t="shared" si="36"/>
        <v>#DIV/0!</v>
      </c>
      <c r="AA238" s="157" t="e">
        <f t="shared" si="37"/>
        <v>#DIV/0!</v>
      </c>
    </row>
    <row r="239" spans="14:27" ht="15">
      <c r="N239" s="194"/>
      <c r="O239" s="195"/>
      <c r="V239" s="196" t="str">
        <f t="shared" si="32"/>
        <v/>
      </c>
      <c r="W239" s="197" t="str">
        <f t="shared" si="33"/>
        <v/>
      </c>
      <c r="X239" s="197" t="str">
        <f t="shared" si="34"/>
        <v/>
      </c>
      <c r="Y239" s="197" t="str">
        <f t="shared" si="35"/>
        <v/>
      </c>
      <c r="Z239" s="157" t="e">
        <f t="shared" si="36"/>
        <v>#DIV/0!</v>
      </c>
      <c r="AA239" s="157" t="e">
        <f t="shared" si="37"/>
        <v>#DIV/0!</v>
      </c>
    </row>
    <row r="240" spans="14:27" ht="15">
      <c r="N240" s="194"/>
      <c r="O240" s="195"/>
      <c r="V240" s="196" t="str">
        <f t="shared" si="32"/>
        <v/>
      </c>
      <c r="W240" s="197" t="str">
        <f t="shared" si="33"/>
        <v/>
      </c>
      <c r="X240" s="197" t="str">
        <f t="shared" si="34"/>
        <v/>
      </c>
      <c r="Y240" s="197" t="str">
        <f t="shared" si="35"/>
        <v/>
      </c>
      <c r="Z240" s="157" t="e">
        <f t="shared" si="36"/>
        <v>#DIV/0!</v>
      </c>
      <c r="AA240" s="157" t="e">
        <f t="shared" si="37"/>
        <v>#DIV/0!</v>
      </c>
    </row>
    <row r="241" spans="14:27" ht="15">
      <c r="N241" s="194"/>
      <c r="O241" s="195"/>
      <c r="V241" s="196" t="str">
        <f t="shared" si="32"/>
        <v/>
      </c>
      <c r="W241" s="197" t="str">
        <f t="shared" si="33"/>
        <v/>
      </c>
      <c r="X241" s="197" t="str">
        <f t="shared" si="34"/>
        <v/>
      </c>
      <c r="Y241" s="197" t="str">
        <f t="shared" si="35"/>
        <v/>
      </c>
      <c r="Z241" s="157" t="e">
        <f t="shared" si="36"/>
        <v>#DIV/0!</v>
      </c>
      <c r="AA241" s="157" t="e">
        <f t="shared" si="37"/>
        <v>#DIV/0!</v>
      </c>
    </row>
    <row r="242" spans="14:27" ht="15">
      <c r="N242" s="194"/>
      <c r="O242" s="195"/>
      <c r="V242" s="196" t="str">
        <f t="shared" si="32"/>
        <v/>
      </c>
      <c r="W242" s="197" t="str">
        <f t="shared" si="33"/>
        <v/>
      </c>
      <c r="X242" s="197" t="str">
        <f t="shared" si="34"/>
        <v/>
      </c>
      <c r="Y242" s="197" t="str">
        <f t="shared" si="35"/>
        <v/>
      </c>
      <c r="Z242" s="157" t="e">
        <f t="shared" si="36"/>
        <v>#DIV/0!</v>
      </c>
      <c r="AA242" s="157" t="e">
        <f t="shared" si="37"/>
        <v>#DIV/0!</v>
      </c>
    </row>
    <row r="243" spans="14:27" ht="15">
      <c r="N243" s="194"/>
      <c r="O243" s="195"/>
      <c r="V243" s="196" t="str">
        <f t="shared" si="32"/>
        <v/>
      </c>
      <c r="W243" s="197" t="str">
        <f t="shared" si="33"/>
        <v/>
      </c>
      <c r="X243" s="197" t="str">
        <f t="shared" si="34"/>
        <v/>
      </c>
      <c r="Y243" s="197" t="str">
        <f t="shared" si="35"/>
        <v/>
      </c>
      <c r="Z243" s="157" t="e">
        <f t="shared" si="36"/>
        <v>#DIV/0!</v>
      </c>
      <c r="AA243" s="157" t="e">
        <f t="shared" si="37"/>
        <v>#DIV/0!</v>
      </c>
    </row>
    <row r="244" spans="14:27" ht="15">
      <c r="N244" s="194"/>
      <c r="O244" s="195"/>
      <c r="V244" s="196" t="str">
        <f t="shared" si="32"/>
        <v/>
      </c>
      <c r="W244" s="197" t="str">
        <f t="shared" si="33"/>
        <v/>
      </c>
      <c r="X244" s="197" t="str">
        <f t="shared" si="34"/>
        <v/>
      </c>
      <c r="Y244" s="197" t="str">
        <f t="shared" si="35"/>
        <v/>
      </c>
      <c r="Z244" s="157" t="e">
        <f t="shared" si="36"/>
        <v>#DIV/0!</v>
      </c>
      <c r="AA244" s="157" t="e">
        <f t="shared" si="37"/>
        <v>#DIV/0!</v>
      </c>
    </row>
    <row r="245" spans="14:27" ht="15">
      <c r="N245" s="194"/>
      <c r="O245" s="195"/>
      <c r="V245" s="196" t="str">
        <f t="shared" si="32"/>
        <v/>
      </c>
      <c r="W245" s="197" t="str">
        <f t="shared" si="33"/>
        <v/>
      </c>
      <c r="X245" s="197" t="str">
        <f t="shared" si="34"/>
        <v/>
      </c>
      <c r="Y245" s="197" t="str">
        <f t="shared" si="35"/>
        <v/>
      </c>
      <c r="Z245" s="157" t="e">
        <f t="shared" si="36"/>
        <v>#DIV/0!</v>
      </c>
      <c r="AA245" s="157" t="e">
        <f t="shared" si="37"/>
        <v>#DIV/0!</v>
      </c>
    </row>
    <row r="246" spans="14:27" ht="15">
      <c r="N246" s="194"/>
      <c r="O246" s="195"/>
      <c r="V246" s="196" t="str">
        <f t="shared" si="32"/>
        <v/>
      </c>
      <c r="W246" s="197" t="str">
        <f t="shared" si="33"/>
        <v/>
      </c>
      <c r="X246" s="197" t="str">
        <f t="shared" si="34"/>
        <v/>
      </c>
      <c r="Y246" s="197" t="str">
        <f t="shared" si="35"/>
        <v/>
      </c>
      <c r="Z246" s="157" t="e">
        <f t="shared" si="36"/>
        <v>#DIV/0!</v>
      </c>
      <c r="AA246" s="157" t="e">
        <f t="shared" si="37"/>
        <v>#DIV/0!</v>
      </c>
    </row>
    <row r="247" spans="14:27" ht="15">
      <c r="N247" s="194"/>
      <c r="O247" s="195"/>
      <c r="V247" s="196" t="str">
        <f t="shared" si="32"/>
        <v/>
      </c>
      <c r="W247" s="197" t="str">
        <f t="shared" si="33"/>
        <v/>
      </c>
      <c r="X247" s="197" t="str">
        <f t="shared" si="34"/>
        <v/>
      </c>
      <c r="Y247" s="197" t="str">
        <f t="shared" si="35"/>
        <v/>
      </c>
      <c r="Z247" s="157" t="e">
        <f t="shared" si="36"/>
        <v>#DIV/0!</v>
      </c>
      <c r="AA247" s="157" t="e">
        <f t="shared" si="37"/>
        <v>#DIV/0!</v>
      </c>
    </row>
    <row r="248" spans="14:27" ht="15">
      <c r="N248" s="194"/>
      <c r="O248" s="195"/>
      <c r="V248" s="196" t="str">
        <f t="shared" si="32"/>
        <v/>
      </c>
      <c r="W248" s="197" t="str">
        <f t="shared" si="33"/>
        <v/>
      </c>
      <c r="X248" s="197" t="str">
        <f t="shared" si="34"/>
        <v/>
      </c>
      <c r="Y248" s="197" t="str">
        <f t="shared" si="35"/>
        <v/>
      </c>
      <c r="Z248" s="157" t="e">
        <f t="shared" si="36"/>
        <v>#DIV/0!</v>
      </c>
      <c r="AA248" s="157" t="e">
        <f t="shared" si="37"/>
        <v>#DIV/0!</v>
      </c>
    </row>
    <row r="249" spans="14:27" ht="15">
      <c r="N249" s="194"/>
      <c r="O249" s="195"/>
      <c r="V249" s="196" t="str">
        <f t="shared" si="32"/>
        <v/>
      </c>
      <c r="W249" s="197" t="str">
        <f t="shared" si="33"/>
        <v/>
      </c>
      <c r="X249" s="197" t="str">
        <f t="shared" si="34"/>
        <v/>
      </c>
      <c r="Y249" s="197" t="str">
        <f t="shared" si="35"/>
        <v/>
      </c>
      <c r="Z249" s="157" t="e">
        <f t="shared" si="36"/>
        <v>#DIV/0!</v>
      </c>
      <c r="AA249" s="157" t="e">
        <f t="shared" si="37"/>
        <v>#DIV/0!</v>
      </c>
    </row>
    <row r="250" spans="14:27" ht="15">
      <c r="N250" s="194"/>
      <c r="O250" s="195"/>
      <c r="V250" s="196" t="str">
        <f t="shared" si="32"/>
        <v/>
      </c>
      <c r="W250" s="197" t="str">
        <f t="shared" si="33"/>
        <v/>
      </c>
      <c r="X250" s="197" t="str">
        <f t="shared" si="34"/>
        <v/>
      </c>
      <c r="Y250" s="197" t="str">
        <f t="shared" si="35"/>
        <v/>
      </c>
      <c r="Z250" s="157" t="e">
        <f t="shared" si="36"/>
        <v>#DIV/0!</v>
      </c>
      <c r="AA250" s="157" t="e">
        <f t="shared" si="37"/>
        <v>#DIV/0!</v>
      </c>
    </row>
    <row r="251" spans="14:27" ht="15">
      <c r="N251" s="194"/>
      <c r="O251" s="195"/>
      <c r="V251" s="196" t="str">
        <f t="shared" si="32"/>
        <v/>
      </c>
      <c r="W251" s="197" t="str">
        <f t="shared" si="33"/>
        <v/>
      </c>
      <c r="X251" s="197" t="str">
        <f t="shared" si="34"/>
        <v/>
      </c>
      <c r="Y251" s="197" t="str">
        <f t="shared" si="35"/>
        <v/>
      </c>
      <c r="Z251" s="157" t="e">
        <f t="shared" si="36"/>
        <v>#DIV/0!</v>
      </c>
      <c r="AA251" s="157" t="e">
        <f t="shared" si="37"/>
        <v>#DIV/0!</v>
      </c>
    </row>
    <row r="252" spans="14:27" ht="15">
      <c r="N252" s="194"/>
      <c r="O252" s="195"/>
      <c r="V252" s="196" t="str">
        <f t="shared" si="32"/>
        <v/>
      </c>
      <c r="W252" s="197" t="str">
        <f t="shared" si="33"/>
        <v/>
      </c>
      <c r="X252" s="197" t="str">
        <f t="shared" si="34"/>
        <v/>
      </c>
      <c r="Y252" s="197" t="str">
        <f t="shared" si="35"/>
        <v/>
      </c>
      <c r="Z252" s="157" t="e">
        <f t="shared" si="36"/>
        <v>#DIV/0!</v>
      </c>
      <c r="AA252" s="157" t="e">
        <f t="shared" si="37"/>
        <v>#DIV/0!</v>
      </c>
    </row>
    <row r="253" spans="14:27" ht="15">
      <c r="N253" s="194"/>
      <c r="O253" s="195"/>
      <c r="V253" s="196" t="str">
        <f t="shared" si="32"/>
        <v/>
      </c>
      <c r="W253" s="197" t="str">
        <f t="shared" si="33"/>
        <v/>
      </c>
      <c r="X253" s="197" t="str">
        <f t="shared" si="34"/>
        <v/>
      </c>
      <c r="Y253" s="197" t="str">
        <f t="shared" si="35"/>
        <v/>
      </c>
      <c r="Z253" s="157" t="e">
        <f t="shared" si="36"/>
        <v>#DIV/0!</v>
      </c>
      <c r="AA253" s="157" t="e">
        <f t="shared" si="37"/>
        <v>#DIV/0!</v>
      </c>
    </row>
    <row r="254" spans="14:27" ht="15">
      <c r="N254" s="194"/>
      <c r="O254" s="195"/>
      <c r="V254" s="196" t="str">
        <f t="shared" si="32"/>
        <v/>
      </c>
      <c r="W254" s="197" t="str">
        <f t="shared" si="33"/>
        <v/>
      </c>
      <c r="X254" s="197" t="str">
        <f t="shared" si="34"/>
        <v/>
      </c>
      <c r="Y254" s="197" t="str">
        <f t="shared" si="35"/>
        <v/>
      </c>
      <c r="Z254" s="157" t="e">
        <f t="shared" si="36"/>
        <v>#DIV/0!</v>
      </c>
      <c r="AA254" s="157" t="e">
        <f t="shared" si="37"/>
        <v>#DIV/0!</v>
      </c>
    </row>
    <row r="255" spans="14:27" ht="15">
      <c r="N255" s="194"/>
      <c r="O255" s="195"/>
      <c r="V255" s="196" t="str">
        <f t="shared" si="32"/>
        <v/>
      </c>
      <c r="W255" s="197" t="str">
        <f t="shared" si="33"/>
        <v/>
      </c>
      <c r="X255" s="197" t="str">
        <f t="shared" si="34"/>
        <v/>
      </c>
      <c r="Y255" s="197" t="str">
        <f t="shared" si="35"/>
        <v/>
      </c>
      <c r="Z255" s="157" t="e">
        <f t="shared" si="36"/>
        <v>#DIV/0!</v>
      </c>
      <c r="AA255" s="157" t="e">
        <f t="shared" si="37"/>
        <v>#DIV/0!</v>
      </c>
    </row>
    <row r="256" spans="14:27" ht="15">
      <c r="N256" s="194"/>
      <c r="O256" s="195"/>
      <c r="V256" s="196" t="str">
        <f t="shared" si="32"/>
        <v/>
      </c>
      <c r="W256" s="197" t="str">
        <f t="shared" si="33"/>
        <v/>
      </c>
      <c r="X256" s="197" t="str">
        <f t="shared" si="34"/>
        <v/>
      </c>
      <c r="Y256" s="197" t="str">
        <f t="shared" si="35"/>
        <v/>
      </c>
      <c r="Z256" s="157" t="e">
        <f t="shared" si="36"/>
        <v>#DIV/0!</v>
      </c>
      <c r="AA256" s="157" t="e">
        <f t="shared" si="37"/>
        <v>#DIV/0!</v>
      </c>
    </row>
    <row r="257" spans="14:27" ht="15">
      <c r="N257" s="194"/>
      <c r="O257" s="195"/>
      <c r="V257" s="196" t="str">
        <f t="shared" si="32"/>
        <v/>
      </c>
      <c r="W257" s="197" t="str">
        <f t="shared" si="33"/>
        <v/>
      </c>
      <c r="X257" s="197" t="str">
        <f t="shared" si="34"/>
        <v/>
      </c>
      <c r="Y257" s="197" t="str">
        <f t="shared" si="35"/>
        <v/>
      </c>
      <c r="Z257" s="157" t="e">
        <f t="shared" si="36"/>
        <v>#DIV/0!</v>
      </c>
      <c r="AA257" s="157" t="e">
        <f t="shared" si="37"/>
        <v>#DIV/0!</v>
      </c>
    </row>
    <row r="258" spans="14:27" ht="15">
      <c r="N258" s="194"/>
      <c r="O258" s="195"/>
      <c r="V258" s="196" t="str">
        <f t="shared" si="32"/>
        <v/>
      </c>
      <c r="W258" s="197" t="str">
        <f t="shared" si="33"/>
        <v/>
      </c>
      <c r="X258" s="197" t="str">
        <f t="shared" si="34"/>
        <v/>
      </c>
      <c r="Y258" s="197" t="str">
        <f t="shared" si="35"/>
        <v/>
      </c>
      <c r="Z258" s="157" t="e">
        <f t="shared" si="36"/>
        <v>#DIV/0!</v>
      </c>
      <c r="AA258" s="157" t="e">
        <f t="shared" si="37"/>
        <v>#DIV/0!</v>
      </c>
    </row>
    <row r="259" spans="14:27" ht="15">
      <c r="N259" s="194"/>
      <c r="O259" s="195"/>
      <c r="V259" s="196" t="str">
        <f t="shared" si="32"/>
        <v/>
      </c>
      <c r="W259" s="197" t="str">
        <f t="shared" si="33"/>
        <v/>
      </c>
      <c r="X259" s="197" t="str">
        <f t="shared" si="34"/>
        <v/>
      </c>
      <c r="Y259" s="197" t="str">
        <f t="shared" si="35"/>
        <v/>
      </c>
      <c r="Z259" s="157" t="e">
        <f t="shared" si="36"/>
        <v>#DIV/0!</v>
      </c>
      <c r="AA259" s="157" t="e">
        <f t="shared" si="37"/>
        <v>#DIV/0!</v>
      </c>
    </row>
    <row r="260" spans="14:27" ht="15">
      <c r="N260" s="194"/>
      <c r="O260" s="195"/>
      <c r="V260" s="196" t="str">
        <f t="shared" si="32"/>
        <v/>
      </c>
      <c r="W260" s="197" t="str">
        <f t="shared" si="33"/>
        <v/>
      </c>
      <c r="X260" s="197" t="str">
        <f t="shared" si="34"/>
        <v/>
      </c>
      <c r="Y260" s="197" t="str">
        <f t="shared" si="35"/>
        <v/>
      </c>
      <c r="Z260" s="157" t="e">
        <f t="shared" si="36"/>
        <v>#DIV/0!</v>
      </c>
      <c r="AA260" s="157" t="e">
        <f t="shared" si="37"/>
        <v>#DIV/0!</v>
      </c>
    </row>
    <row r="261" spans="14:27" ht="15">
      <c r="N261" s="194"/>
      <c r="O261" s="195"/>
      <c r="V261" s="196" t="str">
        <f t="shared" si="32"/>
        <v/>
      </c>
      <c r="W261" s="197" t="str">
        <f t="shared" si="33"/>
        <v/>
      </c>
      <c r="X261" s="197" t="str">
        <f t="shared" si="34"/>
        <v/>
      </c>
      <c r="Y261" s="197" t="str">
        <f t="shared" si="35"/>
        <v/>
      </c>
      <c r="Z261" s="157" t="e">
        <f t="shared" si="36"/>
        <v>#DIV/0!</v>
      </c>
      <c r="AA261" s="157" t="e">
        <f t="shared" si="37"/>
        <v>#DIV/0!</v>
      </c>
    </row>
    <row r="262" spans="14:27" ht="15">
      <c r="N262" s="194"/>
      <c r="O262" s="195"/>
      <c r="V262" s="196" t="str">
        <f t="shared" si="32"/>
        <v/>
      </c>
      <c r="W262" s="197" t="str">
        <f t="shared" si="33"/>
        <v/>
      </c>
      <c r="X262" s="197" t="str">
        <f t="shared" si="34"/>
        <v/>
      </c>
      <c r="Y262" s="197" t="str">
        <f t="shared" si="35"/>
        <v/>
      </c>
      <c r="Z262" s="157" t="e">
        <f t="shared" si="36"/>
        <v>#DIV/0!</v>
      </c>
      <c r="AA262" s="157" t="e">
        <f t="shared" si="37"/>
        <v>#DIV/0!</v>
      </c>
    </row>
    <row r="263" spans="14:27" ht="15">
      <c r="N263" s="194"/>
      <c r="O263" s="195"/>
      <c r="V263" s="196" t="str">
        <f t="shared" si="32"/>
        <v/>
      </c>
      <c r="W263" s="197" t="str">
        <f t="shared" si="33"/>
        <v/>
      </c>
      <c r="X263" s="197" t="str">
        <f t="shared" si="34"/>
        <v/>
      </c>
      <c r="Y263" s="197" t="str">
        <f t="shared" si="35"/>
        <v/>
      </c>
      <c r="Z263" s="157" t="e">
        <f t="shared" si="36"/>
        <v>#DIV/0!</v>
      </c>
      <c r="AA263" s="157" t="e">
        <f t="shared" si="37"/>
        <v>#DIV/0!</v>
      </c>
    </row>
    <row r="264" spans="14:27" ht="15">
      <c r="N264" s="194"/>
      <c r="O264" s="195"/>
      <c r="V264" s="196" t="str">
        <f t="shared" si="32"/>
        <v/>
      </c>
      <c r="W264" s="197" t="str">
        <f t="shared" si="33"/>
        <v/>
      </c>
      <c r="X264" s="197" t="str">
        <f t="shared" si="34"/>
        <v/>
      </c>
      <c r="Y264" s="197" t="str">
        <f t="shared" si="35"/>
        <v/>
      </c>
      <c r="Z264" s="157" t="e">
        <f t="shared" si="36"/>
        <v>#DIV/0!</v>
      </c>
      <c r="AA264" s="157" t="e">
        <f t="shared" si="37"/>
        <v>#DIV/0!</v>
      </c>
    </row>
    <row r="265" spans="14:27" ht="15">
      <c r="N265" s="194"/>
      <c r="O265" s="195"/>
      <c r="V265" s="196" t="str">
        <f t="shared" si="32"/>
        <v/>
      </c>
      <c r="W265" s="197" t="str">
        <f t="shared" si="33"/>
        <v/>
      </c>
      <c r="X265" s="197" t="str">
        <f t="shared" si="34"/>
        <v/>
      </c>
      <c r="Y265" s="197" t="str">
        <f t="shared" si="35"/>
        <v/>
      </c>
      <c r="Z265" s="157" t="e">
        <f t="shared" si="36"/>
        <v>#DIV/0!</v>
      </c>
      <c r="AA265" s="157" t="e">
        <f t="shared" si="37"/>
        <v>#DIV/0!</v>
      </c>
    </row>
    <row r="266" spans="14:27" ht="15">
      <c r="N266" s="194"/>
      <c r="O266" s="195"/>
      <c r="V266" s="196" t="str">
        <f t="shared" si="32"/>
        <v/>
      </c>
      <c r="W266" s="197" t="str">
        <f t="shared" si="33"/>
        <v/>
      </c>
      <c r="X266" s="197" t="str">
        <f t="shared" si="34"/>
        <v/>
      </c>
      <c r="Y266" s="197" t="str">
        <f t="shared" si="35"/>
        <v/>
      </c>
      <c r="Z266" s="157" t="e">
        <f t="shared" si="36"/>
        <v>#DIV/0!</v>
      </c>
      <c r="AA266" s="157" t="e">
        <f t="shared" si="37"/>
        <v>#DIV/0!</v>
      </c>
    </row>
    <row r="267" spans="14:27" ht="15">
      <c r="N267" s="194"/>
      <c r="O267" s="195"/>
      <c r="V267" s="196" t="str">
        <f t="shared" si="32"/>
        <v/>
      </c>
      <c r="W267" s="197" t="str">
        <f t="shared" si="33"/>
        <v/>
      </c>
      <c r="X267" s="197" t="str">
        <f t="shared" si="34"/>
        <v/>
      </c>
      <c r="Y267" s="197" t="str">
        <f t="shared" si="35"/>
        <v/>
      </c>
      <c r="Z267" s="157" t="e">
        <f t="shared" si="36"/>
        <v>#DIV/0!</v>
      </c>
      <c r="AA267" s="157" t="e">
        <f t="shared" si="37"/>
        <v>#DIV/0!</v>
      </c>
    </row>
    <row r="268" spans="14:27" ht="15">
      <c r="N268" s="194"/>
      <c r="O268" s="195"/>
      <c r="V268" s="196" t="str">
        <f t="shared" si="32"/>
        <v/>
      </c>
      <c r="W268" s="197" t="str">
        <f t="shared" si="33"/>
        <v/>
      </c>
      <c r="X268" s="197" t="str">
        <f t="shared" si="34"/>
        <v/>
      </c>
      <c r="Y268" s="197" t="str">
        <f t="shared" si="35"/>
        <v/>
      </c>
      <c r="Z268" s="157" t="e">
        <f t="shared" si="36"/>
        <v>#DIV/0!</v>
      </c>
      <c r="AA268" s="157" t="e">
        <f t="shared" si="37"/>
        <v>#DIV/0!</v>
      </c>
    </row>
    <row r="269" spans="14:27" ht="15">
      <c r="N269" s="194"/>
      <c r="O269" s="195"/>
      <c r="V269" s="196" t="str">
        <f t="shared" si="32"/>
        <v/>
      </c>
      <c r="W269" s="197" t="str">
        <f t="shared" si="33"/>
        <v/>
      </c>
      <c r="X269" s="197" t="str">
        <f t="shared" si="34"/>
        <v/>
      </c>
      <c r="Y269" s="197" t="str">
        <f t="shared" si="35"/>
        <v/>
      </c>
      <c r="Z269" s="157" t="e">
        <f t="shared" si="36"/>
        <v>#DIV/0!</v>
      </c>
      <c r="AA269" s="157" t="e">
        <f t="shared" si="37"/>
        <v>#DIV/0!</v>
      </c>
    </row>
    <row r="270" spans="14:27" ht="15">
      <c r="N270" s="194"/>
      <c r="O270" s="195"/>
      <c r="V270" s="196" t="str">
        <f t="shared" si="32"/>
        <v/>
      </c>
      <c r="W270" s="197" t="str">
        <f t="shared" si="33"/>
        <v/>
      </c>
      <c r="X270" s="197" t="str">
        <f t="shared" si="34"/>
        <v/>
      </c>
      <c r="Y270" s="197" t="str">
        <f t="shared" si="35"/>
        <v/>
      </c>
      <c r="Z270" s="157" t="e">
        <f t="shared" si="36"/>
        <v>#DIV/0!</v>
      </c>
      <c r="AA270" s="157" t="e">
        <f t="shared" si="37"/>
        <v>#DIV/0!</v>
      </c>
    </row>
    <row r="271" spans="14:27" ht="15">
      <c r="N271" s="194"/>
      <c r="O271" s="195"/>
      <c r="V271" s="196" t="str">
        <f t="shared" si="32"/>
        <v/>
      </c>
      <c r="W271" s="197" t="str">
        <f t="shared" si="33"/>
        <v/>
      </c>
      <c r="X271" s="197" t="str">
        <f t="shared" si="34"/>
        <v/>
      </c>
      <c r="Y271" s="197" t="str">
        <f t="shared" si="35"/>
        <v/>
      </c>
      <c r="Z271" s="157" t="e">
        <f t="shared" si="36"/>
        <v>#DIV/0!</v>
      </c>
      <c r="AA271" s="157" t="e">
        <f t="shared" si="37"/>
        <v>#DIV/0!</v>
      </c>
    </row>
    <row r="272" spans="14:27" ht="15">
      <c r="N272" s="194"/>
      <c r="O272" s="195"/>
      <c r="V272" s="196" t="str">
        <f t="shared" si="32"/>
        <v/>
      </c>
      <c r="W272" s="197" t="str">
        <f t="shared" si="33"/>
        <v/>
      </c>
      <c r="X272" s="197" t="str">
        <f t="shared" si="34"/>
        <v/>
      </c>
      <c r="Y272" s="197" t="str">
        <f t="shared" si="35"/>
        <v/>
      </c>
      <c r="Z272" s="157" t="e">
        <f t="shared" si="36"/>
        <v>#DIV/0!</v>
      </c>
      <c r="AA272" s="157" t="e">
        <f t="shared" si="37"/>
        <v>#DIV/0!</v>
      </c>
    </row>
    <row r="273" spans="14:27" ht="15">
      <c r="N273" s="194"/>
      <c r="O273" s="195"/>
      <c r="V273" s="196" t="str">
        <f t="shared" si="32"/>
        <v/>
      </c>
      <c r="W273" s="197" t="str">
        <f t="shared" si="33"/>
        <v/>
      </c>
      <c r="X273" s="197" t="str">
        <f t="shared" si="34"/>
        <v/>
      </c>
      <c r="Y273" s="197" t="str">
        <f t="shared" si="35"/>
        <v/>
      </c>
      <c r="Z273" s="157" t="e">
        <f t="shared" si="36"/>
        <v>#DIV/0!</v>
      </c>
      <c r="AA273" s="157" t="e">
        <f t="shared" si="37"/>
        <v>#DIV/0!</v>
      </c>
    </row>
    <row r="274" spans="14:27" ht="15">
      <c r="N274" s="194"/>
      <c r="O274" s="195"/>
      <c r="V274" s="196" t="str">
        <f t="shared" si="32"/>
        <v/>
      </c>
      <c r="W274" s="197" t="str">
        <f t="shared" si="33"/>
        <v/>
      </c>
      <c r="X274" s="197" t="str">
        <f t="shared" si="34"/>
        <v/>
      </c>
      <c r="Y274" s="197" t="str">
        <f t="shared" si="35"/>
        <v/>
      </c>
      <c r="Z274" s="157" t="e">
        <f t="shared" si="36"/>
        <v>#DIV/0!</v>
      </c>
      <c r="AA274" s="157" t="e">
        <f t="shared" si="37"/>
        <v>#DIV/0!</v>
      </c>
    </row>
    <row r="275" spans="14:27" ht="15">
      <c r="N275" s="194"/>
      <c r="O275" s="195"/>
      <c r="V275" s="196" t="str">
        <f t="shared" si="32"/>
        <v/>
      </c>
      <c r="W275" s="197" t="str">
        <f t="shared" si="33"/>
        <v/>
      </c>
      <c r="X275" s="197" t="str">
        <f t="shared" si="34"/>
        <v/>
      </c>
      <c r="Y275" s="197" t="str">
        <f t="shared" si="35"/>
        <v/>
      </c>
      <c r="Z275" s="157" t="e">
        <f t="shared" si="36"/>
        <v>#DIV/0!</v>
      </c>
      <c r="AA275" s="157" t="e">
        <f t="shared" si="37"/>
        <v>#DIV/0!</v>
      </c>
    </row>
    <row r="276" spans="14:27" ht="15">
      <c r="N276" s="194"/>
      <c r="O276" s="195"/>
      <c r="V276" s="196" t="str">
        <f t="shared" si="32"/>
        <v/>
      </c>
      <c r="W276" s="197" t="str">
        <f t="shared" si="33"/>
        <v/>
      </c>
      <c r="X276" s="197" t="str">
        <f t="shared" si="34"/>
        <v/>
      </c>
      <c r="Y276" s="197" t="str">
        <f t="shared" si="35"/>
        <v/>
      </c>
      <c r="Z276" s="157" t="e">
        <f t="shared" si="36"/>
        <v>#DIV/0!</v>
      </c>
      <c r="AA276" s="157" t="e">
        <f t="shared" si="37"/>
        <v>#DIV/0!</v>
      </c>
    </row>
    <row r="277" spans="14:27" ht="15">
      <c r="N277" s="194"/>
      <c r="O277" s="195"/>
      <c r="V277" s="196" t="str">
        <f t="shared" ref="V277:V340" si="38">IFERROR(IF(AND(1/L277&gt;$V$19,1/L277&lt;=$W$19),1/L277,0),"")</f>
        <v/>
      </c>
      <c r="W277" s="197" t="str">
        <f t="shared" ref="W277:W340" si="39">IFERROR(IF(AND(1/L277&gt;$W$19,1/L277&lt;=$X$19),1/L277,0),"")</f>
        <v/>
      </c>
      <c r="X277" s="197" t="str">
        <f t="shared" ref="X277:X340" si="40">IFERROR(IF(AND(1/L277&gt;$X$19,1/L277&lt;=$Y$19),1/L277,0),"")</f>
        <v/>
      </c>
      <c r="Y277" s="197" t="str">
        <f t="shared" ref="Y277:Y340" si="41">IFERROR(IF(1/L277&gt;$Y$19,1/L277,0),"")</f>
        <v/>
      </c>
      <c r="Z277" s="157" t="e">
        <f t="shared" ref="Z277:Z340" si="42">IF(N277&lt;&gt;"",(N277-$N$17)/1000,1/0)</f>
        <v>#DIV/0!</v>
      </c>
      <c r="AA277" s="157" t="e">
        <f t="shared" ref="AA277:AA340" si="43">IF(O277&lt;&gt;"",(O277-$O$17)/1000,1/0)</f>
        <v>#DIV/0!</v>
      </c>
    </row>
    <row r="278" spans="14:27" ht="15">
      <c r="N278" s="194"/>
      <c r="O278" s="195"/>
      <c r="V278" s="196" t="str">
        <f t="shared" si="38"/>
        <v/>
      </c>
      <c r="W278" s="197" t="str">
        <f t="shared" si="39"/>
        <v/>
      </c>
      <c r="X278" s="197" t="str">
        <f t="shared" si="40"/>
        <v/>
      </c>
      <c r="Y278" s="197" t="str">
        <f t="shared" si="41"/>
        <v/>
      </c>
      <c r="Z278" s="157" t="e">
        <f t="shared" si="42"/>
        <v>#DIV/0!</v>
      </c>
      <c r="AA278" s="157" t="e">
        <f t="shared" si="43"/>
        <v>#DIV/0!</v>
      </c>
    </row>
    <row r="279" spans="14:27" ht="15">
      <c r="N279" s="194"/>
      <c r="O279" s="195"/>
      <c r="V279" s="196" t="str">
        <f t="shared" si="38"/>
        <v/>
      </c>
      <c r="W279" s="197" t="str">
        <f t="shared" si="39"/>
        <v/>
      </c>
      <c r="X279" s="197" t="str">
        <f t="shared" si="40"/>
        <v/>
      </c>
      <c r="Y279" s="197" t="str">
        <f t="shared" si="41"/>
        <v/>
      </c>
      <c r="Z279" s="157" t="e">
        <f t="shared" si="42"/>
        <v>#DIV/0!</v>
      </c>
      <c r="AA279" s="157" t="e">
        <f t="shared" si="43"/>
        <v>#DIV/0!</v>
      </c>
    </row>
    <row r="280" spans="14:27" ht="15">
      <c r="N280" s="194"/>
      <c r="O280" s="195"/>
      <c r="V280" s="196" t="str">
        <f t="shared" si="38"/>
        <v/>
      </c>
      <c r="W280" s="197" t="str">
        <f t="shared" si="39"/>
        <v/>
      </c>
      <c r="X280" s="197" t="str">
        <f t="shared" si="40"/>
        <v/>
      </c>
      <c r="Y280" s="197" t="str">
        <f t="shared" si="41"/>
        <v/>
      </c>
      <c r="Z280" s="157" t="e">
        <f t="shared" si="42"/>
        <v>#DIV/0!</v>
      </c>
      <c r="AA280" s="157" t="e">
        <f t="shared" si="43"/>
        <v>#DIV/0!</v>
      </c>
    </row>
    <row r="281" spans="14:27" ht="15">
      <c r="N281" s="194"/>
      <c r="O281" s="195"/>
      <c r="V281" s="196" t="str">
        <f t="shared" si="38"/>
        <v/>
      </c>
      <c r="W281" s="197" t="str">
        <f t="shared" si="39"/>
        <v/>
      </c>
      <c r="X281" s="197" t="str">
        <f t="shared" si="40"/>
        <v/>
      </c>
      <c r="Y281" s="197" t="str">
        <f t="shared" si="41"/>
        <v/>
      </c>
      <c r="Z281" s="157" t="e">
        <f t="shared" si="42"/>
        <v>#DIV/0!</v>
      </c>
      <c r="AA281" s="157" t="e">
        <f t="shared" si="43"/>
        <v>#DIV/0!</v>
      </c>
    </row>
    <row r="282" spans="14:27" ht="15">
      <c r="N282" s="194"/>
      <c r="O282" s="195"/>
      <c r="V282" s="196" t="str">
        <f t="shared" si="38"/>
        <v/>
      </c>
      <c r="W282" s="197" t="str">
        <f t="shared" si="39"/>
        <v/>
      </c>
      <c r="X282" s="197" t="str">
        <f t="shared" si="40"/>
        <v/>
      </c>
      <c r="Y282" s="197" t="str">
        <f t="shared" si="41"/>
        <v/>
      </c>
      <c r="Z282" s="157" t="e">
        <f t="shared" si="42"/>
        <v>#DIV/0!</v>
      </c>
      <c r="AA282" s="157" t="e">
        <f t="shared" si="43"/>
        <v>#DIV/0!</v>
      </c>
    </row>
    <row r="283" spans="14:27" ht="15">
      <c r="N283" s="194"/>
      <c r="O283" s="195"/>
      <c r="V283" s="196" t="str">
        <f t="shared" si="38"/>
        <v/>
      </c>
      <c r="W283" s="197" t="str">
        <f t="shared" si="39"/>
        <v/>
      </c>
      <c r="X283" s="197" t="str">
        <f t="shared" si="40"/>
        <v/>
      </c>
      <c r="Y283" s="197" t="str">
        <f t="shared" si="41"/>
        <v/>
      </c>
      <c r="Z283" s="157" t="e">
        <f t="shared" si="42"/>
        <v>#DIV/0!</v>
      </c>
      <c r="AA283" s="157" t="e">
        <f t="shared" si="43"/>
        <v>#DIV/0!</v>
      </c>
    </row>
    <row r="284" spans="14:27" ht="15">
      <c r="N284" s="194"/>
      <c r="O284" s="195"/>
      <c r="V284" s="196" t="str">
        <f t="shared" si="38"/>
        <v/>
      </c>
      <c r="W284" s="197" t="str">
        <f t="shared" si="39"/>
        <v/>
      </c>
      <c r="X284" s="197" t="str">
        <f t="shared" si="40"/>
        <v/>
      </c>
      <c r="Y284" s="197" t="str">
        <f t="shared" si="41"/>
        <v/>
      </c>
      <c r="Z284" s="157" t="e">
        <f t="shared" si="42"/>
        <v>#DIV/0!</v>
      </c>
      <c r="AA284" s="157" t="e">
        <f t="shared" si="43"/>
        <v>#DIV/0!</v>
      </c>
    </row>
    <row r="285" spans="14:27" ht="15">
      <c r="N285" s="194"/>
      <c r="O285" s="195"/>
      <c r="V285" s="196" t="str">
        <f t="shared" si="38"/>
        <v/>
      </c>
      <c r="W285" s="197" t="str">
        <f t="shared" si="39"/>
        <v/>
      </c>
      <c r="X285" s="197" t="str">
        <f t="shared" si="40"/>
        <v/>
      </c>
      <c r="Y285" s="197" t="str">
        <f t="shared" si="41"/>
        <v/>
      </c>
      <c r="Z285" s="157" t="e">
        <f t="shared" si="42"/>
        <v>#DIV/0!</v>
      </c>
      <c r="AA285" s="157" t="e">
        <f t="shared" si="43"/>
        <v>#DIV/0!</v>
      </c>
    </row>
    <row r="286" spans="14:27" ht="15">
      <c r="N286" s="194"/>
      <c r="O286" s="195"/>
      <c r="V286" s="196" t="str">
        <f t="shared" si="38"/>
        <v/>
      </c>
      <c r="W286" s="197" t="str">
        <f t="shared" si="39"/>
        <v/>
      </c>
      <c r="X286" s="197" t="str">
        <f t="shared" si="40"/>
        <v/>
      </c>
      <c r="Y286" s="197" t="str">
        <f t="shared" si="41"/>
        <v/>
      </c>
      <c r="Z286" s="157" t="e">
        <f t="shared" si="42"/>
        <v>#DIV/0!</v>
      </c>
      <c r="AA286" s="157" t="e">
        <f t="shared" si="43"/>
        <v>#DIV/0!</v>
      </c>
    </row>
    <row r="287" spans="14:27" ht="15">
      <c r="N287" s="194"/>
      <c r="O287" s="195"/>
      <c r="V287" s="196" t="str">
        <f t="shared" si="38"/>
        <v/>
      </c>
      <c r="W287" s="197" t="str">
        <f t="shared" si="39"/>
        <v/>
      </c>
      <c r="X287" s="197" t="str">
        <f t="shared" si="40"/>
        <v/>
      </c>
      <c r="Y287" s="197" t="str">
        <f t="shared" si="41"/>
        <v/>
      </c>
      <c r="Z287" s="157" t="e">
        <f t="shared" si="42"/>
        <v>#DIV/0!</v>
      </c>
      <c r="AA287" s="157" t="e">
        <f t="shared" si="43"/>
        <v>#DIV/0!</v>
      </c>
    </row>
    <row r="288" spans="14:27" ht="15">
      <c r="N288" s="194"/>
      <c r="O288" s="195"/>
      <c r="V288" s="196" t="str">
        <f t="shared" si="38"/>
        <v/>
      </c>
      <c r="W288" s="197" t="str">
        <f t="shared" si="39"/>
        <v/>
      </c>
      <c r="X288" s="197" t="str">
        <f t="shared" si="40"/>
        <v/>
      </c>
      <c r="Y288" s="197" t="str">
        <f t="shared" si="41"/>
        <v/>
      </c>
      <c r="Z288" s="157" t="e">
        <f t="shared" si="42"/>
        <v>#DIV/0!</v>
      </c>
      <c r="AA288" s="157" t="e">
        <f t="shared" si="43"/>
        <v>#DIV/0!</v>
      </c>
    </row>
    <row r="289" spans="14:27" ht="15">
      <c r="N289" s="194"/>
      <c r="O289" s="195"/>
      <c r="V289" s="196" t="str">
        <f t="shared" si="38"/>
        <v/>
      </c>
      <c r="W289" s="197" t="str">
        <f t="shared" si="39"/>
        <v/>
      </c>
      <c r="X289" s="197" t="str">
        <f t="shared" si="40"/>
        <v/>
      </c>
      <c r="Y289" s="197" t="str">
        <f t="shared" si="41"/>
        <v/>
      </c>
      <c r="Z289" s="157" t="e">
        <f t="shared" si="42"/>
        <v>#DIV/0!</v>
      </c>
      <c r="AA289" s="157" t="e">
        <f t="shared" si="43"/>
        <v>#DIV/0!</v>
      </c>
    </row>
    <row r="290" spans="14:27" ht="15">
      <c r="N290" s="194"/>
      <c r="O290" s="195"/>
      <c r="V290" s="196" t="str">
        <f t="shared" si="38"/>
        <v/>
      </c>
      <c r="W290" s="197" t="str">
        <f t="shared" si="39"/>
        <v/>
      </c>
      <c r="X290" s="197" t="str">
        <f t="shared" si="40"/>
        <v/>
      </c>
      <c r="Y290" s="197" t="str">
        <f t="shared" si="41"/>
        <v/>
      </c>
      <c r="Z290" s="157" t="e">
        <f t="shared" si="42"/>
        <v>#DIV/0!</v>
      </c>
      <c r="AA290" s="157" t="e">
        <f t="shared" si="43"/>
        <v>#DIV/0!</v>
      </c>
    </row>
    <row r="291" spans="14:27" ht="15">
      <c r="N291" s="194"/>
      <c r="O291" s="195"/>
      <c r="V291" s="196" t="str">
        <f t="shared" si="38"/>
        <v/>
      </c>
      <c r="W291" s="197" t="str">
        <f t="shared" si="39"/>
        <v/>
      </c>
      <c r="X291" s="197" t="str">
        <f t="shared" si="40"/>
        <v/>
      </c>
      <c r="Y291" s="197" t="str">
        <f t="shared" si="41"/>
        <v/>
      </c>
      <c r="Z291" s="157" t="e">
        <f t="shared" si="42"/>
        <v>#DIV/0!</v>
      </c>
      <c r="AA291" s="157" t="e">
        <f t="shared" si="43"/>
        <v>#DIV/0!</v>
      </c>
    </row>
    <row r="292" spans="14:27" ht="15">
      <c r="N292" s="194"/>
      <c r="O292" s="195"/>
      <c r="V292" s="196" t="str">
        <f t="shared" si="38"/>
        <v/>
      </c>
      <c r="W292" s="197" t="str">
        <f t="shared" si="39"/>
        <v/>
      </c>
      <c r="X292" s="197" t="str">
        <f t="shared" si="40"/>
        <v/>
      </c>
      <c r="Y292" s="197" t="str">
        <f t="shared" si="41"/>
        <v/>
      </c>
      <c r="Z292" s="157" t="e">
        <f t="shared" si="42"/>
        <v>#DIV/0!</v>
      </c>
      <c r="AA292" s="157" t="e">
        <f t="shared" si="43"/>
        <v>#DIV/0!</v>
      </c>
    </row>
    <row r="293" spans="14:27" ht="15">
      <c r="N293" s="194"/>
      <c r="O293" s="195"/>
      <c r="V293" s="196" t="str">
        <f t="shared" si="38"/>
        <v/>
      </c>
      <c r="W293" s="197" t="str">
        <f t="shared" si="39"/>
        <v/>
      </c>
      <c r="X293" s="197" t="str">
        <f t="shared" si="40"/>
        <v/>
      </c>
      <c r="Y293" s="197" t="str">
        <f t="shared" si="41"/>
        <v/>
      </c>
      <c r="Z293" s="157" t="e">
        <f t="shared" si="42"/>
        <v>#DIV/0!</v>
      </c>
      <c r="AA293" s="157" t="e">
        <f t="shared" si="43"/>
        <v>#DIV/0!</v>
      </c>
    </row>
    <row r="294" spans="14:27" ht="15">
      <c r="N294" s="194"/>
      <c r="O294" s="195"/>
      <c r="V294" s="196" t="str">
        <f t="shared" si="38"/>
        <v/>
      </c>
      <c r="W294" s="197" t="str">
        <f t="shared" si="39"/>
        <v/>
      </c>
      <c r="X294" s="197" t="str">
        <f t="shared" si="40"/>
        <v/>
      </c>
      <c r="Y294" s="197" t="str">
        <f t="shared" si="41"/>
        <v/>
      </c>
      <c r="Z294" s="157" t="e">
        <f t="shared" si="42"/>
        <v>#DIV/0!</v>
      </c>
      <c r="AA294" s="157" t="e">
        <f t="shared" si="43"/>
        <v>#DIV/0!</v>
      </c>
    </row>
    <row r="295" spans="14:27" ht="15">
      <c r="N295" s="194"/>
      <c r="O295" s="195"/>
      <c r="V295" s="196" t="str">
        <f t="shared" si="38"/>
        <v/>
      </c>
      <c r="W295" s="197" t="str">
        <f t="shared" si="39"/>
        <v/>
      </c>
      <c r="X295" s="197" t="str">
        <f t="shared" si="40"/>
        <v/>
      </c>
      <c r="Y295" s="197" t="str">
        <f t="shared" si="41"/>
        <v/>
      </c>
      <c r="Z295" s="157" t="e">
        <f t="shared" si="42"/>
        <v>#DIV/0!</v>
      </c>
      <c r="AA295" s="157" t="e">
        <f t="shared" si="43"/>
        <v>#DIV/0!</v>
      </c>
    </row>
    <row r="296" spans="14:27" ht="15">
      <c r="N296" s="194"/>
      <c r="O296" s="195"/>
      <c r="V296" s="196" t="str">
        <f t="shared" si="38"/>
        <v/>
      </c>
      <c r="W296" s="197" t="str">
        <f t="shared" si="39"/>
        <v/>
      </c>
      <c r="X296" s="197" t="str">
        <f t="shared" si="40"/>
        <v/>
      </c>
      <c r="Y296" s="197" t="str">
        <f t="shared" si="41"/>
        <v/>
      </c>
      <c r="Z296" s="157" t="e">
        <f t="shared" si="42"/>
        <v>#DIV/0!</v>
      </c>
      <c r="AA296" s="157" t="e">
        <f t="shared" si="43"/>
        <v>#DIV/0!</v>
      </c>
    </row>
    <row r="297" spans="14:27" ht="15">
      <c r="N297" s="194"/>
      <c r="O297" s="195"/>
      <c r="V297" s="196" t="str">
        <f t="shared" si="38"/>
        <v/>
      </c>
      <c r="W297" s="197" t="str">
        <f t="shared" si="39"/>
        <v/>
      </c>
      <c r="X297" s="197" t="str">
        <f t="shared" si="40"/>
        <v/>
      </c>
      <c r="Y297" s="197" t="str">
        <f t="shared" si="41"/>
        <v/>
      </c>
      <c r="Z297" s="157" t="e">
        <f t="shared" si="42"/>
        <v>#DIV/0!</v>
      </c>
      <c r="AA297" s="157" t="e">
        <f t="shared" si="43"/>
        <v>#DIV/0!</v>
      </c>
    </row>
    <row r="298" spans="14:27" ht="15">
      <c r="N298" s="194"/>
      <c r="O298" s="195"/>
      <c r="V298" s="196" t="str">
        <f t="shared" si="38"/>
        <v/>
      </c>
      <c r="W298" s="197" t="str">
        <f t="shared" si="39"/>
        <v/>
      </c>
      <c r="X298" s="197" t="str">
        <f t="shared" si="40"/>
        <v/>
      </c>
      <c r="Y298" s="197" t="str">
        <f t="shared" si="41"/>
        <v/>
      </c>
      <c r="Z298" s="157" t="e">
        <f t="shared" si="42"/>
        <v>#DIV/0!</v>
      </c>
      <c r="AA298" s="157" t="e">
        <f t="shared" si="43"/>
        <v>#DIV/0!</v>
      </c>
    </row>
    <row r="299" spans="14:27" ht="15">
      <c r="N299" s="194"/>
      <c r="O299" s="195"/>
      <c r="V299" s="196" t="str">
        <f t="shared" si="38"/>
        <v/>
      </c>
      <c r="W299" s="197" t="str">
        <f t="shared" si="39"/>
        <v/>
      </c>
      <c r="X299" s="197" t="str">
        <f t="shared" si="40"/>
        <v/>
      </c>
      <c r="Y299" s="197" t="str">
        <f t="shared" si="41"/>
        <v/>
      </c>
      <c r="Z299" s="157" t="e">
        <f t="shared" si="42"/>
        <v>#DIV/0!</v>
      </c>
      <c r="AA299" s="157" t="e">
        <f t="shared" si="43"/>
        <v>#DIV/0!</v>
      </c>
    </row>
    <row r="300" spans="14:27" ht="15">
      <c r="N300" s="194"/>
      <c r="O300" s="195"/>
      <c r="V300" s="196" t="str">
        <f t="shared" si="38"/>
        <v/>
      </c>
      <c r="W300" s="197" t="str">
        <f t="shared" si="39"/>
        <v/>
      </c>
      <c r="X300" s="197" t="str">
        <f t="shared" si="40"/>
        <v/>
      </c>
      <c r="Y300" s="197" t="str">
        <f t="shared" si="41"/>
        <v/>
      </c>
      <c r="Z300" s="157" t="e">
        <f t="shared" si="42"/>
        <v>#DIV/0!</v>
      </c>
      <c r="AA300" s="157" t="e">
        <f t="shared" si="43"/>
        <v>#DIV/0!</v>
      </c>
    </row>
    <row r="301" spans="14:27" ht="15">
      <c r="N301" s="194"/>
      <c r="O301" s="195"/>
      <c r="V301" s="196" t="str">
        <f t="shared" si="38"/>
        <v/>
      </c>
      <c r="W301" s="197" t="str">
        <f t="shared" si="39"/>
        <v/>
      </c>
      <c r="X301" s="197" t="str">
        <f t="shared" si="40"/>
        <v/>
      </c>
      <c r="Y301" s="197" t="str">
        <f t="shared" si="41"/>
        <v/>
      </c>
      <c r="Z301" s="157" t="e">
        <f t="shared" si="42"/>
        <v>#DIV/0!</v>
      </c>
      <c r="AA301" s="157" t="e">
        <f t="shared" si="43"/>
        <v>#DIV/0!</v>
      </c>
    </row>
    <row r="302" spans="14:27" ht="15">
      <c r="N302" s="194"/>
      <c r="O302" s="195"/>
      <c r="V302" s="196" t="str">
        <f t="shared" si="38"/>
        <v/>
      </c>
      <c r="W302" s="197" t="str">
        <f t="shared" si="39"/>
        <v/>
      </c>
      <c r="X302" s="197" t="str">
        <f t="shared" si="40"/>
        <v/>
      </c>
      <c r="Y302" s="197" t="str">
        <f t="shared" si="41"/>
        <v/>
      </c>
      <c r="Z302" s="157" t="e">
        <f t="shared" si="42"/>
        <v>#DIV/0!</v>
      </c>
      <c r="AA302" s="157" t="e">
        <f t="shared" si="43"/>
        <v>#DIV/0!</v>
      </c>
    </row>
    <row r="303" spans="14:27" ht="15">
      <c r="N303" s="194"/>
      <c r="O303" s="195"/>
      <c r="V303" s="196" t="str">
        <f t="shared" si="38"/>
        <v/>
      </c>
      <c r="W303" s="197" t="str">
        <f t="shared" si="39"/>
        <v/>
      </c>
      <c r="X303" s="197" t="str">
        <f t="shared" si="40"/>
        <v/>
      </c>
      <c r="Y303" s="197" t="str">
        <f t="shared" si="41"/>
        <v/>
      </c>
      <c r="Z303" s="157" t="e">
        <f t="shared" si="42"/>
        <v>#DIV/0!</v>
      </c>
      <c r="AA303" s="157" t="e">
        <f t="shared" si="43"/>
        <v>#DIV/0!</v>
      </c>
    </row>
    <row r="304" spans="14:27" ht="15">
      <c r="N304" s="194"/>
      <c r="O304" s="195"/>
      <c r="V304" s="196" t="str">
        <f t="shared" si="38"/>
        <v/>
      </c>
      <c r="W304" s="197" t="str">
        <f t="shared" si="39"/>
        <v/>
      </c>
      <c r="X304" s="197" t="str">
        <f t="shared" si="40"/>
        <v/>
      </c>
      <c r="Y304" s="197" t="str">
        <f t="shared" si="41"/>
        <v/>
      </c>
      <c r="Z304" s="157" t="e">
        <f t="shared" si="42"/>
        <v>#DIV/0!</v>
      </c>
      <c r="AA304" s="157" t="e">
        <f t="shared" si="43"/>
        <v>#DIV/0!</v>
      </c>
    </row>
    <row r="305" spans="14:27" ht="15">
      <c r="N305" s="194"/>
      <c r="O305" s="195"/>
      <c r="V305" s="196" t="str">
        <f t="shared" si="38"/>
        <v/>
      </c>
      <c r="W305" s="197" t="str">
        <f t="shared" si="39"/>
        <v/>
      </c>
      <c r="X305" s="197" t="str">
        <f t="shared" si="40"/>
        <v/>
      </c>
      <c r="Y305" s="197" t="str">
        <f t="shared" si="41"/>
        <v/>
      </c>
      <c r="Z305" s="157" t="e">
        <f t="shared" si="42"/>
        <v>#DIV/0!</v>
      </c>
      <c r="AA305" s="157" t="e">
        <f t="shared" si="43"/>
        <v>#DIV/0!</v>
      </c>
    </row>
    <row r="306" spans="14:27" ht="15">
      <c r="N306" s="194"/>
      <c r="O306" s="195"/>
      <c r="V306" s="196" t="str">
        <f t="shared" si="38"/>
        <v/>
      </c>
      <c r="W306" s="197" t="str">
        <f t="shared" si="39"/>
        <v/>
      </c>
      <c r="X306" s="197" t="str">
        <f t="shared" si="40"/>
        <v/>
      </c>
      <c r="Y306" s="197" t="str">
        <f t="shared" si="41"/>
        <v/>
      </c>
      <c r="Z306" s="157" t="e">
        <f t="shared" si="42"/>
        <v>#DIV/0!</v>
      </c>
      <c r="AA306" s="157" t="e">
        <f t="shared" si="43"/>
        <v>#DIV/0!</v>
      </c>
    </row>
    <row r="307" spans="14:27" ht="15">
      <c r="N307" s="194"/>
      <c r="O307" s="195"/>
      <c r="V307" s="196" t="str">
        <f t="shared" si="38"/>
        <v/>
      </c>
      <c r="W307" s="197" t="str">
        <f t="shared" si="39"/>
        <v/>
      </c>
      <c r="X307" s="197" t="str">
        <f t="shared" si="40"/>
        <v/>
      </c>
      <c r="Y307" s="197" t="str">
        <f t="shared" si="41"/>
        <v/>
      </c>
      <c r="Z307" s="157" t="e">
        <f t="shared" si="42"/>
        <v>#DIV/0!</v>
      </c>
      <c r="AA307" s="157" t="e">
        <f t="shared" si="43"/>
        <v>#DIV/0!</v>
      </c>
    </row>
    <row r="308" spans="14:27" ht="15">
      <c r="N308" s="194"/>
      <c r="O308" s="195"/>
      <c r="V308" s="196" t="str">
        <f t="shared" si="38"/>
        <v/>
      </c>
      <c r="W308" s="197" t="str">
        <f t="shared" si="39"/>
        <v/>
      </c>
      <c r="X308" s="197" t="str">
        <f t="shared" si="40"/>
        <v/>
      </c>
      <c r="Y308" s="197" t="str">
        <f t="shared" si="41"/>
        <v/>
      </c>
      <c r="Z308" s="157" t="e">
        <f t="shared" si="42"/>
        <v>#DIV/0!</v>
      </c>
      <c r="AA308" s="157" t="e">
        <f t="shared" si="43"/>
        <v>#DIV/0!</v>
      </c>
    </row>
    <row r="309" spans="14:27" ht="15">
      <c r="N309" s="194"/>
      <c r="O309" s="195"/>
      <c r="V309" s="196" t="str">
        <f t="shared" si="38"/>
        <v/>
      </c>
      <c r="W309" s="197" t="str">
        <f t="shared" si="39"/>
        <v/>
      </c>
      <c r="X309" s="197" t="str">
        <f t="shared" si="40"/>
        <v/>
      </c>
      <c r="Y309" s="197" t="str">
        <f t="shared" si="41"/>
        <v/>
      </c>
      <c r="Z309" s="157" t="e">
        <f t="shared" si="42"/>
        <v>#DIV/0!</v>
      </c>
      <c r="AA309" s="157" t="e">
        <f t="shared" si="43"/>
        <v>#DIV/0!</v>
      </c>
    </row>
    <row r="310" spans="14:27" ht="15">
      <c r="N310" s="194"/>
      <c r="O310" s="195"/>
      <c r="V310" s="196" t="str">
        <f t="shared" si="38"/>
        <v/>
      </c>
      <c r="W310" s="197" t="str">
        <f t="shared" si="39"/>
        <v/>
      </c>
      <c r="X310" s="197" t="str">
        <f t="shared" si="40"/>
        <v/>
      </c>
      <c r="Y310" s="197" t="str">
        <f t="shared" si="41"/>
        <v/>
      </c>
      <c r="Z310" s="157" t="e">
        <f t="shared" si="42"/>
        <v>#DIV/0!</v>
      </c>
      <c r="AA310" s="157" t="e">
        <f t="shared" si="43"/>
        <v>#DIV/0!</v>
      </c>
    </row>
    <row r="311" spans="14:27" ht="15">
      <c r="N311" s="194"/>
      <c r="O311" s="195"/>
      <c r="V311" s="196" t="str">
        <f t="shared" si="38"/>
        <v/>
      </c>
      <c r="W311" s="197" t="str">
        <f t="shared" si="39"/>
        <v/>
      </c>
      <c r="X311" s="197" t="str">
        <f t="shared" si="40"/>
        <v/>
      </c>
      <c r="Y311" s="197" t="str">
        <f t="shared" si="41"/>
        <v/>
      </c>
      <c r="Z311" s="157" t="e">
        <f t="shared" si="42"/>
        <v>#DIV/0!</v>
      </c>
      <c r="AA311" s="157" t="e">
        <f t="shared" si="43"/>
        <v>#DIV/0!</v>
      </c>
    </row>
    <row r="312" spans="14:27" ht="15">
      <c r="N312" s="194"/>
      <c r="O312" s="195"/>
      <c r="V312" s="196" t="str">
        <f t="shared" si="38"/>
        <v/>
      </c>
      <c r="W312" s="197" t="str">
        <f t="shared" si="39"/>
        <v/>
      </c>
      <c r="X312" s="197" t="str">
        <f t="shared" si="40"/>
        <v/>
      </c>
      <c r="Y312" s="197" t="str">
        <f t="shared" si="41"/>
        <v/>
      </c>
      <c r="Z312" s="157" t="e">
        <f t="shared" si="42"/>
        <v>#DIV/0!</v>
      </c>
      <c r="AA312" s="157" t="e">
        <f t="shared" si="43"/>
        <v>#DIV/0!</v>
      </c>
    </row>
    <row r="313" spans="14:27" ht="15">
      <c r="N313" s="194"/>
      <c r="O313" s="195"/>
      <c r="V313" s="196" t="str">
        <f t="shared" si="38"/>
        <v/>
      </c>
      <c r="W313" s="197" t="str">
        <f t="shared" si="39"/>
        <v/>
      </c>
      <c r="X313" s="197" t="str">
        <f t="shared" si="40"/>
        <v/>
      </c>
      <c r="Y313" s="197" t="str">
        <f t="shared" si="41"/>
        <v/>
      </c>
      <c r="Z313" s="157" t="e">
        <f t="shared" si="42"/>
        <v>#DIV/0!</v>
      </c>
      <c r="AA313" s="157" t="e">
        <f t="shared" si="43"/>
        <v>#DIV/0!</v>
      </c>
    </row>
    <row r="314" spans="14:27" ht="15">
      <c r="N314" s="194"/>
      <c r="O314" s="195"/>
      <c r="V314" s="196" t="str">
        <f t="shared" si="38"/>
        <v/>
      </c>
      <c r="W314" s="197" t="str">
        <f t="shared" si="39"/>
        <v/>
      </c>
      <c r="X314" s="197" t="str">
        <f t="shared" si="40"/>
        <v/>
      </c>
      <c r="Y314" s="197" t="str">
        <f t="shared" si="41"/>
        <v/>
      </c>
      <c r="Z314" s="157" t="e">
        <f t="shared" si="42"/>
        <v>#DIV/0!</v>
      </c>
      <c r="AA314" s="157" t="e">
        <f t="shared" si="43"/>
        <v>#DIV/0!</v>
      </c>
    </row>
    <row r="315" spans="14:27" ht="15">
      <c r="N315" s="194"/>
      <c r="O315" s="195"/>
      <c r="V315" s="196" t="str">
        <f t="shared" si="38"/>
        <v/>
      </c>
      <c r="W315" s="197" t="str">
        <f t="shared" si="39"/>
        <v/>
      </c>
      <c r="X315" s="197" t="str">
        <f t="shared" si="40"/>
        <v/>
      </c>
      <c r="Y315" s="197" t="str">
        <f t="shared" si="41"/>
        <v/>
      </c>
      <c r="Z315" s="157" t="e">
        <f t="shared" si="42"/>
        <v>#DIV/0!</v>
      </c>
      <c r="AA315" s="157" t="e">
        <f t="shared" si="43"/>
        <v>#DIV/0!</v>
      </c>
    </row>
    <row r="316" spans="14:27" ht="15">
      <c r="N316" s="194"/>
      <c r="O316" s="195"/>
      <c r="V316" s="196" t="str">
        <f t="shared" si="38"/>
        <v/>
      </c>
      <c r="W316" s="197" t="str">
        <f t="shared" si="39"/>
        <v/>
      </c>
      <c r="X316" s="197" t="str">
        <f t="shared" si="40"/>
        <v/>
      </c>
      <c r="Y316" s="197" t="str">
        <f t="shared" si="41"/>
        <v/>
      </c>
      <c r="Z316" s="157" t="e">
        <f t="shared" si="42"/>
        <v>#DIV/0!</v>
      </c>
      <c r="AA316" s="157" t="e">
        <f t="shared" si="43"/>
        <v>#DIV/0!</v>
      </c>
    </row>
    <row r="317" spans="14:27" ht="15">
      <c r="N317" s="194"/>
      <c r="O317" s="195"/>
      <c r="V317" s="196" t="str">
        <f t="shared" si="38"/>
        <v/>
      </c>
      <c r="W317" s="197" t="str">
        <f t="shared" si="39"/>
        <v/>
      </c>
      <c r="X317" s="197" t="str">
        <f t="shared" si="40"/>
        <v/>
      </c>
      <c r="Y317" s="197" t="str">
        <f t="shared" si="41"/>
        <v/>
      </c>
      <c r="Z317" s="157" t="e">
        <f t="shared" si="42"/>
        <v>#DIV/0!</v>
      </c>
      <c r="AA317" s="157" t="e">
        <f t="shared" si="43"/>
        <v>#DIV/0!</v>
      </c>
    </row>
    <row r="318" spans="14:27" ht="15">
      <c r="N318" s="194"/>
      <c r="O318" s="195"/>
      <c r="V318" s="196" t="str">
        <f t="shared" si="38"/>
        <v/>
      </c>
      <c r="W318" s="197" t="str">
        <f t="shared" si="39"/>
        <v/>
      </c>
      <c r="X318" s="197" t="str">
        <f t="shared" si="40"/>
        <v/>
      </c>
      <c r="Y318" s="197" t="str">
        <f t="shared" si="41"/>
        <v/>
      </c>
      <c r="Z318" s="157" t="e">
        <f t="shared" si="42"/>
        <v>#DIV/0!</v>
      </c>
      <c r="AA318" s="157" t="e">
        <f t="shared" si="43"/>
        <v>#DIV/0!</v>
      </c>
    </row>
    <row r="319" spans="14:27" ht="15">
      <c r="N319" s="194"/>
      <c r="O319" s="195"/>
      <c r="V319" s="196" t="str">
        <f t="shared" si="38"/>
        <v/>
      </c>
      <c r="W319" s="197" t="str">
        <f t="shared" si="39"/>
        <v/>
      </c>
      <c r="X319" s="197" t="str">
        <f t="shared" si="40"/>
        <v/>
      </c>
      <c r="Y319" s="197" t="str">
        <f t="shared" si="41"/>
        <v/>
      </c>
      <c r="Z319" s="157" t="e">
        <f t="shared" si="42"/>
        <v>#DIV/0!</v>
      </c>
      <c r="AA319" s="157" t="e">
        <f t="shared" si="43"/>
        <v>#DIV/0!</v>
      </c>
    </row>
    <row r="320" spans="14:27" ht="15">
      <c r="N320" s="194"/>
      <c r="O320" s="195"/>
      <c r="V320" s="196" t="str">
        <f t="shared" si="38"/>
        <v/>
      </c>
      <c r="W320" s="197" t="str">
        <f t="shared" si="39"/>
        <v/>
      </c>
      <c r="X320" s="197" t="str">
        <f t="shared" si="40"/>
        <v/>
      </c>
      <c r="Y320" s="197" t="str">
        <f t="shared" si="41"/>
        <v/>
      </c>
      <c r="Z320" s="157" t="e">
        <f t="shared" si="42"/>
        <v>#DIV/0!</v>
      </c>
      <c r="AA320" s="157" t="e">
        <f t="shared" si="43"/>
        <v>#DIV/0!</v>
      </c>
    </row>
    <row r="321" spans="14:27" ht="15">
      <c r="N321" s="194"/>
      <c r="O321" s="195"/>
      <c r="V321" s="196" t="str">
        <f t="shared" si="38"/>
        <v/>
      </c>
      <c r="W321" s="197" t="str">
        <f t="shared" si="39"/>
        <v/>
      </c>
      <c r="X321" s="197" t="str">
        <f t="shared" si="40"/>
        <v/>
      </c>
      <c r="Y321" s="197" t="str">
        <f t="shared" si="41"/>
        <v/>
      </c>
      <c r="Z321" s="157" t="e">
        <f t="shared" si="42"/>
        <v>#DIV/0!</v>
      </c>
      <c r="AA321" s="157" t="e">
        <f t="shared" si="43"/>
        <v>#DIV/0!</v>
      </c>
    </row>
    <row r="322" spans="14:27" ht="15">
      <c r="N322" s="194"/>
      <c r="O322" s="195"/>
      <c r="V322" s="196" t="str">
        <f t="shared" si="38"/>
        <v/>
      </c>
      <c r="W322" s="197" t="str">
        <f t="shared" si="39"/>
        <v/>
      </c>
      <c r="X322" s="197" t="str">
        <f t="shared" si="40"/>
        <v/>
      </c>
      <c r="Y322" s="197" t="str">
        <f t="shared" si="41"/>
        <v/>
      </c>
      <c r="Z322" s="157" t="e">
        <f t="shared" si="42"/>
        <v>#DIV/0!</v>
      </c>
      <c r="AA322" s="157" t="e">
        <f t="shared" si="43"/>
        <v>#DIV/0!</v>
      </c>
    </row>
    <row r="323" spans="14:27" ht="15">
      <c r="N323" s="194"/>
      <c r="O323" s="195"/>
      <c r="V323" s="196" t="str">
        <f t="shared" si="38"/>
        <v/>
      </c>
      <c r="W323" s="197" t="str">
        <f t="shared" si="39"/>
        <v/>
      </c>
      <c r="X323" s="197" t="str">
        <f t="shared" si="40"/>
        <v/>
      </c>
      <c r="Y323" s="197" t="str">
        <f t="shared" si="41"/>
        <v/>
      </c>
      <c r="Z323" s="157" t="e">
        <f t="shared" si="42"/>
        <v>#DIV/0!</v>
      </c>
      <c r="AA323" s="157" t="e">
        <f t="shared" si="43"/>
        <v>#DIV/0!</v>
      </c>
    </row>
    <row r="324" spans="14:27" ht="15">
      <c r="N324" s="194"/>
      <c r="O324" s="195"/>
      <c r="V324" s="196" t="str">
        <f t="shared" si="38"/>
        <v/>
      </c>
      <c r="W324" s="197" t="str">
        <f t="shared" si="39"/>
        <v/>
      </c>
      <c r="X324" s="197" t="str">
        <f t="shared" si="40"/>
        <v/>
      </c>
      <c r="Y324" s="197" t="str">
        <f t="shared" si="41"/>
        <v/>
      </c>
      <c r="Z324" s="157" t="e">
        <f t="shared" si="42"/>
        <v>#DIV/0!</v>
      </c>
      <c r="AA324" s="157" t="e">
        <f t="shared" si="43"/>
        <v>#DIV/0!</v>
      </c>
    </row>
    <row r="325" spans="14:27" ht="15">
      <c r="N325" s="194"/>
      <c r="O325" s="195"/>
      <c r="V325" s="196" t="str">
        <f t="shared" si="38"/>
        <v/>
      </c>
      <c r="W325" s="197" t="str">
        <f t="shared" si="39"/>
        <v/>
      </c>
      <c r="X325" s="197" t="str">
        <f t="shared" si="40"/>
        <v/>
      </c>
      <c r="Y325" s="197" t="str">
        <f t="shared" si="41"/>
        <v/>
      </c>
      <c r="Z325" s="157" t="e">
        <f t="shared" si="42"/>
        <v>#DIV/0!</v>
      </c>
      <c r="AA325" s="157" t="e">
        <f t="shared" si="43"/>
        <v>#DIV/0!</v>
      </c>
    </row>
    <row r="326" spans="14:27" ht="15">
      <c r="N326" s="194"/>
      <c r="O326" s="195"/>
      <c r="V326" s="196" t="str">
        <f t="shared" si="38"/>
        <v/>
      </c>
      <c r="W326" s="197" t="str">
        <f t="shared" si="39"/>
        <v/>
      </c>
      <c r="X326" s="197" t="str">
        <f t="shared" si="40"/>
        <v/>
      </c>
      <c r="Y326" s="197" t="str">
        <f t="shared" si="41"/>
        <v/>
      </c>
      <c r="Z326" s="157" t="e">
        <f t="shared" si="42"/>
        <v>#DIV/0!</v>
      </c>
      <c r="AA326" s="157" t="e">
        <f t="shared" si="43"/>
        <v>#DIV/0!</v>
      </c>
    </row>
    <row r="327" spans="14:27" ht="15">
      <c r="N327" s="194"/>
      <c r="O327" s="195"/>
      <c r="V327" s="196" t="str">
        <f t="shared" si="38"/>
        <v/>
      </c>
      <c r="W327" s="197" t="str">
        <f t="shared" si="39"/>
        <v/>
      </c>
      <c r="X327" s="197" t="str">
        <f t="shared" si="40"/>
        <v/>
      </c>
      <c r="Y327" s="197" t="str">
        <f t="shared" si="41"/>
        <v/>
      </c>
      <c r="Z327" s="157" t="e">
        <f t="shared" si="42"/>
        <v>#DIV/0!</v>
      </c>
      <c r="AA327" s="157" t="e">
        <f t="shared" si="43"/>
        <v>#DIV/0!</v>
      </c>
    </row>
    <row r="328" spans="14:27" ht="15">
      <c r="N328" s="194"/>
      <c r="O328" s="195"/>
      <c r="V328" s="196" t="str">
        <f t="shared" si="38"/>
        <v/>
      </c>
      <c r="W328" s="197" t="str">
        <f t="shared" si="39"/>
        <v/>
      </c>
      <c r="X328" s="197" t="str">
        <f t="shared" si="40"/>
        <v/>
      </c>
      <c r="Y328" s="197" t="str">
        <f t="shared" si="41"/>
        <v/>
      </c>
      <c r="Z328" s="157" t="e">
        <f t="shared" si="42"/>
        <v>#DIV/0!</v>
      </c>
      <c r="AA328" s="157" t="e">
        <f t="shared" si="43"/>
        <v>#DIV/0!</v>
      </c>
    </row>
    <row r="329" spans="14:27" ht="15">
      <c r="N329" s="194"/>
      <c r="O329" s="195"/>
      <c r="V329" s="196" t="str">
        <f t="shared" si="38"/>
        <v/>
      </c>
      <c r="W329" s="197" t="str">
        <f t="shared" si="39"/>
        <v/>
      </c>
      <c r="X329" s="197" t="str">
        <f t="shared" si="40"/>
        <v/>
      </c>
      <c r="Y329" s="197" t="str">
        <f t="shared" si="41"/>
        <v/>
      </c>
      <c r="Z329" s="157" t="e">
        <f t="shared" si="42"/>
        <v>#DIV/0!</v>
      </c>
      <c r="AA329" s="157" t="e">
        <f t="shared" si="43"/>
        <v>#DIV/0!</v>
      </c>
    </row>
    <row r="330" spans="14:27" ht="15">
      <c r="N330" s="194"/>
      <c r="O330" s="195"/>
      <c r="V330" s="196" t="str">
        <f t="shared" si="38"/>
        <v/>
      </c>
      <c r="W330" s="197" t="str">
        <f t="shared" si="39"/>
        <v/>
      </c>
      <c r="X330" s="197" t="str">
        <f t="shared" si="40"/>
        <v/>
      </c>
      <c r="Y330" s="197" t="str">
        <f t="shared" si="41"/>
        <v/>
      </c>
      <c r="Z330" s="157" t="e">
        <f t="shared" si="42"/>
        <v>#DIV/0!</v>
      </c>
      <c r="AA330" s="157" t="e">
        <f t="shared" si="43"/>
        <v>#DIV/0!</v>
      </c>
    </row>
    <row r="331" spans="14:27" ht="15">
      <c r="N331" s="194"/>
      <c r="O331" s="195"/>
      <c r="V331" s="196" t="str">
        <f t="shared" si="38"/>
        <v/>
      </c>
      <c r="W331" s="197" t="str">
        <f t="shared" si="39"/>
        <v/>
      </c>
      <c r="X331" s="197" t="str">
        <f t="shared" si="40"/>
        <v/>
      </c>
      <c r="Y331" s="197" t="str">
        <f t="shared" si="41"/>
        <v/>
      </c>
      <c r="Z331" s="157" t="e">
        <f t="shared" si="42"/>
        <v>#DIV/0!</v>
      </c>
      <c r="AA331" s="157" t="e">
        <f t="shared" si="43"/>
        <v>#DIV/0!</v>
      </c>
    </row>
    <row r="332" spans="14:27" ht="15">
      <c r="N332" s="194"/>
      <c r="O332" s="195"/>
      <c r="V332" s="196" t="str">
        <f t="shared" si="38"/>
        <v/>
      </c>
      <c r="W332" s="197" t="str">
        <f t="shared" si="39"/>
        <v/>
      </c>
      <c r="X332" s="197" t="str">
        <f t="shared" si="40"/>
        <v/>
      </c>
      <c r="Y332" s="197" t="str">
        <f t="shared" si="41"/>
        <v/>
      </c>
      <c r="Z332" s="157" t="e">
        <f t="shared" si="42"/>
        <v>#DIV/0!</v>
      </c>
      <c r="AA332" s="157" t="e">
        <f t="shared" si="43"/>
        <v>#DIV/0!</v>
      </c>
    </row>
    <row r="333" spans="14:27" ht="15">
      <c r="N333" s="194"/>
      <c r="O333" s="195"/>
      <c r="V333" s="196" t="str">
        <f t="shared" si="38"/>
        <v/>
      </c>
      <c r="W333" s="197" t="str">
        <f t="shared" si="39"/>
        <v/>
      </c>
      <c r="X333" s="197" t="str">
        <f t="shared" si="40"/>
        <v/>
      </c>
      <c r="Y333" s="197" t="str">
        <f t="shared" si="41"/>
        <v/>
      </c>
      <c r="Z333" s="157" t="e">
        <f t="shared" si="42"/>
        <v>#DIV/0!</v>
      </c>
      <c r="AA333" s="157" t="e">
        <f t="shared" si="43"/>
        <v>#DIV/0!</v>
      </c>
    </row>
    <row r="334" spans="14:27" ht="15">
      <c r="N334" s="194"/>
      <c r="O334" s="195"/>
      <c r="V334" s="196" t="str">
        <f t="shared" si="38"/>
        <v/>
      </c>
      <c r="W334" s="197" t="str">
        <f t="shared" si="39"/>
        <v/>
      </c>
      <c r="X334" s="197" t="str">
        <f t="shared" si="40"/>
        <v/>
      </c>
      <c r="Y334" s="197" t="str">
        <f t="shared" si="41"/>
        <v/>
      </c>
      <c r="Z334" s="157" t="e">
        <f t="shared" si="42"/>
        <v>#DIV/0!</v>
      </c>
      <c r="AA334" s="157" t="e">
        <f t="shared" si="43"/>
        <v>#DIV/0!</v>
      </c>
    </row>
    <row r="335" spans="14:27" ht="15">
      <c r="N335" s="194"/>
      <c r="O335" s="195"/>
      <c r="V335" s="196" t="str">
        <f t="shared" si="38"/>
        <v/>
      </c>
      <c r="W335" s="197" t="str">
        <f t="shared" si="39"/>
        <v/>
      </c>
      <c r="X335" s="197" t="str">
        <f t="shared" si="40"/>
        <v/>
      </c>
      <c r="Y335" s="197" t="str">
        <f t="shared" si="41"/>
        <v/>
      </c>
      <c r="Z335" s="157" t="e">
        <f t="shared" si="42"/>
        <v>#DIV/0!</v>
      </c>
      <c r="AA335" s="157" t="e">
        <f t="shared" si="43"/>
        <v>#DIV/0!</v>
      </c>
    </row>
    <row r="336" spans="14:27" ht="15">
      <c r="N336" s="194"/>
      <c r="O336" s="195"/>
      <c r="V336" s="196" t="str">
        <f t="shared" si="38"/>
        <v/>
      </c>
      <c r="W336" s="197" t="str">
        <f t="shared" si="39"/>
        <v/>
      </c>
      <c r="X336" s="197" t="str">
        <f t="shared" si="40"/>
        <v/>
      </c>
      <c r="Y336" s="197" t="str">
        <f t="shared" si="41"/>
        <v/>
      </c>
      <c r="Z336" s="157" t="e">
        <f t="shared" si="42"/>
        <v>#DIV/0!</v>
      </c>
      <c r="AA336" s="157" t="e">
        <f t="shared" si="43"/>
        <v>#DIV/0!</v>
      </c>
    </row>
    <row r="337" spans="14:27" ht="15">
      <c r="N337" s="194"/>
      <c r="O337" s="195"/>
      <c r="V337" s="196" t="str">
        <f t="shared" si="38"/>
        <v/>
      </c>
      <c r="W337" s="197" t="str">
        <f t="shared" si="39"/>
        <v/>
      </c>
      <c r="X337" s="197" t="str">
        <f t="shared" si="40"/>
        <v/>
      </c>
      <c r="Y337" s="197" t="str">
        <f t="shared" si="41"/>
        <v/>
      </c>
      <c r="Z337" s="157" t="e">
        <f t="shared" si="42"/>
        <v>#DIV/0!</v>
      </c>
      <c r="AA337" s="157" t="e">
        <f t="shared" si="43"/>
        <v>#DIV/0!</v>
      </c>
    </row>
    <row r="338" spans="14:27" ht="15">
      <c r="N338" s="194"/>
      <c r="O338" s="195"/>
      <c r="V338" s="196" t="str">
        <f t="shared" si="38"/>
        <v/>
      </c>
      <c r="W338" s="197" t="str">
        <f t="shared" si="39"/>
        <v/>
      </c>
      <c r="X338" s="197" t="str">
        <f t="shared" si="40"/>
        <v/>
      </c>
      <c r="Y338" s="197" t="str">
        <f t="shared" si="41"/>
        <v/>
      </c>
      <c r="Z338" s="157" t="e">
        <f t="shared" si="42"/>
        <v>#DIV/0!</v>
      </c>
      <c r="AA338" s="157" t="e">
        <f t="shared" si="43"/>
        <v>#DIV/0!</v>
      </c>
    </row>
    <row r="339" spans="14:27" ht="15">
      <c r="N339" s="194"/>
      <c r="O339" s="195"/>
      <c r="V339" s="196" t="str">
        <f t="shared" si="38"/>
        <v/>
      </c>
      <c r="W339" s="197" t="str">
        <f t="shared" si="39"/>
        <v/>
      </c>
      <c r="X339" s="197" t="str">
        <f t="shared" si="40"/>
        <v/>
      </c>
      <c r="Y339" s="197" t="str">
        <f t="shared" si="41"/>
        <v/>
      </c>
      <c r="Z339" s="157" t="e">
        <f t="shared" si="42"/>
        <v>#DIV/0!</v>
      </c>
      <c r="AA339" s="157" t="e">
        <f t="shared" si="43"/>
        <v>#DIV/0!</v>
      </c>
    </row>
    <row r="340" spans="14:27" ht="15">
      <c r="N340" s="194"/>
      <c r="O340" s="195"/>
      <c r="V340" s="196" t="str">
        <f t="shared" si="38"/>
        <v/>
      </c>
      <c r="W340" s="197" t="str">
        <f t="shared" si="39"/>
        <v/>
      </c>
      <c r="X340" s="197" t="str">
        <f t="shared" si="40"/>
        <v/>
      </c>
      <c r="Y340" s="197" t="str">
        <f t="shared" si="41"/>
        <v/>
      </c>
      <c r="Z340" s="157" t="e">
        <f t="shared" si="42"/>
        <v>#DIV/0!</v>
      </c>
      <c r="AA340" s="157" t="e">
        <f t="shared" si="43"/>
        <v>#DIV/0!</v>
      </c>
    </row>
    <row r="341" spans="14:27" ht="15">
      <c r="N341" s="194"/>
      <c r="O341" s="195"/>
      <c r="V341" s="196" t="str">
        <f t="shared" ref="V341:V404" si="44">IFERROR(IF(AND(1/L341&gt;$V$19,1/L341&lt;=$W$19),1/L341,0),"")</f>
        <v/>
      </c>
      <c r="W341" s="197" t="str">
        <f t="shared" ref="W341:W404" si="45">IFERROR(IF(AND(1/L341&gt;$W$19,1/L341&lt;=$X$19),1/L341,0),"")</f>
        <v/>
      </c>
      <c r="X341" s="197" t="str">
        <f t="shared" ref="X341:X404" si="46">IFERROR(IF(AND(1/L341&gt;$X$19,1/L341&lt;=$Y$19),1/L341,0),"")</f>
        <v/>
      </c>
      <c r="Y341" s="197" t="str">
        <f t="shared" ref="Y341:Y404" si="47">IFERROR(IF(1/L341&gt;$Y$19,1/L341,0),"")</f>
        <v/>
      </c>
      <c r="Z341" s="157" t="e">
        <f t="shared" ref="Z341:Z404" si="48">IF(N341&lt;&gt;"",(N341-$N$17)/1000,1/0)</f>
        <v>#DIV/0!</v>
      </c>
      <c r="AA341" s="157" t="e">
        <f t="shared" ref="AA341:AA404" si="49">IF(O341&lt;&gt;"",(O341-$O$17)/1000,1/0)</f>
        <v>#DIV/0!</v>
      </c>
    </row>
    <row r="342" spans="14:27" ht="15">
      <c r="N342" s="194"/>
      <c r="O342" s="195"/>
      <c r="V342" s="196" t="str">
        <f t="shared" si="44"/>
        <v/>
      </c>
      <c r="W342" s="197" t="str">
        <f t="shared" si="45"/>
        <v/>
      </c>
      <c r="X342" s="197" t="str">
        <f t="shared" si="46"/>
        <v/>
      </c>
      <c r="Y342" s="197" t="str">
        <f t="shared" si="47"/>
        <v/>
      </c>
      <c r="Z342" s="157" t="e">
        <f t="shared" si="48"/>
        <v>#DIV/0!</v>
      </c>
      <c r="AA342" s="157" t="e">
        <f t="shared" si="49"/>
        <v>#DIV/0!</v>
      </c>
    </row>
    <row r="343" spans="14:27" ht="15">
      <c r="N343" s="194"/>
      <c r="O343" s="195"/>
      <c r="V343" s="196" t="str">
        <f t="shared" si="44"/>
        <v/>
      </c>
      <c r="W343" s="197" t="str">
        <f t="shared" si="45"/>
        <v/>
      </c>
      <c r="X343" s="197" t="str">
        <f t="shared" si="46"/>
        <v/>
      </c>
      <c r="Y343" s="197" t="str">
        <f t="shared" si="47"/>
        <v/>
      </c>
      <c r="Z343" s="157" t="e">
        <f t="shared" si="48"/>
        <v>#DIV/0!</v>
      </c>
      <c r="AA343" s="157" t="e">
        <f t="shared" si="49"/>
        <v>#DIV/0!</v>
      </c>
    </row>
    <row r="344" spans="14:27" ht="15">
      <c r="N344" s="194"/>
      <c r="O344" s="195"/>
      <c r="V344" s="196" t="str">
        <f t="shared" si="44"/>
        <v/>
      </c>
      <c r="W344" s="197" t="str">
        <f t="shared" si="45"/>
        <v/>
      </c>
      <c r="X344" s="197" t="str">
        <f t="shared" si="46"/>
        <v/>
      </c>
      <c r="Y344" s="197" t="str">
        <f t="shared" si="47"/>
        <v/>
      </c>
      <c r="Z344" s="157" t="e">
        <f t="shared" si="48"/>
        <v>#DIV/0!</v>
      </c>
      <c r="AA344" s="157" t="e">
        <f t="shared" si="49"/>
        <v>#DIV/0!</v>
      </c>
    </row>
    <row r="345" spans="14:27" ht="15">
      <c r="N345" s="194"/>
      <c r="O345" s="195"/>
      <c r="V345" s="196" t="str">
        <f t="shared" si="44"/>
        <v/>
      </c>
      <c r="W345" s="197" t="str">
        <f t="shared" si="45"/>
        <v/>
      </c>
      <c r="X345" s="197" t="str">
        <f t="shared" si="46"/>
        <v/>
      </c>
      <c r="Y345" s="197" t="str">
        <f t="shared" si="47"/>
        <v/>
      </c>
      <c r="Z345" s="157" t="e">
        <f t="shared" si="48"/>
        <v>#DIV/0!</v>
      </c>
      <c r="AA345" s="157" t="e">
        <f t="shared" si="49"/>
        <v>#DIV/0!</v>
      </c>
    </row>
    <row r="346" spans="14:27" ht="15">
      <c r="N346" s="194"/>
      <c r="O346" s="195"/>
      <c r="V346" s="196" t="str">
        <f t="shared" si="44"/>
        <v/>
      </c>
      <c r="W346" s="197" t="str">
        <f t="shared" si="45"/>
        <v/>
      </c>
      <c r="X346" s="197" t="str">
        <f t="shared" si="46"/>
        <v/>
      </c>
      <c r="Y346" s="197" t="str">
        <f t="shared" si="47"/>
        <v/>
      </c>
      <c r="Z346" s="157" t="e">
        <f t="shared" si="48"/>
        <v>#DIV/0!</v>
      </c>
      <c r="AA346" s="157" t="e">
        <f t="shared" si="49"/>
        <v>#DIV/0!</v>
      </c>
    </row>
    <row r="347" spans="14:27" ht="15">
      <c r="N347" s="194"/>
      <c r="O347" s="195"/>
      <c r="V347" s="196" t="str">
        <f t="shared" si="44"/>
        <v/>
      </c>
      <c r="W347" s="197" t="str">
        <f t="shared" si="45"/>
        <v/>
      </c>
      <c r="X347" s="197" t="str">
        <f t="shared" si="46"/>
        <v/>
      </c>
      <c r="Y347" s="197" t="str">
        <f t="shared" si="47"/>
        <v/>
      </c>
      <c r="Z347" s="157" t="e">
        <f t="shared" si="48"/>
        <v>#DIV/0!</v>
      </c>
      <c r="AA347" s="157" t="e">
        <f t="shared" si="49"/>
        <v>#DIV/0!</v>
      </c>
    </row>
    <row r="348" spans="14:27" ht="15">
      <c r="N348" s="194"/>
      <c r="O348" s="195"/>
      <c r="V348" s="196" t="str">
        <f t="shared" si="44"/>
        <v/>
      </c>
      <c r="W348" s="197" t="str">
        <f t="shared" si="45"/>
        <v/>
      </c>
      <c r="X348" s="197" t="str">
        <f t="shared" si="46"/>
        <v/>
      </c>
      <c r="Y348" s="197" t="str">
        <f t="shared" si="47"/>
        <v/>
      </c>
      <c r="Z348" s="157" t="e">
        <f t="shared" si="48"/>
        <v>#DIV/0!</v>
      </c>
      <c r="AA348" s="157" t="e">
        <f t="shared" si="49"/>
        <v>#DIV/0!</v>
      </c>
    </row>
    <row r="349" spans="14:27" ht="15">
      <c r="N349" s="194"/>
      <c r="O349" s="195"/>
      <c r="V349" s="196" t="str">
        <f t="shared" si="44"/>
        <v/>
      </c>
      <c r="W349" s="197" t="str">
        <f t="shared" si="45"/>
        <v/>
      </c>
      <c r="X349" s="197" t="str">
        <f t="shared" si="46"/>
        <v/>
      </c>
      <c r="Y349" s="197" t="str">
        <f t="shared" si="47"/>
        <v/>
      </c>
      <c r="Z349" s="157" t="e">
        <f t="shared" si="48"/>
        <v>#DIV/0!</v>
      </c>
      <c r="AA349" s="157" t="e">
        <f t="shared" si="49"/>
        <v>#DIV/0!</v>
      </c>
    </row>
    <row r="350" spans="14:27" ht="15">
      <c r="N350" s="194"/>
      <c r="O350" s="195"/>
      <c r="V350" s="196" t="str">
        <f t="shared" si="44"/>
        <v/>
      </c>
      <c r="W350" s="197" t="str">
        <f t="shared" si="45"/>
        <v/>
      </c>
      <c r="X350" s="197" t="str">
        <f t="shared" si="46"/>
        <v/>
      </c>
      <c r="Y350" s="197" t="str">
        <f t="shared" si="47"/>
        <v/>
      </c>
      <c r="Z350" s="157" t="e">
        <f t="shared" si="48"/>
        <v>#DIV/0!</v>
      </c>
      <c r="AA350" s="157" t="e">
        <f t="shared" si="49"/>
        <v>#DIV/0!</v>
      </c>
    </row>
    <row r="351" spans="14:27" ht="15">
      <c r="N351" s="194"/>
      <c r="O351" s="195"/>
      <c r="V351" s="196" t="str">
        <f t="shared" si="44"/>
        <v/>
      </c>
      <c r="W351" s="197" t="str">
        <f t="shared" si="45"/>
        <v/>
      </c>
      <c r="X351" s="197" t="str">
        <f t="shared" si="46"/>
        <v/>
      </c>
      <c r="Y351" s="197" t="str">
        <f t="shared" si="47"/>
        <v/>
      </c>
      <c r="Z351" s="157" t="e">
        <f t="shared" si="48"/>
        <v>#DIV/0!</v>
      </c>
      <c r="AA351" s="157" t="e">
        <f t="shared" si="49"/>
        <v>#DIV/0!</v>
      </c>
    </row>
    <row r="352" spans="14:27" ht="15">
      <c r="N352" s="194"/>
      <c r="O352" s="195"/>
      <c r="V352" s="196" t="str">
        <f t="shared" si="44"/>
        <v/>
      </c>
      <c r="W352" s="197" t="str">
        <f t="shared" si="45"/>
        <v/>
      </c>
      <c r="X352" s="197" t="str">
        <f t="shared" si="46"/>
        <v/>
      </c>
      <c r="Y352" s="197" t="str">
        <f t="shared" si="47"/>
        <v/>
      </c>
      <c r="Z352" s="157" t="e">
        <f t="shared" si="48"/>
        <v>#DIV/0!</v>
      </c>
      <c r="AA352" s="157" t="e">
        <f t="shared" si="49"/>
        <v>#DIV/0!</v>
      </c>
    </row>
    <row r="353" spans="14:27" ht="15">
      <c r="N353" s="194"/>
      <c r="O353" s="195"/>
      <c r="V353" s="196" t="str">
        <f t="shared" si="44"/>
        <v/>
      </c>
      <c r="W353" s="197" t="str">
        <f t="shared" si="45"/>
        <v/>
      </c>
      <c r="X353" s="197" t="str">
        <f t="shared" si="46"/>
        <v/>
      </c>
      <c r="Y353" s="197" t="str">
        <f t="shared" si="47"/>
        <v/>
      </c>
      <c r="Z353" s="157" t="e">
        <f t="shared" si="48"/>
        <v>#DIV/0!</v>
      </c>
      <c r="AA353" s="157" t="e">
        <f t="shared" si="49"/>
        <v>#DIV/0!</v>
      </c>
    </row>
    <row r="354" spans="14:27" ht="15">
      <c r="N354" s="194"/>
      <c r="O354" s="195"/>
      <c r="V354" s="196" t="str">
        <f t="shared" si="44"/>
        <v/>
      </c>
      <c r="W354" s="197" t="str">
        <f t="shared" si="45"/>
        <v/>
      </c>
      <c r="X354" s="197" t="str">
        <f t="shared" si="46"/>
        <v/>
      </c>
      <c r="Y354" s="197" t="str">
        <f t="shared" si="47"/>
        <v/>
      </c>
      <c r="Z354" s="157" t="e">
        <f t="shared" si="48"/>
        <v>#DIV/0!</v>
      </c>
      <c r="AA354" s="157" t="e">
        <f t="shared" si="49"/>
        <v>#DIV/0!</v>
      </c>
    </row>
    <row r="355" spans="14:27" ht="15">
      <c r="N355" s="194"/>
      <c r="O355" s="195"/>
      <c r="V355" s="196" t="str">
        <f t="shared" si="44"/>
        <v/>
      </c>
      <c r="W355" s="197" t="str">
        <f t="shared" si="45"/>
        <v/>
      </c>
      <c r="X355" s="197" t="str">
        <f t="shared" si="46"/>
        <v/>
      </c>
      <c r="Y355" s="197" t="str">
        <f t="shared" si="47"/>
        <v/>
      </c>
      <c r="Z355" s="157" t="e">
        <f t="shared" si="48"/>
        <v>#DIV/0!</v>
      </c>
      <c r="AA355" s="157" t="e">
        <f t="shared" si="49"/>
        <v>#DIV/0!</v>
      </c>
    </row>
    <row r="356" spans="14:27" ht="15">
      <c r="N356" s="194"/>
      <c r="O356" s="195"/>
      <c r="V356" s="196" t="str">
        <f t="shared" si="44"/>
        <v/>
      </c>
      <c r="W356" s="197" t="str">
        <f t="shared" si="45"/>
        <v/>
      </c>
      <c r="X356" s="197" t="str">
        <f t="shared" si="46"/>
        <v/>
      </c>
      <c r="Y356" s="197" t="str">
        <f t="shared" si="47"/>
        <v/>
      </c>
      <c r="Z356" s="157" t="e">
        <f t="shared" si="48"/>
        <v>#DIV/0!</v>
      </c>
      <c r="AA356" s="157" t="e">
        <f t="shared" si="49"/>
        <v>#DIV/0!</v>
      </c>
    </row>
    <row r="357" spans="14:27" ht="15">
      <c r="N357" s="194"/>
      <c r="O357" s="195"/>
      <c r="V357" s="196" t="str">
        <f t="shared" si="44"/>
        <v/>
      </c>
      <c r="W357" s="197" t="str">
        <f t="shared" si="45"/>
        <v/>
      </c>
      <c r="X357" s="197" t="str">
        <f t="shared" si="46"/>
        <v/>
      </c>
      <c r="Y357" s="197" t="str">
        <f t="shared" si="47"/>
        <v/>
      </c>
      <c r="Z357" s="157" t="e">
        <f t="shared" si="48"/>
        <v>#DIV/0!</v>
      </c>
      <c r="AA357" s="157" t="e">
        <f t="shared" si="49"/>
        <v>#DIV/0!</v>
      </c>
    </row>
    <row r="358" spans="14:27" ht="15">
      <c r="N358" s="194"/>
      <c r="O358" s="195"/>
      <c r="V358" s="196" t="str">
        <f t="shared" si="44"/>
        <v/>
      </c>
      <c r="W358" s="197" t="str">
        <f t="shared" si="45"/>
        <v/>
      </c>
      <c r="X358" s="197" t="str">
        <f t="shared" si="46"/>
        <v/>
      </c>
      <c r="Y358" s="197" t="str">
        <f t="shared" si="47"/>
        <v/>
      </c>
      <c r="Z358" s="157" t="e">
        <f t="shared" si="48"/>
        <v>#DIV/0!</v>
      </c>
      <c r="AA358" s="157" t="e">
        <f t="shared" si="49"/>
        <v>#DIV/0!</v>
      </c>
    </row>
    <row r="359" spans="14:27" ht="15">
      <c r="N359" s="194"/>
      <c r="O359" s="195"/>
      <c r="V359" s="196" t="str">
        <f t="shared" si="44"/>
        <v/>
      </c>
      <c r="W359" s="197" t="str">
        <f t="shared" si="45"/>
        <v/>
      </c>
      <c r="X359" s="197" t="str">
        <f t="shared" si="46"/>
        <v/>
      </c>
      <c r="Y359" s="197" t="str">
        <f t="shared" si="47"/>
        <v/>
      </c>
      <c r="Z359" s="157" t="e">
        <f t="shared" si="48"/>
        <v>#DIV/0!</v>
      </c>
      <c r="AA359" s="157" t="e">
        <f t="shared" si="49"/>
        <v>#DIV/0!</v>
      </c>
    </row>
    <row r="360" spans="14:27" ht="15">
      <c r="N360" s="194"/>
      <c r="O360" s="195"/>
      <c r="V360" s="196" t="str">
        <f t="shared" si="44"/>
        <v/>
      </c>
      <c r="W360" s="197" t="str">
        <f t="shared" si="45"/>
        <v/>
      </c>
      <c r="X360" s="197" t="str">
        <f t="shared" si="46"/>
        <v/>
      </c>
      <c r="Y360" s="197" t="str">
        <f t="shared" si="47"/>
        <v/>
      </c>
      <c r="Z360" s="157" t="e">
        <f t="shared" si="48"/>
        <v>#DIV/0!</v>
      </c>
      <c r="AA360" s="157" t="e">
        <f t="shared" si="49"/>
        <v>#DIV/0!</v>
      </c>
    </row>
    <row r="361" spans="14:27" ht="15">
      <c r="N361" s="194"/>
      <c r="O361" s="195"/>
      <c r="V361" s="196" t="str">
        <f t="shared" si="44"/>
        <v/>
      </c>
      <c r="W361" s="197" t="str">
        <f t="shared" si="45"/>
        <v/>
      </c>
      <c r="X361" s="197" t="str">
        <f t="shared" si="46"/>
        <v/>
      </c>
      <c r="Y361" s="197" t="str">
        <f t="shared" si="47"/>
        <v/>
      </c>
      <c r="Z361" s="157" t="e">
        <f t="shared" si="48"/>
        <v>#DIV/0!</v>
      </c>
      <c r="AA361" s="157" t="e">
        <f t="shared" si="49"/>
        <v>#DIV/0!</v>
      </c>
    </row>
    <row r="362" spans="14:27" ht="15">
      <c r="N362" s="194"/>
      <c r="O362" s="195"/>
      <c r="V362" s="196" t="str">
        <f t="shared" si="44"/>
        <v/>
      </c>
      <c r="W362" s="197" t="str">
        <f t="shared" si="45"/>
        <v/>
      </c>
      <c r="X362" s="197" t="str">
        <f t="shared" si="46"/>
        <v/>
      </c>
      <c r="Y362" s="197" t="str">
        <f t="shared" si="47"/>
        <v/>
      </c>
      <c r="Z362" s="157" t="e">
        <f t="shared" si="48"/>
        <v>#DIV/0!</v>
      </c>
      <c r="AA362" s="157" t="e">
        <f t="shared" si="49"/>
        <v>#DIV/0!</v>
      </c>
    </row>
    <row r="363" spans="14:27" ht="15">
      <c r="N363" s="194"/>
      <c r="O363" s="195"/>
      <c r="V363" s="196" t="str">
        <f t="shared" si="44"/>
        <v/>
      </c>
      <c r="W363" s="197" t="str">
        <f t="shared" si="45"/>
        <v/>
      </c>
      <c r="X363" s="197" t="str">
        <f t="shared" si="46"/>
        <v/>
      </c>
      <c r="Y363" s="197" t="str">
        <f t="shared" si="47"/>
        <v/>
      </c>
      <c r="Z363" s="157" t="e">
        <f t="shared" si="48"/>
        <v>#DIV/0!</v>
      </c>
      <c r="AA363" s="157" t="e">
        <f t="shared" si="49"/>
        <v>#DIV/0!</v>
      </c>
    </row>
    <row r="364" spans="14:27" ht="15">
      <c r="N364" s="194"/>
      <c r="O364" s="195"/>
      <c r="V364" s="196" t="str">
        <f t="shared" si="44"/>
        <v/>
      </c>
      <c r="W364" s="197" t="str">
        <f t="shared" si="45"/>
        <v/>
      </c>
      <c r="X364" s="197" t="str">
        <f t="shared" si="46"/>
        <v/>
      </c>
      <c r="Y364" s="197" t="str">
        <f t="shared" si="47"/>
        <v/>
      </c>
      <c r="Z364" s="157" t="e">
        <f t="shared" si="48"/>
        <v>#DIV/0!</v>
      </c>
      <c r="AA364" s="157" t="e">
        <f t="shared" si="49"/>
        <v>#DIV/0!</v>
      </c>
    </row>
    <row r="365" spans="14:27" ht="15">
      <c r="N365" s="194"/>
      <c r="O365" s="195"/>
      <c r="V365" s="196" t="str">
        <f t="shared" si="44"/>
        <v/>
      </c>
      <c r="W365" s="197" t="str">
        <f t="shared" si="45"/>
        <v/>
      </c>
      <c r="X365" s="197" t="str">
        <f t="shared" si="46"/>
        <v/>
      </c>
      <c r="Y365" s="197" t="str">
        <f t="shared" si="47"/>
        <v/>
      </c>
      <c r="Z365" s="157" t="e">
        <f t="shared" si="48"/>
        <v>#DIV/0!</v>
      </c>
      <c r="AA365" s="157" t="e">
        <f t="shared" si="49"/>
        <v>#DIV/0!</v>
      </c>
    </row>
    <row r="366" spans="14:27" ht="15">
      <c r="N366" s="194"/>
      <c r="O366" s="195"/>
      <c r="V366" s="196" t="str">
        <f t="shared" si="44"/>
        <v/>
      </c>
      <c r="W366" s="197" t="str">
        <f t="shared" si="45"/>
        <v/>
      </c>
      <c r="X366" s="197" t="str">
        <f t="shared" si="46"/>
        <v/>
      </c>
      <c r="Y366" s="197" t="str">
        <f t="shared" si="47"/>
        <v/>
      </c>
      <c r="Z366" s="157" t="e">
        <f t="shared" si="48"/>
        <v>#DIV/0!</v>
      </c>
      <c r="AA366" s="157" t="e">
        <f t="shared" si="49"/>
        <v>#DIV/0!</v>
      </c>
    </row>
    <row r="367" spans="14:27" ht="15">
      <c r="N367" s="194"/>
      <c r="O367" s="195"/>
      <c r="V367" s="196" t="str">
        <f t="shared" si="44"/>
        <v/>
      </c>
      <c r="W367" s="197" t="str">
        <f t="shared" si="45"/>
        <v/>
      </c>
      <c r="X367" s="197" t="str">
        <f t="shared" si="46"/>
        <v/>
      </c>
      <c r="Y367" s="197" t="str">
        <f t="shared" si="47"/>
        <v/>
      </c>
      <c r="Z367" s="157" t="e">
        <f t="shared" si="48"/>
        <v>#DIV/0!</v>
      </c>
      <c r="AA367" s="157" t="e">
        <f t="shared" si="49"/>
        <v>#DIV/0!</v>
      </c>
    </row>
    <row r="368" spans="14:27" ht="15">
      <c r="N368" s="194"/>
      <c r="O368" s="195"/>
      <c r="V368" s="196" t="str">
        <f t="shared" si="44"/>
        <v/>
      </c>
      <c r="W368" s="197" t="str">
        <f t="shared" si="45"/>
        <v/>
      </c>
      <c r="X368" s="197" t="str">
        <f t="shared" si="46"/>
        <v/>
      </c>
      <c r="Y368" s="197" t="str">
        <f t="shared" si="47"/>
        <v/>
      </c>
      <c r="Z368" s="157" t="e">
        <f t="shared" si="48"/>
        <v>#DIV/0!</v>
      </c>
      <c r="AA368" s="157" t="e">
        <f t="shared" si="49"/>
        <v>#DIV/0!</v>
      </c>
    </row>
    <row r="369" spans="14:27" ht="15">
      <c r="N369" s="194"/>
      <c r="O369" s="195"/>
      <c r="V369" s="196" t="str">
        <f t="shared" si="44"/>
        <v/>
      </c>
      <c r="W369" s="197" t="str">
        <f t="shared" si="45"/>
        <v/>
      </c>
      <c r="X369" s="197" t="str">
        <f t="shared" si="46"/>
        <v/>
      </c>
      <c r="Y369" s="197" t="str">
        <f t="shared" si="47"/>
        <v/>
      </c>
      <c r="Z369" s="157" t="e">
        <f t="shared" si="48"/>
        <v>#DIV/0!</v>
      </c>
      <c r="AA369" s="157" t="e">
        <f t="shared" si="49"/>
        <v>#DIV/0!</v>
      </c>
    </row>
    <row r="370" spans="14:27" ht="15">
      <c r="N370" s="194"/>
      <c r="O370" s="195"/>
      <c r="V370" s="196" t="str">
        <f t="shared" si="44"/>
        <v/>
      </c>
      <c r="W370" s="197" t="str">
        <f t="shared" si="45"/>
        <v/>
      </c>
      <c r="X370" s="197" t="str">
        <f t="shared" si="46"/>
        <v/>
      </c>
      <c r="Y370" s="197" t="str">
        <f t="shared" si="47"/>
        <v/>
      </c>
      <c r="Z370" s="157" t="e">
        <f t="shared" si="48"/>
        <v>#DIV/0!</v>
      </c>
      <c r="AA370" s="157" t="e">
        <f t="shared" si="49"/>
        <v>#DIV/0!</v>
      </c>
    </row>
    <row r="371" spans="14:27" ht="15">
      <c r="N371" s="194"/>
      <c r="O371" s="195"/>
      <c r="V371" s="196" t="str">
        <f t="shared" si="44"/>
        <v/>
      </c>
      <c r="W371" s="197" t="str">
        <f t="shared" si="45"/>
        <v/>
      </c>
      <c r="X371" s="197" t="str">
        <f t="shared" si="46"/>
        <v/>
      </c>
      <c r="Y371" s="197" t="str">
        <f t="shared" si="47"/>
        <v/>
      </c>
      <c r="Z371" s="157" t="e">
        <f t="shared" si="48"/>
        <v>#DIV/0!</v>
      </c>
      <c r="AA371" s="157" t="e">
        <f t="shared" si="49"/>
        <v>#DIV/0!</v>
      </c>
    </row>
    <row r="372" spans="14:27" ht="15">
      <c r="N372" s="194"/>
      <c r="O372" s="195"/>
      <c r="V372" s="196" t="str">
        <f t="shared" si="44"/>
        <v/>
      </c>
      <c r="W372" s="197" t="str">
        <f t="shared" si="45"/>
        <v/>
      </c>
      <c r="X372" s="197" t="str">
        <f t="shared" si="46"/>
        <v/>
      </c>
      <c r="Y372" s="197" t="str">
        <f t="shared" si="47"/>
        <v/>
      </c>
      <c r="Z372" s="157" t="e">
        <f t="shared" si="48"/>
        <v>#DIV/0!</v>
      </c>
      <c r="AA372" s="157" t="e">
        <f t="shared" si="49"/>
        <v>#DIV/0!</v>
      </c>
    </row>
    <row r="373" spans="14:27" ht="15">
      <c r="N373" s="194"/>
      <c r="O373" s="195"/>
      <c r="V373" s="196" t="str">
        <f t="shared" si="44"/>
        <v/>
      </c>
      <c r="W373" s="197" t="str">
        <f t="shared" si="45"/>
        <v/>
      </c>
      <c r="X373" s="197" t="str">
        <f t="shared" si="46"/>
        <v/>
      </c>
      <c r="Y373" s="197" t="str">
        <f t="shared" si="47"/>
        <v/>
      </c>
      <c r="Z373" s="157" t="e">
        <f t="shared" si="48"/>
        <v>#DIV/0!</v>
      </c>
      <c r="AA373" s="157" t="e">
        <f t="shared" si="49"/>
        <v>#DIV/0!</v>
      </c>
    </row>
    <row r="374" spans="14:27" ht="15">
      <c r="N374" s="194"/>
      <c r="O374" s="195"/>
      <c r="V374" s="196" t="str">
        <f t="shared" si="44"/>
        <v/>
      </c>
      <c r="W374" s="197" t="str">
        <f t="shared" si="45"/>
        <v/>
      </c>
      <c r="X374" s="197" t="str">
        <f t="shared" si="46"/>
        <v/>
      </c>
      <c r="Y374" s="197" t="str">
        <f t="shared" si="47"/>
        <v/>
      </c>
      <c r="Z374" s="157" t="e">
        <f t="shared" si="48"/>
        <v>#DIV/0!</v>
      </c>
      <c r="AA374" s="157" t="e">
        <f t="shared" si="49"/>
        <v>#DIV/0!</v>
      </c>
    </row>
    <row r="375" spans="14:27" ht="15">
      <c r="N375" s="194"/>
      <c r="O375" s="195"/>
      <c r="V375" s="196" t="str">
        <f t="shared" si="44"/>
        <v/>
      </c>
      <c r="W375" s="197" t="str">
        <f t="shared" si="45"/>
        <v/>
      </c>
      <c r="X375" s="197" t="str">
        <f t="shared" si="46"/>
        <v/>
      </c>
      <c r="Y375" s="197" t="str">
        <f t="shared" si="47"/>
        <v/>
      </c>
      <c r="Z375" s="157" t="e">
        <f t="shared" si="48"/>
        <v>#DIV/0!</v>
      </c>
      <c r="AA375" s="157" t="e">
        <f t="shared" si="49"/>
        <v>#DIV/0!</v>
      </c>
    </row>
    <row r="376" spans="14:27" ht="15">
      <c r="N376" s="194"/>
      <c r="O376" s="195"/>
      <c r="V376" s="196" t="str">
        <f t="shared" si="44"/>
        <v/>
      </c>
      <c r="W376" s="197" t="str">
        <f t="shared" si="45"/>
        <v/>
      </c>
      <c r="X376" s="197" t="str">
        <f t="shared" si="46"/>
        <v/>
      </c>
      <c r="Y376" s="197" t="str">
        <f t="shared" si="47"/>
        <v/>
      </c>
      <c r="Z376" s="157" t="e">
        <f t="shared" si="48"/>
        <v>#DIV/0!</v>
      </c>
      <c r="AA376" s="157" t="e">
        <f t="shared" si="49"/>
        <v>#DIV/0!</v>
      </c>
    </row>
    <row r="377" spans="14:27" ht="15">
      <c r="N377" s="194"/>
      <c r="O377" s="195"/>
      <c r="V377" s="196" t="str">
        <f t="shared" si="44"/>
        <v/>
      </c>
      <c r="W377" s="197" t="str">
        <f t="shared" si="45"/>
        <v/>
      </c>
      <c r="X377" s="197" t="str">
        <f t="shared" si="46"/>
        <v/>
      </c>
      <c r="Y377" s="197" t="str">
        <f t="shared" si="47"/>
        <v/>
      </c>
      <c r="Z377" s="157" t="e">
        <f t="shared" si="48"/>
        <v>#DIV/0!</v>
      </c>
      <c r="AA377" s="157" t="e">
        <f t="shared" si="49"/>
        <v>#DIV/0!</v>
      </c>
    </row>
    <row r="378" spans="14:27" ht="15">
      <c r="N378" s="194"/>
      <c r="O378" s="195"/>
      <c r="V378" s="196" t="str">
        <f t="shared" si="44"/>
        <v/>
      </c>
      <c r="W378" s="197" t="str">
        <f t="shared" si="45"/>
        <v/>
      </c>
      <c r="X378" s="197" t="str">
        <f t="shared" si="46"/>
        <v/>
      </c>
      <c r="Y378" s="197" t="str">
        <f t="shared" si="47"/>
        <v/>
      </c>
      <c r="Z378" s="157" t="e">
        <f t="shared" si="48"/>
        <v>#DIV/0!</v>
      </c>
      <c r="AA378" s="157" t="e">
        <f t="shared" si="49"/>
        <v>#DIV/0!</v>
      </c>
    </row>
    <row r="379" spans="14:27" ht="15">
      <c r="N379" s="194"/>
      <c r="O379" s="195"/>
      <c r="V379" s="196" t="str">
        <f t="shared" si="44"/>
        <v/>
      </c>
      <c r="W379" s="197" t="str">
        <f t="shared" si="45"/>
        <v/>
      </c>
      <c r="X379" s="197" t="str">
        <f t="shared" si="46"/>
        <v/>
      </c>
      <c r="Y379" s="197" t="str">
        <f t="shared" si="47"/>
        <v/>
      </c>
      <c r="Z379" s="157" t="e">
        <f t="shared" si="48"/>
        <v>#DIV/0!</v>
      </c>
      <c r="AA379" s="157" t="e">
        <f t="shared" si="49"/>
        <v>#DIV/0!</v>
      </c>
    </row>
    <row r="380" spans="14:27" ht="15">
      <c r="N380" s="194"/>
      <c r="O380" s="195"/>
      <c r="V380" s="196" t="str">
        <f t="shared" si="44"/>
        <v/>
      </c>
      <c r="W380" s="197" t="str">
        <f t="shared" si="45"/>
        <v/>
      </c>
      <c r="X380" s="197" t="str">
        <f t="shared" si="46"/>
        <v/>
      </c>
      <c r="Y380" s="197" t="str">
        <f t="shared" si="47"/>
        <v/>
      </c>
      <c r="Z380" s="157" t="e">
        <f t="shared" si="48"/>
        <v>#DIV/0!</v>
      </c>
      <c r="AA380" s="157" t="e">
        <f t="shared" si="49"/>
        <v>#DIV/0!</v>
      </c>
    </row>
    <row r="381" spans="14:27" ht="15">
      <c r="N381" s="194"/>
      <c r="O381" s="195"/>
      <c r="V381" s="196" t="str">
        <f t="shared" si="44"/>
        <v/>
      </c>
      <c r="W381" s="197" t="str">
        <f t="shared" si="45"/>
        <v/>
      </c>
      <c r="X381" s="197" t="str">
        <f t="shared" si="46"/>
        <v/>
      </c>
      <c r="Y381" s="197" t="str">
        <f t="shared" si="47"/>
        <v/>
      </c>
      <c r="Z381" s="157" t="e">
        <f t="shared" si="48"/>
        <v>#DIV/0!</v>
      </c>
      <c r="AA381" s="157" t="e">
        <f t="shared" si="49"/>
        <v>#DIV/0!</v>
      </c>
    </row>
    <row r="382" spans="14:27" ht="15">
      <c r="N382" s="194"/>
      <c r="O382" s="195"/>
      <c r="V382" s="196" t="str">
        <f t="shared" si="44"/>
        <v/>
      </c>
      <c r="W382" s="197" t="str">
        <f t="shared" si="45"/>
        <v/>
      </c>
      <c r="X382" s="197" t="str">
        <f t="shared" si="46"/>
        <v/>
      </c>
      <c r="Y382" s="197" t="str">
        <f t="shared" si="47"/>
        <v/>
      </c>
      <c r="Z382" s="157" t="e">
        <f t="shared" si="48"/>
        <v>#DIV/0!</v>
      </c>
      <c r="AA382" s="157" t="e">
        <f t="shared" si="49"/>
        <v>#DIV/0!</v>
      </c>
    </row>
    <row r="383" spans="14:27" ht="15">
      <c r="N383" s="194"/>
      <c r="O383" s="195"/>
      <c r="V383" s="196" t="str">
        <f t="shared" si="44"/>
        <v/>
      </c>
      <c r="W383" s="197" t="str">
        <f t="shared" si="45"/>
        <v/>
      </c>
      <c r="X383" s="197" t="str">
        <f t="shared" si="46"/>
        <v/>
      </c>
      <c r="Y383" s="197" t="str">
        <f t="shared" si="47"/>
        <v/>
      </c>
      <c r="Z383" s="157" t="e">
        <f t="shared" si="48"/>
        <v>#DIV/0!</v>
      </c>
      <c r="AA383" s="157" t="e">
        <f t="shared" si="49"/>
        <v>#DIV/0!</v>
      </c>
    </row>
    <row r="384" spans="14:27" ht="15">
      <c r="N384" s="194"/>
      <c r="O384" s="195"/>
      <c r="V384" s="196" t="str">
        <f t="shared" si="44"/>
        <v/>
      </c>
      <c r="W384" s="197" t="str">
        <f t="shared" si="45"/>
        <v/>
      </c>
      <c r="X384" s="197" t="str">
        <f t="shared" si="46"/>
        <v/>
      </c>
      <c r="Y384" s="197" t="str">
        <f t="shared" si="47"/>
        <v/>
      </c>
      <c r="Z384" s="157" t="e">
        <f t="shared" si="48"/>
        <v>#DIV/0!</v>
      </c>
      <c r="AA384" s="157" t="e">
        <f t="shared" si="49"/>
        <v>#DIV/0!</v>
      </c>
    </row>
    <row r="385" spans="14:27" ht="15">
      <c r="N385" s="194"/>
      <c r="O385" s="195"/>
      <c r="V385" s="196" t="str">
        <f t="shared" si="44"/>
        <v/>
      </c>
      <c r="W385" s="197" t="str">
        <f t="shared" si="45"/>
        <v/>
      </c>
      <c r="X385" s="197" t="str">
        <f t="shared" si="46"/>
        <v/>
      </c>
      <c r="Y385" s="197" t="str">
        <f t="shared" si="47"/>
        <v/>
      </c>
      <c r="Z385" s="157" t="e">
        <f t="shared" si="48"/>
        <v>#DIV/0!</v>
      </c>
      <c r="AA385" s="157" t="e">
        <f t="shared" si="49"/>
        <v>#DIV/0!</v>
      </c>
    </row>
    <row r="386" spans="14:27" ht="15">
      <c r="N386" s="194"/>
      <c r="O386" s="195"/>
      <c r="V386" s="196" t="str">
        <f t="shared" si="44"/>
        <v/>
      </c>
      <c r="W386" s="197" t="str">
        <f t="shared" si="45"/>
        <v/>
      </c>
      <c r="X386" s="197" t="str">
        <f t="shared" si="46"/>
        <v/>
      </c>
      <c r="Y386" s="197" t="str">
        <f t="shared" si="47"/>
        <v/>
      </c>
      <c r="Z386" s="157" t="e">
        <f t="shared" si="48"/>
        <v>#DIV/0!</v>
      </c>
      <c r="AA386" s="157" t="e">
        <f t="shared" si="49"/>
        <v>#DIV/0!</v>
      </c>
    </row>
    <row r="387" spans="14:27" ht="15">
      <c r="N387" s="194"/>
      <c r="O387" s="195"/>
      <c r="V387" s="196" t="str">
        <f t="shared" si="44"/>
        <v/>
      </c>
      <c r="W387" s="197" t="str">
        <f t="shared" si="45"/>
        <v/>
      </c>
      <c r="X387" s="197" t="str">
        <f t="shared" si="46"/>
        <v/>
      </c>
      <c r="Y387" s="197" t="str">
        <f t="shared" si="47"/>
        <v/>
      </c>
      <c r="Z387" s="157" t="e">
        <f t="shared" si="48"/>
        <v>#DIV/0!</v>
      </c>
      <c r="AA387" s="157" t="e">
        <f t="shared" si="49"/>
        <v>#DIV/0!</v>
      </c>
    </row>
    <row r="388" spans="14:27" ht="15">
      <c r="N388" s="194"/>
      <c r="O388" s="195"/>
      <c r="V388" s="196" t="str">
        <f t="shared" si="44"/>
        <v/>
      </c>
      <c r="W388" s="197" t="str">
        <f t="shared" si="45"/>
        <v/>
      </c>
      <c r="X388" s="197" t="str">
        <f t="shared" si="46"/>
        <v/>
      </c>
      <c r="Y388" s="197" t="str">
        <f t="shared" si="47"/>
        <v/>
      </c>
      <c r="Z388" s="157" t="e">
        <f t="shared" si="48"/>
        <v>#DIV/0!</v>
      </c>
      <c r="AA388" s="157" t="e">
        <f t="shared" si="49"/>
        <v>#DIV/0!</v>
      </c>
    </row>
    <row r="389" spans="14:27" ht="15">
      <c r="N389" s="194"/>
      <c r="O389" s="195"/>
      <c r="V389" s="196" t="str">
        <f t="shared" si="44"/>
        <v/>
      </c>
      <c r="W389" s="197" t="str">
        <f t="shared" si="45"/>
        <v/>
      </c>
      <c r="X389" s="197" t="str">
        <f t="shared" si="46"/>
        <v/>
      </c>
      <c r="Y389" s="197" t="str">
        <f t="shared" si="47"/>
        <v/>
      </c>
      <c r="Z389" s="157" t="e">
        <f t="shared" si="48"/>
        <v>#DIV/0!</v>
      </c>
      <c r="AA389" s="157" t="e">
        <f t="shared" si="49"/>
        <v>#DIV/0!</v>
      </c>
    </row>
    <row r="390" spans="14:27" ht="15">
      <c r="N390" s="194"/>
      <c r="O390" s="195"/>
      <c r="V390" s="196" t="str">
        <f t="shared" si="44"/>
        <v/>
      </c>
      <c r="W390" s="197" t="str">
        <f t="shared" si="45"/>
        <v/>
      </c>
      <c r="X390" s="197" t="str">
        <f t="shared" si="46"/>
        <v/>
      </c>
      <c r="Y390" s="197" t="str">
        <f t="shared" si="47"/>
        <v/>
      </c>
      <c r="Z390" s="157" t="e">
        <f t="shared" si="48"/>
        <v>#DIV/0!</v>
      </c>
      <c r="AA390" s="157" t="e">
        <f t="shared" si="49"/>
        <v>#DIV/0!</v>
      </c>
    </row>
    <row r="391" spans="14:27" ht="15">
      <c r="N391" s="194"/>
      <c r="O391" s="195"/>
      <c r="V391" s="196" t="str">
        <f t="shared" si="44"/>
        <v/>
      </c>
      <c r="W391" s="197" t="str">
        <f t="shared" si="45"/>
        <v/>
      </c>
      <c r="X391" s="197" t="str">
        <f t="shared" si="46"/>
        <v/>
      </c>
      <c r="Y391" s="197" t="str">
        <f t="shared" si="47"/>
        <v/>
      </c>
      <c r="Z391" s="157" t="e">
        <f t="shared" si="48"/>
        <v>#DIV/0!</v>
      </c>
      <c r="AA391" s="157" t="e">
        <f t="shared" si="49"/>
        <v>#DIV/0!</v>
      </c>
    </row>
    <row r="392" spans="14:27" ht="15">
      <c r="N392" s="194"/>
      <c r="O392" s="195"/>
      <c r="V392" s="196" t="str">
        <f t="shared" si="44"/>
        <v/>
      </c>
      <c r="W392" s="197" t="str">
        <f t="shared" si="45"/>
        <v/>
      </c>
      <c r="X392" s="197" t="str">
        <f t="shared" si="46"/>
        <v/>
      </c>
      <c r="Y392" s="197" t="str">
        <f t="shared" si="47"/>
        <v/>
      </c>
      <c r="Z392" s="157" t="e">
        <f t="shared" si="48"/>
        <v>#DIV/0!</v>
      </c>
      <c r="AA392" s="157" t="e">
        <f t="shared" si="49"/>
        <v>#DIV/0!</v>
      </c>
    </row>
    <row r="393" spans="14:27" ht="15">
      <c r="N393" s="194"/>
      <c r="O393" s="195"/>
      <c r="V393" s="196" t="str">
        <f t="shared" si="44"/>
        <v/>
      </c>
      <c r="W393" s="197" t="str">
        <f t="shared" si="45"/>
        <v/>
      </c>
      <c r="X393" s="197" t="str">
        <f t="shared" si="46"/>
        <v/>
      </c>
      <c r="Y393" s="197" t="str">
        <f t="shared" si="47"/>
        <v/>
      </c>
      <c r="Z393" s="157" t="e">
        <f t="shared" si="48"/>
        <v>#DIV/0!</v>
      </c>
      <c r="AA393" s="157" t="e">
        <f t="shared" si="49"/>
        <v>#DIV/0!</v>
      </c>
    </row>
    <row r="394" spans="14:27" ht="15">
      <c r="N394" s="194"/>
      <c r="O394" s="195"/>
      <c r="V394" s="196" t="str">
        <f t="shared" si="44"/>
        <v/>
      </c>
      <c r="W394" s="197" t="str">
        <f t="shared" si="45"/>
        <v/>
      </c>
      <c r="X394" s="197" t="str">
        <f t="shared" si="46"/>
        <v/>
      </c>
      <c r="Y394" s="197" t="str">
        <f t="shared" si="47"/>
        <v/>
      </c>
      <c r="Z394" s="157" t="e">
        <f t="shared" si="48"/>
        <v>#DIV/0!</v>
      </c>
      <c r="AA394" s="157" t="e">
        <f t="shared" si="49"/>
        <v>#DIV/0!</v>
      </c>
    </row>
    <row r="395" spans="14:27" ht="15">
      <c r="N395" s="194"/>
      <c r="O395" s="195"/>
      <c r="V395" s="196" t="str">
        <f t="shared" si="44"/>
        <v/>
      </c>
      <c r="W395" s="197" t="str">
        <f t="shared" si="45"/>
        <v/>
      </c>
      <c r="X395" s="197" t="str">
        <f t="shared" si="46"/>
        <v/>
      </c>
      <c r="Y395" s="197" t="str">
        <f t="shared" si="47"/>
        <v/>
      </c>
      <c r="Z395" s="157" t="e">
        <f t="shared" si="48"/>
        <v>#DIV/0!</v>
      </c>
      <c r="AA395" s="157" t="e">
        <f t="shared" si="49"/>
        <v>#DIV/0!</v>
      </c>
    </row>
    <row r="396" spans="14:27" ht="15">
      <c r="N396" s="194"/>
      <c r="O396" s="195"/>
      <c r="V396" s="196" t="str">
        <f t="shared" si="44"/>
        <v/>
      </c>
      <c r="W396" s="197" t="str">
        <f t="shared" si="45"/>
        <v/>
      </c>
      <c r="X396" s="197" t="str">
        <f t="shared" si="46"/>
        <v/>
      </c>
      <c r="Y396" s="197" t="str">
        <f t="shared" si="47"/>
        <v/>
      </c>
      <c r="Z396" s="157" t="e">
        <f t="shared" si="48"/>
        <v>#DIV/0!</v>
      </c>
      <c r="AA396" s="157" t="e">
        <f t="shared" si="49"/>
        <v>#DIV/0!</v>
      </c>
    </row>
    <row r="397" spans="14:27" ht="15">
      <c r="N397" s="194"/>
      <c r="O397" s="195"/>
      <c r="V397" s="196" t="str">
        <f t="shared" si="44"/>
        <v/>
      </c>
      <c r="W397" s="197" t="str">
        <f t="shared" si="45"/>
        <v/>
      </c>
      <c r="X397" s="197" t="str">
        <f t="shared" si="46"/>
        <v/>
      </c>
      <c r="Y397" s="197" t="str">
        <f t="shared" si="47"/>
        <v/>
      </c>
      <c r="Z397" s="157" t="e">
        <f t="shared" si="48"/>
        <v>#DIV/0!</v>
      </c>
      <c r="AA397" s="157" t="e">
        <f t="shared" si="49"/>
        <v>#DIV/0!</v>
      </c>
    </row>
    <row r="398" spans="14:27" ht="15">
      <c r="N398" s="194"/>
      <c r="O398" s="195"/>
      <c r="V398" s="196" t="str">
        <f t="shared" si="44"/>
        <v/>
      </c>
      <c r="W398" s="197" t="str">
        <f t="shared" si="45"/>
        <v/>
      </c>
      <c r="X398" s="197" t="str">
        <f t="shared" si="46"/>
        <v/>
      </c>
      <c r="Y398" s="197" t="str">
        <f t="shared" si="47"/>
        <v/>
      </c>
      <c r="Z398" s="157" t="e">
        <f t="shared" si="48"/>
        <v>#DIV/0!</v>
      </c>
      <c r="AA398" s="157" t="e">
        <f t="shared" si="49"/>
        <v>#DIV/0!</v>
      </c>
    </row>
    <row r="399" spans="14:27" ht="15">
      <c r="N399" s="194"/>
      <c r="O399" s="195"/>
      <c r="V399" s="196" t="str">
        <f t="shared" si="44"/>
        <v/>
      </c>
      <c r="W399" s="197" t="str">
        <f t="shared" si="45"/>
        <v/>
      </c>
      <c r="X399" s="197" t="str">
        <f t="shared" si="46"/>
        <v/>
      </c>
      <c r="Y399" s="197" t="str">
        <f t="shared" si="47"/>
        <v/>
      </c>
      <c r="Z399" s="157" t="e">
        <f t="shared" si="48"/>
        <v>#DIV/0!</v>
      </c>
      <c r="AA399" s="157" t="e">
        <f t="shared" si="49"/>
        <v>#DIV/0!</v>
      </c>
    </row>
    <row r="400" spans="14:27" ht="15">
      <c r="N400" s="194"/>
      <c r="O400" s="195"/>
      <c r="V400" s="196" t="str">
        <f t="shared" si="44"/>
        <v/>
      </c>
      <c r="W400" s="197" t="str">
        <f t="shared" si="45"/>
        <v/>
      </c>
      <c r="X400" s="197" t="str">
        <f t="shared" si="46"/>
        <v/>
      </c>
      <c r="Y400" s="197" t="str">
        <f t="shared" si="47"/>
        <v/>
      </c>
      <c r="Z400" s="157" t="e">
        <f t="shared" si="48"/>
        <v>#DIV/0!</v>
      </c>
      <c r="AA400" s="157" t="e">
        <f t="shared" si="49"/>
        <v>#DIV/0!</v>
      </c>
    </row>
    <row r="401" spans="14:27" ht="15">
      <c r="N401" s="194"/>
      <c r="O401" s="195"/>
      <c r="V401" s="196" t="str">
        <f t="shared" si="44"/>
        <v/>
      </c>
      <c r="W401" s="197" t="str">
        <f t="shared" si="45"/>
        <v/>
      </c>
      <c r="X401" s="197" t="str">
        <f t="shared" si="46"/>
        <v/>
      </c>
      <c r="Y401" s="197" t="str">
        <f t="shared" si="47"/>
        <v/>
      </c>
      <c r="Z401" s="157" t="e">
        <f t="shared" si="48"/>
        <v>#DIV/0!</v>
      </c>
      <c r="AA401" s="157" t="e">
        <f t="shared" si="49"/>
        <v>#DIV/0!</v>
      </c>
    </row>
    <row r="402" spans="14:27" ht="15">
      <c r="N402" s="194"/>
      <c r="O402" s="195"/>
      <c r="V402" s="196" t="str">
        <f t="shared" si="44"/>
        <v/>
      </c>
      <c r="W402" s="197" t="str">
        <f t="shared" si="45"/>
        <v/>
      </c>
      <c r="X402" s="197" t="str">
        <f t="shared" si="46"/>
        <v/>
      </c>
      <c r="Y402" s="197" t="str">
        <f t="shared" si="47"/>
        <v/>
      </c>
      <c r="Z402" s="157" t="e">
        <f t="shared" si="48"/>
        <v>#DIV/0!</v>
      </c>
      <c r="AA402" s="157" t="e">
        <f t="shared" si="49"/>
        <v>#DIV/0!</v>
      </c>
    </row>
    <row r="403" spans="14:27" ht="15">
      <c r="N403" s="194"/>
      <c r="O403" s="195"/>
      <c r="V403" s="196" t="str">
        <f t="shared" si="44"/>
        <v/>
      </c>
      <c r="W403" s="197" t="str">
        <f t="shared" si="45"/>
        <v/>
      </c>
      <c r="X403" s="197" t="str">
        <f t="shared" si="46"/>
        <v/>
      </c>
      <c r="Y403" s="197" t="str">
        <f t="shared" si="47"/>
        <v/>
      </c>
      <c r="Z403" s="157" t="e">
        <f t="shared" si="48"/>
        <v>#DIV/0!</v>
      </c>
      <c r="AA403" s="157" t="e">
        <f t="shared" si="49"/>
        <v>#DIV/0!</v>
      </c>
    </row>
    <row r="404" spans="14:27" ht="15">
      <c r="N404" s="194"/>
      <c r="O404" s="195"/>
      <c r="V404" s="196" t="str">
        <f t="shared" si="44"/>
        <v/>
      </c>
      <c r="W404" s="197" t="str">
        <f t="shared" si="45"/>
        <v/>
      </c>
      <c r="X404" s="197" t="str">
        <f t="shared" si="46"/>
        <v/>
      </c>
      <c r="Y404" s="197" t="str">
        <f t="shared" si="47"/>
        <v/>
      </c>
      <c r="Z404" s="157" t="e">
        <f t="shared" si="48"/>
        <v>#DIV/0!</v>
      </c>
      <c r="AA404" s="157" t="e">
        <f t="shared" si="49"/>
        <v>#DIV/0!</v>
      </c>
    </row>
    <row r="405" spans="14:27" ht="15">
      <c r="N405" s="194"/>
      <c r="O405" s="195"/>
      <c r="V405" s="196" t="str">
        <f t="shared" ref="V405:V468" si="50">IFERROR(IF(AND(1/L405&gt;$V$19,1/L405&lt;=$W$19),1/L405,0),"")</f>
        <v/>
      </c>
      <c r="W405" s="197" t="str">
        <f t="shared" ref="W405:W468" si="51">IFERROR(IF(AND(1/L405&gt;$W$19,1/L405&lt;=$X$19),1/L405,0),"")</f>
        <v/>
      </c>
      <c r="X405" s="197" t="str">
        <f t="shared" ref="X405:X468" si="52">IFERROR(IF(AND(1/L405&gt;$X$19,1/L405&lt;=$Y$19),1/L405,0),"")</f>
        <v/>
      </c>
      <c r="Y405" s="197" t="str">
        <f t="shared" ref="Y405:Y468" si="53">IFERROR(IF(1/L405&gt;$Y$19,1/L405,0),"")</f>
        <v/>
      </c>
      <c r="Z405" s="157" t="e">
        <f t="shared" ref="Z405:Z468" si="54">IF(N405&lt;&gt;"",(N405-$N$17)/1000,1/0)</f>
        <v>#DIV/0!</v>
      </c>
      <c r="AA405" s="157" t="e">
        <f t="shared" ref="AA405:AA468" si="55">IF(O405&lt;&gt;"",(O405-$O$17)/1000,1/0)</f>
        <v>#DIV/0!</v>
      </c>
    </row>
    <row r="406" spans="14:27" ht="15">
      <c r="N406" s="194"/>
      <c r="O406" s="195"/>
      <c r="V406" s="196" t="str">
        <f t="shared" si="50"/>
        <v/>
      </c>
      <c r="W406" s="197" t="str">
        <f t="shared" si="51"/>
        <v/>
      </c>
      <c r="X406" s="197" t="str">
        <f t="shared" si="52"/>
        <v/>
      </c>
      <c r="Y406" s="197" t="str">
        <f t="shared" si="53"/>
        <v/>
      </c>
      <c r="Z406" s="157" t="e">
        <f t="shared" si="54"/>
        <v>#DIV/0!</v>
      </c>
      <c r="AA406" s="157" t="e">
        <f t="shared" si="55"/>
        <v>#DIV/0!</v>
      </c>
    </row>
    <row r="407" spans="14:27" ht="15">
      <c r="N407" s="194"/>
      <c r="O407" s="195"/>
      <c r="V407" s="196" t="str">
        <f t="shared" si="50"/>
        <v/>
      </c>
      <c r="W407" s="197" t="str">
        <f t="shared" si="51"/>
        <v/>
      </c>
      <c r="X407" s="197" t="str">
        <f t="shared" si="52"/>
        <v/>
      </c>
      <c r="Y407" s="197" t="str">
        <f t="shared" si="53"/>
        <v/>
      </c>
      <c r="Z407" s="157" t="e">
        <f t="shared" si="54"/>
        <v>#DIV/0!</v>
      </c>
      <c r="AA407" s="157" t="e">
        <f t="shared" si="55"/>
        <v>#DIV/0!</v>
      </c>
    </row>
    <row r="408" spans="14:27" ht="15">
      <c r="N408" s="194"/>
      <c r="O408" s="195"/>
      <c r="V408" s="196" t="str">
        <f t="shared" si="50"/>
        <v/>
      </c>
      <c r="W408" s="197" t="str">
        <f t="shared" si="51"/>
        <v/>
      </c>
      <c r="X408" s="197" t="str">
        <f t="shared" si="52"/>
        <v/>
      </c>
      <c r="Y408" s="197" t="str">
        <f t="shared" si="53"/>
        <v/>
      </c>
      <c r="Z408" s="157" t="e">
        <f t="shared" si="54"/>
        <v>#DIV/0!</v>
      </c>
      <c r="AA408" s="157" t="e">
        <f t="shared" si="55"/>
        <v>#DIV/0!</v>
      </c>
    </row>
    <row r="409" spans="14:27" ht="15">
      <c r="N409" s="194"/>
      <c r="O409" s="195"/>
      <c r="V409" s="196" t="str">
        <f t="shared" si="50"/>
        <v/>
      </c>
      <c r="W409" s="197" t="str">
        <f t="shared" si="51"/>
        <v/>
      </c>
      <c r="X409" s="197" t="str">
        <f t="shared" si="52"/>
        <v/>
      </c>
      <c r="Y409" s="197" t="str">
        <f t="shared" si="53"/>
        <v/>
      </c>
      <c r="Z409" s="157" t="e">
        <f t="shared" si="54"/>
        <v>#DIV/0!</v>
      </c>
      <c r="AA409" s="157" t="e">
        <f t="shared" si="55"/>
        <v>#DIV/0!</v>
      </c>
    </row>
    <row r="410" spans="14:27" ht="15">
      <c r="N410" s="194"/>
      <c r="O410" s="195"/>
      <c r="V410" s="196" t="str">
        <f t="shared" si="50"/>
        <v/>
      </c>
      <c r="W410" s="197" t="str">
        <f t="shared" si="51"/>
        <v/>
      </c>
      <c r="X410" s="197" t="str">
        <f t="shared" si="52"/>
        <v/>
      </c>
      <c r="Y410" s="197" t="str">
        <f t="shared" si="53"/>
        <v/>
      </c>
      <c r="Z410" s="157" t="e">
        <f t="shared" si="54"/>
        <v>#DIV/0!</v>
      </c>
      <c r="AA410" s="157" t="e">
        <f t="shared" si="55"/>
        <v>#DIV/0!</v>
      </c>
    </row>
    <row r="411" spans="14:27" ht="15">
      <c r="N411" s="194"/>
      <c r="O411" s="195"/>
      <c r="V411" s="196" t="str">
        <f t="shared" si="50"/>
        <v/>
      </c>
      <c r="W411" s="197" t="str">
        <f t="shared" si="51"/>
        <v/>
      </c>
      <c r="X411" s="197" t="str">
        <f t="shared" si="52"/>
        <v/>
      </c>
      <c r="Y411" s="197" t="str">
        <f t="shared" si="53"/>
        <v/>
      </c>
      <c r="Z411" s="157" t="e">
        <f t="shared" si="54"/>
        <v>#DIV/0!</v>
      </c>
      <c r="AA411" s="157" t="e">
        <f t="shared" si="55"/>
        <v>#DIV/0!</v>
      </c>
    </row>
    <row r="412" spans="14:27" ht="15">
      <c r="N412" s="194"/>
      <c r="O412" s="195"/>
      <c r="V412" s="196" t="str">
        <f t="shared" si="50"/>
        <v/>
      </c>
      <c r="W412" s="197" t="str">
        <f t="shared" si="51"/>
        <v/>
      </c>
      <c r="X412" s="197" t="str">
        <f t="shared" si="52"/>
        <v/>
      </c>
      <c r="Y412" s="197" t="str">
        <f t="shared" si="53"/>
        <v/>
      </c>
      <c r="Z412" s="157" t="e">
        <f t="shared" si="54"/>
        <v>#DIV/0!</v>
      </c>
      <c r="AA412" s="157" t="e">
        <f t="shared" si="55"/>
        <v>#DIV/0!</v>
      </c>
    </row>
    <row r="413" spans="14:27" ht="15">
      <c r="N413" s="194"/>
      <c r="O413" s="195"/>
      <c r="V413" s="196" t="str">
        <f t="shared" si="50"/>
        <v/>
      </c>
      <c r="W413" s="197" t="str">
        <f t="shared" si="51"/>
        <v/>
      </c>
      <c r="X413" s="197" t="str">
        <f t="shared" si="52"/>
        <v/>
      </c>
      <c r="Y413" s="197" t="str">
        <f t="shared" si="53"/>
        <v/>
      </c>
      <c r="Z413" s="157" t="e">
        <f t="shared" si="54"/>
        <v>#DIV/0!</v>
      </c>
      <c r="AA413" s="157" t="e">
        <f t="shared" si="55"/>
        <v>#DIV/0!</v>
      </c>
    </row>
    <row r="414" spans="14:27" ht="15">
      <c r="N414" s="194"/>
      <c r="O414" s="195"/>
      <c r="V414" s="196" t="str">
        <f t="shared" si="50"/>
        <v/>
      </c>
      <c r="W414" s="197" t="str">
        <f t="shared" si="51"/>
        <v/>
      </c>
      <c r="X414" s="197" t="str">
        <f t="shared" si="52"/>
        <v/>
      </c>
      <c r="Y414" s="197" t="str">
        <f t="shared" si="53"/>
        <v/>
      </c>
      <c r="Z414" s="157" t="e">
        <f t="shared" si="54"/>
        <v>#DIV/0!</v>
      </c>
      <c r="AA414" s="157" t="e">
        <f t="shared" si="55"/>
        <v>#DIV/0!</v>
      </c>
    </row>
    <row r="415" spans="14:27" ht="15">
      <c r="N415" s="194"/>
      <c r="O415" s="195"/>
      <c r="V415" s="196" t="str">
        <f t="shared" si="50"/>
        <v/>
      </c>
      <c r="W415" s="197" t="str">
        <f t="shared" si="51"/>
        <v/>
      </c>
      <c r="X415" s="197" t="str">
        <f t="shared" si="52"/>
        <v/>
      </c>
      <c r="Y415" s="197" t="str">
        <f t="shared" si="53"/>
        <v/>
      </c>
      <c r="Z415" s="157" t="e">
        <f t="shared" si="54"/>
        <v>#DIV/0!</v>
      </c>
      <c r="AA415" s="157" t="e">
        <f t="shared" si="55"/>
        <v>#DIV/0!</v>
      </c>
    </row>
    <row r="416" spans="14:27" ht="15">
      <c r="N416" s="194"/>
      <c r="O416" s="195"/>
      <c r="V416" s="196" t="str">
        <f t="shared" si="50"/>
        <v/>
      </c>
      <c r="W416" s="197" t="str">
        <f t="shared" si="51"/>
        <v/>
      </c>
      <c r="X416" s="197" t="str">
        <f t="shared" si="52"/>
        <v/>
      </c>
      <c r="Y416" s="197" t="str">
        <f t="shared" si="53"/>
        <v/>
      </c>
      <c r="Z416" s="157" t="e">
        <f t="shared" si="54"/>
        <v>#DIV/0!</v>
      </c>
      <c r="AA416" s="157" t="e">
        <f t="shared" si="55"/>
        <v>#DIV/0!</v>
      </c>
    </row>
    <row r="417" spans="14:27" ht="15">
      <c r="N417" s="194"/>
      <c r="O417" s="195"/>
      <c r="V417" s="196" t="str">
        <f t="shared" si="50"/>
        <v/>
      </c>
      <c r="W417" s="197" t="str">
        <f t="shared" si="51"/>
        <v/>
      </c>
      <c r="X417" s="197" t="str">
        <f t="shared" si="52"/>
        <v/>
      </c>
      <c r="Y417" s="197" t="str">
        <f t="shared" si="53"/>
        <v/>
      </c>
      <c r="Z417" s="157" t="e">
        <f t="shared" si="54"/>
        <v>#DIV/0!</v>
      </c>
      <c r="AA417" s="157" t="e">
        <f t="shared" si="55"/>
        <v>#DIV/0!</v>
      </c>
    </row>
    <row r="418" spans="14:27" ht="15">
      <c r="N418" s="194"/>
      <c r="O418" s="195"/>
      <c r="V418" s="196" t="str">
        <f t="shared" si="50"/>
        <v/>
      </c>
      <c r="W418" s="197" t="str">
        <f t="shared" si="51"/>
        <v/>
      </c>
      <c r="X418" s="197" t="str">
        <f t="shared" si="52"/>
        <v/>
      </c>
      <c r="Y418" s="197" t="str">
        <f t="shared" si="53"/>
        <v/>
      </c>
      <c r="Z418" s="157" t="e">
        <f t="shared" si="54"/>
        <v>#DIV/0!</v>
      </c>
      <c r="AA418" s="157" t="e">
        <f t="shared" si="55"/>
        <v>#DIV/0!</v>
      </c>
    </row>
    <row r="419" spans="14:27" ht="15">
      <c r="N419" s="194"/>
      <c r="O419" s="195"/>
      <c r="V419" s="196" t="str">
        <f t="shared" si="50"/>
        <v/>
      </c>
      <c r="W419" s="197" t="str">
        <f t="shared" si="51"/>
        <v/>
      </c>
      <c r="X419" s="197" t="str">
        <f t="shared" si="52"/>
        <v/>
      </c>
      <c r="Y419" s="197" t="str">
        <f t="shared" si="53"/>
        <v/>
      </c>
      <c r="Z419" s="157" t="e">
        <f t="shared" si="54"/>
        <v>#DIV/0!</v>
      </c>
      <c r="AA419" s="157" t="e">
        <f t="shared" si="55"/>
        <v>#DIV/0!</v>
      </c>
    </row>
    <row r="420" spans="14:27" ht="15">
      <c r="N420" s="194"/>
      <c r="O420" s="195"/>
      <c r="V420" s="196" t="str">
        <f t="shared" si="50"/>
        <v/>
      </c>
      <c r="W420" s="197" t="str">
        <f t="shared" si="51"/>
        <v/>
      </c>
      <c r="X420" s="197" t="str">
        <f t="shared" si="52"/>
        <v/>
      </c>
      <c r="Y420" s="197" t="str">
        <f t="shared" si="53"/>
        <v/>
      </c>
      <c r="Z420" s="157" t="e">
        <f t="shared" si="54"/>
        <v>#DIV/0!</v>
      </c>
      <c r="AA420" s="157" t="e">
        <f t="shared" si="55"/>
        <v>#DIV/0!</v>
      </c>
    </row>
    <row r="421" spans="14:27" ht="15">
      <c r="N421" s="194"/>
      <c r="O421" s="195"/>
      <c r="V421" s="196" t="str">
        <f t="shared" si="50"/>
        <v/>
      </c>
      <c r="W421" s="197" t="str">
        <f t="shared" si="51"/>
        <v/>
      </c>
      <c r="X421" s="197" t="str">
        <f t="shared" si="52"/>
        <v/>
      </c>
      <c r="Y421" s="197" t="str">
        <f t="shared" si="53"/>
        <v/>
      </c>
      <c r="Z421" s="157" t="e">
        <f t="shared" si="54"/>
        <v>#DIV/0!</v>
      </c>
      <c r="AA421" s="157" t="e">
        <f t="shared" si="55"/>
        <v>#DIV/0!</v>
      </c>
    </row>
    <row r="422" spans="14:27" ht="15">
      <c r="N422" s="194"/>
      <c r="O422" s="195"/>
      <c r="V422" s="196" t="str">
        <f t="shared" si="50"/>
        <v/>
      </c>
      <c r="W422" s="197" t="str">
        <f t="shared" si="51"/>
        <v/>
      </c>
      <c r="X422" s="197" t="str">
        <f t="shared" si="52"/>
        <v/>
      </c>
      <c r="Y422" s="197" t="str">
        <f t="shared" si="53"/>
        <v/>
      </c>
      <c r="Z422" s="157" t="e">
        <f t="shared" si="54"/>
        <v>#DIV/0!</v>
      </c>
      <c r="AA422" s="157" t="e">
        <f t="shared" si="55"/>
        <v>#DIV/0!</v>
      </c>
    </row>
    <row r="423" spans="14:27" ht="15">
      <c r="N423" s="194"/>
      <c r="O423" s="195"/>
      <c r="V423" s="196" t="str">
        <f t="shared" si="50"/>
        <v/>
      </c>
      <c r="W423" s="197" t="str">
        <f t="shared" si="51"/>
        <v/>
      </c>
      <c r="X423" s="197" t="str">
        <f t="shared" si="52"/>
        <v/>
      </c>
      <c r="Y423" s="197" t="str">
        <f t="shared" si="53"/>
        <v/>
      </c>
      <c r="Z423" s="157" t="e">
        <f t="shared" si="54"/>
        <v>#DIV/0!</v>
      </c>
      <c r="AA423" s="157" t="e">
        <f t="shared" si="55"/>
        <v>#DIV/0!</v>
      </c>
    </row>
    <row r="424" spans="14:27" ht="15">
      <c r="N424" s="194"/>
      <c r="O424" s="195"/>
      <c r="V424" s="196" t="str">
        <f t="shared" si="50"/>
        <v/>
      </c>
      <c r="W424" s="197" t="str">
        <f t="shared" si="51"/>
        <v/>
      </c>
      <c r="X424" s="197" t="str">
        <f t="shared" si="52"/>
        <v/>
      </c>
      <c r="Y424" s="197" t="str">
        <f t="shared" si="53"/>
        <v/>
      </c>
      <c r="Z424" s="157" t="e">
        <f t="shared" si="54"/>
        <v>#DIV/0!</v>
      </c>
      <c r="AA424" s="157" t="e">
        <f t="shared" si="55"/>
        <v>#DIV/0!</v>
      </c>
    </row>
    <row r="425" spans="14:27" ht="15">
      <c r="N425" s="194"/>
      <c r="O425" s="195"/>
      <c r="V425" s="196" t="str">
        <f t="shared" si="50"/>
        <v/>
      </c>
      <c r="W425" s="197" t="str">
        <f t="shared" si="51"/>
        <v/>
      </c>
      <c r="X425" s="197" t="str">
        <f t="shared" si="52"/>
        <v/>
      </c>
      <c r="Y425" s="197" t="str">
        <f t="shared" si="53"/>
        <v/>
      </c>
      <c r="Z425" s="157" t="e">
        <f t="shared" si="54"/>
        <v>#DIV/0!</v>
      </c>
      <c r="AA425" s="157" t="e">
        <f t="shared" si="55"/>
        <v>#DIV/0!</v>
      </c>
    </row>
    <row r="426" spans="14:27" ht="15">
      <c r="N426" s="194"/>
      <c r="O426" s="195"/>
      <c r="V426" s="196" t="str">
        <f t="shared" si="50"/>
        <v/>
      </c>
      <c r="W426" s="197" t="str">
        <f t="shared" si="51"/>
        <v/>
      </c>
      <c r="X426" s="197" t="str">
        <f t="shared" si="52"/>
        <v/>
      </c>
      <c r="Y426" s="197" t="str">
        <f t="shared" si="53"/>
        <v/>
      </c>
      <c r="Z426" s="157" t="e">
        <f t="shared" si="54"/>
        <v>#DIV/0!</v>
      </c>
      <c r="AA426" s="157" t="e">
        <f t="shared" si="55"/>
        <v>#DIV/0!</v>
      </c>
    </row>
    <row r="427" spans="14:27" ht="15">
      <c r="N427" s="194"/>
      <c r="O427" s="195"/>
      <c r="V427" s="196" t="str">
        <f t="shared" si="50"/>
        <v/>
      </c>
      <c r="W427" s="197" t="str">
        <f t="shared" si="51"/>
        <v/>
      </c>
      <c r="X427" s="197" t="str">
        <f t="shared" si="52"/>
        <v/>
      </c>
      <c r="Y427" s="197" t="str">
        <f t="shared" si="53"/>
        <v/>
      </c>
      <c r="Z427" s="157" t="e">
        <f t="shared" si="54"/>
        <v>#DIV/0!</v>
      </c>
      <c r="AA427" s="157" t="e">
        <f t="shared" si="55"/>
        <v>#DIV/0!</v>
      </c>
    </row>
    <row r="428" spans="14:27" ht="15">
      <c r="N428" s="194"/>
      <c r="O428" s="195"/>
      <c r="V428" s="196" t="str">
        <f t="shared" si="50"/>
        <v/>
      </c>
      <c r="W428" s="197" t="str">
        <f t="shared" si="51"/>
        <v/>
      </c>
      <c r="X428" s="197" t="str">
        <f t="shared" si="52"/>
        <v/>
      </c>
      <c r="Y428" s="197" t="str">
        <f t="shared" si="53"/>
        <v/>
      </c>
      <c r="Z428" s="157" t="e">
        <f t="shared" si="54"/>
        <v>#DIV/0!</v>
      </c>
      <c r="AA428" s="157" t="e">
        <f t="shared" si="55"/>
        <v>#DIV/0!</v>
      </c>
    </row>
    <row r="429" spans="14:27" ht="15">
      <c r="N429" s="194"/>
      <c r="O429" s="195"/>
      <c r="V429" s="196" t="str">
        <f t="shared" si="50"/>
        <v/>
      </c>
      <c r="W429" s="197" t="str">
        <f t="shared" si="51"/>
        <v/>
      </c>
      <c r="X429" s="197" t="str">
        <f t="shared" si="52"/>
        <v/>
      </c>
      <c r="Y429" s="197" t="str">
        <f t="shared" si="53"/>
        <v/>
      </c>
      <c r="Z429" s="157" t="e">
        <f t="shared" si="54"/>
        <v>#DIV/0!</v>
      </c>
      <c r="AA429" s="157" t="e">
        <f t="shared" si="55"/>
        <v>#DIV/0!</v>
      </c>
    </row>
    <row r="430" spans="14:27" ht="15">
      <c r="N430" s="194"/>
      <c r="O430" s="195"/>
      <c r="V430" s="196" t="str">
        <f t="shared" si="50"/>
        <v/>
      </c>
      <c r="W430" s="197" t="str">
        <f t="shared" si="51"/>
        <v/>
      </c>
      <c r="X430" s="197" t="str">
        <f t="shared" si="52"/>
        <v/>
      </c>
      <c r="Y430" s="197" t="str">
        <f t="shared" si="53"/>
        <v/>
      </c>
      <c r="Z430" s="157" t="e">
        <f t="shared" si="54"/>
        <v>#DIV/0!</v>
      </c>
      <c r="AA430" s="157" t="e">
        <f t="shared" si="55"/>
        <v>#DIV/0!</v>
      </c>
    </row>
    <row r="431" spans="14:27" ht="15">
      <c r="N431" s="194"/>
      <c r="O431" s="195"/>
      <c r="V431" s="196" t="str">
        <f t="shared" si="50"/>
        <v/>
      </c>
      <c r="W431" s="197" t="str">
        <f t="shared" si="51"/>
        <v/>
      </c>
      <c r="X431" s="197" t="str">
        <f t="shared" si="52"/>
        <v/>
      </c>
      <c r="Y431" s="197" t="str">
        <f t="shared" si="53"/>
        <v/>
      </c>
      <c r="Z431" s="157" t="e">
        <f t="shared" si="54"/>
        <v>#DIV/0!</v>
      </c>
      <c r="AA431" s="157" t="e">
        <f t="shared" si="55"/>
        <v>#DIV/0!</v>
      </c>
    </row>
    <row r="432" spans="14:27" ht="15">
      <c r="N432" s="194"/>
      <c r="O432" s="195"/>
      <c r="V432" s="196" t="str">
        <f t="shared" si="50"/>
        <v/>
      </c>
      <c r="W432" s="197" t="str">
        <f t="shared" si="51"/>
        <v/>
      </c>
      <c r="X432" s="197" t="str">
        <f t="shared" si="52"/>
        <v/>
      </c>
      <c r="Y432" s="197" t="str">
        <f t="shared" si="53"/>
        <v/>
      </c>
      <c r="Z432" s="157" t="e">
        <f t="shared" si="54"/>
        <v>#DIV/0!</v>
      </c>
      <c r="AA432" s="157" t="e">
        <f t="shared" si="55"/>
        <v>#DIV/0!</v>
      </c>
    </row>
    <row r="433" spans="14:27" ht="15">
      <c r="N433" s="194"/>
      <c r="O433" s="195"/>
      <c r="V433" s="196" t="str">
        <f t="shared" si="50"/>
        <v/>
      </c>
      <c r="W433" s="197" t="str">
        <f t="shared" si="51"/>
        <v/>
      </c>
      <c r="X433" s="197" t="str">
        <f t="shared" si="52"/>
        <v/>
      </c>
      <c r="Y433" s="197" t="str">
        <f t="shared" si="53"/>
        <v/>
      </c>
      <c r="Z433" s="157" t="e">
        <f t="shared" si="54"/>
        <v>#DIV/0!</v>
      </c>
      <c r="AA433" s="157" t="e">
        <f t="shared" si="55"/>
        <v>#DIV/0!</v>
      </c>
    </row>
    <row r="434" spans="14:27" ht="15">
      <c r="N434" s="194"/>
      <c r="O434" s="195"/>
      <c r="V434" s="196" t="str">
        <f t="shared" si="50"/>
        <v/>
      </c>
      <c r="W434" s="197" t="str">
        <f t="shared" si="51"/>
        <v/>
      </c>
      <c r="X434" s="197" t="str">
        <f t="shared" si="52"/>
        <v/>
      </c>
      <c r="Y434" s="197" t="str">
        <f t="shared" si="53"/>
        <v/>
      </c>
      <c r="Z434" s="157" t="e">
        <f t="shared" si="54"/>
        <v>#DIV/0!</v>
      </c>
      <c r="AA434" s="157" t="e">
        <f t="shared" si="55"/>
        <v>#DIV/0!</v>
      </c>
    </row>
    <row r="435" spans="14:27" ht="15">
      <c r="N435" s="194"/>
      <c r="O435" s="195"/>
      <c r="V435" s="196" t="str">
        <f t="shared" si="50"/>
        <v/>
      </c>
      <c r="W435" s="197" t="str">
        <f t="shared" si="51"/>
        <v/>
      </c>
      <c r="X435" s="197" t="str">
        <f t="shared" si="52"/>
        <v/>
      </c>
      <c r="Y435" s="197" t="str">
        <f t="shared" si="53"/>
        <v/>
      </c>
      <c r="Z435" s="157" t="e">
        <f t="shared" si="54"/>
        <v>#DIV/0!</v>
      </c>
      <c r="AA435" s="157" t="e">
        <f t="shared" si="55"/>
        <v>#DIV/0!</v>
      </c>
    </row>
    <row r="436" spans="14:27" ht="15">
      <c r="N436" s="194"/>
      <c r="O436" s="195"/>
      <c r="V436" s="196" t="str">
        <f t="shared" si="50"/>
        <v/>
      </c>
      <c r="W436" s="197" t="str">
        <f t="shared" si="51"/>
        <v/>
      </c>
      <c r="X436" s="197" t="str">
        <f t="shared" si="52"/>
        <v/>
      </c>
      <c r="Y436" s="197" t="str">
        <f t="shared" si="53"/>
        <v/>
      </c>
      <c r="Z436" s="157" t="e">
        <f t="shared" si="54"/>
        <v>#DIV/0!</v>
      </c>
      <c r="AA436" s="157" t="e">
        <f t="shared" si="55"/>
        <v>#DIV/0!</v>
      </c>
    </row>
    <row r="437" spans="14:27" ht="15">
      <c r="N437" s="194"/>
      <c r="O437" s="195"/>
      <c r="V437" s="196" t="str">
        <f t="shared" si="50"/>
        <v/>
      </c>
      <c r="W437" s="197" t="str">
        <f t="shared" si="51"/>
        <v/>
      </c>
      <c r="X437" s="197" t="str">
        <f t="shared" si="52"/>
        <v/>
      </c>
      <c r="Y437" s="197" t="str">
        <f t="shared" si="53"/>
        <v/>
      </c>
      <c r="Z437" s="157" t="e">
        <f t="shared" si="54"/>
        <v>#DIV/0!</v>
      </c>
      <c r="AA437" s="157" t="e">
        <f t="shared" si="55"/>
        <v>#DIV/0!</v>
      </c>
    </row>
    <row r="438" spans="14:27" ht="15">
      <c r="N438" s="194"/>
      <c r="O438" s="195"/>
      <c r="V438" s="196" t="str">
        <f t="shared" si="50"/>
        <v/>
      </c>
      <c r="W438" s="197" t="str">
        <f t="shared" si="51"/>
        <v/>
      </c>
      <c r="X438" s="197" t="str">
        <f t="shared" si="52"/>
        <v/>
      </c>
      <c r="Y438" s="197" t="str">
        <f t="shared" si="53"/>
        <v/>
      </c>
      <c r="Z438" s="157" t="e">
        <f t="shared" si="54"/>
        <v>#DIV/0!</v>
      </c>
      <c r="AA438" s="157" t="e">
        <f t="shared" si="55"/>
        <v>#DIV/0!</v>
      </c>
    </row>
    <row r="439" spans="14:27" ht="15">
      <c r="N439" s="194"/>
      <c r="O439" s="195"/>
      <c r="V439" s="196" t="str">
        <f t="shared" si="50"/>
        <v/>
      </c>
      <c r="W439" s="197" t="str">
        <f t="shared" si="51"/>
        <v/>
      </c>
      <c r="X439" s="197" t="str">
        <f t="shared" si="52"/>
        <v/>
      </c>
      <c r="Y439" s="197" t="str">
        <f t="shared" si="53"/>
        <v/>
      </c>
      <c r="Z439" s="157" t="e">
        <f t="shared" si="54"/>
        <v>#DIV/0!</v>
      </c>
      <c r="AA439" s="157" t="e">
        <f t="shared" si="55"/>
        <v>#DIV/0!</v>
      </c>
    </row>
    <row r="440" spans="14:27" ht="15">
      <c r="N440" s="194"/>
      <c r="O440" s="195"/>
      <c r="V440" s="196" t="str">
        <f t="shared" si="50"/>
        <v/>
      </c>
      <c r="W440" s="197" t="str">
        <f t="shared" si="51"/>
        <v/>
      </c>
      <c r="X440" s="197" t="str">
        <f t="shared" si="52"/>
        <v/>
      </c>
      <c r="Y440" s="197" t="str">
        <f t="shared" si="53"/>
        <v/>
      </c>
      <c r="Z440" s="157" t="e">
        <f t="shared" si="54"/>
        <v>#DIV/0!</v>
      </c>
      <c r="AA440" s="157" t="e">
        <f t="shared" si="55"/>
        <v>#DIV/0!</v>
      </c>
    </row>
    <row r="441" spans="14:27" ht="15">
      <c r="N441" s="194"/>
      <c r="O441" s="195"/>
      <c r="V441" s="196" t="str">
        <f t="shared" si="50"/>
        <v/>
      </c>
      <c r="W441" s="197" t="str">
        <f t="shared" si="51"/>
        <v/>
      </c>
      <c r="X441" s="197" t="str">
        <f t="shared" si="52"/>
        <v/>
      </c>
      <c r="Y441" s="197" t="str">
        <f t="shared" si="53"/>
        <v/>
      </c>
      <c r="Z441" s="157" t="e">
        <f t="shared" si="54"/>
        <v>#DIV/0!</v>
      </c>
      <c r="AA441" s="157" t="e">
        <f t="shared" si="55"/>
        <v>#DIV/0!</v>
      </c>
    </row>
    <row r="442" spans="14:27" ht="15">
      <c r="N442" s="194"/>
      <c r="O442" s="195"/>
      <c r="V442" s="196" t="str">
        <f t="shared" si="50"/>
        <v/>
      </c>
      <c r="W442" s="197" t="str">
        <f t="shared" si="51"/>
        <v/>
      </c>
      <c r="X442" s="197" t="str">
        <f t="shared" si="52"/>
        <v/>
      </c>
      <c r="Y442" s="197" t="str">
        <f t="shared" si="53"/>
        <v/>
      </c>
      <c r="Z442" s="157" t="e">
        <f t="shared" si="54"/>
        <v>#DIV/0!</v>
      </c>
      <c r="AA442" s="157" t="e">
        <f t="shared" si="55"/>
        <v>#DIV/0!</v>
      </c>
    </row>
    <row r="443" spans="14:27" ht="15">
      <c r="N443" s="194"/>
      <c r="O443" s="195"/>
      <c r="V443" s="196" t="str">
        <f t="shared" si="50"/>
        <v/>
      </c>
      <c r="W443" s="197" t="str">
        <f t="shared" si="51"/>
        <v/>
      </c>
      <c r="X443" s="197" t="str">
        <f t="shared" si="52"/>
        <v/>
      </c>
      <c r="Y443" s="197" t="str">
        <f t="shared" si="53"/>
        <v/>
      </c>
      <c r="Z443" s="157" t="e">
        <f t="shared" si="54"/>
        <v>#DIV/0!</v>
      </c>
      <c r="AA443" s="157" t="e">
        <f t="shared" si="55"/>
        <v>#DIV/0!</v>
      </c>
    </row>
    <row r="444" spans="14:27" ht="15">
      <c r="N444" s="194"/>
      <c r="O444" s="195"/>
      <c r="V444" s="196" t="str">
        <f t="shared" si="50"/>
        <v/>
      </c>
      <c r="W444" s="197" t="str">
        <f t="shared" si="51"/>
        <v/>
      </c>
      <c r="X444" s="197" t="str">
        <f t="shared" si="52"/>
        <v/>
      </c>
      <c r="Y444" s="197" t="str">
        <f t="shared" si="53"/>
        <v/>
      </c>
      <c r="Z444" s="157" t="e">
        <f t="shared" si="54"/>
        <v>#DIV/0!</v>
      </c>
      <c r="AA444" s="157" t="e">
        <f t="shared" si="55"/>
        <v>#DIV/0!</v>
      </c>
    </row>
    <row r="445" spans="14:27" ht="15">
      <c r="N445" s="194"/>
      <c r="O445" s="195"/>
      <c r="V445" s="196" t="str">
        <f t="shared" si="50"/>
        <v/>
      </c>
      <c r="W445" s="197" t="str">
        <f t="shared" si="51"/>
        <v/>
      </c>
      <c r="X445" s="197" t="str">
        <f t="shared" si="52"/>
        <v/>
      </c>
      <c r="Y445" s="197" t="str">
        <f t="shared" si="53"/>
        <v/>
      </c>
      <c r="Z445" s="157" t="e">
        <f t="shared" si="54"/>
        <v>#DIV/0!</v>
      </c>
      <c r="AA445" s="157" t="e">
        <f t="shared" si="55"/>
        <v>#DIV/0!</v>
      </c>
    </row>
    <row r="446" spans="14:27" ht="15">
      <c r="N446" s="194"/>
      <c r="O446" s="195"/>
      <c r="V446" s="196" t="str">
        <f t="shared" si="50"/>
        <v/>
      </c>
      <c r="W446" s="197" t="str">
        <f t="shared" si="51"/>
        <v/>
      </c>
      <c r="X446" s="197" t="str">
        <f t="shared" si="52"/>
        <v/>
      </c>
      <c r="Y446" s="197" t="str">
        <f t="shared" si="53"/>
        <v/>
      </c>
      <c r="Z446" s="157" t="e">
        <f t="shared" si="54"/>
        <v>#DIV/0!</v>
      </c>
      <c r="AA446" s="157" t="e">
        <f t="shared" si="55"/>
        <v>#DIV/0!</v>
      </c>
    </row>
    <row r="447" spans="14:27" ht="15">
      <c r="N447" s="194"/>
      <c r="O447" s="195"/>
      <c r="V447" s="196" t="str">
        <f t="shared" si="50"/>
        <v/>
      </c>
      <c r="W447" s="197" t="str">
        <f t="shared" si="51"/>
        <v/>
      </c>
      <c r="X447" s="197" t="str">
        <f t="shared" si="52"/>
        <v/>
      </c>
      <c r="Y447" s="197" t="str">
        <f t="shared" si="53"/>
        <v/>
      </c>
      <c r="Z447" s="157" t="e">
        <f t="shared" si="54"/>
        <v>#DIV/0!</v>
      </c>
      <c r="AA447" s="157" t="e">
        <f t="shared" si="55"/>
        <v>#DIV/0!</v>
      </c>
    </row>
    <row r="448" spans="14:27" ht="15">
      <c r="N448" s="194"/>
      <c r="O448" s="195"/>
      <c r="V448" s="196" t="str">
        <f t="shared" si="50"/>
        <v/>
      </c>
      <c r="W448" s="197" t="str">
        <f t="shared" si="51"/>
        <v/>
      </c>
      <c r="X448" s="197" t="str">
        <f t="shared" si="52"/>
        <v/>
      </c>
      <c r="Y448" s="197" t="str">
        <f t="shared" si="53"/>
        <v/>
      </c>
      <c r="Z448" s="157" t="e">
        <f t="shared" si="54"/>
        <v>#DIV/0!</v>
      </c>
      <c r="AA448" s="157" t="e">
        <f t="shared" si="55"/>
        <v>#DIV/0!</v>
      </c>
    </row>
    <row r="449" spans="14:27" ht="15">
      <c r="N449" s="194"/>
      <c r="O449" s="195"/>
      <c r="V449" s="196" t="str">
        <f t="shared" si="50"/>
        <v/>
      </c>
      <c r="W449" s="197" t="str">
        <f t="shared" si="51"/>
        <v/>
      </c>
      <c r="X449" s="197" t="str">
        <f t="shared" si="52"/>
        <v/>
      </c>
      <c r="Y449" s="197" t="str">
        <f t="shared" si="53"/>
        <v/>
      </c>
      <c r="Z449" s="157" t="e">
        <f t="shared" si="54"/>
        <v>#DIV/0!</v>
      </c>
      <c r="AA449" s="157" t="e">
        <f t="shared" si="55"/>
        <v>#DIV/0!</v>
      </c>
    </row>
    <row r="450" spans="14:27" ht="15">
      <c r="N450" s="194"/>
      <c r="O450" s="195"/>
      <c r="V450" s="196" t="str">
        <f t="shared" si="50"/>
        <v/>
      </c>
      <c r="W450" s="197" t="str">
        <f t="shared" si="51"/>
        <v/>
      </c>
      <c r="X450" s="197" t="str">
        <f t="shared" si="52"/>
        <v/>
      </c>
      <c r="Y450" s="197" t="str">
        <f t="shared" si="53"/>
        <v/>
      </c>
      <c r="Z450" s="157" t="e">
        <f t="shared" si="54"/>
        <v>#DIV/0!</v>
      </c>
      <c r="AA450" s="157" t="e">
        <f t="shared" si="55"/>
        <v>#DIV/0!</v>
      </c>
    </row>
    <row r="451" spans="14:27" ht="15">
      <c r="N451" s="194"/>
      <c r="O451" s="195"/>
      <c r="V451" s="196" t="str">
        <f t="shared" si="50"/>
        <v/>
      </c>
      <c r="W451" s="197" t="str">
        <f t="shared" si="51"/>
        <v/>
      </c>
      <c r="X451" s="197" t="str">
        <f t="shared" si="52"/>
        <v/>
      </c>
      <c r="Y451" s="197" t="str">
        <f t="shared" si="53"/>
        <v/>
      </c>
      <c r="Z451" s="157" t="e">
        <f t="shared" si="54"/>
        <v>#DIV/0!</v>
      </c>
      <c r="AA451" s="157" t="e">
        <f t="shared" si="55"/>
        <v>#DIV/0!</v>
      </c>
    </row>
    <row r="452" spans="14:27" ht="15">
      <c r="N452" s="194"/>
      <c r="O452" s="195"/>
      <c r="V452" s="196" t="str">
        <f t="shared" si="50"/>
        <v/>
      </c>
      <c r="W452" s="197" t="str">
        <f t="shared" si="51"/>
        <v/>
      </c>
      <c r="X452" s="197" t="str">
        <f t="shared" si="52"/>
        <v/>
      </c>
      <c r="Y452" s="197" t="str">
        <f t="shared" si="53"/>
        <v/>
      </c>
      <c r="Z452" s="157" t="e">
        <f t="shared" si="54"/>
        <v>#DIV/0!</v>
      </c>
      <c r="AA452" s="157" t="e">
        <f t="shared" si="55"/>
        <v>#DIV/0!</v>
      </c>
    </row>
    <row r="453" spans="14:27" ht="15">
      <c r="N453" s="194"/>
      <c r="O453" s="195"/>
      <c r="V453" s="196" t="str">
        <f t="shared" si="50"/>
        <v/>
      </c>
      <c r="W453" s="197" t="str">
        <f t="shared" si="51"/>
        <v/>
      </c>
      <c r="X453" s="197" t="str">
        <f t="shared" si="52"/>
        <v/>
      </c>
      <c r="Y453" s="197" t="str">
        <f t="shared" si="53"/>
        <v/>
      </c>
      <c r="Z453" s="157" t="e">
        <f t="shared" si="54"/>
        <v>#DIV/0!</v>
      </c>
      <c r="AA453" s="157" t="e">
        <f t="shared" si="55"/>
        <v>#DIV/0!</v>
      </c>
    </row>
    <row r="454" spans="14:27" ht="15">
      <c r="N454" s="194"/>
      <c r="O454" s="195"/>
      <c r="V454" s="196" t="str">
        <f t="shared" si="50"/>
        <v/>
      </c>
      <c r="W454" s="197" t="str">
        <f t="shared" si="51"/>
        <v/>
      </c>
      <c r="X454" s="197" t="str">
        <f t="shared" si="52"/>
        <v/>
      </c>
      <c r="Y454" s="197" t="str">
        <f t="shared" si="53"/>
        <v/>
      </c>
      <c r="Z454" s="157" t="e">
        <f t="shared" si="54"/>
        <v>#DIV/0!</v>
      </c>
      <c r="AA454" s="157" t="e">
        <f t="shared" si="55"/>
        <v>#DIV/0!</v>
      </c>
    </row>
    <row r="455" spans="14:27" ht="15">
      <c r="N455" s="194"/>
      <c r="O455" s="195"/>
      <c r="V455" s="196" t="str">
        <f t="shared" si="50"/>
        <v/>
      </c>
      <c r="W455" s="197" t="str">
        <f t="shared" si="51"/>
        <v/>
      </c>
      <c r="X455" s="197" t="str">
        <f t="shared" si="52"/>
        <v/>
      </c>
      <c r="Y455" s="197" t="str">
        <f t="shared" si="53"/>
        <v/>
      </c>
      <c r="Z455" s="157" t="e">
        <f t="shared" si="54"/>
        <v>#DIV/0!</v>
      </c>
      <c r="AA455" s="157" t="e">
        <f t="shared" si="55"/>
        <v>#DIV/0!</v>
      </c>
    </row>
    <row r="456" spans="14:27" ht="15">
      <c r="N456" s="194"/>
      <c r="O456" s="195"/>
      <c r="V456" s="196" t="str">
        <f t="shared" si="50"/>
        <v/>
      </c>
      <c r="W456" s="197" t="str">
        <f t="shared" si="51"/>
        <v/>
      </c>
      <c r="X456" s="197" t="str">
        <f t="shared" si="52"/>
        <v/>
      </c>
      <c r="Y456" s="197" t="str">
        <f t="shared" si="53"/>
        <v/>
      </c>
      <c r="Z456" s="157" t="e">
        <f t="shared" si="54"/>
        <v>#DIV/0!</v>
      </c>
      <c r="AA456" s="157" t="e">
        <f t="shared" si="55"/>
        <v>#DIV/0!</v>
      </c>
    </row>
    <row r="457" spans="14:27" ht="15">
      <c r="N457" s="194"/>
      <c r="O457" s="195"/>
      <c r="V457" s="196" t="str">
        <f t="shared" si="50"/>
        <v/>
      </c>
      <c r="W457" s="197" t="str">
        <f t="shared" si="51"/>
        <v/>
      </c>
      <c r="X457" s="197" t="str">
        <f t="shared" si="52"/>
        <v/>
      </c>
      <c r="Y457" s="197" t="str">
        <f t="shared" si="53"/>
        <v/>
      </c>
      <c r="Z457" s="157" t="e">
        <f t="shared" si="54"/>
        <v>#DIV/0!</v>
      </c>
      <c r="AA457" s="157" t="e">
        <f t="shared" si="55"/>
        <v>#DIV/0!</v>
      </c>
    </row>
    <row r="458" spans="14:27" ht="15">
      <c r="N458" s="194"/>
      <c r="O458" s="195"/>
      <c r="V458" s="196" t="str">
        <f t="shared" si="50"/>
        <v/>
      </c>
      <c r="W458" s="197" t="str">
        <f t="shared" si="51"/>
        <v/>
      </c>
      <c r="X458" s="197" t="str">
        <f t="shared" si="52"/>
        <v/>
      </c>
      <c r="Y458" s="197" t="str">
        <f t="shared" si="53"/>
        <v/>
      </c>
      <c r="Z458" s="157" t="e">
        <f t="shared" si="54"/>
        <v>#DIV/0!</v>
      </c>
      <c r="AA458" s="157" t="e">
        <f t="shared" si="55"/>
        <v>#DIV/0!</v>
      </c>
    </row>
    <row r="459" spans="14:27" ht="15">
      <c r="N459" s="194"/>
      <c r="O459" s="195"/>
      <c r="V459" s="196" t="str">
        <f t="shared" si="50"/>
        <v/>
      </c>
      <c r="W459" s="197" t="str">
        <f t="shared" si="51"/>
        <v/>
      </c>
      <c r="X459" s="197" t="str">
        <f t="shared" si="52"/>
        <v/>
      </c>
      <c r="Y459" s="197" t="str">
        <f t="shared" si="53"/>
        <v/>
      </c>
      <c r="Z459" s="157" t="e">
        <f t="shared" si="54"/>
        <v>#DIV/0!</v>
      </c>
      <c r="AA459" s="157" t="e">
        <f t="shared" si="55"/>
        <v>#DIV/0!</v>
      </c>
    </row>
    <row r="460" spans="14:27" ht="15">
      <c r="N460" s="194"/>
      <c r="O460" s="195"/>
      <c r="V460" s="196" t="str">
        <f t="shared" si="50"/>
        <v/>
      </c>
      <c r="W460" s="197" t="str">
        <f t="shared" si="51"/>
        <v/>
      </c>
      <c r="X460" s="197" t="str">
        <f t="shared" si="52"/>
        <v/>
      </c>
      <c r="Y460" s="197" t="str">
        <f t="shared" si="53"/>
        <v/>
      </c>
      <c r="Z460" s="157" t="e">
        <f t="shared" si="54"/>
        <v>#DIV/0!</v>
      </c>
      <c r="AA460" s="157" t="e">
        <f t="shared" si="55"/>
        <v>#DIV/0!</v>
      </c>
    </row>
    <row r="461" spans="14:27" ht="15">
      <c r="N461" s="194"/>
      <c r="O461" s="195"/>
      <c r="V461" s="196" t="str">
        <f t="shared" si="50"/>
        <v/>
      </c>
      <c r="W461" s="197" t="str">
        <f t="shared" si="51"/>
        <v/>
      </c>
      <c r="X461" s="197" t="str">
        <f t="shared" si="52"/>
        <v/>
      </c>
      <c r="Y461" s="197" t="str">
        <f t="shared" si="53"/>
        <v/>
      </c>
      <c r="Z461" s="157" t="e">
        <f t="shared" si="54"/>
        <v>#DIV/0!</v>
      </c>
      <c r="AA461" s="157" t="e">
        <f t="shared" si="55"/>
        <v>#DIV/0!</v>
      </c>
    </row>
    <row r="462" spans="14:27" ht="15">
      <c r="N462" s="194"/>
      <c r="O462" s="195"/>
      <c r="V462" s="196" t="str">
        <f t="shared" si="50"/>
        <v/>
      </c>
      <c r="W462" s="197" t="str">
        <f t="shared" si="51"/>
        <v/>
      </c>
      <c r="X462" s="197" t="str">
        <f t="shared" si="52"/>
        <v/>
      </c>
      <c r="Y462" s="197" t="str">
        <f t="shared" si="53"/>
        <v/>
      </c>
      <c r="Z462" s="157" t="e">
        <f t="shared" si="54"/>
        <v>#DIV/0!</v>
      </c>
      <c r="AA462" s="157" t="e">
        <f t="shared" si="55"/>
        <v>#DIV/0!</v>
      </c>
    </row>
    <row r="463" spans="14:27" ht="15">
      <c r="N463" s="194"/>
      <c r="O463" s="195"/>
      <c r="V463" s="196" t="str">
        <f t="shared" si="50"/>
        <v/>
      </c>
      <c r="W463" s="197" t="str">
        <f t="shared" si="51"/>
        <v/>
      </c>
      <c r="X463" s="197" t="str">
        <f t="shared" si="52"/>
        <v/>
      </c>
      <c r="Y463" s="197" t="str">
        <f t="shared" si="53"/>
        <v/>
      </c>
      <c r="Z463" s="157" t="e">
        <f t="shared" si="54"/>
        <v>#DIV/0!</v>
      </c>
      <c r="AA463" s="157" t="e">
        <f t="shared" si="55"/>
        <v>#DIV/0!</v>
      </c>
    </row>
    <row r="464" spans="14:27" ht="15">
      <c r="N464" s="194"/>
      <c r="O464" s="195"/>
      <c r="V464" s="196" t="str">
        <f t="shared" si="50"/>
        <v/>
      </c>
      <c r="W464" s="197" t="str">
        <f t="shared" si="51"/>
        <v/>
      </c>
      <c r="X464" s="197" t="str">
        <f t="shared" si="52"/>
        <v/>
      </c>
      <c r="Y464" s="197" t="str">
        <f t="shared" si="53"/>
        <v/>
      </c>
      <c r="Z464" s="157" t="e">
        <f t="shared" si="54"/>
        <v>#DIV/0!</v>
      </c>
      <c r="AA464" s="157" t="e">
        <f t="shared" si="55"/>
        <v>#DIV/0!</v>
      </c>
    </row>
    <row r="465" spans="14:27" ht="15">
      <c r="N465" s="194"/>
      <c r="O465" s="195"/>
      <c r="V465" s="196" t="str">
        <f t="shared" si="50"/>
        <v/>
      </c>
      <c r="W465" s="197" t="str">
        <f t="shared" si="51"/>
        <v/>
      </c>
      <c r="X465" s="197" t="str">
        <f t="shared" si="52"/>
        <v/>
      </c>
      <c r="Y465" s="197" t="str">
        <f t="shared" si="53"/>
        <v/>
      </c>
      <c r="Z465" s="157" t="e">
        <f t="shared" si="54"/>
        <v>#DIV/0!</v>
      </c>
      <c r="AA465" s="157" t="e">
        <f t="shared" si="55"/>
        <v>#DIV/0!</v>
      </c>
    </row>
    <row r="466" spans="14:27" ht="15">
      <c r="N466" s="194"/>
      <c r="O466" s="195"/>
      <c r="V466" s="196" t="str">
        <f t="shared" si="50"/>
        <v/>
      </c>
      <c r="W466" s="197" t="str">
        <f t="shared" si="51"/>
        <v/>
      </c>
      <c r="X466" s="197" t="str">
        <f t="shared" si="52"/>
        <v/>
      </c>
      <c r="Y466" s="197" t="str">
        <f t="shared" si="53"/>
        <v/>
      </c>
      <c r="Z466" s="157" t="e">
        <f t="shared" si="54"/>
        <v>#DIV/0!</v>
      </c>
      <c r="AA466" s="157" t="e">
        <f t="shared" si="55"/>
        <v>#DIV/0!</v>
      </c>
    </row>
    <row r="467" spans="14:27" ht="15">
      <c r="N467" s="194"/>
      <c r="O467" s="195"/>
      <c r="V467" s="196" t="str">
        <f t="shared" si="50"/>
        <v/>
      </c>
      <c r="W467" s="197" t="str">
        <f t="shared" si="51"/>
        <v/>
      </c>
      <c r="X467" s="197" t="str">
        <f t="shared" si="52"/>
        <v/>
      </c>
      <c r="Y467" s="197" t="str">
        <f t="shared" si="53"/>
        <v/>
      </c>
      <c r="Z467" s="157" t="e">
        <f t="shared" si="54"/>
        <v>#DIV/0!</v>
      </c>
      <c r="AA467" s="157" t="e">
        <f t="shared" si="55"/>
        <v>#DIV/0!</v>
      </c>
    </row>
    <row r="468" spans="14:27" ht="15">
      <c r="N468" s="194"/>
      <c r="O468" s="195"/>
      <c r="V468" s="196" t="str">
        <f t="shared" si="50"/>
        <v/>
      </c>
      <c r="W468" s="197" t="str">
        <f t="shared" si="51"/>
        <v/>
      </c>
      <c r="X468" s="197" t="str">
        <f t="shared" si="52"/>
        <v/>
      </c>
      <c r="Y468" s="197" t="str">
        <f t="shared" si="53"/>
        <v/>
      </c>
      <c r="Z468" s="157" t="e">
        <f t="shared" si="54"/>
        <v>#DIV/0!</v>
      </c>
      <c r="AA468" s="157" t="e">
        <f t="shared" si="55"/>
        <v>#DIV/0!</v>
      </c>
    </row>
    <row r="469" spans="14:27" ht="15">
      <c r="N469" s="194"/>
      <c r="O469" s="195"/>
      <c r="V469" s="196" t="str">
        <f t="shared" ref="V469:V532" si="56">IFERROR(IF(AND(1/L469&gt;$V$19,1/L469&lt;=$W$19),1/L469,0),"")</f>
        <v/>
      </c>
      <c r="W469" s="197" t="str">
        <f t="shared" ref="W469:W532" si="57">IFERROR(IF(AND(1/L469&gt;$W$19,1/L469&lt;=$X$19),1/L469,0),"")</f>
        <v/>
      </c>
      <c r="X469" s="197" t="str">
        <f t="shared" ref="X469:X532" si="58">IFERROR(IF(AND(1/L469&gt;$X$19,1/L469&lt;=$Y$19),1/L469,0),"")</f>
        <v/>
      </c>
      <c r="Y469" s="197" t="str">
        <f t="shared" ref="Y469:Y532" si="59">IFERROR(IF(1/L469&gt;$Y$19,1/L469,0),"")</f>
        <v/>
      </c>
      <c r="Z469" s="157" t="e">
        <f t="shared" ref="Z469:Z532" si="60">IF(N469&lt;&gt;"",(N469-$N$17)/1000,1/0)</f>
        <v>#DIV/0!</v>
      </c>
      <c r="AA469" s="157" t="e">
        <f t="shared" ref="AA469:AA532" si="61">IF(O469&lt;&gt;"",(O469-$O$17)/1000,1/0)</f>
        <v>#DIV/0!</v>
      </c>
    </row>
    <row r="470" spans="14:27" ht="15">
      <c r="N470" s="194"/>
      <c r="O470" s="195"/>
      <c r="V470" s="196" t="str">
        <f t="shared" si="56"/>
        <v/>
      </c>
      <c r="W470" s="197" t="str">
        <f t="shared" si="57"/>
        <v/>
      </c>
      <c r="X470" s="197" t="str">
        <f t="shared" si="58"/>
        <v/>
      </c>
      <c r="Y470" s="197" t="str">
        <f t="shared" si="59"/>
        <v/>
      </c>
      <c r="Z470" s="157" t="e">
        <f t="shared" si="60"/>
        <v>#DIV/0!</v>
      </c>
      <c r="AA470" s="157" t="e">
        <f t="shared" si="61"/>
        <v>#DIV/0!</v>
      </c>
    </row>
    <row r="471" spans="14:27" ht="15">
      <c r="N471" s="194"/>
      <c r="O471" s="195"/>
      <c r="V471" s="196" t="str">
        <f t="shared" si="56"/>
        <v/>
      </c>
      <c r="W471" s="197" t="str">
        <f t="shared" si="57"/>
        <v/>
      </c>
      <c r="X471" s="197" t="str">
        <f t="shared" si="58"/>
        <v/>
      </c>
      <c r="Y471" s="197" t="str">
        <f t="shared" si="59"/>
        <v/>
      </c>
      <c r="Z471" s="157" t="e">
        <f t="shared" si="60"/>
        <v>#DIV/0!</v>
      </c>
      <c r="AA471" s="157" t="e">
        <f t="shared" si="61"/>
        <v>#DIV/0!</v>
      </c>
    </row>
    <row r="472" spans="14:27" ht="15">
      <c r="N472" s="194"/>
      <c r="O472" s="195"/>
      <c r="V472" s="196" t="str">
        <f t="shared" si="56"/>
        <v/>
      </c>
      <c r="W472" s="197" t="str">
        <f t="shared" si="57"/>
        <v/>
      </c>
      <c r="X472" s="197" t="str">
        <f t="shared" si="58"/>
        <v/>
      </c>
      <c r="Y472" s="197" t="str">
        <f t="shared" si="59"/>
        <v/>
      </c>
      <c r="Z472" s="157" t="e">
        <f t="shared" si="60"/>
        <v>#DIV/0!</v>
      </c>
      <c r="AA472" s="157" t="e">
        <f t="shared" si="61"/>
        <v>#DIV/0!</v>
      </c>
    </row>
    <row r="473" spans="14:27" ht="15">
      <c r="N473" s="194"/>
      <c r="O473" s="195"/>
      <c r="V473" s="196" t="str">
        <f t="shared" si="56"/>
        <v/>
      </c>
      <c r="W473" s="197" t="str">
        <f t="shared" si="57"/>
        <v/>
      </c>
      <c r="X473" s="197" t="str">
        <f t="shared" si="58"/>
        <v/>
      </c>
      <c r="Y473" s="197" t="str">
        <f t="shared" si="59"/>
        <v/>
      </c>
      <c r="Z473" s="157" t="e">
        <f t="shared" si="60"/>
        <v>#DIV/0!</v>
      </c>
      <c r="AA473" s="157" t="e">
        <f t="shared" si="61"/>
        <v>#DIV/0!</v>
      </c>
    </row>
    <row r="474" spans="14:27" ht="15">
      <c r="N474" s="194"/>
      <c r="O474" s="195"/>
      <c r="V474" s="196" t="str">
        <f t="shared" si="56"/>
        <v/>
      </c>
      <c r="W474" s="197" t="str">
        <f t="shared" si="57"/>
        <v/>
      </c>
      <c r="X474" s="197" t="str">
        <f t="shared" si="58"/>
        <v/>
      </c>
      <c r="Y474" s="197" t="str">
        <f t="shared" si="59"/>
        <v/>
      </c>
      <c r="Z474" s="157" t="e">
        <f t="shared" si="60"/>
        <v>#DIV/0!</v>
      </c>
      <c r="AA474" s="157" t="e">
        <f t="shared" si="61"/>
        <v>#DIV/0!</v>
      </c>
    </row>
    <row r="475" spans="14:27" ht="15">
      <c r="N475" s="194"/>
      <c r="O475" s="195"/>
      <c r="V475" s="196" t="str">
        <f t="shared" si="56"/>
        <v/>
      </c>
      <c r="W475" s="197" t="str">
        <f t="shared" si="57"/>
        <v/>
      </c>
      <c r="X475" s="197" t="str">
        <f t="shared" si="58"/>
        <v/>
      </c>
      <c r="Y475" s="197" t="str">
        <f t="shared" si="59"/>
        <v/>
      </c>
      <c r="Z475" s="157" t="e">
        <f t="shared" si="60"/>
        <v>#DIV/0!</v>
      </c>
      <c r="AA475" s="157" t="e">
        <f t="shared" si="61"/>
        <v>#DIV/0!</v>
      </c>
    </row>
    <row r="476" spans="14:27" ht="15">
      <c r="N476" s="194"/>
      <c r="O476" s="195"/>
      <c r="V476" s="196" t="str">
        <f t="shared" si="56"/>
        <v/>
      </c>
      <c r="W476" s="197" t="str">
        <f t="shared" si="57"/>
        <v/>
      </c>
      <c r="X476" s="197" t="str">
        <f t="shared" si="58"/>
        <v/>
      </c>
      <c r="Y476" s="197" t="str">
        <f t="shared" si="59"/>
        <v/>
      </c>
      <c r="Z476" s="157" t="e">
        <f t="shared" si="60"/>
        <v>#DIV/0!</v>
      </c>
      <c r="AA476" s="157" t="e">
        <f t="shared" si="61"/>
        <v>#DIV/0!</v>
      </c>
    </row>
    <row r="477" spans="14:27" ht="15">
      <c r="N477" s="194"/>
      <c r="O477" s="195"/>
      <c r="V477" s="196" t="str">
        <f t="shared" si="56"/>
        <v/>
      </c>
      <c r="W477" s="197" t="str">
        <f t="shared" si="57"/>
        <v/>
      </c>
      <c r="X477" s="197" t="str">
        <f t="shared" si="58"/>
        <v/>
      </c>
      <c r="Y477" s="197" t="str">
        <f t="shared" si="59"/>
        <v/>
      </c>
      <c r="Z477" s="157" t="e">
        <f t="shared" si="60"/>
        <v>#DIV/0!</v>
      </c>
      <c r="AA477" s="157" t="e">
        <f t="shared" si="61"/>
        <v>#DIV/0!</v>
      </c>
    </row>
    <row r="478" spans="14:27" ht="15">
      <c r="N478" s="194"/>
      <c r="O478" s="195"/>
      <c r="V478" s="196" t="str">
        <f t="shared" si="56"/>
        <v/>
      </c>
      <c r="W478" s="197" t="str">
        <f t="shared" si="57"/>
        <v/>
      </c>
      <c r="X478" s="197" t="str">
        <f t="shared" si="58"/>
        <v/>
      </c>
      <c r="Y478" s="197" t="str">
        <f t="shared" si="59"/>
        <v/>
      </c>
      <c r="Z478" s="157" t="e">
        <f t="shared" si="60"/>
        <v>#DIV/0!</v>
      </c>
      <c r="AA478" s="157" t="e">
        <f t="shared" si="61"/>
        <v>#DIV/0!</v>
      </c>
    </row>
    <row r="479" spans="14:27" ht="15">
      <c r="N479" s="194"/>
      <c r="O479" s="195"/>
      <c r="V479" s="196" t="str">
        <f t="shared" si="56"/>
        <v/>
      </c>
      <c r="W479" s="197" t="str">
        <f t="shared" si="57"/>
        <v/>
      </c>
      <c r="X479" s="197" t="str">
        <f t="shared" si="58"/>
        <v/>
      </c>
      <c r="Y479" s="197" t="str">
        <f t="shared" si="59"/>
        <v/>
      </c>
      <c r="Z479" s="157" t="e">
        <f t="shared" si="60"/>
        <v>#DIV/0!</v>
      </c>
      <c r="AA479" s="157" t="e">
        <f t="shared" si="61"/>
        <v>#DIV/0!</v>
      </c>
    </row>
    <row r="480" spans="14:27" ht="15">
      <c r="N480" s="194"/>
      <c r="O480" s="195"/>
      <c r="V480" s="196" t="str">
        <f t="shared" si="56"/>
        <v/>
      </c>
      <c r="W480" s="197" t="str">
        <f t="shared" si="57"/>
        <v/>
      </c>
      <c r="X480" s="197" t="str">
        <f t="shared" si="58"/>
        <v/>
      </c>
      <c r="Y480" s="197" t="str">
        <f t="shared" si="59"/>
        <v/>
      </c>
      <c r="Z480" s="157" t="e">
        <f t="shared" si="60"/>
        <v>#DIV/0!</v>
      </c>
      <c r="AA480" s="157" t="e">
        <f t="shared" si="61"/>
        <v>#DIV/0!</v>
      </c>
    </row>
    <row r="481" spans="14:27" ht="15">
      <c r="N481" s="194"/>
      <c r="O481" s="195"/>
      <c r="V481" s="196" t="str">
        <f t="shared" si="56"/>
        <v/>
      </c>
      <c r="W481" s="197" t="str">
        <f t="shared" si="57"/>
        <v/>
      </c>
      <c r="X481" s="197" t="str">
        <f t="shared" si="58"/>
        <v/>
      </c>
      <c r="Y481" s="197" t="str">
        <f t="shared" si="59"/>
        <v/>
      </c>
      <c r="Z481" s="157" t="e">
        <f t="shared" si="60"/>
        <v>#DIV/0!</v>
      </c>
      <c r="AA481" s="157" t="e">
        <f t="shared" si="61"/>
        <v>#DIV/0!</v>
      </c>
    </row>
    <row r="482" spans="14:27" ht="15">
      <c r="N482" s="194"/>
      <c r="O482" s="195"/>
      <c r="V482" s="196" t="str">
        <f t="shared" si="56"/>
        <v/>
      </c>
      <c r="W482" s="197" t="str">
        <f t="shared" si="57"/>
        <v/>
      </c>
      <c r="X482" s="197" t="str">
        <f t="shared" si="58"/>
        <v/>
      </c>
      <c r="Y482" s="197" t="str">
        <f t="shared" si="59"/>
        <v/>
      </c>
      <c r="Z482" s="157" t="e">
        <f t="shared" si="60"/>
        <v>#DIV/0!</v>
      </c>
      <c r="AA482" s="157" t="e">
        <f t="shared" si="61"/>
        <v>#DIV/0!</v>
      </c>
    </row>
    <row r="483" spans="14:27" ht="15">
      <c r="N483" s="194"/>
      <c r="O483" s="195"/>
      <c r="V483" s="196" t="str">
        <f t="shared" si="56"/>
        <v/>
      </c>
      <c r="W483" s="197" t="str">
        <f t="shared" si="57"/>
        <v/>
      </c>
      <c r="X483" s="197" t="str">
        <f t="shared" si="58"/>
        <v/>
      </c>
      <c r="Y483" s="197" t="str">
        <f t="shared" si="59"/>
        <v/>
      </c>
      <c r="Z483" s="157" t="e">
        <f t="shared" si="60"/>
        <v>#DIV/0!</v>
      </c>
      <c r="AA483" s="157" t="e">
        <f t="shared" si="61"/>
        <v>#DIV/0!</v>
      </c>
    </row>
    <row r="484" spans="14:27" ht="15">
      <c r="N484" s="194"/>
      <c r="O484" s="195"/>
      <c r="V484" s="196" t="str">
        <f t="shared" si="56"/>
        <v/>
      </c>
      <c r="W484" s="197" t="str">
        <f t="shared" si="57"/>
        <v/>
      </c>
      <c r="X484" s="197" t="str">
        <f t="shared" si="58"/>
        <v/>
      </c>
      <c r="Y484" s="197" t="str">
        <f t="shared" si="59"/>
        <v/>
      </c>
      <c r="Z484" s="157" t="e">
        <f t="shared" si="60"/>
        <v>#DIV/0!</v>
      </c>
      <c r="AA484" s="157" t="e">
        <f t="shared" si="61"/>
        <v>#DIV/0!</v>
      </c>
    </row>
    <row r="485" spans="14:27" ht="15">
      <c r="N485" s="194"/>
      <c r="O485" s="195"/>
      <c r="V485" s="196" t="str">
        <f t="shared" si="56"/>
        <v/>
      </c>
      <c r="W485" s="197" t="str">
        <f t="shared" si="57"/>
        <v/>
      </c>
      <c r="X485" s="197" t="str">
        <f t="shared" si="58"/>
        <v/>
      </c>
      <c r="Y485" s="197" t="str">
        <f t="shared" si="59"/>
        <v/>
      </c>
      <c r="Z485" s="157" t="e">
        <f t="shared" si="60"/>
        <v>#DIV/0!</v>
      </c>
      <c r="AA485" s="157" t="e">
        <f t="shared" si="61"/>
        <v>#DIV/0!</v>
      </c>
    </row>
    <row r="486" spans="14:27" ht="15">
      <c r="N486" s="194"/>
      <c r="O486" s="195"/>
      <c r="V486" s="196" t="str">
        <f t="shared" si="56"/>
        <v/>
      </c>
      <c r="W486" s="197" t="str">
        <f t="shared" si="57"/>
        <v/>
      </c>
      <c r="X486" s="197" t="str">
        <f t="shared" si="58"/>
        <v/>
      </c>
      <c r="Y486" s="197" t="str">
        <f t="shared" si="59"/>
        <v/>
      </c>
      <c r="Z486" s="157" t="e">
        <f t="shared" si="60"/>
        <v>#DIV/0!</v>
      </c>
      <c r="AA486" s="157" t="e">
        <f t="shared" si="61"/>
        <v>#DIV/0!</v>
      </c>
    </row>
    <row r="487" spans="14:27" ht="15">
      <c r="N487" s="194"/>
      <c r="O487" s="195"/>
      <c r="V487" s="196" t="str">
        <f t="shared" si="56"/>
        <v/>
      </c>
      <c r="W487" s="197" t="str">
        <f t="shared" si="57"/>
        <v/>
      </c>
      <c r="X487" s="197" t="str">
        <f t="shared" si="58"/>
        <v/>
      </c>
      <c r="Y487" s="197" t="str">
        <f t="shared" si="59"/>
        <v/>
      </c>
      <c r="Z487" s="157" t="e">
        <f t="shared" si="60"/>
        <v>#DIV/0!</v>
      </c>
      <c r="AA487" s="157" t="e">
        <f t="shared" si="61"/>
        <v>#DIV/0!</v>
      </c>
    </row>
    <row r="488" spans="14:27" ht="15">
      <c r="N488" s="194"/>
      <c r="O488" s="195"/>
      <c r="V488" s="196" t="str">
        <f t="shared" si="56"/>
        <v/>
      </c>
      <c r="W488" s="197" t="str">
        <f t="shared" si="57"/>
        <v/>
      </c>
      <c r="X488" s="197" t="str">
        <f t="shared" si="58"/>
        <v/>
      </c>
      <c r="Y488" s="197" t="str">
        <f t="shared" si="59"/>
        <v/>
      </c>
      <c r="Z488" s="157" t="e">
        <f t="shared" si="60"/>
        <v>#DIV/0!</v>
      </c>
      <c r="AA488" s="157" t="e">
        <f t="shared" si="61"/>
        <v>#DIV/0!</v>
      </c>
    </row>
    <row r="489" spans="14:27" ht="15">
      <c r="N489" s="194"/>
      <c r="O489" s="195"/>
      <c r="V489" s="196" t="str">
        <f t="shared" si="56"/>
        <v/>
      </c>
      <c r="W489" s="197" t="str">
        <f t="shared" si="57"/>
        <v/>
      </c>
      <c r="X489" s="197" t="str">
        <f t="shared" si="58"/>
        <v/>
      </c>
      <c r="Y489" s="197" t="str">
        <f t="shared" si="59"/>
        <v/>
      </c>
      <c r="Z489" s="157" t="e">
        <f t="shared" si="60"/>
        <v>#DIV/0!</v>
      </c>
      <c r="AA489" s="157" t="e">
        <f t="shared" si="61"/>
        <v>#DIV/0!</v>
      </c>
    </row>
    <row r="490" spans="14:27" ht="15">
      <c r="N490" s="194"/>
      <c r="O490" s="195"/>
      <c r="V490" s="196" t="str">
        <f t="shared" si="56"/>
        <v/>
      </c>
      <c r="W490" s="197" t="str">
        <f t="shared" si="57"/>
        <v/>
      </c>
      <c r="X490" s="197" t="str">
        <f t="shared" si="58"/>
        <v/>
      </c>
      <c r="Y490" s="197" t="str">
        <f t="shared" si="59"/>
        <v/>
      </c>
      <c r="Z490" s="157" t="e">
        <f t="shared" si="60"/>
        <v>#DIV/0!</v>
      </c>
      <c r="AA490" s="157" t="e">
        <f t="shared" si="61"/>
        <v>#DIV/0!</v>
      </c>
    </row>
    <row r="491" spans="14:27" ht="15">
      <c r="N491" s="194"/>
      <c r="O491" s="195"/>
      <c r="V491" s="196" t="str">
        <f t="shared" si="56"/>
        <v/>
      </c>
      <c r="W491" s="197" t="str">
        <f t="shared" si="57"/>
        <v/>
      </c>
      <c r="X491" s="197" t="str">
        <f t="shared" si="58"/>
        <v/>
      </c>
      <c r="Y491" s="197" t="str">
        <f t="shared" si="59"/>
        <v/>
      </c>
      <c r="Z491" s="157" t="e">
        <f t="shared" si="60"/>
        <v>#DIV/0!</v>
      </c>
      <c r="AA491" s="157" t="e">
        <f t="shared" si="61"/>
        <v>#DIV/0!</v>
      </c>
    </row>
    <row r="492" spans="14:27" ht="15">
      <c r="N492" s="194"/>
      <c r="O492" s="195"/>
      <c r="V492" s="196" t="str">
        <f t="shared" si="56"/>
        <v/>
      </c>
      <c r="W492" s="197" t="str">
        <f t="shared" si="57"/>
        <v/>
      </c>
      <c r="X492" s="197" t="str">
        <f t="shared" si="58"/>
        <v/>
      </c>
      <c r="Y492" s="197" t="str">
        <f t="shared" si="59"/>
        <v/>
      </c>
      <c r="Z492" s="157" t="e">
        <f t="shared" si="60"/>
        <v>#DIV/0!</v>
      </c>
      <c r="AA492" s="157" t="e">
        <f t="shared" si="61"/>
        <v>#DIV/0!</v>
      </c>
    </row>
    <row r="493" spans="14:27" ht="15">
      <c r="N493" s="194"/>
      <c r="O493" s="195"/>
      <c r="V493" s="196" t="str">
        <f t="shared" si="56"/>
        <v/>
      </c>
      <c r="W493" s="197" t="str">
        <f t="shared" si="57"/>
        <v/>
      </c>
      <c r="X493" s="197" t="str">
        <f t="shared" si="58"/>
        <v/>
      </c>
      <c r="Y493" s="197" t="str">
        <f t="shared" si="59"/>
        <v/>
      </c>
      <c r="Z493" s="157" t="e">
        <f t="shared" si="60"/>
        <v>#DIV/0!</v>
      </c>
      <c r="AA493" s="157" t="e">
        <f t="shared" si="61"/>
        <v>#DIV/0!</v>
      </c>
    </row>
    <row r="494" spans="14:27" ht="15">
      <c r="N494" s="194"/>
      <c r="O494" s="195"/>
      <c r="V494" s="196" t="str">
        <f t="shared" si="56"/>
        <v/>
      </c>
      <c r="W494" s="197" t="str">
        <f t="shared" si="57"/>
        <v/>
      </c>
      <c r="X494" s="197" t="str">
        <f t="shared" si="58"/>
        <v/>
      </c>
      <c r="Y494" s="197" t="str">
        <f t="shared" si="59"/>
        <v/>
      </c>
      <c r="Z494" s="157" t="e">
        <f t="shared" si="60"/>
        <v>#DIV/0!</v>
      </c>
      <c r="AA494" s="157" t="e">
        <f t="shared" si="61"/>
        <v>#DIV/0!</v>
      </c>
    </row>
    <row r="495" spans="14:27" ht="15">
      <c r="N495" s="194"/>
      <c r="O495" s="195"/>
      <c r="V495" s="196" t="str">
        <f t="shared" si="56"/>
        <v/>
      </c>
      <c r="W495" s="197" t="str">
        <f t="shared" si="57"/>
        <v/>
      </c>
      <c r="X495" s="197" t="str">
        <f t="shared" si="58"/>
        <v/>
      </c>
      <c r="Y495" s="197" t="str">
        <f t="shared" si="59"/>
        <v/>
      </c>
      <c r="Z495" s="157" t="e">
        <f t="shared" si="60"/>
        <v>#DIV/0!</v>
      </c>
      <c r="AA495" s="157" t="e">
        <f t="shared" si="61"/>
        <v>#DIV/0!</v>
      </c>
    </row>
    <row r="496" spans="14:27" ht="15">
      <c r="N496" s="194"/>
      <c r="O496" s="195"/>
      <c r="V496" s="196" t="str">
        <f t="shared" si="56"/>
        <v/>
      </c>
      <c r="W496" s="197" t="str">
        <f t="shared" si="57"/>
        <v/>
      </c>
      <c r="X496" s="197" t="str">
        <f t="shared" si="58"/>
        <v/>
      </c>
      <c r="Y496" s="197" t="str">
        <f t="shared" si="59"/>
        <v/>
      </c>
      <c r="Z496" s="157" t="e">
        <f t="shared" si="60"/>
        <v>#DIV/0!</v>
      </c>
      <c r="AA496" s="157" t="e">
        <f t="shared" si="61"/>
        <v>#DIV/0!</v>
      </c>
    </row>
    <row r="497" spans="14:27" ht="15">
      <c r="N497" s="194"/>
      <c r="O497" s="195"/>
      <c r="V497" s="196" t="str">
        <f t="shared" si="56"/>
        <v/>
      </c>
      <c r="W497" s="197" t="str">
        <f t="shared" si="57"/>
        <v/>
      </c>
      <c r="X497" s="197" t="str">
        <f t="shared" si="58"/>
        <v/>
      </c>
      <c r="Y497" s="197" t="str">
        <f t="shared" si="59"/>
        <v/>
      </c>
      <c r="Z497" s="157" t="e">
        <f t="shared" si="60"/>
        <v>#DIV/0!</v>
      </c>
      <c r="AA497" s="157" t="e">
        <f t="shared" si="61"/>
        <v>#DIV/0!</v>
      </c>
    </row>
    <row r="498" spans="14:27" ht="15">
      <c r="N498" s="194"/>
      <c r="O498" s="195"/>
      <c r="V498" s="196" t="str">
        <f t="shared" si="56"/>
        <v/>
      </c>
      <c r="W498" s="197" t="str">
        <f t="shared" si="57"/>
        <v/>
      </c>
      <c r="X498" s="197" t="str">
        <f t="shared" si="58"/>
        <v/>
      </c>
      <c r="Y498" s="197" t="str">
        <f t="shared" si="59"/>
        <v/>
      </c>
      <c r="Z498" s="157" t="e">
        <f t="shared" si="60"/>
        <v>#DIV/0!</v>
      </c>
      <c r="AA498" s="157" t="e">
        <f t="shared" si="61"/>
        <v>#DIV/0!</v>
      </c>
    </row>
    <row r="499" spans="14:27" ht="15">
      <c r="N499" s="194"/>
      <c r="O499" s="195"/>
      <c r="V499" s="196" t="str">
        <f t="shared" si="56"/>
        <v/>
      </c>
      <c r="W499" s="197" t="str">
        <f t="shared" si="57"/>
        <v/>
      </c>
      <c r="X499" s="197" t="str">
        <f t="shared" si="58"/>
        <v/>
      </c>
      <c r="Y499" s="197" t="str">
        <f t="shared" si="59"/>
        <v/>
      </c>
      <c r="Z499" s="157" t="e">
        <f t="shared" si="60"/>
        <v>#DIV/0!</v>
      </c>
      <c r="AA499" s="157" t="e">
        <f t="shared" si="61"/>
        <v>#DIV/0!</v>
      </c>
    </row>
    <row r="500" spans="14:27" ht="15">
      <c r="N500" s="194"/>
      <c r="O500" s="195"/>
      <c r="V500" s="196" t="str">
        <f t="shared" si="56"/>
        <v/>
      </c>
      <c r="W500" s="197" t="str">
        <f t="shared" si="57"/>
        <v/>
      </c>
      <c r="X500" s="197" t="str">
        <f t="shared" si="58"/>
        <v/>
      </c>
      <c r="Y500" s="197" t="str">
        <f t="shared" si="59"/>
        <v/>
      </c>
      <c r="Z500" s="157" t="e">
        <f t="shared" si="60"/>
        <v>#DIV/0!</v>
      </c>
      <c r="AA500" s="157" t="e">
        <f t="shared" si="61"/>
        <v>#DIV/0!</v>
      </c>
    </row>
    <row r="501" spans="14:27" ht="15">
      <c r="N501" s="194"/>
      <c r="O501" s="195"/>
      <c r="V501" s="196" t="str">
        <f t="shared" si="56"/>
        <v/>
      </c>
      <c r="W501" s="197" t="str">
        <f t="shared" si="57"/>
        <v/>
      </c>
      <c r="X501" s="197" t="str">
        <f t="shared" si="58"/>
        <v/>
      </c>
      <c r="Y501" s="197" t="str">
        <f t="shared" si="59"/>
        <v/>
      </c>
      <c r="Z501" s="157" t="e">
        <f t="shared" si="60"/>
        <v>#DIV/0!</v>
      </c>
      <c r="AA501" s="157" t="e">
        <f t="shared" si="61"/>
        <v>#DIV/0!</v>
      </c>
    </row>
    <row r="502" spans="14:27" ht="15">
      <c r="N502" s="194"/>
      <c r="O502" s="195"/>
      <c r="V502" s="196" t="str">
        <f t="shared" si="56"/>
        <v/>
      </c>
      <c r="W502" s="197" t="str">
        <f t="shared" si="57"/>
        <v/>
      </c>
      <c r="X502" s="197" t="str">
        <f t="shared" si="58"/>
        <v/>
      </c>
      <c r="Y502" s="197" t="str">
        <f t="shared" si="59"/>
        <v/>
      </c>
      <c r="Z502" s="157" t="e">
        <f t="shared" si="60"/>
        <v>#DIV/0!</v>
      </c>
      <c r="AA502" s="157" t="e">
        <f t="shared" si="61"/>
        <v>#DIV/0!</v>
      </c>
    </row>
    <row r="503" spans="14:27" ht="15">
      <c r="N503" s="194"/>
      <c r="O503" s="195"/>
      <c r="V503" s="196" t="str">
        <f t="shared" si="56"/>
        <v/>
      </c>
      <c r="W503" s="197" t="str">
        <f t="shared" si="57"/>
        <v/>
      </c>
      <c r="X503" s="197" t="str">
        <f t="shared" si="58"/>
        <v/>
      </c>
      <c r="Y503" s="197" t="str">
        <f t="shared" si="59"/>
        <v/>
      </c>
      <c r="Z503" s="157" t="e">
        <f t="shared" si="60"/>
        <v>#DIV/0!</v>
      </c>
      <c r="AA503" s="157" t="e">
        <f t="shared" si="61"/>
        <v>#DIV/0!</v>
      </c>
    </row>
    <row r="504" spans="14:27" ht="15">
      <c r="N504" s="194"/>
      <c r="O504" s="195"/>
      <c r="V504" s="196" t="str">
        <f t="shared" si="56"/>
        <v/>
      </c>
      <c r="W504" s="197" t="str">
        <f t="shared" si="57"/>
        <v/>
      </c>
      <c r="X504" s="197" t="str">
        <f t="shared" si="58"/>
        <v/>
      </c>
      <c r="Y504" s="197" t="str">
        <f t="shared" si="59"/>
        <v/>
      </c>
      <c r="Z504" s="157" t="e">
        <f t="shared" si="60"/>
        <v>#DIV/0!</v>
      </c>
      <c r="AA504" s="157" t="e">
        <f t="shared" si="61"/>
        <v>#DIV/0!</v>
      </c>
    </row>
    <row r="505" spans="14:27" ht="15">
      <c r="N505" s="194"/>
      <c r="O505" s="195"/>
      <c r="V505" s="196" t="str">
        <f t="shared" si="56"/>
        <v/>
      </c>
      <c r="W505" s="197" t="str">
        <f t="shared" si="57"/>
        <v/>
      </c>
      <c r="X505" s="197" t="str">
        <f t="shared" si="58"/>
        <v/>
      </c>
      <c r="Y505" s="197" t="str">
        <f t="shared" si="59"/>
        <v/>
      </c>
      <c r="Z505" s="157" t="e">
        <f t="shared" si="60"/>
        <v>#DIV/0!</v>
      </c>
      <c r="AA505" s="157" t="e">
        <f t="shared" si="61"/>
        <v>#DIV/0!</v>
      </c>
    </row>
    <row r="506" spans="14:27" ht="15">
      <c r="N506" s="194"/>
      <c r="O506" s="195"/>
      <c r="V506" s="196" t="str">
        <f t="shared" si="56"/>
        <v/>
      </c>
      <c r="W506" s="197" t="str">
        <f t="shared" si="57"/>
        <v/>
      </c>
      <c r="X506" s="197" t="str">
        <f t="shared" si="58"/>
        <v/>
      </c>
      <c r="Y506" s="197" t="str">
        <f t="shared" si="59"/>
        <v/>
      </c>
      <c r="Z506" s="157" t="e">
        <f t="shared" si="60"/>
        <v>#DIV/0!</v>
      </c>
      <c r="AA506" s="157" t="e">
        <f t="shared" si="61"/>
        <v>#DIV/0!</v>
      </c>
    </row>
    <row r="507" spans="14:27" ht="15">
      <c r="N507" s="194"/>
      <c r="O507" s="195"/>
      <c r="V507" s="196" t="str">
        <f t="shared" si="56"/>
        <v/>
      </c>
      <c r="W507" s="197" t="str">
        <f t="shared" si="57"/>
        <v/>
      </c>
      <c r="X507" s="197" t="str">
        <f t="shared" si="58"/>
        <v/>
      </c>
      <c r="Y507" s="197" t="str">
        <f t="shared" si="59"/>
        <v/>
      </c>
      <c r="Z507" s="157" t="e">
        <f t="shared" si="60"/>
        <v>#DIV/0!</v>
      </c>
      <c r="AA507" s="157" t="e">
        <f t="shared" si="61"/>
        <v>#DIV/0!</v>
      </c>
    </row>
    <row r="508" spans="14:27" ht="15">
      <c r="N508" s="194"/>
      <c r="O508" s="195"/>
      <c r="V508" s="196" t="str">
        <f t="shared" si="56"/>
        <v/>
      </c>
      <c r="W508" s="197" t="str">
        <f t="shared" si="57"/>
        <v/>
      </c>
      <c r="X508" s="197" t="str">
        <f t="shared" si="58"/>
        <v/>
      </c>
      <c r="Y508" s="197" t="str">
        <f t="shared" si="59"/>
        <v/>
      </c>
      <c r="Z508" s="157" t="e">
        <f t="shared" si="60"/>
        <v>#DIV/0!</v>
      </c>
      <c r="AA508" s="157" t="e">
        <f t="shared" si="61"/>
        <v>#DIV/0!</v>
      </c>
    </row>
    <row r="509" spans="14:27" ht="15">
      <c r="N509" s="194"/>
      <c r="O509" s="195"/>
      <c r="V509" s="196" t="str">
        <f t="shared" si="56"/>
        <v/>
      </c>
      <c r="W509" s="197" t="str">
        <f t="shared" si="57"/>
        <v/>
      </c>
      <c r="X509" s="197" t="str">
        <f t="shared" si="58"/>
        <v/>
      </c>
      <c r="Y509" s="197" t="str">
        <f t="shared" si="59"/>
        <v/>
      </c>
      <c r="Z509" s="157" t="e">
        <f t="shared" si="60"/>
        <v>#DIV/0!</v>
      </c>
      <c r="AA509" s="157" t="e">
        <f t="shared" si="61"/>
        <v>#DIV/0!</v>
      </c>
    </row>
    <row r="510" spans="14:27" ht="15">
      <c r="N510" s="194"/>
      <c r="O510" s="195"/>
      <c r="V510" s="196" t="str">
        <f t="shared" si="56"/>
        <v/>
      </c>
      <c r="W510" s="197" t="str">
        <f t="shared" si="57"/>
        <v/>
      </c>
      <c r="X510" s="197" t="str">
        <f t="shared" si="58"/>
        <v/>
      </c>
      <c r="Y510" s="197" t="str">
        <f t="shared" si="59"/>
        <v/>
      </c>
      <c r="Z510" s="157" t="e">
        <f t="shared" si="60"/>
        <v>#DIV/0!</v>
      </c>
      <c r="AA510" s="157" t="e">
        <f t="shared" si="61"/>
        <v>#DIV/0!</v>
      </c>
    </row>
    <row r="511" spans="14:27" ht="15">
      <c r="N511" s="194"/>
      <c r="O511" s="195"/>
      <c r="V511" s="196" t="str">
        <f t="shared" si="56"/>
        <v/>
      </c>
      <c r="W511" s="197" t="str">
        <f t="shared" si="57"/>
        <v/>
      </c>
      <c r="X511" s="197" t="str">
        <f t="shared" si="58"/>
        <v/>
      </c>
      <c r="Y511" s="197" t="str">
        <f t="shared" si="59"/>
        <v/>
      </c>
      <c r="Z511" s="157" t="e">
        <f t="shared" si="60"/>
        <v>#DIV/0!</v>
      </c>
      <c r="AA511" s="157" t="e">
        <f t="shared" si="61"/>
        <v>#DIV/0!</v>
      </c>
    </row>
    <row r="512" spans="14:27" ht="15">
      <c r="N512" s="194"/>
      <c r="O512" s="195"/>
      <c r="V512" s="196" t="str">
        <f t="shared" si="56"/>
        <v/>
      </c>
      <c r="W512" s="197" t="str">
        <f t="shared" si="57"/>
        <v/>
      </c>
      <c r="X512" s="197" t="str">
        <f t="shared" si="58"/>
        <v/>
      </c>
      <c r="Y512" s="197" t="str">
        <f t="shared" si="59"/>
        <v/>
      </c>
      <c r="Z512" s="157" t="e">
        <f t="shared" si="60"/>
        <v>#DIV/0!</v>
      </c>
      <c r="AA512" s="157" t="e">
        <f t="shared" si="61"/>
        <v>#DIV/0!</v>
      </c>
    </row>
    <row r="513" spans="14:27" ht="15">
      <c r="N513" s="194"/>
      <c r="O513" s="195"/>
      <c r="V513" s="196" t="str">
        <f t="shared" si="56"/>
        <v/>
      </c>
      <c r="W513" s="197" t="str">
        <f t="shared" si="57"/>
        <v/>
      </c>
      <c r="X513" s="197" t="str">
        <f t="shared" si="58"/>
        <v/>
      </c>
      <c r="Y513" s="197" t="str">
        <f t="shared" si="59"/>
        <v/>
      </c>
      <c r="Z513" s="157" t="e">
        <f t="shared" si="60"/>
        <v>#DIV/0!</v>
      </c>
      <c r="AA513" s="157" t="e">
        <f t="shared" si="61"/>
        <v>#DIV/0!</v>
      </c>
    </row>
    <row r="514" spans="14:27" ht="15">
      <c r="N514" s="194"/>
      <c r="O514" s="195"/>
      <c r="V514" s="196" t="str">
        <f t="shared" si="56"/>
        <v/>
      </c>
      <c r="W514" s="197" t="str">
        <f t="shared" si="57"/>
        <v/>
      </c>
      <c r="X514" s="197" t="str">
        <f t="shared" si="58"/>
        <v/>
      </c>
      <c r="Y514" s="197" t="str">
        <f t="shared" si="59"/>
        <v/>
      </c>
      <c r="Z514" s="157" t="e">
        <f t="shared" si="60"/>
        <v>#DIV/0!</v>
      </c>
      <c r="AA514" s="157" t="e">
        <f t="shared" si="61"/>
        <v>#DIV/0!</v>
      </c>
    </row>
    <row r="515" spans="14:27" ht="15">
      <c r="N515" s="194"/>
      <c r="O515" s="195"/>
      <c r="V515" s="196" t="str">
        <f t="shared" si="56"/>
        <v/>
      </c>
      <c r="W515" s="197" t="str">
        <f t="shared" si="57"/>
        <v/>
      </c>
      <c r="X515" s="197" t="str">
        <f t="shared" si="58"/>
        <v/>
      </c>
      <c r="Y515" s="197" t="str">
        <f t="shared" si="59"/>
        <v/>
      </c>
      <c r="Z515" s="157" t="e">
        <f t="shared" si="60"/>
        <v>#DIV/0!</v>
      </c>
      <c r="AA515" s="157" t="e">
        <f t="shared" si="61"/>
        <v>#DIV/0!</v>
      </c>
    </row>
    <row r="516" spans="14:27" ht="15">
      <c r="N516" s="194"/>
      <c r="O516" s="195"/>
      <c r="V516" s="196" t="str">
        <f t="shared" si="56"/>
        <v/>
      </c>
      <c r="W516" s="197" t="str">
        <f t="shared" si="57"/>
        <v/>
      </c>
      <c r="X516" s="197" t="str">
        <f t="shared" si="58"/>
        <v/>
      </c>
      <c r="Y516" s="197" t="str">
        <f t="shared" si="59"/>
        <v/>
      </c>
      <c r="Z516" s="157" t="e">
        <f t="shared" si="60"/>
        <v>#DIV/0!</v>
      </c>
      <c r="AA516" s="157" t="e">
        <f t="shared" si="61"/>
        <v>#DIV/0!</v>
      </c>
    </row>
    <row r="517" spans="14:27" ht="15">
      <c r="N517" s="194"/>
      <c r="O517" s="195"/>
      <c r="V517" s="196" t="str">
        <f t="shared" si="56"/>
        <v/>
      </c>
      <c r="W517" s="197" t="str">
        <f t="shared" si="57"/>
        <v/>
      </c>
      <c r="X517" s="197" t="str">
        <f t="shared" si="58"/>
        <v/>
      </c>
      <c r="Y517" s="197" t="str">
        <f t="shared" si="59"/>
        <v/>
      </c>
      <c r="Z517" s="157" t="e">
        <f t="shared" si="60"/>
        <v>#DIV/0!</v>
      </c>
      <c r="AA517" s="157" t="e">
        <f t="shared" si="61"/>
        <v>#DIV/0!</v>
      </c>
    </row>
    <row r="518" spans="14:27" ht="15">
      <c r="N518" s="194"/>
      <c r="O518" s="195"/>
      <c r="V518" s="196" t="str">
        <f t="shared" si="56"/>
        <v/>
      </c>
      <c r="W518" s="197" t="str">
        <f t="shared" si="57"/>
        <v/>
      </c>
      <c r="X518" s="197" t="str">
        <f t="shared" si="58"/>
        <v/>
      </c>
      <c r="Y518" s="197" t="str">
        <f t="shared" si="59"/>
        <v/>
      </c>
      <c r="Z518" s="157" t="e">
        <f t="shared" si="60"/>
        <v>#DIV/0!</v>
      </c>
      <c r="AA518" s="157" t="e">
        <f t="shared" si="61"/>
        <v>#DIV/0!</v>
      </c>
    </row>
    <row r="519" spans="14:27" ht="15">
      <c r="N519" s="194"/>
      <c r="O519" s="195"/>
      <c r="V519" s="196" t="str">
        <f t="shared" si="56"/>
        <v/>
      </c>
      <c r="W519" s="197" t="str">
        <f t="shared" si="57"/>
        <v/>
      </c>
      <c r="X519" s="197" t="str">
        <f t="shared" si="58"/>
        <v/>
      </c>
      <c r="Y519" s="197" t="str">
        <f t="shared" si="59"/>
        <v/>
      </c>
      <c r="Z519" s="157" t="e">
        <f t="shared" si="60"/>
        <v>#DIV/0!</v>
      </c>
      <c r="AA519" s="157" t="e">
        <f t="shared" si="61"/>
        <v>#DIV/0!</v>
      </c>
    </row>
    <row r="520" spans="14:27" ht="15">
      <c r="N520" s="194"/>
      <c r="O520" s="195"/>
      <c r="V520" s="196" t="str">
        <f t="shared" si="56"/>
        <v/>
      </c>
      <c r="W520" s="197" t="str">
        <f t="shared" si="57"/>
        <v/>
      </c>
      <c r="X520" s="197" t="str">
        <f t="shared" si="58"/>
        <v/>
      </c>
      <c r="Y520" s="197" t="str">
        <f t="shared" si="59"/>
        <v/>
      </c>
      <c r="Z520" s="157" t="e">
        <f t="shared" si="60"/>
        <v>#DIV/0!</v>
      </c>
      <c r="AA520" s="157" t="e">
        <f t="shared" si="61"/>
        <v>#DIV/0!</v>
      </c>
    </row>
    <row r="521" spans="14:27" ht="15">
      <c r="N521" s="194"/>
      <c r="O521" s="195"/>
      <c r="V521" s="196" t="str">
        <f t="shared" si="56"/>
        <v/>
      </c>
      <c r="W521" s="197" t="str">
        <f t="shared" si="57"/>
        <v/>
      </c>
      <c r="X521" s="197" t="str">
        <f t="shared" si="58"/>
        <v/>
      </c>
      <c r="Y521" s="197" t="str">
        <f t="shared" si="59"/>
        <v/>
      </c>
      <c r="Z521" s="157" t="e">
        <f t="shared" si="60"/>
        <v>#DIV/0!</v>
      </c>
      <c r="AA521" s="157" t="e">
        <f t="shared" si="61"/>
        <v>#DIV/0!</v>
      </c>
    </row>
    <row r="522" spans="14:27" ht="15">
      <c r="N522" s="194"/>
      <c r="O522" s="195"/>
      <c r="V522" s="196" t="str">
        <f t="shared" si="56"/>
        <v/>
      </c>
      <c r="W522" s="197" t="str">
        <f t="shared" si="57"/>
        <v/>
      </c>
      <c r="X522" s="197" t="str">
        <f t="shared" si="58"/>
        <v/>
      </c>
      <c r="Y522" s="197" t="str">
        <f t="shared" si="59"/>
        <v/>
      </c>
      <c r="Z522" s="157" t="e">
        <f t="shared" si="60"/>
        <v>#DIV/0!</v>
      </c>
      <c r="AA522" s="157" t="e">
        <f t="shared" si="61"/>
        <v>#DIV/0!</v>
      </c>
    </row>
    <row r="523" spans="14:27" ht="15">
      <c r="N523" s="194"/>
      <c r="O523" s="195"/>
      <c r="V523" s="196" t="str">
        <f t="shared" si="56"/>
        <v/>
      </c>
      <c r="W523" s="197" t="str">
        <f t="shared" si="57"/>
        <v/>
      </c>
      <c r="X523" s="197" t="str">
        <f t="shared" si="58"/>
        <v/>
      </c>
      <c r="Y523" s="197" t="str">
        <f t="shared" si="59"/>
        <v/>
      </c>
      <c r="Z523" s="157" t="e">
        <f t="shared" si="60"/>
        <v>#DIV/0!</v>
      </c>
      <c r="AA523" s="157" t="e">
        <f t="shared" si="61"/>
        <v>#DIV/0!</v>
      </c>
    </row>
    <row r="524" spans="14:27" ht="15">
      <c r="N524" s="194"/>
      <c r="O524" s="195"/>
      <c r="V524" s="196" t="str">
        <f t="shared" si="56"/>
        <v/>
      </c>
      <c r="W524" s="197" t="str">
        <f t="shared" si="57"/>
        <v/>
      </c>
      <c r="X524" s="197" t="str">
        <f t="shared" si="58"/>
        <v/>
      </c>
      <c r="Y524" s="197" t="str">
        <f t="shared" si="59"/>
        <v/>
      </c>
      <c r="Z524" s="157" t="e">
        <f t="shared" si="60"/>
        <v>#DIV/0!</v>
      </c>
      <c r="AA524" s="157" t="e">
        <f t="shared" si="61"/>
        <v>#DIV/0!</v>
      </c>
    </row>
    <row r="525" spans="14:27" ht="15">
      <c r="N525" s="194"/>
      <c r="O525" s="195"/>
      <c r="V525" s="196" t="str">
        <f t="shared" si="56"/>
        <v/>
      </c>
      <c r="W525" s="197" t="str">
        <f t="shared" si="57"/>
        <v/>
      </c>
      <c r="X525" s="197" t="str">
        <f t="shared" si="58"/>
        <v/>
      </c>
      <c r="Y525" s="197" t="str">
        <f t="shared" si="59"/>
        <v/>
      </c>
      <c r="Z525" s="157" t="e">
        <f t="shared" si="60"/>
        <v>#DIV/0!</v>
      </c>
      <c r="AA525" s="157" t="e">
        <f t="shared" si="61"/>
        <v>#DIV/0!</v>
      </c>
    </row>
    <row r="526" spans="14:27" ht="15">
      <c r="N526" s="194"/>
      <c r="O526" s="195"/>
      <c r="V526" s="196" t="str">
        <f t="shared" si="56"/>
        <v/>
      </c>
      <c r="W526" s="197" t="str">
        <f t="shared" si="57"/>
        <v/>
      </c>
      <c r="X526" s="197" t="str">
        <f t="shared" si="58"/>
        <v/>
      </c>
      <c r="Y526" s="197" t="str">
        <f t="shared" si="59"/>
        <v/>
      </c>
      <c r="Z526" s="157" t="e">
        <f t="shared" si="60"/>
        <v>#DIV/0!</v>
      </c>
      <c r="AA526" s="157" t="e">
        <f t="shared" si="61"/>
        <v>#DIV/0!</v>
      </c>
    </row>
    <row r="527" spans="14:27" ht="15">
      <c r="N527" s="194"/>
      <c r="O527" s="195"/>
      <c r="V527" s="196" t="str">
        <f t="shared" si="56"/>
        <v/>
      </c>
      <c r="W527" s="197" t="str">
        <f t="shared" si="57"/>
        <v/>
      </c>
      <c r="X527" s="197" t="str">
        <f t="shared" si="58"/>
        <v/>
      </c>
      <c r="Y527" s="197" t="str">
        <f t="shared" si="59"/>
        <v/>
      </c>
      <c r="Z527" s="157" t="e">
        <f t="shared" si="60"/>
        <v>#DIV/0!</v>
      </c>
      <c r="AA527" s="157" t="e">
        <f t="shared" si="61"/>
        <v>#DIV/0!</v>
      </c>
    </row>
    <row r="528" spans="14:27" ht="15">
      <c r="N528" s="194"/>
      <c r="O528" s="195"/>
      <c r="V528" s="196" t="str">
        <f t="shared" si="56"/>
        <v/>
      </c>
      <c r="W528" s="197" t="str">
        <f t="shared" si="57"/>
        <v/>
      </c>
      <c r="X528" s="197" t="str">
        <f t="shared" si="58"/>
        <v/>
      </c>
      <c r="Y528" s="197" t="str">
        <f t="shared" si="59"/>
        <v/>
      </c>
      <c r="Z528" s="157" t="e">
        <f t="shared" si="60"/>
        <v>#DIV/0!</v>
      </c>
      <c r="AA528" s="157" t="e">
        <f t="shared" si="61"/>
        <v>#DIV/0!</v>
      </c>
    </row>
    <row r="529" spans="14:27" ht="15">
      <c r="N529" s="194"/>
      <c r="O529" s="195"/>
      <c r="V529" s="196" t="str">
        <f t="shared" si="56"/>
        <v/>
      </c>
      <c r="W529" s="197" t="str">
        <f t="shared" si="57"/>
        <v/>
      </c>
      <c r="X529" s="197" t="str">
        <f t="shared" si="58"/>
        <v/>
      </c>
      <c r="Y529" s="197" t="str">
        <f t="shared" si="59"/>
        <v/>
      </c>
      <c r="Z529" s="157" t="e">
        <f t="shared" si="60"/>
        <v>#DIV/0!</v>
      </c>
      <c r="AA529" s="157" t="e">
        <f t="shared" si="61"/>
        <v>#DIV/0!</v>
      </c>
    </row>
    <row r="530" spans="14:27" ht="15">
      <c r="N530" s="194"/>
      <c r="O530" s="195"/>
      <c r="V530" s="196" t="str">
        <f t="shared" si="56"/>
        <v/>
      </c>
      <c r="W530" s="197" t="str">
        <f t="shared" si="57"/>
        <v/>
      </c>
      <c r="X530" s="197" t="str">
        <f t="shared" si="58"/>
        <v/>
      </c>
      <c r="Y530" s="197" t="str">
        <f t="shared" si="59"/>
        <v/>
      </c>
      <c r="Z530" s="157" t="e">
        <f t="shared" si="60"/>
        <v>#DIV/0!</v>
      </c>
      <c r="AA530" s="157" t="e">
        <f t="shared" si="61"/>
        <v>#DIV/0!</v>
      </c>
    </row>
    <row r="531" spans="14:27" ht="15">
      <c r="N531" s="194"/>
      <c r="O531" s="195"/>
      <c r="V531" s="196" t="str">
        <f t="shared" si="56"/>
        <v/>
      </c>
      <c r="W531" s="197" t="str">
        <f t="shared" si="57"/>
        <v/>
      </c>
      <c r="X531" s="197" t="str">
        <f t="shared" si="58"/>
        <v/>
      </c>
      <c r="Y531" s="197" t="str">
        <f t="shared" si="59"/>
        <v/>
      </c>
      <c r="Z531" s="157" t="e">
        <f t="shared" si="60"/>
        <v>#DIV/0!</v>
      </c>
      <c r="AA531" s="157" t="e">
        <f t="shared" si="61"/>
        <v>#DIV/0!</v>
      </c>
    </row>
    <row r="532" spans="14:27" ht="15">
      <c r="N532" s="194"/>
      <c r="O532" s="195"/>
      <c r="V532" s="196" t="str">
        <f t="shared" si="56"/>
        <v/>
      </c>
      <c r="W532" s="197" t="str">
        <f t="shared" si="57"/>
        <v/>
      </c>
      <c r="X532" s="197" t="str">
        <f t="shared" si="58"/>
        <v/>
      </c>
      <c r="Y532" s="197" t="str">
        <f t="shared" si="59"/>
        <v/>
      </c>
      <c r="Z532" s="157" t="e">
        <f t="shared" si="60"/>
        <v>#DIV/0!</v>
      </c>
      <c r="AA532" s="157" t="e">
        <f t="shared" si="61"/>
        <v>#DIV/0!</v>
      </c>
    </row>
    <row r="533" spans="14:27" ht="15">
      <c r="N533" s="194"/>
      <c r="O533" s="195"/>
      <c r="V533" s="196" t="str">
        <f t="shared" ref="V533:V596" si="62">IFERROR(IF(AND(1/L533&gt;$V$19,1/L533&lt;=$W$19),1/L533,0),"")</f>
        <v/>
      </c>
      <c r="W533" s="197" t="str">
        <f t="shared" ref="W533:W596" si="63">IFERROR(IF(AND(1/L533&gt;$W$19,1/L533&lt;=$X$19),1/L533,0),"")</f>
        <v/>
      </c>
      <c r="X533" s="197" t="str">
        <f t="shared" ref="X533:X596" si="64">IFERROR(IF(AND(1/L533&gt;$X$19,1/L533&lt;=$Y$19),1/L533,0),"")</f>
        <v/>
      </c>
      <c r="Y533" s="197" t="str">
        <f t="shared" ref="Y533:Y596" si="65">IFERROR(IF(1/L533&gt;$Y$19,1/L533,0),"")</f>
        <v/>
      </c>
      <c r="Z533" s="157" t="e">
        <f t="shared" ref="Z533:Z596" si="66">IF(N533&lt;&gt;"",(N533-$N$17)/1000,1/0)</f>
        <v>#DIV/0!</v>
      </c>
      <c r="AA533" s="157" t="e">
        <f t="shared" ref="AA533:AA596" si="67">IF(O533&lt;&gt;"",(O533-$O$17)/1000,1/0)</f>
        <v>#DIV/0!</v>
      </c>
    </row>
    <row r="534" spans="14:27" ht="15">
      <c r="N534" s="194"/>
      <c r="O534" s="195"/>
      <c r="V534" s="196" t="str">
        <f t="shared" si="62"/>
        <v/>
      </c>
      <c r="W534" s="197" t="str">
        <f t="shared" si="63"/>
        <v/>
      </c>
      <c r="X534" s="197" t="str">
        <f t="shared" si="64"/>
        <v/>
      </c>
      <c r="Y534" s="197" t="str">
        <f t="shared" si="65"/>
        <v/>
      </c>
      <c r="Z534" s="157" t="e">
        <f t="shared" si="66"/>
        <v>#DIV/0!</v>
      </c>
      <c r="AA534" s="157" t="e">
        <f t="shared" si="67"/>
        <v>#DIV/0!</v>
      </c>
    </row>
    <row r="535" spans="14:27" ht="15">
      <c r="N535" s="194"/>
      <c r="O535" s="195"/>
      <c r="V535" s="196" t="str">
        <f t="shared" si="62"/>
        <v/>
      </c>
      <c r="W535" s="197" t="str">
        <f t="shared" si="63"/>
        <v/>
      </c>
      <c r="X535" s="197" t="str">
        <f t="shared" si="64"/>
        <v/>
      </c>
      <c r="Y535" s="197" t="str">
        <f t="shared" si="65"/>
        <v/>
      </c>
      <c r="Z535" s="157" t="e">
        <f t="shared" si="66"/>
        <v>#DIV/0!</v>
      </c>
      <c r="AA535" s="157" t="e">
        <f t="shared" si="67"/>
        <v>#DIV/0!</v>
      </c>
    </row>
    <row r="536" spans="14:27" ht="15">
      <c r="N536" s="194"/>
      <c r="O536" s="195"/>
      <c r="V536" s="196" t="str">
        <f t="shared" si="62"/>
        <v/>
      </c>
      <c r="W536" s="197" t="str">
        <f t="shared" si="63"/>
        <v/>
      </c>
      <c r="X536" s="197" t="str">
        <f t="shared" si="64"/>
        <v/>
      </c>
      <c r="Y536" s="197" t="str">
        <f t="shared" si="65"/>
        <v/>
      </c>
      <c r="Z536" s="157" t="e">
        <f t="shared" si="66"/>
        <v>#DIV/0!</v>
      </c>
      <c r="AA536" s="157" t="e">
        <f t="shared" si="67"/>
        <v>#DIV/0!</v>
      </c>
    </row>
    <row r="537" spans="14:27" ht="15">
      <c r="N537" s="194"/>
      <c r="O537" s="195"/>
      <c r="V537" s="196" t="str">
        <f t="shared" si="62"/>
        <v/>
      </c>
      <c r="W537" s="197" t="str">
        <f t="shared" si="63"/>
        <v/>
      </c>
      <c r="X537" s="197" t="str">
        <f t="shared" si="64"/>
        <v/>
      </c>
      <c r="Y537" s="197" t="str">
        <f t="shared" si="65"/>
        <v/>
      </c>
      <c r="Z537" s="157" t="e">
        <f t="shared" si="66"/>
        <v>#DIV/0!</v>
      </c>
      <c r="AA537" s="157" t="e">
        <f t="shared" si="67"/>
        <v>#DIV/0!</v>
      </c>
    </row>
    <row r="538" spans="14:27" ht="15">
      <c r="N538" s="194"/>
      <c r="O538" s="195"/>
      <c r="V538" s="196" t="str">
        <f t="shared" si="62"/>
        <v/>
      </c>
      <c r="W538" s="197" t="str">
        <f t="shared" si="63"/>
        <v/>
      </c>
      <c r="X538" s="197" t="str">
        <f t="shared" si="64"/>
        <v/>
      </c>
      <c r="Y538" s="197" t="str">
        <f t="shared" si="65"/>
        <v/>
      </c>
      <c r="Z538" s="157" t="e">
        <f t="shared" si="66"/>
        <v>#DIV/0!</v>
      </c>
      <c r="AA538" s="157" t="e">
        <f t="shared" si="67"/>
        <v>#DIV/0!</v>
      </c>
    </row>
    <row r="539" spans="14:27" ht="15">
      <c r="N539" s="194"/>
      <c r="O539" s="195"/>
      <c r="V539" s="196" t="str">
        <f t="shared" si="62"/>
        <v/>
      </c>
      <c r="W539" s="197" t="str">
        <f t="shared" si="63"/>
        <v/>
      </c>
      <c r="X539" s="197" t="str">
        <f t="shared" si="64"/>
        <v/>
      </c>
      <c r="Y539" s="197" t="str">
        <f t="shared" si="65"/>
        <v/>
      </c>
      <c r="Z539" s="157" t="e">
        <f t="shared" si="66"/>
        <v>#DIV/0!</v>
      </c>
      <c r="AA539" s="157" t="e">
        <f t="shared" si="67"/>
        <v>#DIV/0!</v>
      </c>
    </row>
    <row r="540" spans="14:27" ht="15">
      <c r="N540" s="194"/>
      <c r="O540" s="195"/>
      <c r="V540" s="196" t="str">
        <f t="shared" si="62"/>
        <v/>
      </c>
      <c r="W540" s="197" t="str">
        <f t="shared" si="63"/>
        <v/>
      </c>
      <c r="X540" s="197" t="str">
        <f t="shared" si="64"/>
        <v/>
      </c>
      <c r="Y540" s="197" t="str">
        <f t="shared" si="65"/>
        <v/>
      </c>
      <c r="Z540" s="157" t="e">
        <f t="shared" si="66"/>
        <v>#DIV/0!</v>
      </c>
      <c r="AA540" s="157" t="e">
        <f t="shared" si="67"/>
        <v>#DIV/0!</v>
      </c>
    </row>
    <row r="541" spans="14:27" ht="15">
      <c r="N541" s="194"/>
      <c r="O541" s="195"/>
      <c r="V541" s="196" t="str">
        <f t="shared" si="62"/>
        <v/>
      </c>
      <c r="W541" s="197" t="str">
        <f t="shared" si="63"/>
        <v/>
      </c>
      <c r="X541" s="197" t="str">
        <f t="shared" si="64"/>
        <v/>
      </c>
      <c r="Y541" s="197" t="str">
        <f t="shared" si="65"/>
        <v/>
      </c>
      <c r="Z541" s="157" t="e">
        <f t="shared" si="66"/>
        <v>#DIV/0!</v>
      </c>
      <c r="AA541" s="157" t="e">
        <f t="shared" si="67"/>
        <v>#DIV/0!</v>
      </c>
    </row>
    <row r="542" spans="14:27" ht="15">
      <c r="N542" s="194"/>
      <c r="O542" s="195"/>
      <c r="V542" s="196" t="str">
        <f t="shared" si="62"/>
        <v/>
      </c>
      <c r="W542" s="197" t="str">
        <f t="shared" si="63"/>
        <v/>
      </c>
      <c r="X542" s="197" t="str">
        <f t="shared" si="64"/>
        <v/>
      </c>
      <c r="Y542" s="197" t="str">
        <f t="shared" si="65"/>
        <v/>
      </c>
      <c r="Z542" s="157" t="e">
        <f t="shared" si="66"/>
        <v>#DIV/0!</v>
      </c>
      <c r="AA542" s="157" t="e">
        <f t="shared" si="67"/>
        <v>#DIV/0!</v>
      </c>
    </row>
    <row r="543" spans="14:27" ht="15">
      <c r="N543" s="194"/>
      <c r="O543" s="195"/>
      <c r="V543" s="196" t="str">
        <f t="shared" si="62"/>
        <v/>
      </c>
      <c r="W543" s="197" t="str">
        <f t="shared" si="63"/>
        <v/>
      </c>
      <c r="X543" s="197" t="str">
        <f t="shared" si="64"/>
        <v/>
      </c>
      <c r="Y543" s="197" t="str">
        <f t="shared" si="65"/>
        <v/>
      </c>
      <c r="Z543" s="157" t="e">
        <f t="shared" si="66"/>
        <v>#DIV/0!</v>
      </c>
      <c r="AA543" s="157" t="e">
        <f t="shared" si="67"/>
        <v>#DIV/0!</v>
      </c>
    </row>
    <row r="544" spans="14:27" ht="15">
      <c r="N544" s="194"/>
      <c r="O544" s="195"/>
      <c r="V544" s="196" t="str">
        <f t="shared" si="62"/>
        <v/>
      </c>
      <c r="W544" s="197" t="str">
        <f t="shared" si="63"/>
        <v/>
      </c>
      <c r="X544" s="197" t="str">
        <f t="shared" si="64"/>
        <v/>
      </c>
      <c r="Y544" s="197" t="str">
        <f t="shared" si="65"/>
        <v/>
      </c>
      <c r="Z544" s="157" t="e">
        <f t="shared" si="66"/>
        <v>#DIV/0!</v>
      </c>
      <c r="AA544" s="157" t="e">
        <f t="shared" si="67"/>
        <v>#DIV/0!</v>
      </c>
    </row>
    <row r="545" spans="14:27" ht="15">
      <c r="N545" s="194"/>
      <c r="O545" s="195"/>
      <c r="V545" s="196" t="str">
        <f t="shared" si="62"/>
        <v/>
      </c>
      <c r="W545" s="197" t="str">
        <f t="shared" si="63"/>
        <v/>
      </c>
      <c r="X545" s="197" t="str">
        <f t="shared" si="64"/>
        <v/>
      </c>
      <c r="Y545" s="197" t="str">
        <f t="shared" si="65"/>
        <v/>
      </c>
      <c r="Z545" s="157" t="e">
        <f t="shared" si="66"/>
        <v>#DIV/0!</v>
      </c>
      <c r="AA545" s="157" t="e">
        <f t="shared" si="67"/>
        <v>#DIV/0!</v>
      </c>
    </row>
    <row r="546" spans="14:27" ht="15">
      <c r="N546" s="194"/>
      <c r="O546" s="195"/>
      <c r="V546" s="196" t="str">
        <f t="shared" si="62"/>
        <v/>
      </c>
      <c r="W546" s="197" t="str">
        <f t="shared" si="63"/>
        <v/>
      </c>
      <c r="X546" s="197" t="str">
        <f t="shared" si="64"/>
        <v/>
      </c>
      <c r="Y546" s="197" t="str">
        <f t="shared" si="65"/>
        <v/>
      </c>
      <c r="Z546" s="157" t="e">
        <f t="shared" si="66"/>
        <v>#DIV/0!</v>
      </c>
      <c r="AA546" s="157" t="e">
        <f t="shared" si="67"/>
        <v>#DIV/0!</v>
      </c>
    </row>
    <row r="547" spans="14:27" ht="15">
      <c r="N547" s="194"/>
      <c r="O547" s="195"/>
      <c r="V547" s="196" t="str">
        <f t="shared" si="62"/>
        <v/>
      </c>
      <c r="W547" s="197" t="str">
        <f t="shared" si="63"/>
        <v/>
      </c>
      <c r="X547" s="197" t="str">
        <f t="shared" si="64"/>
        <v/>
      </c>
      <c r="Y547" s="197" t="str">
        <f t="shared" si="65"/>
        <v/>
      </c>
      <c r="Z547" s="157" t="e">
        <f t="shared" si="66"/>
        <v>#DIV/0!</v>
      </c>
      <c r="AA547" s="157" t="e">
        <f t="shared" si="67"/>
        <v>#DIV/0!</v>
      </c>
    </row>
    <row r="548" spans="14:27" ht="15">
      <c r="N548" s="194"/>
      <c r="O548" s="195"/>
      <c r="V548" s="196" t="str">
        <f t="shared" si="62"/>
        <v/>
      </c>
      <c r="W548" s="197" t="str">
        <f t="shared" si="63"/>
        <v/>
      </c>
      <c r="X548" s="197" t="str">
        <f t="shared" si="64"/>
        <v/>
      </c>
      <c r="Y548" s="197" t="str">
        <f t="shared" si="65"/>
        <v/>
      </c>
      <c r="Z548" s="157" t="e">
        <f t="shared" si="66"/>
        <v>#DIV/0!</v>
      </c>
      <c r="AA548" s="157" t="e">
        <f t="shared" si="67"/>
        <v>#DIV/0!</v>
      </c>
    </row>
    <row r="549" spans="14:27" ht="15">
      <c r="N549" s="194"/>
      <c r="O549" s="195"/>
      <c r="V549" s="196" t="str">
        <f t="shared" si="62"/>
        <v/>
      </c>
      <c r="W549" s="197" t="str">
        <f t="shared" si="63"/>
        <v/>
      </c>
      <c r="X549" s="197" t="str">
        <f t="shared" si="64"/>
        <v/>
      </c>
      <c r="Y549" s="197" t="str">
        <f t="shared" si="65"/>
        <v/>
      </c>
      <c r="Z549" s="157" t="e">
        <f t="shared" si="66"/>
        <v>#DIV/0!</v>
      </c>
      <c r="AA549" s="157" t="e">
        <f t="shared" si="67"/>
        <v>#DIV/0!</v>
      </c>
    </row>
    <row r="550" spans="14:27" ht="15">
      <c r="N550" s="194"/>
      <c r="O550" s="195"/>
      <c r="V550" s="196" t="str">
        <f t="shared" si="62"/>
        <v/>
      </c>
      <c r="W550" s="197" t="str">
        <f t="shared" si="63"/>
        <v/>
      </c>
      <c r="X550" s="197" t="str">
        <f t="shared" si="64"/>
        <v/>
      </c>
      <c r="Y550" s="197" t="str">
        <f t="shared" si="65"/>
        <v/>
      </c>
      <c r="Z550" s="157" t="e">
        <f t="shared" si="66"/>
        <v>#DIV/0!</v>
      </c>
      <c r="AA550" s="157" t="e">
        <f t="shared" si="67"/>
        <v>#DIV/0!</v>
      </c>
    </row>
    <row r="551" spans="14:27" ht="15">
      <c r="N551" s="194"/>
      <c r="O551" s="195"/>
      <c r="V551" s="196" t="str">
        <f t="shared" si="62"/>
        <v/>
      </c>
      <c r="W551" s="197" t="str">
        <f t="shared" si="63"/>
        <v/>
      </c>
      <c r="X551" s="197" t="str">
        <f t="shared" si="64"/>
        <v/>
      </c>
      <c r="Y551" s="197" t="str">
        <f t="shared" si="65"/>
        <v/>
      </c>
      <c r="Z551" s="157" t="e">
        <f t="shared" si="66"/>
        <v>#DIV/0!</v>
      </c>
      <c r="AA551" s="157" t="e">
        <f t="shared" si="67"/>
        <v>#DIV/0!</v>
      </c>
    </row>
    <row r="552" spans="14:27" ht="15">
      <c r="N552" s="194"/>
      <c r="O552" s="195"/>
      <c r="V552" s="196" t="str">
        <f t="shared" si="62"/>
        <v/>
      </c>
      <c r="W552" s="197" t="str">
        <f t="shared" si="63"/>
        <v/>
      </c>
      <c r="X552" s="197" t="str">
        <f t="shared" si="64"/>
        <v/>
      </c>
      <c r="Y552" s="197" t="str">
        <f t="shared" si="65"/>
        <v/>
      </c>
      <c r="Z552" s="157" t="e">
        <f t="shared" si="66"/>
        <v>#DIV/0!</v>
      </c>
      <c r="AA552" s="157" t="e">
        <f t="shared" si="67"/>
        <v>#DIV/0!</v>
      </c>
    </row>
    <row r="553" spans="14:27" ht="15">
      <c r="N553" s="194"/>
      <c r="O553" s="195"/>
      <c r="V553" s="196" t="str">
        <f t="shared" si="62"/>
        <v/>
      </c>
      <c r="W553" s="197" t="str">
        <f t="shared" si="63"/>
        <v/>
      </c>
      <c r="X553" s="197" t="str">
        <f t="shared" si="64"/>
        <v/>
      </c>
      <c r="Y553" s="197" t="str">
        <f t="shared" si="65"/>
        <v/>
      </c>
      <c r="Z553" s="157" t="e">
        <f t="shared" si="66"/>
        <v>#DIV/0!</v>
      </c>
      <c r="AA553" s="157" t="e">
        <f t="shared" si="67"/>
        <v>#DIV/0!</v>
      </c>
    </row>
    <row r="554" spans="14:27" ht="15">
      <c r="N554" s="194"/>
      <c r="O554" s="195"/>
      <c r="V554" s="196" t="str">
        <f t="shared" si="62"/>
        <v/>
      </c>
      <c r="W554" s="197" t="str">
        <f t="shared" si="63"/>
        <v/>
      </c>
      <c r="X554" s="197" t="str">
        <f t="shared" si="64"/>
        <v/>
      </c>
      <c r="Y554" s="197" t="str">
        <f t="shared" si="65"/>
        <v/>
      </c>
      <c r="Z554" s="157" t="e">
        <f t="shared" si="66"/>
        <v>#DIV/0!</v>
      </c>
      <c r="AA554" s="157" t="e">
        <f t="shared" si="67"/>
        <v>#DIV/0!</v>
      </c>
    </row>
    <row r="555" spans="14:27" ht="15">
      <c r="N555" s="194"/>
      <c r="O555" s="195"/>
      <c r="V555" s="196" t="str">
        <f t="shared" si="62"/>
        <v/>
      </c>
      <c r="W555" s="197" t="str">
        <f t="shared" si="63"/>
        <v/>
      </c>
      <c r="X555" s="197" t="str">
        <f t="shared" si="64"/>
        <v/>
      </c>
      <c r="Y555" s="197" t="str">
        <f t="shared" si="65"/>
        <v/>
      </c>
      <c r="Z555" s="157" t="e">
        <f t="shared" si="66"/>
        <v>#DIV/0!</v>
      </c>
      <c r="AA555" s="157" t="e">
        <f t="shared" si="67"/>
        <v>#DIV/0!</v>
      </c>
    </row>
    <row r="556" spans="14:27" ht="15">
      <c r="N556" s="194"/>
      <c r="O556" s="195"/>
      <c r="V556" s="196" t="str">
        <f t="shared" si="62"/>
        <v/>
      </c>
      <c r="W556" s="197" t="str">
        <f t="shared" si="63"/>
        <v/>
      </c>
      <c r="X556" s="197" t="str">
        <f t="shared" si="64"/>
        <v/>
      </c>
      <c r="Y556" s="197" t="str">
        <f t="shared" si="65"/>
        <v/>
      </c>
      <c r="Z556" s="157" t="e">
        <f t="shared" si="66"/>
        <v>#DIV/0!</v>
      </c>
      <c r="AA556" s="157" t="e">
        <f t="shared" si="67"/>
        <v>#DIV/0!</v>
      </c>
    </row>
    <row r="557" spans="14:27" ht="15">
      <c r="N557" s="194"/>
      <c r="O557" s="195"/>
      <c r="V557" s="196" t="str">
        <f t="shared" si="62"/>
        <v/>
      </c>
      <c r="W557" s="197" t="str">
        <f t="shared" si="63"/>
        <v/>
      </c>
      <c r="X557" s="197" t="str">
        <f t="shared" si="64"/>
        <v/>
      </c>
      <c r="Y557" s="197" t="str">
        <f t="shared" si="65"/>
        <v/>
      </c>
      <c r="Z557" s="157" t="e">
        <f t="shared" si="66"/>
        <v>#DIV/0!</v>
      </c>
      <c r="AA557" s="157" t="e">
        <f t="shared" si="67"/>
        <v>#DIV/0!</v>
      </c>
    </row>
    <row r="558" spans="14:27" ht="15">
      <c r="N558" s="194"/>
      <c r="O558" s="195"/>
      <c r="V558" s="196" t="str">
        <f t="shared" si="62"/>
        <v/>
      </c>
      <c r="W558" s="197" t="str">
        <f t="shared" si="63"/>
        <v/>
      </c>
      <c r="X558" s="197" t="str">
        <f t="shared" si="64"/>
        <v/>
      </c>
      <c r="Y558" s="197" t="str">
        <f t="shared" si="65"/>
        <v/>
      </c>
      <c r="Z558" s="157" t="e">
        <f t="shared" si="66"/>
        <v>#DIV/0!</v>
      </c>
      <c r="AA558" s="157" t="e">
        <f t="shared" si="67"/>
        <v>#DIV/0!</v>
      </c>
    </row>
    <row r="559" spans="14:27" ht="15">
      <c r="N559" s="194"/>
      <c r="O559" s="195"/>
      <c r="V559" s="196" t="str">
        <f t="shared" si="62"/>
        <v/>
      </c>
      <c r="W559" s="197" t="str">
        <f t="shared" si="63"/>
        <v/>
      </c>
      <c r="X559" s="197" t="str">
        <f t="shared" si="64"/>
        <v/>
      </c>
      <c r="Y559" s="197" t="str">
        <f t="shared" si="65"/>
        <v/>
      </c>
      <c r="Z559" s="157" t="e">
        <f t="shared" si="66"/>
        <v>#DIV/0!</v>
      </c>
      <c r="AA559" s="157" t="e">
        <f t="shared" si="67"/>
        <v>#DIV/0!</v>
      </c>
    </row>
    <row r="560" spans="14:27" ht="15">
      <c r="N560" s="194"/>
      <c r="O560" s="195"/>
      <c r="V560" s="196" t="str">
        <f t="shared" si="62"/>
        <v/>
      </c>
      <c r="W560" s="197" t="str">
        <f t="shared" si="63"/>
        <v/>
      </c>
      <c r="X560" s="197" t="str">
        <f t="shared" si="64"/>
        <v/>
      </c>
      <c r="Y560" s="197" t="str">
        <f t="shared" si="65"/>
        <v/>
      </c>
      <c r="Z560" s="157" t="e">
        <f t="shared" si="66"/>
        <v>#DIV/0!</v>
      </c>
      <c r="AA560" s="157" t="e">
        <f t="shared" si="67"/>
        <v>#DIV/0!</v>
      </c>
    </row>
    <row r="561" spans="14:27" ht="15">
      <c r="N561" s="194"/>
      <c r="O561" s="195"/>
      <c r="V561" s="196" t="str">
        <f t="shared" si="62"/>
        <v/>
      </c>
      <c r="W561" s="197" t="str">
        <f t="shared" si="63"/>
        <v/>
      </c>
      <c r="X561" s="197" t="str">
        <f t="shared" si="64"/>
        <v/>
      </c>
      <c r="Y561" s="197" t="str">
        <f t="shared" si="65"/>
        <v/>
      </c>
      <c r="Z561" s="157" t="e">
        <f t="shared" si="66"/>
        <v>#DIV/0!</v>
      </c>
      <c r="AA561" s="157" t="e">
        <f t="shared" si="67"/>
        <v>#DIV/0!</v>
      </c>
    </row>
    <row r="562" spans="14:27" ht="15">
      <c r="N562" s="194"/>
      <c r="O562" s="195"/>
      <c r="V562" s="196" t="str">
        <f t="shared" si="62"/>
        <v/>
      </c>
      <c r="W562" s="197" t="str">
        <f t="shared" si="63"/>
        <v/>
      </c>
      <c r="X562" s="197" t="str">
        <f t="shared" si="64"/>
        <v/>
      </c>
      <c r="Y562" s="197" t="str">
        <f t="shared" si="65"/>
        <v/>
      </c>
      <c r="Z562" s="157" t="e">
        <f t="shared" si="66"/>
        <v>#DIV/0!</v>
      </c>
      <c r="AA562" s="157" t="e">
        <f t="shared" si="67"/>
        <v>#DIV/0!</v>
      </c>
    </row>
    <row r="563" spans="14:27" ht="15">
      <c r="N563" s="194"/>
      <c r="O563" s="195"/>
      <c r="V563" s="196" t="str">
        <f t="shared" si="62"/>
        <v/>
      </c>
      <c r="W563" s="197" t="str">
        <f t="shared" si="63"/>
        <v/>
      </c>
      <c r="X563" s="197" t="str">
        <f t="shared" si="64"/>
        <v/>
      </c>
      <c r="Y563" s="197" t="str">
        <f t="shared" si="65"/>
        <v/>
      </c>
      <c r="Z563" s="157" t="e">
        <f t="shared" si="66"/>
        <v>#DIV/0!</v>
      </c>
      <c r="AA563" s="157" t="e">
        <f t="shared" si="67"/>
        <v>#DIV/0!</v>
      </c>
    </row>
    <row r="564" spans="14:27" ht="15">
      <c r="N564" s="194"/>
      <c r="O564" s="195"/>
      <c r="V564" s="196" t="str">
        <f t="shared" si="62"/>
        <v/>
      </c>
      <c r="W564" s="197" t="str">
        <f t="shared" si="63"/>
        <v/>
      </c>
      <c r="X564" s="197" t="str">
        <f t="shared" si="64"/>
        <v/>
      </c>
      <c r="Y564" s="197" t="str">
        <f t="shared" si="65"/>
        <v/>
      </c>
      <c r="Z564" s="157" t="e">
        <f t="shared" si="66"/>
        <v>#DIV/0!</v>
      </c>
      <c r="AA564" s="157" t="e">
        <f t="shared" si="67"/>
        <v>#DIV/0!</v>
      </c>
    </row>
    <row r="565" spans="14:27" ht="15">
      <c r="N565" s="194"/>
      <c r="O565" s="195"/>
      <c r="V565" s="196" t="str">
        <f t="shared" si="62"/>
        <v/>
      </c>
      <c r="W565" s="197" t="str">
        <f t="shared" si="63"/>
        <v/>
      </c>
      <c r="X565" s="197" t="str">
        <f t="shared" si="64"/>
        <v/>
      </c>
      <c r="Y565" s="197" t="str">
        <f t="shared" si="65"/>
        <v/>
      </c>
      <c r="Z565" s="157" t="e">
        <f t="shared" si="66"/>
        <v>#DIV/0!</v>
      </c>
      <c r="AA565" s="157" t="e">
        <f t="shared" si="67"/>
        <v>#DIV/0!</v>
      </c>
    </row>
    <row r="566" spans="14:27" ht="15">
      <c r="N566" s="194"/>
      <c r="O566" s="195"/>
      <c r="V566" s="196" t="str">
        <f t="shared" si="62"/>
        <v/>
      </c>
      <c r="W566" s="197" t="str">
        <f t="shared" si="63"/>
        <v/>
      </c>
      <c r="X566" s="197" t="str">
        <f t="shared" si="64"/>
        <v/>
      </c>
      <c r="Y566" s="197" t="str">
        <f t="shared" si="65"/>
        <v/>
      </c>
      <c r="Z566" s="157" t="e">
        <f t="shared" si="66"/>
        <v>#DIV/0!</v>
      </c>
      <c r="AA566" s="157" t="e">
        <f t="shared" si="67"/>
        <v>#DIV/0!</v>
      </c>
    </row>
    <row r="567" spans="14:27" ht="15">
      <c r="N567" s="194"/>
      <c r="O567" s="195"/>
      <c r="V567" s="196" t="str">
        <f t="shared" si="62"/>
        <v/>
      </c>
      <c r="W567" s="197" t="str">
        <f t="shared" si="63"/>
        <v/>
      </c>
      <c r="X567" s="197" t="str">
        <f t="shared" si="64"/>
        <v/>
      </c>
      <c r="Y567" s="197" t="str">
        <f t="shared" si="65"/>
        <v/>
      </c>
      <c r="Z567" s="157" t="e">
        <f t="shared" si="66"/>
        <v>#DIV/0!</v>
      </c>
      <c r="AA567" s="157" t="e">
        <f t="shared" si="67"/>
        <v>#DIV/0!</v>
      </c>
    </row>
    <row r="568" spans="14:27" ht="15">
      <c r="N568" s="194"/>
      <c r="O568" s="195"/>
      <c r="V568" s="196" t="str">
        <f t="shared" si="62"/>
        <v/>
      </c>
      <c r="W568" s="197" t="str">
        <f t="shared" si="63"/>
        <v/>
      </c>
      <c r="X568" s="197" t="str">
        <f t="shared" si="64"/>
        <v/>
      </c>
      <c r="Y568" s="197" t="str">
        <f t="shared" si="65"/>
        <v/>
      </c>
      <c r="Z568" s="157" t="e">
        <f t="shared" si="66"/>
        <v>#DIV/0!</v>
      </c>
      <c r="AA568" s="157" t="e">
        <f t="shared" si="67"/>
        <v>#DIV/0!</v>
      </c>
    </row>
    <row r="569" spans="14:27" ht="15">
      <c r="N569" s="194"/>
      <c r="O569" s="195"/>
      <c r="V569" s="196" t="str">
        <f t="shared" si="62"/>
        <v/>
      </c>
      <c r="W569" s="197" t="str">
        <f t="shared" si="63"/>
        <v/>
      </c>
      <c r="X569" s="197" t="str">
        <f t="shared" si="64"/>
        <v/>
      </c>
      <c r="Y569" s="197" t="str">
        <f t="shared" si="65"/>
        <v/>
      </c>
      <c r="Z569" s="157" t="e">
        <f t="shared" si="66"/>
        <v>#DIV/0!</v>
      </c>
      <c r="AA569" s="157" t="e">
        <f t="shared" si="67"/>
        <v>#DIV/0!</v>
      </c>
    </row>
    <row r="570" spans="14:27" ht="15">
      <c r="N570" s="194"/>
      <c r="O570" s="195"/>
      <c r="V570" s="196" t="str">
        <f t="shared" si="62"/>
        <v/>
      </c>
      <c r="W570" s="197" t="str">
        <f t="shared" si="63"/>
        <v/>
      </c>
      <c r="X570" s="197" t="str">
        <f t="shared" si="64"/>
        <v/>
      </c>
      <c r="Y570" s="197" t="str">
        <f t="shared" si="65"/>
        <v/>
      </c>
      <c r="Z570" s="157" t="e">
        <f t="shared" si="66"/>
        <v>#DIV/0!</v>
      </c>
      <c r="AA570" s="157" t="e">
        <f t="shared" si="67"/>
        <v>#DIV/0!</v>
      </c>
    </row>
    <row r="571" spans="14:27" ht="15">
      <c r="N571" s="194"/>
      <c r="O571" s="195"/>
      <c r="V571" s="196" t="str">
        <f t="shared" si="62"/>
        <v/>
      </c>
      <c r="W571" s="197" t="str">
        <f t="shared" si="63"/>
        <v/>
      </c>
      <c r="X571" s="197" t="str">
        <f t="shared" si="64"/>
        <v/>
      </c>
      <c r="Y571" s="197" t="str">
        <f t="shared" si="65"/>
        <v/>
      </c>
      <c r="Z571" s="157" t="e">
        <f t="shared" si="66"/>
        <v>#DIV/0!</v>
      </c>
      <c r="AA571" s="157" t="e">
        <f t="shared" si="67"/>
        <v>#DIV/0!</v>
      </c>
    </row>
    <row r="572" spans="14:27" ht="15">
      <c r="N572" s="194"/>
      <c r="O572" s="195"/>
      <c r="V572" s="196" t="str">
        <f t="shared" si="62"/>
        <v/>
      </c>
      <c r="W572" s="197" t="str">
        <f t="shared" si="63"/>
        <v/>
      </c>
      <c r="X572" s="197" t="str">
        <f t="shared" si="64"/>
        <v/>
      </c>
      <c r="Y572" s="197" t="str">
        <f t="shared" si="65"/>
        <v/>
      </c>
      <c r="Z572" s="157" t="e">
        <f t="shared" si="66"/>
        <v>#DIV/0!</v>
      </c>
      <c r="AA572" s="157" t="e">
        <f t="shared" si="67"/>
        <v>#DIV/0!</v>
      </c>
    </row>
    <row r="573" spans="14:27" ht="15">
      <c r="N573" s="194"/>
      <c r="O573" s="195"/>
      <c r="V573" s="196" t="str">
        <f t="shared" si="62"/>
        <v/>
      </c>
      <c r="W573" s="197" t="str">
        <f t="shared" si="63"/>
        <v/>
      </c>
      <c r="X573" s="197" t="str">
        <f t="shared" si="64"/>
        <v/>
      </c>
      <c r="Y573" s="197" t="str">
        <f t="shared" si="65"/>
        <v/>
      </c>
      <c r="Z573" s="157" t="e">
        <f t="shared" si="66"/>
        <v>#DIV/0!</v>
      </c>
      <c r="AA573" s="157" t="e">
        <f t="shared" si="67"/>
        <v>#DIV/0!</v>
      </c>
    </row>
    <row r="574" spans="14:27" ht="15">
      <c r="N574" s="194"/>
      <c r="O574" s="195"/>
      <c r="V574" s="196" t="str">
        <f t="shared" si="62"/>
        <v/>
      </c>
      <c r="W574" s="197" t="str">
        <f t="shared" si="63"/>
        <v/>
      </c>
      <c r="X574" s="197" t="str">
        <f t="shared" si="64"/>
        <v/>
      </c>
      <c r="Y574" s="197" t="str">
        <f t="shared" si="65"/>
        <v/>
      </c>
      <c r="Z574" s="157" t="e">
        <f t="shared" si="66"/>
        <v>#DIV/0!</v>
      </c>
      <c r="AA574" s="157" t="e">
        <f t="shared" si="67"/>
        <v>#DIV/0!</v>
      </c>
    </row>
    <row r="575" spans="14:27" ht="15">
      <c r="N575" s="194"/>
      <c r="O575" s="195"/>
      <c r="V575" s="196" t="str">
        <f t="shared" si="62"/>
        <v/>
      </c>
      <c r="W575" s="197" t="str">
        <f t="shared" si="63"/>
        <v/>
      </c>
      <c r="X575" s="197" t="str">
        <f t="shared" si="64"/>
        <v/>
      </c>
      <c r="Y575" s="197" t="str">
        <f t="shared" si="65"/>
        <v/>
      </c>
      <c r="Z575" s="157" t="e">
        <f t="shared" si="66"/>
        <v>#DIV/0!</v>
      </c>
      <c r="AA575" s="157" t="e">
        <f t="shared" si="67"/>
        <v>#DIV/0!</v>
      </c>
    </row>
    <row r="576" spans="14:27" ht="15">
      <c r="N576" s="194"/>
      <c r="O576" s="195"/>
      <c r="V576" s="196" t="str">
        <f t="shared" si="62"/>
        <v/>
      </c>
      <c r="W576" s="197" t="str">
        <f t="shared" si="63"/>
        <v/>
      </c>
      <c r="X576" s="197" t="str">
        <f t="shared" si="64"/>
        <v/>
      </c>
      <c r="Y576" s="197" t="str">
        <f t="shared" si="65"/>
        <v/>
      </c>
      <c r="Z576" s="157" t="e">
        <f t="shared" si="66"/>
        <v>#DIV/0!</v>
      </c>
      <c r="AA576" s="157" t="e">
        <f t="shared" si="67"/>
        <v>#DIV/0!</v>
      </c>
    </row>
    <row r="577" spans="14:27" ht="15">
      <c r="N577" s="194"/>
      <c r="O577" s="195"/>
      <c r="V577" s="196" t="str">
        <f t="shared" si="62"/>
        <v/>
      </c>
      <c r="W577" s="197" t="str">
        <f t="shared" si="63"/>
        <v/>
      </c>
      <c r="X577" s="197" t="str">
        <f t="shared" si="64"/>
        <v/>
      </c>
      <c r="Y577" s="197" t="str">
        <f t="shared" si="65"/>
        <v/>
      </c>
      <c r="Z577" s="157" t="e">
        <f t="shared" si="66"/>
        <v>#DIV/0!</v>
      </c>
      <c r="AA577" s="157" t="e">
        <f t="shared" si="67"/>
        <v>#DIV/0!</v>
      </c>
    </row>
    <row r="578" spans="14:27" ht="15">
      <c r="N578" s="194"/>
      <c r="O578" s="195"/>
      <c r="V578" s="196" t="str">
        <f t="shared" si="62"/>
        <v/>
      </c>
      <c r="W578" s="197" t="str">
        <f t="shared" si="63"/>
        <v/>
      </c>
      <c r="X578" s="197" t="str">
        <f t="shared" si="64"/>
        <v/>
      </c>
      <c r="Y578" s="197" t="str">
        <f t="shared" si="65"/>
        <v/>
      </c>
      <c r="Z578" s="157" t="e">
        <f t="shared" si="66"/>
        <v>#DIV/0!</v>
      </c>
      <c r="AA578" s="157" t="e">
        <f t="shared" si="67"/>
        <v>#DIV/0!</v>
      </c>
    </row>
    <row r="579" spans="14:27" ht="15">
      <c r="N579" s="194"/>
      <c r="O579" s="195"/>
      <c r="V579" s="196" t="str">
        <f t="shared" si="62"/>
        <v/>
      </c>
      <c r="W579" s="197" t="str">
        <f t="shared" si="63"/>
        <v/>
      </c>
      <c r="X579" s="197" t="str">
        <f t="shared" si="64"/>
        <v/>
      </c>
      <c r="Y579" s="197" t="str">
        <f t="shared" si="65"/>
        <v/>
      </c>
      <c r="Z579" s="157" t="e">
        <f t="shared" si="66"/>
        <v>#DIV/0!</v>
      </c>
      <c r="AA579" s="157" t="e">
        <f t="shared" si="67"/>
        <v>#DIV/0!</v>
      </c>
    </row>
    <row r="580" spans="14:27" ht="15">
      <c r="N580" s="194"/>
      <c r="O580" s="195"/>
      <c r="V580" s="196" t="str">
        <f t="shared" si="62"/>
        <v/>
      </c>
      <c r="W580" s="197" t="str">
        <f t="shared" si="63"/>
        <v/>
      </c>
      <c r="X580" s="197" t="str">
        <f t="shared" si="64"/>
        <v/>
      </c>
      <c r="Y580" s="197" t="str">
        <f t="shared" si="65"/>
        <v/>
      </c>
      <c r="Z580" s="157" t="e">
        <f t="shared" si="66"/>
        <v>#DIV/0!</v>
      </c>
      <c r="AA580" s="157" t="e">
        <f t="shared" si="67"/>
        <v>#DIV/0!</v>
      </c>
    </row>
    <row r="581" spans="14:27" ht="15">
      <c r="N581" s="194"/>
      <c r="O581" s="195"/>
      <c r="V581" s="196" t="str">
        <f t="shared" si="62"/>
        <v/>
      </c>
      <c r="W581" s="197" t="str">
        <f t="shared" si="63"/>
        <v/>
      </c>
      <c r="X581" s="197" t="str">
        <f t="shared" si="64"/>
        <v/>
      </c>
      <c r="Y581" s="197" t="str">
        <f t="shared" si="65"/>
        <v/>
      </c>
      <c r="Z581" s="157" t="e">
        <f t="shared" si="66"/>
        <v>#DIV/0!</v>
      </c>
      <c r="AA581" s="157" t="e">
        <f t="shared" si="67"/>
        <v>#DIV/0!</v>
      </c>
    </row>
    <row r="582" spans="14:27" ht="15">
      <c r="N582" s="194"/>
      <c r="O582" s="195"/>
      <c r="V582" s="196" t="str">
        <f t="shared" si="62"/>
        <v/>
      </c>
      <c r="W582" s="197" t="str">
        <f t="shared" si="63"/>
        <v/>
      </c>
      <c r="X582" s="197" t="str">
        <f t="shared" si="64"/>
        <v/>
      </c>
      <c r="Y582" s="197" t="str">
        <f t="shared" si="65"/>
        <v/>
      </c>
      <c r="Z582" s="157" t="e">
        <f t="shared" si="66"/>
        <v>#DIV/0!</v>
      </c>
      <c r="AA582" s="157" t="e">
        <f t="shared" si="67"/>
        <v>#DIV/0!</v>
      </c>
    </row>
    <row r="583" spans="14:27" ht="15">
      <c r="N583" s="194"/>
      <c r="O583" s="195"/>
      <c r="V583" s="196" t="str">
        <f t="shared" si="62"/>
        <v/>
      </c>
      <c r="W583" s="197" t="str">
        <f t="shared" si="63"/>
        <v/>
      </c>
      <c r="X583" s="197" t="str">
        <f t="shared" si="64"/>
        <v/>
      </c>
      <c r="Y583" s="197" t="str">
        <f t="shared" si="65"/>
        <v/>
      </c>
      <c r="Z583" s="157" t="e">
        <f t="shared" si="66"/>
        <v>#DIV/0!</v>
      </c>
      <c r="AA583" s="157" t="e">
        <f t="shared" si="67"/>
        <v>#DIV/0!</v>
      </c>
    </row>
    <row r="584" spans="14:27" ht="15">
      <c r="N584" s="194"/>
      <c r="O584" s="195"/>
      <c r="V584" s="196" t="str">
        <f t="shared" si="62"/>
        <v/>
      </c>
      <c r="W584" s="197" t="str">
        <f t="shared" si="63"/>
        <v/>
      </c>
      <c r="X584" s="197" t="str">
        <f t="shared" si="64"/>
        <v/>
      </c>
      <c r="Y584" s="197" t="str">
        <f t="shared" si="65"/>
        <v/>
      </c>
      <c r="Z584" s="157" t="e">
        <f t="shared" si="66"/>
        <v>#DIV/0!</v>
      </c>
      <c r="AA584" s="157" t="e">
        <f t="shared" si="67"/>
        <v>#DIV/0!</v>
      </c>
    </row>
    <row r="585" spans="14:27" ht="15">
      <c r="N585" s="194"/>
      <c r="O585" s="195"/>
      <c r="V585" s="196" t="str">
        <f t="shared" si="62"/>
        <v/>
      </c>
      <c r="W585" s="197" t="str">
        <f t="shared" si="63"/>
        <v/>
      </c>
      <c r="X585" s="197" t="str">
        <f t="shared" si="64"/>
        <v/>
      </c>
      <c r="Y585" s="197" t="str">
        <f t="shared" si="65"/>
        <v/>
      </c>
      <c r="Z585" s="157" t="e">
        <f t="shared" si="66"/>
        <v>#DIV/0!</v>
      </c>
      <c r="AA585" s="157" t="e">
        <f t="shared" si="67"/>
        <v>#DIV/0!</v>
      </c>
    </row>
    <row r="586" spans="14:27" ht="15">
      <c r="N586" s="194"/>
      <c r="O586" s="195"/>
      <c r="V586" s="196" t="str">
        <f t="shared" si="62"/>
        <v/>
      </c>
      <c r="W586" s="197" t="str">
        <f t="shared" si="63"/>
        <v/>
      </c>
      <c r="X586" s="197" t="str">
        <f t="shared" si="64"/>
        <v/>
      </c>
      <c r="Y586" s="197" t="str">
        <f t="shared" si="65"/>
        <v/>
      </c>
      <c r="Z586" s="157" t="e">
        <f t="shared" si="66"/>
        <v>#DIV/0!</v>
      </c>
      <c r="AA586" s="157" t="e">
        <f t="shared" si="67"/>
        <v>#DIV/0!</v>
      </c>
    </row>
    <row r="587" spans="14:27" ht="15">
      <c r="N587" s="194"/>
      <c r="O587" s="195"/>
      <c r="V587" s="196" t="str">
        <f t="shared" si="62"/>
        <v/>
      </c>
      <c r="W587" s="197" t="str">
        <f t="shared" si="63"/>
        <v/>
      </c>
      <c r="X587" s="197" t="str">
        <f t="shared" si="64"/>
        <v/>
      </c>
      <c r="Y587" s="197" t="str">
        <f t="shared" si="65"/>
        <v/>
      </c>
      <c r="Z587" s="157" t="e">
        <f t="shared" si="66"/>
        <v>#DIV/0!</v>
      </c>
      <c r="AA587" s="157" t="e">
        <f t="shared" si="67"/>
        <v>#DIV/0!</v>
      </c>
    </row>
    <row r="588" spans="14:27" ht="15">
      <c r="N588" s="194"/>
      <c r="O588" s="195"/>
      <c r="V588" s="196" t="str">
        <f t="shared" si="62"/>
        <v/>
      </c>
      <c r="W588" s="197" t="str">
        <f t="shared" si="63"/>
        <v/>
      </c>
      <c r="X588" s="197" t="str">
        <f t="shared" si="64"/>
        <v/>
      </c>
      <c r="Y588" s="197" t="str">
        <f t="shared" si="65"/>
        <v/>
      </c>
      <c r="Z588" s="157" t="e">
        <f t="shared" si="66"/>
        <v>#DIV/0!</v>
      </c>
      <c r="AA588" s="157" t="e">
        <f t="shared" si="67"/>
        <v>#DIV/0!</v>
      </c>
    </row>
    <row r="589" spans="14:27" ht="15">
      <c r="N589" s="194"/>
      <c r="O589" s="195"/>
      <c r="V589" s="196" t="str">
        <f t="shared" si="62"/>
        <v/>
      </c>
      <c r="W589" s="197" t="str">
        <f t="shared" si="63"/>
        <v/>
      </c>
      <c r="X589" s="197" t="str">
        <f t="shared" si="64"/>
        <v/>
      </c>
      <c r="Y589" s="197" t="str">
        <f t="shared" si="65"/>
        <v/>
      </c>
      <c r="Z589" s="157" t="e">
        <f t="shared" si="66"/>
        <v>#DIV/0!</v>
      </c>
      <c r="AA589" s="157" t="e">
        <f t="shared" si="67"/>
        <v>#DIV/0!</v>
      </c>
    </row>
    <row r="590" spans="14:27" ht="15">
      <c r="N590" s="194"/>
      <c r="O590" s="195"/>
      <c r="V590" s="196" t="str">
        <f t="shared" si="62"/>
        <v/>
      </c>
      <c r="W590" s="197" t="str">
        <f t="shared" si="63"/>
        <v/>
      </c>
      <c r="X590" s="197" t="str">
        <f t="shared" si="64"/>
        <v/>
      </c>
      <c r="Y590" s="197" t="str">
        <f t="shared" si="65"/>
        <v/>
      </c>
      <c r="Z590" s="157" t="e">
        <f t="shared" si="66"/>
        <v>#DIV/0!</v>
      </c>
      <c r="AA590" s="157" t="e">
        <f t="shared" si="67"/>
        <v>#DIV/0!</v>
      </c>
    </row>
    <row r="591" spans="14:27" ht="15">
      <c r="N591" s="194"/>
      <c r="O591" s="195"/>
      <c r="V591" s="196" t="str">
        <f t="shared" si="62"/>
        <v/>
      </c>
      <c r="W591" s="197" t="str">
        <f t="shared" si="63"/>
        <v/>
      </c>
      <c r="X591" s="197" t="str">
        <f t="shared" si="64"/>
        <v/>
      </c>
      <c r="Y591" s="197" t="str">
        <f t="shared" si="65"/>
        <v/>
      </c>
      <c r="Z591" s="157" t="e">
        <f t="shared" si="66"/>
        <v>#DIV/0!</v>
      </c>
      <c r="AA591" s="157" t="e">
        <f t="shared" si="67"/>
        <v>#DIV/0!</v>
      </c>
    </row>
    <row r="592" spans="14:27" ht="15">
      <c r="N592" s="194"/>
      <c r="O592" s="195"/>
      <c r="V592" s="196" t="str">
        <f t="shared" si="62"/>
        <v/>
      </c>
      <c r="W592" s="197" t="str">
        <f t="shared" si="63"/>
        <v/>
      </c>
      <c r="X592" s="197" t="str">
        <f t="shared" si="64"/>
        <v/>
      </c>
      <c r="Y592" s="197" t="str">
        <f t="shared" si="65"/>
        <v/>
      </c>
      <c r="Z592" s="157" t="e">
        <f t="shared" si="66"/>
        <v>#DIV/0!</v>
      </c>
      <c r="AA592" s="157" t="e">
        <f t="shared" si="67"/>
        <v>#DIV/0!</v>
      </c>
    </row>
    <row r="593" spans="14:27" ht="15">
      <c r="N593" s="194"/>
      <c r="O593" s="195"/>
      <c r="V593" s="196" t="str">
        <f t="shared" si="62"/>
        <v/>
      </c>
      <c r="W593" s="197" t="str">
        <f t="shared" si="63"/>
        <v/>
      </c>
      <c r="X593" s="197" t="str">
        <f t="shared" si="64"/>
        <v/>
      </c>
      <c r="Y593" s="197" t="str">
        <f t="shared" si="65"/>
        <v/>
      </c>
      <c r="Z593" s="157" t="e">
        <f t="shared" si="66"/>
        <v>#DIV/0!</v>
      </c>
      <c r="AA593" s="157" t="e">
        <f t="shared" si="67"/>
        <v>#DIV/0!</v>
      </c>
    </row>
    <row r="594" spans="14:27" ht="15">
      <c r="N594" s="194"/>
      <c r="O594" s="195"/>
      <c r="V594" s="196" t="str">
        <f t="shared" si="62"/>
        <v/>
      </c>
      <c r="W594" s="197" t="str">
        <f t="shared" si="63"/>
        <v/>
      </c>
      <c r="X594" s="197" t="str">
        <f t="shared" si="64"/>
        <v/>
      </c>
      <c r="Y594" s="197" t="str">
        <f t="shared" si="65"/>
        <v/>
      </c>
      <c r="Z594" s="157" t="e">
        <f t="shared" si="66"/>
        <v>#DIV/0!</v>
      </c>
      <c r="AA594" s="157" t="e">
        <f t="shared" si="67"/>
        <v>#DIV/0!</v>
      </c>
    </row>
    <row r="595" spans="14:27" ht="15">
      <c r="N595" s="194"/>
      <c r="O595" s="195"/>
      <c r="V595" s="196" t="str">
        <f t="shared" si="62"/>
        <v/>
      </c>
      <c r="W595" s="197" t="str">
        <f t="shared" si="63"/>
        <v/>
      </c>
      <c r="X595" s="197" t="str">
        <f t="shared" si="64"/>
        <v/>
      </c>
      <c r="Y595" s="197" t="str">
        <f t="shared" si="65"/>
        <v/>
      </c>
      <c r="Z595" s="157" t="e">
        <f t="shared" si="66"/>
        <v>#DIV/0!</v>
      </c>
      <c r="AA595" s="157" t="e">
        <f t="shared" si="67"/>
        <v>#DIV/0!</v>
      </c>
    </row>
    <row r="596" spans="14:27" ht="15">
      <c r="N596" s="194"/>
      <c r="O596" s="195"/>
      <c r="V596" s="196" t="str">
        <f t="shared" si="62"/>
        <v/>
      </c>
      <c r="W596" s="197" t="str">
        <f t="shared" si="63"/>
        <v/>
      </c>
      <c r="X596" s="197" t="str">
        <f t="shared" si="64"/>
        <v/>
      </c>
      <c r="Y596" s="197" t="str">
        <f t="shared" si="65"/>
        <v/>
      </c>
      <c r="Z596" s="157" t="e">
        <f t="shared" si="66"/>
        <v>#DIV/0!</v>
      </c>
      <c r="AA596" s="157" t="e">
        <f t="shared" si="67"/>
        <v>#DIV/0!</v>
      </c>
    </row>
    <row r="597" spans="14:27" ht="15">
      <c r="N597" s="194"/>
      <c r="O597" s="195"/>
      <c r="V597" s="196" t="str">
        <f t="shared" ref="V597:V660" si="68">IFERROR(IF(AND(1/L597&gt;$V$19,1/L597&lt;=$W$19),1/L597,0),"")</f>
        <v/>
      </c>
      <c r="W597" s="197" t="str">
        <f t="shared" ref="W597:W660" si="69">IFERROR(IF(AND(1/L597&gt;$W$19,1/L597&lt;=$X$19),1/L597,0),"")</f>
        <v/>
      </c>
      <c r="X597" s="197" t="str">
        <f t="shared" ref="X597:X660" si="70">IFERROR(IF(AND(1/L597&gt;$X$19,1/L597&lt;=$Y$19),1/L597,0),"")</f>
        <v/>
      </c>
      <c r="Y597" s="197" t="str">
        <f t="shared" ref="Y597:Y660" si="71">IFERROR(IF(1/L597&gt;$Y$19,1/L597,0),"")</f>
        <v/>
      </c>
      <c r="Z597" s="157" t="e">
        <f t="shared" ref="Z597:Z660" si="72">IF(N597&lt;&gt;"",(N597-$N$17)/1000,1/0)</f>
        <v>#DIV/0!</v>
      </c>
      <c r="AA597" s="157" t="e">
        <f t="shared" ref="AA597:AA660" si="73">IF(O597&lt;&gt;"",(O597-$O$17)/1000,1/0)</f>
        <v>#DIV/0!</v>
      </c>
    </row>
    <row r="598" spans="14:27" ht="15">
      <c r="N598" s="194"/>
      <c r="O598" s="195"/>
      <c r="V598" s="196" t="str">
        <f t="shared" si="68"/>
        <v/>
      </c>
      <c r="W598" s="197" t="str">
        <f t="shared" si="69"/>
        <v/>
      </c>
      <c r="X598" s="197" t="str">
        <f t="shared" si="70"/>
        <v/>
      </c>
      <c r="Y598" s="197" t="str">
        <f t="shared" si="71"/>
        <v/>
      </c>
      <c r="Z598" s="157" t="e">
        <f t="shared" si="72"/>
        <v>#DIV/0!</v>
      </c>
      <c r="AA598" s="157" t="e">
        <f t="shared" si="73"/>
        <v>#DIV/0!</v>
      </c>
    </row>
    <row r="599" spans="14:27" ht="15">
      <c r="N599" s="194"/>
      <c r="O599" s="195"/>
      <c r="V599" s="196" t="str">
        <f t="shared" si="68"/>
        <v/>
      </c>
      <c r="W599" s="197" t="str">
        <f t="shared" si="69"/>
        <v/>
      </c>
      <c r="X599" s="197" t="str">
        <f t="shared" si="70"/>
        <v/>
      </c>
      <c r="Y599" s="197" t="str">
        <f t="shared" si="71"/>
        <v/>
      </c>
      <c r="Z599" s="157" t="e">
        <f t="shared" si="72"/>
        <v>#DIV/0!</v>
      </c>
      <c r="AA599" s="157" t="e">
        <f t="shared" si="73"/>
        <v>#DIV/0!</v>
      </c>
    </row>
    <row r="600" spans="14:27" ht="15">
      <c r="N600" s="194"/>
      <c r="O600" s="195"/>
      <c r="V600" s="196" t="str">
        <f t="shared" si="68"/>
        <v/>
      </c>
      <c r="W600" s="197" t="str">
        <f t="shared" si="69"/>
        <v/>
      </c>
      <c r="X600" s="197" t="str">
        <f t="shared" si="70"/>
        <v/>
      </c>
      <c r="Y600" s="197" t="str">
        <f t="shared" si="71"/>
        <v/>
      </c>
      <c r="Z600" s="157" t="e">
        <f t="shared" si="72"/>
        <v>#DIV/0!</v>
      </c>
      <c r="AA600" s="157" t="e">
        <f t="shared" si="73"/>
        <v>#DIV/0!</v>
      </c>
    </row>
    <row r="601" spans="14:27" ht="15">
      <c r="N601" s="194"/>
      <c r="O601" s="195"/>
      <c r="V601" s="196" t="str">
        <f t="shared" si="68"/>
        <v/>
      </c>
      <c r="W601" s="197" t="str">
        <f t="shared" si="69"/>
        <v/>
      </c>
      <c r="X601" s="197" t="str">
        <f t="shared" si="70"/>
        <v/>
      </c>
      <c r="Y601" s="197" t="str">
        <f t="shared" si="71"/>
        <v/>
      </c>
      <c r="Z601" s="157" t="e">
        <f t="shared" si="72"/>
        <v>#DIV/0!</v>
      </c>
      <c r="AA601" s="157" t="e">
        <f t="shared" si="73"/>
        <v>#DIV/0!</v>
      </c>
    </row>
    <row r="602" spans="14:27" ht="15">
      <c r="N602" s="194"/>
      <c r="O602" s="195"/>
      <c r="V602" s="196" t="str">
        <f t="shared" si="68"/>
        <v/>
      </c>
      <c r="W602" s="197" t="str">
        <f t="shared" si="69"/>
        <v/>
      </c>
      <c r="X602" s="197" t="str">
        <f t="shared" si="70"/>
        <v/>
      </c>
      <c r="Y602" s="197" t="str">
        <f t="shared" si="71"/>
        <v/>
      </c>
      <c r="Z602" s="157" t="e">
        <f t="shared" si="72"/>
        <v>#DIV/0!</v>
      </c>
      <c r="AA602" s="157" t="e">
        <f t="shared" si="73"/>
        <v>#DIV/0!</v>
      </c>
    </row>
    <row r="603" spans="14:27" ht="15">
      <c r="N603" s="194"/>
      <c r="O603" s="195"/>
      <c r="V603" s="196" t="str">
        <f t="shared" si="68"/>
        <v/>
      </c>
      <c r="W603" s="197" t="str">
        <f t="shared" si="69"/>
        <v/>
      </c>
      <c r="X603" s="197" t="str">
        <f t="shared" si="70"/>
        <v/>
      </c>
      <c r="Y603" s="197" t="str">
        <f t="shared" si="71"/>
        <v/>
      </c>
      <c r="Z603" s="157" t="e">
        <f t="shared" si="72"/>
        <v>#DIV/0!</v>
      </c>
      <c r="AA603" s="157" t="e">
        <f t="shared" si="73"/>
        <v>#DIV/0!</v>
      </c>
    </row>
    <row r="604" spans="14:27" ht="15">
      <c r="N604" s="194"/>
      <c r="O604" s="195"/>
      <c r="V604" s="196" t="str">
        <f t="shared" si="68"/>
        <v/>
      </c>
      <c r="W604" s="197" t="str">
        <f t="shared" si="69"/>
        <v/>
      </c>
      <c r="X604" s="197" t="str">
        <f t="shared" si="70"/>
        <v/>
      </c>
      <c r="Y604" s="197" t="str">
        <f t="shared" si="71"/>
        <v/>
      </c>
      <c r="Z604" s="157" t="e">
        <f t="shared" si="72"/>
        <v>#DIV/0!</v>
      </c>
      <c r="AA604" s="157" t="e">
        <f t="shared" si="73"/>
        <v>#DIV/0!</v>
      </c>
    </row>
    <row r="605" spans="14:27" ht="15">
      <c r="N605" s="194"/>
      <c r="O605" s="195"/>
      <c r="V605" s="196" t="str">
        <f t="shared" si="68"/>
        <v/>
      </c>
      <c r="W605" s="197" t="str">
        <f t="shared" si="69"/>
        <v/>
      </c>
      <c r="X605" s="197" t="str">
        <f t="shared" si="70"/>
        <v/>
      </c>
      <c r="Y605" s="197" t="str">
        <f t="shared" si="71"/>
        <v/>
      </c>
      <c r="Z605" s="157" t="e">
        <f t="shared" si="72"/>
        <v>#DIV/0!</v>
      </c>
      <c r="AA605" s="157" t="e">
        <f t="shared" si="73"/>
        <v>#DIV/0!</v>
      </c>
    </row>
    <row r="606" spans="14:27" ht="15">
      <c r="N606" s="194"/>
      <c r="O606" s="195"/>
      <c r="V606" s="196" t="str">
        <f t="shared" si="68"/>
        <v/>
      </c>
      <c r="W606" s="197" t="str">
        <f t="shared" si="69"/>
        <v/>
      </c>
      <c r="X606" s="197" t="str">
        <f t="shared" si="70"/>
        <v/>
      </c>
      <c r="Y606" s="197" t="str">
        <f t="shared" si="71"/>
        <v/>
      </c>
      <c r="Z606" s="157" t="e">
        <f t="shared" si="72"/>
        <v>#DIV/0!</v>
      </c>
      <c r="AA606" s="157" t="e">
        <f t="shared" si="73"/>
        <v>#DIV/0!</v>
      </c>
    </row>
    <row r="607" spans="14:27" ht="15">
      <c r="N607" s="194"/>
      <c r="O607" s="195"/>
      <c r="V607" s="196" t="str">
        <f t="shared" si="68"/>
        <v/>
      </c>
      <c r="W607" s="197" t="str">
        <f t="shared" si="69"/>
        <v/>
      </c>
      <c r="X607" s="197" t="str">
        <f t="shared" si="70"/>
        <v/>
      </c>
      <c r="Y607" s="197" t="str">
        <f t="shared" si="71"/>
        <v/>
      </c>
      <c r="Z607" s="157" t="e">
        <f t="shared" si="72"/>
        <v>#DIV/0!</v>
      </c>
      <c r="AA607" s="157" t="e">
        <f t="shared" si="73"/>
        <v>#DIV/0!</v>
      </c>
    </row>
    <row r="608" spans="14:27" ht="15">
      <c r="N608" s="194"/>
      <c r="O608" s="195"/>
      <c r="V608" s="196" t="str">
        <f t="shared" si="68"/>
        <v/>
      </c>
      <c r="W608" s="197" t="str">
        <f t="shared" si="69"/>
        <v/>
      </c>
      <c r="X608" s="197" t="str">
        <f t="shared" si="70"/>
        <v/>
      </c>
      <c r="Y608" s="197" t="str">
        <f t="shared" si="71"/>
        <v/>
      </c>
      <c r="Z608" s="157" t="e">
        <f t="shared" si="72"/>
        <v>#DIV/0!</v>
      </c>
      <c r="AA608" s="157" t="e">
        <f t="shared" si="73"/>
        <v>#DIV/0!</v>
      </c>
    </row>
    <row r="609" spans="14:27" ht="15">
      <c r="N609" s="194"/>
      <c r="O609" s="195"/>
      <c r="V609" s="196" t="str">
        <f t="shared" si="68"/>
        <v/>
      </c>
      <c r="W609" s="197" t="str">
        <f t="shared" si="69"/>
        <v/>
      </c>
      <c r="X609" s="197" t="str">
        <f t="shared" si="70"/>
        <v/>
      </c>
      <c r="Y609" s="197" t="str">
        <f t="shared" si="71"/>
        <v/>
      </c>
      <c r="Z609" s="157" t="e">
        <f t="shared" si="72"/>
        <v>#DIV/0!</v>
      </c>
      <c r="AA609" s="157" t="e">
        <f t="shared" si="73"/>
        <v>#DIV/0!</v>
      </c>
    </row>
    <row r="610" spans="14:27" ht="15">
      <c r="N610" s="194"/>
      <c r="O610" s="195"/>
      <c r="V610" s="196" t="str">
        <f t="shared" si="68"/>
        <v/>
      </c>
      <c r="W610" s="197" t="str">
        <f t="shared" si="69"/>
        <v/>
      </c>
      <c r="X610" s="197" t="str">
        <f t="shared" si="70"/>
        <v/>
      </c>
      <c r="Y610" s="197" t="str">
        <f t="shared" si="71"/>
        <v/>
      </c>
      <c r="Z610" s="157" t="e">
        <f t="shared" si="72"/>
        <v>#DIV/0!</v>
      </c>
      <c r="AA610" s="157" t="e">
        <f t="shared" si="73"/>
        <v>#DIV/0!</v>
      </c>
    </row>
    <row r="611" spans="14:27" ht="15">
      <c r="N611" s="194"/>
      <c r="O611" s="195"/>
      <c r="V611" s="196" t="str">
        <f t="shared" si="68"/>
        <v/>
      </c>
      <c r="W611" s="197" t="str">
        <f t="shared" si="69"/>
        <v/>
      </c>
      <c r="X611" s="197" t="str">
        <f t="shared" si="70"/>
        <v/>
      </c>
      <c r="Y611" s="197" t="str">
        <f t="shared" si="71"/>
        <v/>
      </c>
      <c r="Z611" s="157" t="e">
        <f t="shared" si="72"/>
        <v>#DIV/0!</v>
      </c>
      <c r="AA611" s="157" t="e">
        <f t="shared" si="73"/>
        <v>#DIV/0!</v>
      </c>
    </row>
    <row r="612" spans="14:27" ht="15">
      <c r="N612" s="194"/>
      <c r="O612" s="195"/>
      <c r="V612" s="196" t="str">
        <f t="shared" si="68"/>
        <v/>
      </c>
      <c r="W612" s="197" t="str">
        <f t="shared" si="69"/>
        <v/>
      </c>
      <c r="X612" s="197" t="str">
        <f t="shared" si="70"/>
        <v/>
      </c>
      <c r="Y612" s="197" t="str">
        <f t="shared" si="71"/>
        <v/>
      </c>
      <c r="Z612" s="157" t="e">
        <f t="shared" si="72"/>
        <v>#DIV/0!</v>
      </c>
      <c r="AA612" s="157" t="e">
        <f t="shared" si="73"/>
        <v>#DIV/0!</v>
      </c>
    </row>
    <row r="613" spans="14:27" ht="15">
      <c r="N613" s="194"/>
      <c r="O613" s="195"/>
      <c r="V613" s="196" t="str">
        <f t="shared" si="68"/>
        <v/>
      </c>
      <c r="W613" s="197" t="str">
        <f t="shared" si="69"/>
        <v/>
      </c>
      <c r="X613" s="197" t="str">
        <f t="shared" si="70"/>
        <v/>
      </c>
      <c r="Y613" s="197" t="str">
        <f t="shared" si="71"/>
        <v/>
      </c>
      <c r="Z613" s="157" t="e">
        <f t="shared" si="72"/>
        <v>#DIV/0!</v>
      </c>
      <c r="AA613" s="157" t="e">
        <f t="shared" si="73"/>
        <v>#DIV/0!</v>
      </c>
    </row>
    <row r="614" spans="14:27" ht="15">
      <c r="N614" s="194"/>
      <c r="O614" s="195"/>
      <c r="V614" s="196" t="str">
        <f t="shared" si="68"/>
        <v/>
      </c>
      <c r="W614" s="197" t="str">
        <f t="shared" si="69"/>
        <v/>
      </c>
      <c r="X614" s="197" t="str">
        <f t="shared" si="70"/>
        <v/>
      </c>
      <c r="Y614" s="197" t="str">
        <f t="shared" si="71"/>
        <v/>
      </c>
      <c r="Z614" s="157" t="e">
        <f t="shared" si="72"/>
        <v>#DIV/0!</v>
      </c>
      <c r="AA614" s="157" t="e">
        <f t="shared" si="73"/>
        <v>#DIV/0!</v>
      </c>
    </row>
    <row r="615" spans="14:27" ht="15">
      <c r="N615" s="194"/>
      <c r="O615" s="195"/>
      <c r="V615" s="196" t="str">
        <f t="shared" si="68"/>
        <v/>
      </c>
      <c r="W615" s="197" t="str">
        <f t="shared" si="69"/>
        <v/>
      </c>
      <c r="X615" s="197" t="str">
        <f t="shared" si="70"/>
        <v/>
      </c>
      <c r="Y615" s="197" t="str">
        <f t="shared" si="71"/>
        <v/>
      </c>
      <c r="Z615" s="157" t="e">
        <f t="shared" si="72"/>
        <v>#DIV/0!</v>
      </c>
      <c r="AA615" s="157" t="e">
        <f t="shared" si="73"/>
        <v>#DIV/0!</v>
      </c>
    </row>
    <row r="616" spans="14:27" ht="15">
      <c r="N616" s="194"/>
      <c r="O616" s="195"/>
      <c r="V616" s="196" t="str">
        <f t="shared" si="68"/>
        <v/>
      </c>
      <c r="W616" s="197" t="str">
        <f t="shared" si="69"/>
        <v/>
      </c>
      <c r="X616" s="197" t="str">
        <f t="shared" si="70"/>
        <v/>
      </c>
      <c r="Y616" s="197" t="str">
        <f t="shared" si="71"/>
        <v/>
      </c>
      <c r="Z616" s="157" t="e">
        <f t="shared" si="72"/>
        <v>#DIV/0!</v>
      </c>
      <c r="AA616" s="157" t="e">
        <f t="shared" si="73"/>
        <v>#DIV/0!</v>
      </c>
    </row>
    <row r="617" spans="14:27" ht="15">
      <c r="N617" s="194"/>
      <c r="O617" s="195"/>
      <c r="V617" s="196" t="str">
        <f t="shared" si="68"/>
        <v/>
      </c>
      <c r="W617" s="197" t="str">
        <f t="shared" si="69"/>
        <v/>
      </c>
      <c r="X617" s="197" t="str">
        <f t="shared" si="70"/>
        <v/>
      </c>
      <c r="Y617" s="197" t="str">
        <f t="shared" si="71"/>
        <v/>
      </c>
      <c r="Z617" s="157" t="e">
        <f t="shared" si="72"/>
        <v>#DIV/0!</v>
      </c>
      <c r="AA617" s="157" t="e">
        <f t="shared" si="73"/>
        <v>#DIV/0!</v>
      </c>
    </row>
    <row r="618" spans="14:27" ht="15">
      <c r="N618" s="194"/>
      <c r="O618" s="195"/>
      <c r="V618" s="196" t="str">
        <f t="shared" si="68"/>
        <v/>
      </c>
      <c r="W618" s="197" t="str">
        <f t="shared" si="69"/>
        <v/>
      </c>
      <c r="X618" s="197" t="str">
        <f t="shared" si="70"/>
        <v/>
      </c>
      <c r="Y618" s="197" t="str">
        <f t="shared" si="71"/>
        <v/>
      </c>
      <c r="Z618" s="157" t="e">
        <f t="shared" si="72"/>
        <v>#DIV/0!</v>
      </c>
      <c r="AA618" s="157" t="e">
        <f t="shared" si="73"/>
        <v>#DIV/0!</v>
      </c>
    </row>
    <row r="619" spans="14:27" ht="15">
      <c r="N619" s="194"/>
      <c r="O619" s="195"/>
      <c r="V619" s="196" t="str">
        <f t="shared" si="68"/>
        <v/>
      </c>
      <c r="W619" s="197" t="str">
        <f t="shared" si="69"/>
        <v/>
      </c>
      <c r="X619" s="197" t="str">
        <f t="shared" si="70"/>
        <v/>
      </c>
      <c r="Y619" s="197" t="str">
        <f t="shared" si="71"/>
        <v/>
      </c>
      <c r="Z619" s="157" t="e">
        <f t="shared" si="72"/>
        <v>#DIV/0!</v>
      </c>
      <c r="AA619" s="157" t="e">
        <f t="shared" si="73"/>
        <v>#DIV/0!</v>
      </c>
    </row>
    <row r="620" spans="14:27" ht="15">
      <c r="N620" s="194"/>
      <c r="O620" s="195"/>
      <c r="V620" s="196" t="str">
        <f t="shared" si="68"/>
        <v/>
      </c>
      <c r="W620" s="197" t="str">
        <f t="shared" si="69"/>
        <v/>
      </c>
      <c r="X620" s="197" t="str">
        <f t="shared" si="70"/>
        <v/>
      </c>
      <c r="Y620" s="197" t="str">
        <f t="shared" si="71"/>
        <v/>
      </c>
      <c r="Z620" s="157" t="e">
        <f t="shared" si="72"/>
        <v>#DIV/0!</v>
      </c>
      <c r="AA620" s="157" t="e">
        <f t="shared" si="73"/>
        <v>#DIV/0!</v>
      </c>
    </row>
    <row r="621" spans="14:27" ht="15">
      <c r="N621" s="194"/>
      <c r="O621" s="195"/>
      <c r="V621" s="196" t="str">
        <f t="shared" si="68"/>
        <v/>
      </c>
      <c r="W621" s="197" t="str">
        <f t="shared" si="69"/>
        <v/>
      </c>
      <c r="X621" s="197" t="str">
        <f t="shared" si="70"/>
        <v/>
      </c>
      <c r="Y621" s="197" t="str">
        <f t="shared" si="71"/>
        <v/>
      </c>
      <c r="Z621" s="157" t="e">
        <f t="shared" si="72"/>
        <v>#DIV/0!</v>
      </c>
      <c r="AA621" s="157" t="e">
        <f t="shared" si="73"/>
        <v>#DIV/0!</v>
      </c>
    </row>
    <row r="622" spans="14:27" ht="15">
      <c r="N622" s="194"/>
      <c r="O622" s="195"/>
      <c r="V622" s="196" t="str">
        <f t="shared" si="68"/>
        <v/>
      </c>
      <c r="W622" s="197" t="str">
        <f t="shared" si="69"/>
        <v/>
      </c>
      <c r="X622" s="197" t="str">
        <f t="shared" si="70"/>
        <v/>
      </c>
      <c r="Y622" s="197" t="str">
        <f t="shared" si="71"/>
        <v/>
      </c>
      <c r="Z622" s="157" t="e">
        <f t="shared" si="72"/>
        <v>#DIV/0!</v>
      </c>
      <c r="AA622" s="157" t="e">
        <f t="shared" si="73"/>
        <v>#DIV/0!</v>
      </c>
    </row>
    <row r="623" spans="14:27" ht="15">
      <c r="N623" s="194"/>
      <c r="O623" s="195"/>
      <c r="V623" s="196" t="str">
        <f t="shared" si="68"/>
        <v/>
      </c>
      <c r="W623" s="197" t="str">
        <f t="shared" si="69"/>
        <v/>
      </c>
      <c r="X623" s="197" t="str">
        <f t="shared" si="70"/>
        <v/>
      </c>
      <c r="Y623" s="197" t="str">
        <f t="shared" si="71"/>
        <v/>
      </c>
      <c r="Z623" s="157" t="e">
        <f t="shared" si="72"/>
        <v>#DIV/0!</v>
      </c>
      <c r="AA623" s="157" t="e">
        <f t="shared" si="73"/>
        <v>#DIV/0!</v>
      </c>
    </row>
    <row r="624" spans="14:27" ht="15">
      <c r="N624" s="194"/>
      <c r="O624" s="195"/>
      <c r="V624" s="196" t="str">
        <f t="shared" si="68"/>
        <v/>
      </c>
      <c r="W624" s="197" t="str">
        <f t="shared" si="69"/>
        <v/>
      </c>
      <c r="X624" s="197" t="str">
        <f t="shared" si="70"/>
        <v/>
      </c>
      <c r="Y624" s="197" t="str">
        <f t="shared" si="71"/>
        <v/>
      </c>
      <c r="Z624" s="157" t="e">
        <f t="shared" si="72"/>
        <v>#DIV/0!</v>
      </c>
      <c r="AA624" s="157" t="e">
        <f t="shared" si="73"/>
        <v>#DIV/0!</v>
      </c>
    </row>
    <row r="625" spans="14:27" ht="15">
      <c r="N625" s="194"/>
      <c r="O625" s="195"/>
      <c r="V625" s="196" t="str">
        <f t="shared" si="68"/>
        <v/>
      </c>
      <c r="W625" s="197" t="str">
        <f t="shared" si="69"/>
        <v/>
      </c>
      <c r="X625" s="197" t="str">
        <f t="shared" si="70"/>
        <v/>
      </c>
      <c r="Y625" s="197" t="str">
        <f t="shared" si="71"/>
        <v/>
      </c>
      <c r="Z625" s="157" t="e">
        <f t="shared" si="72"/>
        <v>#DIV/0!</v>
      </c>
      <c r="AA625" s="157" t="e">
        <f t="shared" si="73"/>
        <v>#DIV/0!</v>
      </c>
    </row>
    <row r="626" spans="14:27" ht="15">
      <c r="N626" s="194"/>
      <c r="O626" s="195"/>
      <c r="V626" s="196" t="str">
        <f t="shared" si="68"/>
        <v/>
      </c>
      <c r="W626" s="197" t="str">
        <f t="shared" si="69"/>
        <v/>
      </c>
      <c r="X626" s="197" t="str">
        <f t="shared" si="70"/>
        <v/>
      </c>
      <c r="Y626" s="197" t="str">
        <f t="shared" si="71"/>
        <v/>
      </c>
      <c r="Z626" s="157" t="e">
        <f t="shared" si="72"/>
        <v>#DIV/0!</v>
      </c>
      <c r="AA626" s="157" t="e">
        <f t="shared" si="73"/>
        <v>#DIV/0!</v>
      </c>
    </row>
    <row r="627" spans="14:27" ht="15">
      <c r="N627" s="194"/>
      <c r="O627" s="195"/>
      <c r="V627" s="196" t="str">
        <f t="shared" si="68"/>
        <v/>
      </c>
      <c r="W627" s="197" t="str">
        <f t="shared" si="69"/>
        <v/>
      </c>
      <c r="X627" s="197" t="str">
        <f t="shared" si="70"/>
        <v/>
      </c>
      <c r="Y627" s="197" t="str">
        <f t="shared" si="71"/>
        <v/>
      </c>
      <c r="Z627" s="157" t="e">
        <f t="shared" si="72"/>
        <v>#DIV/0!</v>
      </c>
      <c r="AA627" s="157" t="e">
        <f t="shared" si="73"/>
        <v>#DIV/0!</v>
      </c>
    </row>
    <row r="628" spans="14:27" ht="15">
      <c r="N628" s="194"/>
      <c r="O628" s="195"/>
      <c r="V628" s="196" t="str">
        <f t="shared" si="68"/>
        <v/>
      </c>
      <c r="W628" s="197" t="str">
        <f t="shared" si="69"/>
        <v/>
      </c>
      <c r="X628" s="197" t="str">
        <f t="shared" si="70"/>
        <v/>
      </c>
      <c r="Y628" s="197" t="str">
        <f t="shared" si="71"/>
        <v/>
      </c>
      <c r="Z628" s="157" t="e">
        <f t="shared" si="72"/>
        <v>#DIV/0!</v>
      </c>
      <c r="AA628" s="157" t="e">
        <f t="shared" si="73"/>
        <v>#DIV/0!</v>
      </c>
    </row>
    <row r="629" spans="14:27" ht="15">
      <c r="N629" s="194"/>
      <c r="O629" s="195"/>
      <c r="V629" s="196" t="str">
        <f t="shared" si="68"/>
        <v/>
      </c>
      <c r="W629" s="197" t="str">
        <f t="shared" si="69"/>
        <v/>
      </c>
      <c r="X629" s="197" t="str">
        <f t="shared" si="70"/>
        <v/>
      </c>
      <c r="Y629" s="197" t="str">
        <f t="shared" si="71"/>
        <v/>
      </c>
      <c r="Z629" s="157" t="e">
        <f t="shared" si="72"/>
        <v>#DIV/0!</v>
      </c>
      <c r="AA629" s="157" t="e">
        <f t="shared" si="73"/>
        <v>#DIV/0!</v>
      </c>
    </row>
    <row r="630" spans="14:27" ht="15">
      <c r="N630" s="194"/>
      <c r="O630" s="195"/>
      <c r="V630" s="196" t="str">
        <f t="shared" si="68"/>
        <v/>
      </c>
      <c r="W630" s="197" t="str">
        <f t="shared" si="69"/>
        <v/>
      </c>
      <c r="X630" s="197" t="str">
        <f t="shared" si="70"/>
        <v/>
      </c>
      <c r="Y630" s="197" t="str">
        <f t="shared" si="71"/>
        <v/>
      </c>
      <c r="Z630" s="157" t="e">
        <f t="shared" si="72"/>
        <v>#DIV/0!</v>
      </c>
      <c r="AA630" s="157" t="e">
        <f t="shared" si="73"/>
        <v>#DIV/0!</v>
      </c>
    </row>
    <row r="631" spans="14:27" ht="15">
      <c r="N631" s="194"/>
      <c r="O631" s="195"/>
      <c r="V631" s="196" t="str">
        <f t="shared" si="68"/>
        <v/>
      </c>
      <c r="W631" s="197" t="str">
        <f t="shared" si="69"/>
        <v/>
      </c>
      <c r="X631" s="197" t="str">
        <f t="shared" si="70"/>
        <v/>
      </c>
      <c r="Y631" s="197" t="str">
        <f t="shared" si="71"/>
        <v/>
      </c>
      <c r="Z631" s="157" t="e">
        <f t="shared" si="72"/>
        <v>#DIV/0!</v>
      </c>
      <c r="AA631" s="157" t="e">
        <f t="shared" si="73"/>
        <v>#DIV/0!</v>
      </c>
    </row>
    <row r="632" spans="14:27" ht="15">
      <c r="N632" s="194"/>
      <c r="O632" s="195"/>
      <c r="V632" s="196" t="str">
        <f t="shared" si="68"/>
        <v/>
      </c>
      <c r="W632" s="197" t="str">
        <f t="shared" si="69"/>
        <v/>
      </c>
      <c r="X632" s="197" t="str">
        <f t="shared" si="70"/>
        <v/>
      </c>
      <c r="Y632" s="197" t="str">
        <f t="shared" si="71"/>
        <v/>
      </c>
      <c r="Z632" s="157" t="e">
        <f t="shared" si="72"/>
        <v>#DIV/0!</v>
      </c>
      <c r="AA632" s="157" t="e">
        <f t="shared" si="73"/>
        <v>#DIV/0!</v>
      </c>
    </row>
    <row r="633" spans="14:27" ht="15">
      <c r="N633" s="194"/>
      <c r="O633" s="195"/>
      <c r="V633" s="196" t="str">
        <f t="shared" si="68"/>
        <v/>
      </c>
      <c r="W633" s="197" t="str">
        <f t="shared" si="69"/>
        <v/>
      </c>
      <c r="X633" s="197" t="str">
        <f t="shared" si="70"/>
        <v/>
      </c>
      <c r="Y633" s="197" t="str">
        <f t="shared" si="71"/>
        <v/>
      </c>
      <c r="Z633" s="157" t="e">
        <f t="shared" si="72"/>
        <v>#DIV/0!</v>
      </c>
      <c r="AA633" s="157" t="e">
        <f t="shared" si="73"/>
        <v>#DIV/0!</v>
      </c>
    </row>
    <row r="634" spans="14:27" ht="15">
      <c r="N634" s="194"/>
      <c r="O634" s="195"/>
      <c r="V634" s="196" t="str">
        <f t="shared" si="68"/>
        <v/>
      </c>
      <c r="W634" s="197" t="str">
        <f t="shared" si="69"/>
        <v/>
      </c>
      <c r="X634" s="197" t="str">
        <f t="shared" si="70"/>
        <v/>
      </c>
      <c r="Y634" s="197" t="str">
        <f t="shared" si="71"/>
        <v/>
      </c>
      <c r="Z634" s="157" t="e">
        <f t="shared" si="72"/>
        <v>#DIV/0!</v>
      </c>
      <c r="AA634" s="157" t="e">
        <f t="shared" si="73"/>
        <v>#DIV/0!</v>
      </c>
    </row>
    <row r="635" spans="14:27" ht="15">
      <c r="N635" s="194"/>
      <c r="O635" s="195"/>
      <c r="V635" s="196" t="str">
        <f t="shared" si="68"/>
        <v/>
      </c>
      <c r="W635" s="197" t="str">
        <f t="shared" si="69"/>
        <v/>
      </c>
      <c r="X635" s="197" t="str">
        <f t="shared" si="70"/>
        <v/>
      </c>
      <c r="Y635" s="197" t="str">
        <f t="shared" si="71"/>
        <v/>
      </c>
      <c r="Z635" s="157" t="e">
        <f t="shared" si="72"/>
        <v>#DIV/0!</v>
      </c>
      <c r="AA635" s="157" t="e">
        <f t="shared" si="73"/>
        <v>#DIV/0!</v>
      </c>
    </row>
    <row r="636" spans="14:27" ht="15">
      <c r="N636" s="194"/>
      <c r="O636" s="195"/>
      <c r="V636" s="196" t="str">
        <f t="shared" si="68"/>
        <v/>
      </c>
      <c r="W636" s="197" t="str">
        <f t="shared" si="69"/>
        <v/>
      </c>
      <c r="X636" s="197" t="str">
        <f t="shared" si="70"/>
        <v/>
      </c>
      <c r="Y636" s="197" t="str">
        <f t="shared" si="71"/>
        <v/>
      </c>
      <c r="Z636" s="157" t="e">
        <f t="shared" si="72"/>
        <v>#DIV/0!</v>
      </c>
      <c r="AA636" s="157" t="e">
        <f t="shared" si="73"/>
        <v>#DIV/0!</v>
      </c>
    </row>
    <row r="637" spans="14:27" ht="15">
      <c r="N637" s="194"/>
      <c r="O637" s="195"/>
      <c r="V637" s="196" t="str">
        <f t="shared" si="68"/>
        <v/>
      </c>
      <c r="W637" s="197" t="str">
        <f t="shared" si="69"/>
        <v/>
      </c>
      <c r="X637" s="197" t="str">
        <f t="shared" si="70"/>
        <v/>
      </c>
      <c r="Y637" s="197" t="str">
        <f t="shared" si="71"/>
        <v/>
      </c>
      <c r="Z637" s="157" t="e">
        <f t="shared" si="72"/>
        <v>#DIV/0!</v>
      </c>
      <c r="AA637" s="157" t="e">
        <f t="shared" si="73"/>
        <v>#DIV/0!</v>
      </c>
    </row>
    <row r="638" spans="14:27" ht="15">
      <c r="N638" s="194"/>
      <c r="O638" s="195"/>
      <c r="V638" s="196" t="str">
        <f t="shared" si="68"/>
        <v/>
      </c>
      <c r="W638" s="197" t="str">
        <f t="shared" si="69"/>
        <v/>
      </c>
      <c r="X638" s="197" t="str">
        <f t="shared" si="70"/>
        <v/>
      </c>
      <c r="Y638" s="197" t="str">
        <f t="shared" si="71"/>
        <v/>
      </c>
      <c r="Z638" s="157" t="e">
        <f t="shared" si="72"/>
        <v>#DIV/0!</v>
      </c>
      <c r="AA638" s="157" t="e">
        <f t="shared" si="73"/>
        <v>#DIV/0!</v>
      </c>
    </row>
    <row r="639" spans="14:27" ht="15">
      <c r="N639" s="194"/>
      <c r="O639" s="195"/>
      <c r="V639" s="196" t="str">
        <f t="shared" si="68"/>
        <v/>
      </c>
      <c r="W639" s="197" t="str">
        <f t="shared" si="69"/>
        <v/>
      </c>
      <c r="X639" s="197" t="str">
        <f t="shared" si="70"/>
        <v/>
      </c>
      <c r="Y639" s="197" t="str">
        <f t="shared" si="71"/>
        <v/>
      </c>
      <c r="Z639" s="157" t="e">
        <f t="shared" si="72"/>
        <v>#DIV/0!</v>
      </c>
      <c r="AA639" s="157" t="e">
        <f t="shared" si="73"/>
        <v>#DIV/0!</v>
      </c>
    </row>
    <row r="640" spans="14:27" ht="15">
      <c r="N640" s="194"/>
      <c r="O640" s="195"/>
      <c r="V640" s="196" t="str">
        <f t="shared" si="68"/>
        <v/>
      </c>
      <c r="W640" s="197" t="str">
        <f t="shared" si="69"/>
        <v/>
      </c>
      <c r="X640" s="197" t="str">
        <f t="shared" si="70"/>
        <v/>
      </c>
      <c r="Y640" s="197" t="str">
        <f t="shared" si="71"/>
        <v/>
      </c>
      <c r="Z640" s="157" t="e">
        <f t="shared" si="72"/>
        <v>#DIV/0!</v>
      </c>
      <c r="AA640" s="157" t="e">
        <f t="shared" si="73"/>
        <v>#DIV/0!</v>
      </c>
    </row>
    <row r="641" spans="14:27" ht="15">
      <c r="N641" s="194"/>
      <c r="O641" s="195"/>
      <c r="V641" s="196" t="str">
        <f t="shared" si="68"/>
        <v/>
      </c>
      <c r="W641" s="197" t="str">
        <f t="shared" si="69"/>
        <v/>
      </c>
      <c r="X641" s="197" t="str">
        <f t="shared" si="70"/>
        <v/>
      </c>
      <c r="Y641" s="197" t="str">
        <f t="shared" si="71"/>
        <v/>
      </c>
      <c r="Z641" s="157" t="e">
        <f t="shared" si="72"/>
        <v>#DIV/0!</v>
      </c>
      <c r="AA641" s="157" t="e">
        <f t="shared" si="73"/>
        <v>#DIV/0!</v>
      </c>
    </row>
    <row r="642" spans="14:27" ht="15">
      <c r="N642" s="194"/>
      <c r="O642" s="195"/>
      <c r="V642" s="196" t="str">
        <f t="shared" si="68"/>
        <v/>
      </c>
      <c r="W642" s="197" t="str">
        <f t="shared" si="69"/>
        <v/>
      </c>
      <c r="X642" s="197" t="str">
        <f t="shared" si="70"/>
        <v/>
      </c>
      <c r="Y642" s="197" t="str">
        <f t="shared" si="71"/>
        <v/>
      </c>
      <c r="Z642" s="157" t="e">
        <f t="shared" si="72"/>
        <v>#DIV/0!</v>
      </c>
      <c r="AA642" s="157" t="e">
        <f t="shared" si="73"/>
        <v>#DIV/0!</v>
      </c>
    </row>
    <row r="643" spans="14:27" ht="15">
      <c r="N643" s="194"/>
      <c r="O643" s="195"/>
      <c r="V643" s="196" t="str">
        <f t="shared" si="68"/>
        <v/>
      </c>
      <c r="W643" s="197" t="str">
        <f t="shared" si="69"/>
        <v/>
      </c>
      <c r="X643" s="197" t="str">
        <f t="shared" si="70"/>
        <v/>
      </c>
      <c r="Y643" s="197" t="str">
        <f t="shared" si="71"/>
        <v/>
      </c>
      <c r="Z643" s="157" t="e">
        <f t="shared" si="72"/>
        <v>#DIV/0!</v>
      </c>
      <c r="AA643" s="157" t="e">
        <f t="shared" si="73"/>
        <v>#DIV/0!</v>
      </c>
    </row>
    <row r="644" spans="14:27" ht="15">
      <c r="N644" s="194"/>
      <c r="O644" s="195"/>
      <c r="V644" s="196" t="str">
        <f t="shared" si="68"/>
        <v/>
      </c>
      <c r="W644" s="197" t="str">
        <f t="shared" si="69"/>
        <v/>
      </c>
      <c r="X644" s="197" t="str">
        <f t="shared" si="70"/>
        <v/>
      </c>
      <c r="Y644" s="197" t="str">
        <f t="shared" si="71"/>
        <v/>
      </c>
      <c r="Z644" s="157" t="e">
        <f t="shared" si="72"/>
        <v>#DIV/0!</v>
      </c>
      <c r="AA644" s="157" t="e">
        <f t="shared" si="73"/>
        <v>#DIV/0!</v>
      </c>
    </row>
    <row r="645" spans="14:27" ht="15">
      <c r="N645" s="194"/>
      <c r="O645" s="195"/>
      <c r="V645" s="196" t="str">
        <f t="shared" si="68"/>
        <v/>
      </c>
      <c r="W645" s="197" t="str">
        <f t="shared" si="69"/>
        <v/>
      </c>
      <c r="X645" s="197" t="str">
        <f t="shared" si="70"/>
        <v/>
      </c>
      <c r="Y645" s="197" t="str">
        <f t="shared" si="71"/>
        <v/>
      </c>
      <c r="Z645" s="157" t="e">
        <f t="shared" si="72"/>
        <v>#DIV/0!</v>
      </c>
      <c r="AA645" s="157" t="e">
        <f t="shared" si="73"/>
        <v>#DIV/0!</v>
      </c>
    </row>
    <row r="646" spans="14:27" ht="15">
      <c r="N646" s="194"/>
      <c r="O646" s="195"/>
      <c r="V646" s="196" t="str">
        <f t="shared" si="68"/>
        <v/>
      </c>
      <c r="W646" s="197" t="str">
        <f t="shared" si="69"/>
        <v/>
      </c>
      <c r="X646" s="197" t="str">
        <f t="shared" si="70"/>
        <v/>
      </c>
      <c r="Y646" s="197" t="str">
        <f t="shared" si="71"/>
        <v/>
      </c>
      <c r="Z646" s="157" t="e">
        <f t="shared" si="72"/>
        <v>#DIV/0!</v>
      </c>
      <c r="AA646" s="157" t="e">
        <f t="shared" si="73"/>
        <v>#DIV/0!</v>
      </c>
    </row>
    <row r="647" spans="14:27" ht="15">
      <c r="N647" s="194"/>
      <c r="O647" s="195"/>
      <c r="V647" s="196" t="str">
        <f t="shared" si="68"/>
        <v/>
      </c>
      <c r="W647" s="197" t="str">
        <f t="shared" si="69"/>
        <v/>
      </c>
      <c r="X647" s="197" t="str">
        <f t="shared" si="70"/>
        <v/>
      </c>
      <c r="Y647" s="197" t="str">
        <f t="shared" si="71"/>
        <v/>
      </c>
      <c r="Z647" s="157" t="e">
        <f t="shared" si="72"/>
        <v>#DIV/0!</v>
      </c>
      <c r="AA647" s="157" t="e">
        <f t="shared" si="73"/>
        <v>#DIV/0!</v>
      </c>
    </row>
    <row r="648" spans="14:27" ht="15">
      <c r="N648" s="194"/>
      <c r="O648" s="195"/>
      <c r="V648" s="196" t="str">
        <f t="shared" si="68"/>
        <v/>
      </c>
      <c r="W648" s="197" t="str">
        <f t="shared" si="69"/>
        <v/>
      </c>
      <c r="X648" s="197" t="str">
        <f t="shared" si="70"/>
        <v/>
      </c>
      <c r="Y648" s="197" t="str">
        <f t="shared" si="71"/>
        <v/>
      </c>
      <c r="Z648" s="157" t="e">
        <f t="shared" si="72"/>
        <v>#DIV/0!</v>
      </c>
      <c r="AA648" s="157" t="e">
        <f t="shared" si="73"/>
        <v>#DIV/0!</v>
      </c>
    </row>
    <row r="649" spans="14:27" ht="15">
      <c r="N649" s="194"/>
      <c r="O649" s="195"/>
      <c r="V649" s="196" t="str">
        <f t="shared" si="68"/>
        <v/>
      </c>
      <c r="W649" s="197" t="str">
        <f t="shared" si="69"/>
        <v/>
      </c>
      <c r="X649" s="197" t="str">
        <f t="shared" si="70"/>
        <v/>
      </c>
      <c r="Y649" s="197" t="str">
        <f t="shared" si="71"/>
        <v/>
      </c>
      <c r="Z649" s="157" t="e">
        <f t="shared" si="72"/>
        <v>#DIV/0!</v>
      </c>
      <c r="AA649" s="157" t="e">
        <f t="shared" si="73"/>
        <v>#DIV/0!</v>
      </c>
    </row>
    <row r="650" spans="14:27" ht="15">
      <c r="N650" s="194"/>
      <c r="O650" s="195"/>
      <c r="V650" s="196" t="str">
        <f t="shared" si="68"/>
        <v/>
      </c>
      <c r="W650" s="197" t="str">
        <f t="shared" si="69"/>
        <v/>
      </c>
      <c r="X650" s="197" t="str">
        <f t="shared" si="70"/>
        <v/>
      </c>
      <c r="Y650" s="197" t="str">
        <f t="shared" si="71"/>
        <v/>
      </c>
      <c r="Z650" s="157" t="e">
        <f t="shared" si="72"/>
        <v>#DIV/0!</v>
      </c>
      <c r="AA650" s="157" t="e">
        <f t="shared" si="73"/>
        <v>#DIV/0!</v>
      </c>
    </row>
    <row r="651" spans="14:27" ht="15">
      <c r="N651" s="194"/>
      <c r="O651" s="195"/>
      <c r="V651" s="196" t="str">
        <f t="shared" si="68"/>
        <v/>
      </c>
      <c r="W651" s="197" t="str">
        <f t="shared" si="69"/>
        <v/>
      </c>
      <c r="X651" s="197" t="str">
        <f t="shared" si="70"/>
        <v/>
      </c>
      <c r="Y651" s="197" t="str">
        <f t="shared" si="71"/>
        <v/>
      </c>
      <c r="Z651" s="157" t="e">
        <f t="shared" si="72"/>
        <v>#DIV/0!</v>
      </c>
      <c r="AA651" s="157" t="e">
        <f t="shared" si="73"/>
        <v>#DIV/0!</v>
      </c>
    </row>
    <row r="652" spans="14:27" ht="15">
      <c r="N652" s="194"/>
      <c r="O652" s="195"/>
      <c r="V652" s="196" t="str">
        <f t="shared" si="68"/>
        <v/>
      </c>
      <c r="W652" s="197" t="str">
        <f t="shared" si="69"/>
        <v/>
      </c>
      <c r="X652" s="197" t="str">
        <f t="shared" si="70"/>
        <v/>
      </c>
      <c r="Y652" s="197" t="str">
        <f t="shared" si="71"/>
        <v/>
      </c>
      <c r="Z652" s="157" t="e">
        <f t="shared" si="72"/>
        <v>#DIV/0!</v>
      </c>
      <c r="AA652" s="157" t="e">
        <f t="shared" si="73"/>
        <v>#DIV/0!</v>
      </c>
    </row>
    <row r="653" spans="14:27" ht="15">
      <c r="N653" s="194"/>
      <c r="O653" s="195"/>
      <c r="V653" s="196" t="str">
        <f t="shared" si="68"/>
        <v/>
      </c>
      <c r="W653" s="197" t="str">
        <f t="shared" si="69"/>
        <v/>
      </c>
      <c r="X653" s="197" t="str">
        <f t="shared" si="70"/>
        <v/>
      </c>
      <c r="Y653" s="197" t="str">
        <f t="shared" si="71"/>
        <v/>
      </c>
      <c r="Z653" s="157" t="e">
        <f t="shared" si="72"/>
        <v>#DIV/0!</v>
      </c>
      <c r="AA653" s="157" t="e">
        <f t="shared" si="73"/>
        <v>#DIV/0!</v>
      </c>
    </row>
    <row r="654" spans="14:27" ht="15">
      <c r="N654" s="194"/>
      <c r="O654" s="195"/>
      <c r="V654" s="196" t="str">
        <f t="shared" si="68"/>
        <v/>
      </c>
      <c r="W654" s="197" t="str">
        <f t="shared" si="69"/>
        <v/>
      </c>
      <c r="X654" s="197" t="str">
        <f t="shared" si="70"/>
        <v/>
      </c>
      <c r="Y654" s="197" t="str">
        <f t="shared" si="71"/>
        <v/>
      </c>
      <c r="Z654" s="157" t="e">
        <f t="shared" si="72"/>
        <v>#DIV/0!</v>
      </c>
      <c r="AA654" s="157" t="e">
        <f t="shared" si="73"/>
        <v>#DIV/0!</v>
      </c>
    </row>
    <row r="655" spans="14:27" ht="15">
      <c r="N655" s="194"/>
      <c r="O655" s="195"/>
      <c r="V655" s="196" t="str">
        <f t="shared" si="68"/>
        <v/>
      </c>
      <c r="W655" s="197" t="str">
        <f t="shared" si="69"/>
        <v/>
      </c>
      <c r="X655" s="197" t="str">
        <f t="shared" si="70"/>
        <v/>
      </c>
      <c r="Y655" s="197" t="str">
        <f t="shared" si="71"/>
        <v/>
      </c>
      <c r="Z655" s="157" t="e">
        <f t="shared" si="72"/>
        <v>#DIV/0!</v>
      </c>
      <c r="AA655" s="157" t="e">
        <f t="shared" si="73"/>
        <v>#DIV/0!</v>
      </c>
    </row>
    <row r="656" spans="14:27" ht="15">
      <c r="N656" s="194"/>
      <c r="O656" s="195"/>
      <c r="V656" s="196" t="str">
        <f t="shared" si="68"/>
        <v/>
      </c>
      <c r="W656" s="197" t="str">
        <f t="shared" si="69"/>
        <v/>
      </c>
      <c r="X656" s="197" t="str">
        <f t="shared" si="70"/>
        <v/>
      </c>
      <c r="Y656" s="197" t="str">
        <f t="shared" si="71"/>
        <v/>
      </c>
      <c r="Z656" s="157" t="e">
        <f t="shared" si="72"/>
        <v>#DIV/0!</v>
      </c>
      <c r="AA656" s="157" t="e">
        <f t="shared" si="73"/>
        <v>#DIV/0!</v>
      </c>
    </row>
    <row r="657" spans="14:27" ht="15">
      <c r="N657" s="194"/>
      <c r="O657" s="195"/>
      <c r="V657" s="196" t="str">
        <f t="shared" si="68"/>
        <v/>
      </c>
      <c r="W657" s="197" t="str">
        <f t="shared" si="69"/>
        <v/>
      </c>
      <c r="X657" s="197" t="str">
        <f t="shared" si="70"/>
        <v/>
      </c>
      <c r="Y657" s="197" t="str">
        <f t="shared" si="71"/>
        <v/>
      </c>
      <c r="Z657" s="157" t="e">
        <f t="shared" si="72"/>
        <v>#DIV/0!</v>
      </c>
      <c r="AA657" s="157" t="e">
        <f t="shared" si="73"/>
        <v>#DIV/0!</v>
      </c>
    </row>
    <row r="658" spans="14:27" ht="15">
      <c r="N658" s="194"/>
      <c r="O658" s="195"/>
      <c r="V658" s="196" t="str">
        <f t="shared" si="68"/>
        <v/>
      </c>
      <c r="W658" s="197" t="str">
        <f t="shared" si="69"/>
        <v/>
      </c>
      <c r="X658" s="197" t="str">
        <f t="shared" si="70"/>
        <v/>
      </c>
      <c r="Y658" s="197" t="str">
        <f t="shared" si="71"/>
        <v/>
      </c>
      <c r="Z658" s="157" t="e">
        <f t="shared" si="72"/>
        <v>#DIV/0!</v>
      </c>
      <c r="AA658" s="157" t="e">
        <f t="shared" si="73"/>
        <v>#DIV/0!</v>
      </c>
    </row>
    <row r="659" spans="14:27" ht="15">
      <c r="N659" s="194"/>
      <c r="O659" s="195"/>
      <c r="V659" s="196" t="str">
        <f t="shared" si="68"/>
        <v/>
      </c>
      <c r="W659" s="197" t="str">
        <f t="shared" si="69"/>
        <v/>
      </c>
      <c r="X659" s="197" t="str">
        <f t="shared" si="70"/>
        <v/>
      </c>
      <c r="Y659" s="197" t="str">
        <f t="shared" si="71"/>
        <v/>
      </c>
      <c r="Z659" s="157" t="e">
        <f t="shared" si="72"/>
        <v>#DIV/0!</v>
      </c>
      <c r="AA659" s="157" t="e">
        <f t="shared" si="73"/>
        <v>#DIV/0!</v>
      </c>
    </row>
    <row r="660" spans="14:27" ht="15">
      <c r="N660" s="194"/>
      <c r="O660" s="195"/>
      <c r="V660" s="196" t="str">
        <f t="shared" si="68"/>
        <v/>
      </c>
      <c r="W660" s="197" t="str">
        <f t="shared" si="69"/>
        <v/>
      </c>
      <c r="X660" s="197" t="str">
        <f t="shared" si="70"/>
        <v/>
      </c>
      <c r="Y660" s="197" t="str">
        <f t="shared" si="71"/>
        <v/>
      </c>
      <c r="Z660" s="157" t="e">
        <f t="shared" si="72"/>
        <v>#DIV/0!</v>
      </c>
      <c r="AA660" s="157" t="e">
        <f t="shared" si="73"/>
        <v>#DIV/0!</v>
      </c>
    </row>
    <row r="661" spans="14:27" ht="15">
      <c r="N661" s="194"/>
      <c r="O661" s="195"/>
      <c r="V661" s="196" t="str">
        <f t="shared" ref="V661:V724" si="74">IFERROR(IF(AND(1/L661&gt;$V$19,1/L661&lt;=$W$19),1/L661,0),"")</f>
        <v/>
      </c>
      <c r="W661" s="197" t="str">
        <f t="shared" ref="W661:W724" si="75">IFERROR(IF(AND(1/L661&gt;$W$19,1/L661&lt;=$X$19),1/L661,0),"")</f>
        <v/>
      </c>
      <c r="X661" s="197" t="str">
        <f t="shared" ref="X661:X724" si="76">IFERROR(IF(AND(1/L661&gt;$X$19,1/L661&lt;=$Y$19),1/L661,0),"")</f>
        <v/>
      </c>
      <c r="Y661" s="197" t="str">
        <f t="shared" ref="Y661:Y724" si="77">IFERROR(IF(1/L661&gt;$Y$19,1/L661,0),"")</f>
        <v/>
      </c>
      <c r="Z661" s="157" t="e">
        <f t="shared" ref="Z661:Z724" si="78">IF(N661&lt;&gt;"",(N661-$N$17)/1000,1/0)</f>
        <v>#DIV/0!</v>
      </c>
      <c r="AA661" s="157" t="e">
        <f t="shared" ref="AA661:AA724" si="79">IF(O661&lt;&gt;"",(O661-$O$17)/1000,1/0)</f>
        <v>#DIV/0!</v>
      </c>
    </row>
    <row r="662" spans="14:27" ht="15">
      <c r="N662" s="194"/>
      <c r="O662" s="195"/>
      <c r="V662" s="196" t="str">
        <f t="shared" si="74"/>
        <v/>
      </c>
      <c r="W662" s="197" t="str">
        <f t="shared" si="75"/>
        <v/>
      </c>
      <c r="X662" s="197" t="str">
        <f t="shared" si="76"/>
        <v/>
      </c>
      <c r="Y662" s="197" t="str">
        <f t="shared" si="77"/>
        <v/>
      </c>
      <c r="Z662" s="157" t="e">
        <f t="shared" si="78"/>
        <v>#DIV/0!</v>
      </c>
      <c r="AA662" s="157" t="e">
        <f t="shared" si="79"/>
        <v>#DIV/0!</v>
      </c>
    </row>
    <row r="663" spans="14:27" ht="15">
      <c r="N663" s="194"/>
      <c r="O663" s="195"/>
      <c r="V663" s="196" t="str">
        <f t="shared" si="74"/>
        <v/>
      </c>
      <c r="W663" s="197" t="str">
        <f t="shared" si="75"/>
        <v/>
      </c>
      <c r="X663" s="197" t="str">
        <f t="shared" si="76"/>
        <v/>
      </c>
      <c r="Y663" s="197" t="str">
        <f t="shared" si="77"/>
        <v/>
      </c>
      <c r="Z663" s="157" t="e">
        <f t="shared" si="78"/>
        <v>#DIV/0!</v>
      </c>
      <c r="AA663" s="157" t="e">
        <f t="shared" si="79"/>
        <v>#DIV/0!</v>
      </c>
    </row>
    <row r="664" spans="14:27" ht="15">
      <c r="N664" s="194"/>
      <c r="O664" s="195"/>
      <c r="V664" s="196" t="str">
        <f t="shared" si="74"/>
        <v/>
      </c>
      <c r="W664" s="197" t="str">
        <f t="shared" si="75"/>
        <v/>
      </c>
      <c r="X664" s="197" t="str">
        <f t="shared" si="76"/>
        <v/>
      </c>
      <c r="Y664" s="197" t="str">
        <f t="shared" si="77"/>
        <v/>
      </c>
      <c r="Z664" s="157" t="e">
        <f t="shared" si="78"/>
        <v>#DIV/0!</v>
      </c>
      <c r="AA664" s="157" t="e">
        <f t="shared" si="79"/>
        <v>#DIV/0!</v>
      </c>
    </row>
    <row r="665" spans="14:27" ht="15">
      <c r="N665" s="194"/>
      <c r="O665" s="195"/>
      <c r="V665" s="196" t="str">
        <f t="shared" si="74"/>
        <v/>
      </c>
      <c r="W665" s="197" t="str">
        <f t="shared" si="75"/>
        <v/>
      </c>
      <c r="X665" s="197" t="str">
        <f t="shared" si="76"/>
        <v/>
      </c>
      <c r="Y665" s="197" t="str">
        <f t="shared" si="77"/>
        <v/>
      </c>
      <c r="Z665" s="157" t="e">
        <f t="shared" si="78"/>
        <v>#DIV/0!</v>
      </c>
      <c r="AA665" s="157" t="e">
        <f t="shared" si="79"/>
        <v>#DIV/0!</v>
      </c>
    </row>
    <row r="666" spans="14:27" ht="15">
      <c r="N666" s="194"/>
      <c r="O666" s="195"/>
      <c r="V666" s="196" t="str">
        <f t="shared" si="74"/>
        <v/>
      </c>
      <c r="W666" s="197" t="str">
        <f t="shared" si="75"/>
        <v/>
      </c>
      <c r="X666" s="197" t="str">
        <f t="shared" si="76"/>
        <v/>
      </c>
      <c r="Y666" s="197" t="str">
        <f t="shared" si="77"/>
        <v/>
      </c>
      <c r="Z666" s="157" t="e">
        <f t="shared" si="78"/>
        <v>#DIV/0!</v>
      </c>
      <c r="AA666" s="157" t="e">
        <f t="shared" si="79"/>
        <v>#DIV/0!</v>
      </c>
    </row>
    <row r="667" spans="14:27" ht="15">
      <c r="N667" s="194"/>
      <c r="O667" s="195"/>
      <c r="V667" s="196" t="str">
        <f t="shared" si="74"/>
        <v/>
      </c>
      <c r="W667" s="197" t="str">
        <f t="shared" si="75"/>
        <v/>
      </c>
      <c r="X667" s="197" t="str">
        <f t="shared" si="76"/>
        <v/>
      </c>
      <c r="Y667" s="197" t="str">
        <f t="shared" si="77"/>
        <v/>
      </c>
      <c r="Z667" s="157" t="e">
        <f t="shared" si="78"/>
        <v>#DIV/0!</v>
      </c>
      <c r="AA667" s="157" t="e">
        <f t="shared" si="79"/>
        <v>#DIV/0!</v>
      </c>
    </row>
    <row r="668" spans="14:27" ht="15">
      <c r="N668" s="194"/>
      <c r="O668" s="195"/>
      <c r="V668" s="196" t="str">
        <f t="shared" si="74"/>
        <v/>
      </c>
      <c r="W668" s="197" t="str">
        <f t="shared" si="75"/>
        <v/>
      </c>
      <c r="X668" s="197" t="str">
        <f t="shared" si="76"/>
        <v/>
      </c>
      <c r="Y668" s="197" t="str">
        <f t="shared" si="77"/>
        <v/>
      </c>
      <c r="Z668" s="157" t="e">
        <f t="shared" si="78"/>
        <v>#DIV/0!</v>
      </c>
      <c r="AA668" s="157" t="e">
        <f t="shared" si="79"/>
        <v>#DIV/0!</v>
      </c>
    </row>
    <row r="669" spans="14:27" ht="15">
      <c r="N669" s="194"/>
      <c r="O669" s="195"/>
      <c r="V669" s="196" t="str">
        <f t="shared" si="74"/>
        <v/>
      </c>
      <c r="W669" s="197" t="str">
        <f t="shared" si="75"/>
        <v/>
      </c>
      <c r="X669" s="197" t="str">
        <f t="shared" si="76"/>
        <v/>
      </c>
      <c r="Y669" s="197" t="str">
        <f t="shared" si="77"/>
        <v/>
      </c>
      <c r="Z669" s="157" t="e">
        <f t="shared" si="78"/>
        <v>#DIV/0!</v>
      </c>
      <c r="AA669" s="157" t="e">
        <f t="shared" si="79"/>
        <v>#DIV/0!</v>
      </c>
    </row>
    <row r="670" spans="14:27" ht="15">
      <c r="N670" s="194"/>
      <c r="O670" s="195"/>
      <c r="V670" s="196" t="str">
        <f t="shared" si="74"/>
        <v/>
      </c>
      <c r="W670" s="197" t="str">
        <f t="shared" si="75"/>
        <v/>
      </c>
      <c r="X670" s="197" t="str">
        <f t="shared" si="76"/>
        <v/>
      </c>
      <c r="Y670" s="197" t="str">
        <f t="shared" si="77"/>
        <v/>
      </c>
      <c r="Z670" s="157" t="e">
        <f t="shared" si="78"/>
        <v>#DIV/0!</v>
      </c>
      <c r="AA670" s="157" t="e">
        <f t="shared" si="79"/>
        <v>#DIV/0!</v>
      </c>
    </row>
    <row r="671" spans="14:27" ht="15">
      <c r="N671" s="194"/>
      <c r="O671" s="195"/>
      <c r="V671" s="196" t="str">
        <f t="shared" si="74"/>
        <v/>
      </c>
      <c r="W671" s="197" t="str">
        <f t="shared" si="75"/>
        <v/>
      </c>
      <c r="X671" s="197" t="str">
        <f t="shared" si="76"/>
        <v/>
      </c>
      <c r="Y671" s="197" t="str">
        <f t="shared" si="77"/>
        <v/>
      </c>
      <c r="Z671" s="157" t="e">
        <f t="shared" si="78"/>
        <v>#DIV/0!</v>
      </c>
      <c r="AA671" s="157" t="e">
        <f t="shared" si="79"/>
        <v>#DIV/0!</v>
      </c>
    </row>
    <row r="672" spans="14:27" ht="15">
      <c r="N672" s="194"/>
      <c r="O672" s="195"/>
      <c r="V672" s="196" t="str">
        <f t="shared" si="74"/>
        <v/>
      </c>
      <c r="W672" s="197" t="str">
        <f t="shared" si="75"/>
        <v/>
      </c>
      <c r="X672" s="197" t="str">
        <f t="shared" si="76"/>
        <v/>
      </c>
      <c r="Y672" s="197" t="str">
        <f t="shared" si="77"/>
        <v/>
      </c>
      <c r="Z672" s="157" t="e">
        <f t="shared" si="78"/>
        <v>#DIV/0!</v>
      </c>
      <c r="AA672" s="157" t="e">
        <f t="shared" si="79"/>
        <v>#DIV/0!</v>
      </c>
    </row>
    <row r="673" spans="14:27" ht="15">
      <c r="N673" s="194"/>
      <c r="O673" s="195"/>
      <c r="V673" s="196" t="str">
        <f t="shared" si="74"/>
        <v/>
      </c>
      <c r="W673" s="197" t="str">
        <f t="shared" si="75"/>
        <v/>
      </c>
      <c r="X673" s="197" t="str">
        <f t="shared" si="76"/>
        <v/>
      </c>
      <c r="Y673" s="197" t="str">
        <f t="shared" si="77"/>
        <v/>
      </c>
      <c r="Z673" s="157" t="e">
        <f t="shared" si="78"/>
        <v>#DIV/0!</v>
      </c>
      <c r="AA673" s="157" t="e">
        <f t="shared" si="79"/>
        <v>#DIV/0!</v>
      </c>
    </row>
    <row r="674" spans="14:27" ht="15">
      <c r="N674" s="194"/>
      <c r="O674" s="195"/>
      <c r="V674" s="196" t="str">
        <f t="shared" si="74"/>
        <v/>
      </c>
      <c r="W674" s="197" t="str">
        <f t="shared" si="75"/>
        <v/>
      </c>
      <c r="X674" s="197" t="str">
        <f t="shared" si="76"/>
        <v/>
      </c>
      <c r="Y674" s="197" t="str">
        <f t="shared" si="77"/>
        <v/>
      </c>
      <c r="Z674" s="157" t="e">
        <f t="shared" si="78"/>
        <v>#DIV/0!</v>
      </c>
      <c r="AA674" s="157" t="e">
        <f t="shared" si="79"/>
        <v>#DIV/0!</v>
      </c>
    </row>
    <row r="675" spans="14:27" ht="15">
      <c r="N675" s="194"/>
      <c r="O675" s="195"/>
      <c r="V675" s="196" t="str">
        <f t="shared" si="74"/>
        <v/>
      </c>
      <c r="W675" s="197" t="str">
        <f t="shared" si="75"/>
        <v/>
      </c>
      <c r="X675" s="197" t="str">
        <f t="shared" si="76"/>
        <v/>
      </c>
      <c r="Y675" s="197" t="str">
        <f t="shared" si="77"/>
        <v/>
      </c>
      <c r="Z675" s="157" t="e">
        <f t="shared" si="78"/>
        <v>#DIV/0!</v>
      </c>
      <c r="AA675" s="157" t="e">
        <f t="shared" si="79"/>
        <v>#DIV/0!</v>
      </c>
    </row>
    <row r="676" spans="14:27" ht="15">
      <c r="N676" s="194"/>
      <c r="O676" s="195"/>
      <c r="V676" s="196" t="str">
        <f t="shared" si="74"/>
        <v/>
      </c>
      <c r="W676" s="197" t="str">
        <f t="shared" si="75"/>
        <v/>
      </c>
      <c r="X676" s="197" t="str">
        <f t="shared" si="76"/>
        <v/>
      </c>
      <c r="Y676" s="197" t="str">
        <f t="shared" si="77"/>
        <v/>
      </c>
      <c r="Z676" s="157" t="e">
        <f t="shared" si="78"/>
        <v>#DIV/0!</v>
      </c>
      <c r="AA676" s="157" t="e">
        <f t="shared" si="79"/>
        <v>#DIV/0!</v>
      </c>
    </row>
    <row r="677" spans="14:27" ht="15">
      <c r="N677" s="194"/>
      <c r="O677" s="195"/>
      <c r="V677" s="196" t="str">
        <f t="shared" si="74"/>
        <v/>
      </c>
      <c r="W677" s="197" t="str">
        <f t="shared" si="75"/>
        <v/>
      </c>
      <c r="X677" s="197" t="str">
        <f t="shared" si="76"/>
        <v/>
      </c>
      <c r="Y677" s="197" t="str">
        <f t="shared" si="77"/>
        <v/>
      </c>
      <c r="Z677" s="157" t="e">
        <f t="shared" si="78"/>
        <v>#DIV/0!</v>
      </c>
      <c r="AA677" s="157" t="e">
        <f t="shared" si="79"/>
        <v>#DIV/0!</v>
      </c>
    </row>
    <row r="678" spans="14:27" ht="15">
      <c r="N678" s="194"/>
      <c r="O678" s="195"/>
      <c r="V678" s="196" t="str">
        <f t="shared" si="74"/>
        <v/>
      </c>
      <c r="W678" s="197" t="str">
        <f t="shared" si="75"/>
        <v/>
      </c>
      <c r="X678" s="197" t="str">
        <f t="shared" si="76"/>
        <v/>
      </c>
      <c r="Y678" s="197" t="str">
        <f t="shared" si="77"/>
        <v/>
      </c>
      <c r="Z678" s="157" t="e">
        <f t="shared" si="78"/>
        <v>#DIV/0!</v>
      </c>
      <c r="AA678" s="157" t="e">
        <f t="shared" si="79"/>
        <v>#DIV/0!</v>
      </c>
    </row>
    <row r="679" spans="14:27" ht="15">
      <c r="N679" s="194"/>
      <c r="O679" s="195"/>
      <c r="V679" s="196" t="str">
        <f t="shared" si="74"/>
        <v/>
      </c>
      <c r="W679" s="197" t="str">
        <f t="shared" si="75"/>
        <v/>
      </c>
      <c r="X679" s="197" t="str">
        <f t="shared" si="76"/>
        <v/>
      </c>
      <c r="Y679" s="197" t="str">
        <f t="shared" si="77"/>
        <v/>
      </c>
      <c r="Z679" s="157" t="e">
        <f t="shared" si="78"/>
        <v>#DIV/0!</v>
      </c>
      <c r="AA679" s="157" t="e">
        <f t="shared" si="79"/>
        <v>#DIV/0!</v>
      </c>
    </row>
    <row r="680" spans="14:27" ht="15">
      <c r="N680" s="194"/>
      <c r="O680" s="195"/>
      <c r="V680" s="196" t="str">
        <f t="shared" si="74"/>
        <v/>
      </c>
      <c r="W680" s="197" t="str">
        <f t="shared" si="75"/>
        <v/>
      </c>
      <c r="X680" s="197" t="str">
        <f t="shared" si="76"/>
        <v/>
      </c>
      <c r="Y680" s="197" t="str">
        <f t="shared" si="77"/>
        <v/>
      </c>
      <c r="Z680" s="157" t="e">
        <f t="shared" si="78"/>
        <v>#DIV/0!</v>
      </c>
      <c r="AA680" s="157" t="e">
        <f t="shared" si="79"/>
        <v>#DIV/0!</v>
      </c>
    </row>
    <row r="681" spans="14:27" ht="15">
      <c r="N681" s="194"/>
      <c r="O681" s="195"/>
      <c r="V681" s="196" t="str">
        <f t="shared" si="74"/>
        <v/>
      </c>
      <c r="W681" s="197" t="str">
        <f t="shared" si="75"/>
        <v/>
      </c>
      <c r="X681" s="197" t="str">
        <f t="shared" si="76"/>
        <v/>
      </c>
      <c r="Y681" s="197" t="str">
        <f t="shared" si="77"/>
        <v/>
      </c>
      <c r="Z681" s="157" t="e">
        <f t="shared" si="78"/>
        <v>#DIV/0!</v>
      </c>
      <c r="AA681" s="157" t="e">
        <f t="shared" si="79"/>
        <v>#DIV/0!</v>
      </c>
    </row>
    <row r="682" spans="14:27" ht="15">
      <c r="N682" s="194"/>
      <c r="O682" s="195"/>
      <c r="V682" s="196" t="str">
        <f t="shared" si="74"/>
        <v/>
      </c>
      <c r="W682" s="197" t="str">
        <f t="shared" si="75"/>
        <v/>
      </c>
      <c r="X682" s="197" t="str">
        <f t="shared" si="76"/>
        <v/>
      </c>
      <c r="Y682" s="197" t="str">
        <f t="shared" si="77"/>
        <v/>
      </c>
      <c r="Z682" s="157" t="e">
        <f t="shared" si="78"/>
        <v>#DIV/0!</v>
      </c>
      <c r="AA682" s="157" t="e">
        <f t="shared" si="79"/>
        <v>#DIV/0!</v>
      </c>
    </row>
    <row r="683" spans="14:27" ht="15">
      <c r="N683" s="194"/>
      <c r="O683" s="195"/>
      <c r="V683" s="196" t="str">
        <f t="shared" si="74"/>
        <v/>
      </c>
      <c r="W683" s="197" t="str">
        <f t="shared" si="75"/>
        <v/>
      </c>
      <c r="X683" s="197" t="str">
        <f t="shared" si="76"/>
        <v/>
      </c>
      <c r="Y683" s="197" t="str">
        <f t="shared" si="77"/>
        <v/>
      </c>
      <c r="Z683" s="157" t="e">
        <f t="shared" si="78"/>
        <v>#DIV/0!</v>
      </c>
      <c r="AA683" s="157" t="e">
        <f t="shared" si="79"/>
        <v>#DIV/0!</v>
      </c>
    </row>
    <row r="684" spans="14:27" ht="15">
      <c r="N684" s="194"/>
      <c r="O684" s="195"/>
      <c r="V684" s="196" t="str">
        <f t="shared" si="74"/>
        <v/>
      </c>
      <c r="W684" s="197" t="str">
        <f t="shared" si="75"/>
        <v/>
      </c>
      <c r="X684" s="197" t="str">
        <f t="shared" si="76"/>
        <v/>
      </c>
      <c r="Y684" s="197" t="str">
        <f t="shared" si="77"/>
        <v/>
      </c>
      <c r="Z684" s="157" t="e">
        <f t="shared" si="78"/>
        <v>#DIV/0!</v>
      </c>
      <c r="AA684" s="157" t="e">
        <f t="shared" si="79"/>
        <v>#DIV/0!</v>
      </c>
    </row>
    <row r="685" spans="14:27" ht="15">
      <c r="N685" s="194"/>
      <c r="O685" s="195"/>
      <c r="V685" s="196" t="str">
        <f t="shared" si="74"/>
        <v/>
      </c>
      <c r="W685" s="197" t="str">
        <f t="shared" si="75"/>
        <v/>
      </c>
      <c r="X685" s="197" t="str">
        <f t="shared" si="76"/>
        <v/>
      </c>
      <c r="Y685" s="197" t="str">
        <f t="shared" si="77"/>
        <v/>
      </c>
      <c r="Z685" s="157" t="e">
        <f t="shared" si="78"/>
        <v>#DIV/0!</v>
      </c>
      <c r="AA685" s="157" t="e">
        <f t="shared" si="79"/>
        <v>#DIV/0!</v>
      </c>
    </row>
    <row r="686" spans="14:27" ht="15">
      <c r="N686" s="194"/>
      <c r="O686" s="195"/>
      <c r="V686" s="196" t="str">
        <f t="shared" si="74"/>
        <v/>
      </c>
      <c r="W686" s="197" t="str">
        <f t="shared" si="75"/>
        <v/>
      </c>
      <c r="X686" s="197" t="str">
        <f t="shared" si="76"/>
        <v/>
      </c>
      <c r="Y686" s="197" t="str">
        <f t="shared" si="77"/>
        <v/>
      </c>
      <c r="Z686" s="157" t="e">
        <f t="shared" si="78"/>
        <v>#DIV/0!</v>
      </c>
      <c r="AA686" s="157" t="e">
        <f t="shared" si="79"/>
        <v>#DIV/0!</v>
      </c>
    </row>
    <row r="687" spans="14:27" ht="15">
      <c r="N687" s="194"/>
      <c r="O687" s="195"/>
      <c r="V687" s="196" t="str">
        <f t="shared" si="74"/>
        <v/>
      </c>
      <c r="W687" s="197" t="str">
        <f t="shared" si="75"/>
        <v/>
      </c>
      <c r="X687" s="197" t="str">
        <f t="shared" si="76"/>
        <v/>
      </c>
      <c r="Y687" s="197" t="str">
        <f t="shared" si="77"/>
        <v/>
      </c>
      <c r="Z687" s="157" t="e">
        <f t="shared" si="78"/>
        <v>#DIV/0!</v>
      </c>
      <c r="AA687" s="157" t="e">
        <f t="shared" si="79"/>
        <v>#DIV/0!</v>
      </c>
    </row>
    <row r="688" spans="14:27" ht="15">
      <c r="N688" s="194"/>
      <c r="O688" s="195"/>
      <c r="V688" s="196" t="str">
        <f t="shared" si="74"/>
        <v/>
      </c>
      <c r="W688" s="197" t="str">
        <f t="shared" si="75"/>
        <v/>
      </c>
      <c r="X688" s="197" t="str">
        <f t="shared" si="76"/>
        <v/>
      </c>
      <c r="Y688" s="197" t="str">
        <f t="shared" si="77"/>
        <v/>
      </c>
      <c r="Z688" s="157" t="e">
        <f t="shared" si="78"/>
        <v>#DIV/0!</v>
      </c>
      <c r="AA688" s="157" t="e">
        <f t="shared" si="79"/>
        <v>#DIV/0!</v>
      </c>
    </row>
    <row r="689" spans="14:27" ht="15">
      <c r="N689" s="194"/>
      <c r="O689" s="195"/>
      <c r="V689" s="196" t="str">
        <f t="shared" si="74"/>
        <v/>
      </c>
      <c r="W689" s="197" t="str">
        <f t="shared" si="75"/>
        <v/>
      </c>
      <c r="X689" s="197" t="str">
        <f t="shared" si="76"/>
        <v/>
      </c>
      <c r="Y689" s="197" t="str">
        <f t="shared" si="77"/>
        <v/>
      </c>
      <c r="Z689" s="157" t="e">
        <f t="shared" si="78"/>
        <v>#DIV/0!</v>
      </c>
      <c r="AA689" s="157" t="e">
        <f t="shared" si="79"/>
        <v>#DIV/0!</v>
      </c>
    </row>
    <row r="690" spans="14:27" ht="15">
      <c r="N690" s="194"/>
      <c r="O690" s="195"/>
      <c r="V690" s="196" t="str">
        <f t="shared" si="74"/>
        <v/>
      </c>
      <c r="W690" s="197" t="str">
        <f t="shared" si="75"/>
        <v/>
      </c>
      <c r="X690" s="197" t="str">
        <f t="shared" si="76"/>
        <v/>
      </c>
      <c r="Y690" s="197" t="str">
        <f t="shared" si="77"/>
        <v/>
      </c>
      <c r="Z690" s="157" t="e">
        <f t="shared" si="78"/>
        <v>#DIV/0!</v>
      </c>
      <c r="AA690" s="157" t="e">
        <f t="shared" si="79"/>
        <v>#DIV/0!</v>
      </c>
    </row>
    <row r="691" spans="14:27" ht="15">
      <c r="N691" s="194"/>
      <c r="O691" s="195"/>
      <c r="V691" s="196" t="str">
        <f t="shared" si="74"/>
        <v/>
      </c>
      <c r="W691" s="197" t="str">
        <f t="shared" si="75"/>
        <v/>
      </c>
      <c r="X691" s="197" t="str">
        <f t="shared" si="76"/>
        <v/>
      </c>
      <c r="Y691" s="197" t="str">
        <f t="shared" si="77"/>
        <v/>
      </c>
      <c r="Z691" s="157" t="e">
        <f t="shared" si="78"/>
        <v>#DIV/0!</v>
      </c>
      <c r="AA691" s="157" t="e">
        <f t="shared" si="79"/>
        <v>#DIV/0!</v>
      </c>
    </row>
    <row r="692" spans="14:27" ht="15">
      <c r="N692" s="194"/>
      <c r="O692" s="195"/>
      <c r="V692" s="196" t="str">
        <f t="shared" si="74"/>
        <v/>
      </c>
      <c r="W692" s="197" t="str">
        <f t="shared" si="75"/>
        <v/>
      </c>
      <c r="X692" s="197" t="str">
        <f t="shared" si="76"/>
        <v/>
      </c>
      <c r="Y692" s="197" t="str">
        <f t="shared" si="77"/>
        <v/>
      </c>
      <c r="Z692" s="157" t="e">
        <f t="shared" si="78"/>
        <v>#DIV/0!</v>
      </c>
      <c r="AA692" s="157" t="e">
        <f t="shared" si="79"/>
        <v>#DIV/0!</v>
      </c>
    </row>
    <row r="693" spans="14:27" ht="15">
      <c r="N693" s="194"/>
      <c r="O693" s="195"/>
      <c r="V693" s="196" t="str">
        <f t="shared" si="74"/>
        <v/>
      </c>
      <c r="W693" s="197" t="str">
        <f t="shared" si="75"/>
        <v/>
      </c>
      <c r="X693" s="197" t="str">
        <f t="shared" si="76"/>
        <v/>
      </c>
      <c r="Y693" s="197" t="str">
        <f t="shared" si="77"/>
        <v/>
      </c>
      <c r="Z693" s="157" t="e">
        <f t="shared" si="78"/>
        <v>#DIV/0!</v>
      </c>
      <c r="AA693" s="157" t="e">
        <f t="shared" si="79"/>
        <v>#DIV/0!</v>
      </c>
    </row>
    <row r="694" spans="14:27" ht="15">
      <c r="N694" s="194"/>
      <c r="O694" s="195"/>
      <c r="V694" s="196" t="str">
        <f t="shared" si="74"/>
        <v/>
      </c>
      <c r="W694" s="197" t="str">
        <f t="shared" si="75"/>
        <v/>
      </c>
      <c r="X694" s="197" t="str">
        <f t="shared" si="76"/>
        <v/>
      </c>
      <c r="Y694" s="197" t="str">
        <f t="shared" si="77"/>
        <v/>
      </c>
      <c r="Z694" s="157" t="e">
        <f t="shared" si="78"/>
        <v>#DIV/0!</v>
      </c>
      <c r="AA694" s="157" t="e">
        <f t="shared" si="79"/>
        <v>#DIV/0!</v>
      </c>
    </row>
    <row r="695" spans="14:27" ht="15">
      <c r="N695" s="194"/>
      <c r="O695" s="195"/>
      <c r="V695" s="196" t="str">
        <f t="shared" si="74"/>
        <v/>
      </c>
      <c r="W695" s="197" t="str">
        <f t="shared" si="75"/>
        <v/>
      </c>
      <c r="X695" s="197" t="str">
        <f t="shared" si="76"/>
        <v/>
      </c>
      <c r="Y695" s="197" t="str">
        <f t="shared" si="77"/>
        <v/>
      </c>
      <c r="Z695" s="157" t="e">
        <f t="shared" si="78"/>
        <v>#DIV/0!</v>
      </c>
      <c r="AA695" s="157" t="e">
        <f t="shared" si="79"/>
        <v>#DIV/0!</v>
      </c>
    </row>
    <row r="696" spans="14:27" ht="15">
      <c r="N696" s="194"/>
      <c r="O696" s="195"/>
      <c r="V696" s="196" t="str">
        <f t="shared" si="74"/>
        <v/>
      </c>
      <c r="W696" s="197" t="str">
        <f t="shared" si="75"/>
        <v/>
      </c>
      <c r="X696" s="197" t="str">
        <f t="shared" si="76"/>
        <v/>
      </c>
      <c r="Y696" s="197" t="str">
        <f t="shared" si="77"/>
        <v/>
      </c>
      <c r="Z696" s="157" t="e">
        <f t="shared" si="78"/>
        <v>#DIV/0!</v>
      </c>
      <c r="AA696" s="157" t="e">
        <f t="shared" si="79"/>
        <v>#DIV/0!</v>
      </c>
    </row>
    <row r="697" spans="14:27" ht="15">
      <c r="N697" s="194"/>
      <c r="O697" s="195"/>
      <c r="V697" s="196" t="str">
        <f t="shared" si="74"/>
        <v/>
      </c>
      <c r="W697" s="197" t="str">
        <f t="shared" si="75"/>
        <v/>
      </c>
      <c r="X697" s="197" t="str">
        <f t="shared" si="76"/>
        <v/>
      </c>
      <c r="Y697" s="197" t="str">
        <f t="shared" si="77"/>
        <v/>
      </c>
      <c r="Z697" s="157" t="e">
        <f t="shared" si="78"/>
        <v>#DIV/0!</v>
      </c>
      <c r="AA697" s="157" t="e">
        <f t="shared" si="79"/>
        <v>#DIV/0!</v>
      </c>
    </row>
    <row r="698" spans="14:27" ht="15">
      <c r="N698" s="194"/>
      <c r="O698" s="195"/>
      <c r="V698" s="196" t="str">
        <f t="shared" si="74"/>
        <v/>
      </c>
      <c r="W698" s="197" t="str">
        <f t="shared" si="75"/>
        <v/>
      </c>
      <c r="X698" s="197" t="str">
        <f t="shared" si="76"/>
        <v/>
      </c>
      <c r="Y698" s="197" t="str">
        <f t="shared" si="77"/>
        <v/>
      </c>
      <c r="Z698" s="157" t="e">
        <f t="shared" si="78"/>
        <v>#DIV/0!</v>
      </c>
      <c r="AA698" s="157" t="e">
        <f t="shared" si="79"/>
        <v>#DIV/0!</v>
      </c>
    </row>
    <row r="699" spans="14:27" ht="15">
      <c r="N699" s="194"/>
      <c r="O699" s="195"/>
      <c r="V699" s="196" t="str">
        <f t="shared" si="74"/>
        <v/>
      </c>
      <c r="W699" s="197" t="str">
        <f t="shared" si="75"/>
        <v/>
      </c>
      <c r="X699" s="197" t="str">
        <f t="shared" si="76"/>
        <v/>
      </c>
      <c r="Y699" s="197" t="str">
        <f t="shared" si="77"/>
        <v/>
      </c>
      <c r="Z699" s="157" t="e">
        <f t="shared" si="78"/>
        <v>#DIV/0!</v>
      </c>
      <c r="AA699" s="157" t="e">
        <f t="shared" si="79"/>
        <v>#DIV/0!</v>
      </c>
    </row>
    <row r="700" spans="14:27" ht="15">
      <c r="N700" s="194"/>
      <c r="O700" s="195"/>
      <c r="V700" s="196" t="str">
        <f t="shared" si="74"/>
        <v/>
      </c>
      <c r="W700" s="197" t="str">
        <f t="shared" si="75"/>
        <v/>
      </c>
      <c r="X700" s="197" t="str">
        <f t="shared" si="76"/>
        <v/>
      </c>
      <c r="Y700" s="197" t="str">
        <f t="shared" si="77"/>
        <v/>
      </c>
      <c r="Z700" s="157" t="e">
        <f t="shared" si="78"/>
        <v>#DIV/0!</v>
      </c>
      <c r="AA700" s="157" t="e">
        <f t="shared" si="79"/>
        <v>#DIV/0!</v>
      </c>
    </row>
    <row r="701" spans="14:27" ht="15">
      <c r="N701" s="194"/>
      <c r="O701" s="195"/>
      <c r="V701" s="196" t="str">
        <f t="shared" si="74"/>
        <v/>
      </c>
      <c r="W701" s="197" t="str">
        <f t="shared" si="75"/>
        <v/>
      </c>
      <c r="X701" s="197" t="str">
        <f t="shared" si="76"/>
        <v/>
      </c>
      <c r="Y701" s="197" t="str">
        <f t="shared" si="77"/>
        <v/>
      </c>
      <c r="Z701" s="157" t="e">
        <f t="shared" si="78"/>
        <v>#DIV/0!</v>
      </c>
      <c r="AA701" s="157" t="e">
        <f t="shared" si="79"/>
        <v>#DIV/0!</v>
      </c>
    </row>
    <row r="702" spans="14:27" ht="15">
      <c r="N702" s="194"/>
      <c r="O702" s="195"/>
      <c r="V702" s="196" t="str">
        <f t="shared" si="74"/>
        <v/>
      </c>
      <c r="W702" s="197" t="str">
        <f t="shared" si="75"/>
        <v/>
      </c>
      <c r="X702" s="197" t="str">
        <f t="shared" si="76"/>
        <v/>
      </c>
      <c r="Y702" s="197" t="str">
        <f t="shared" si="77"/>
        <v/>
      </c>
      <c r="Z702" s="157" t="e">
        <f t="shared" si="78"/>
        <v>#DIV/0!</v>
      </c>
      <c r="AA702" s="157" t="e">
        <f t="shared" si="79"/>
        <v>#DIV/0!</v>
      </c>
    </row>
    <row r="703" spans="14:27" ht="15">
      <c r="N703" s="194"/>
      <c r="O703" s="195"/>
      <c r="V703" s="196" t="str">
        <f t="shared" si="74"/>
        <v/>
      </c>
      <c r="W703" s="197" t="str">
        <f t="shared" si="75"/>
        <v/>
      </c>
      <c r="X703" s="197" t="str">
        <f t="shared" si="76"/>
        <v/>
      </c>
      <c r="Y703" s="197" t="str">
        <f t="shared" si="77"/>
        <v/>
      </c>
      <c r="Z703" s="157" t="e">
        <f t="shared" si="78"/>
        <v>#DIV/0!</v>
      </c>
      <c r="AA703" s="157" t="e">
        <f t="shared" si="79"/>
        <v>#DIV/0!</v>
      </c>
    </row>
    <row r="704" spans="14:27" ht="15">
      <c r="N704" s="194"/>
      <c r="O704" s="195"/>
      <c r="V704" s="196" t="str">
        <f t="shared" si="74"/>
        <v/>
      </c>
      <c r="W704" s="197" t="str">
        <f t="shared" si="75"/>
        <v/>
      </c>
      <c r="X704" s="197" t="str">
        <f t="shared" si="76"/>
        <v/>
      </c>
      <c r="Y704" s="197" t="str">
        <f t="shared" si="77"/>
        <v/>
      </c>
      <c r="Z704" s="157" t="e">
        <f t="shared" si="78"/>
        <v>#DIV/0!</v>
      </c>
      <c r="AA704" s="157" t="e">
        <f t="shared" si="79"/>
        <v>#DIV/0!</v>
      </c>
    </row>
    <row r="705" spans="14:27" ht="15">
      <c r="N705" s="194"/>
      <c r="O705" s="195"/>
      <c r="V705" s="196" t="str">
        <f t="shared" si="74"/>
        <v/>
      </c>
      <c r="W705" s="197" t="str">
        <f t="shared" si="75"/>
        <v/>
      </c>
      <c r="X705" s="197" t="str">
        <f t="shared" si="76"/>
        <v/>
      </c>
      <c r="Y705" s="197" t="str">
        <f t="shared" si="77"/>
        <v/>
      </c>
      <c r="Z705" s="157" t="e">
        <f t="shared" si="78"/>
        <v>#DIV/0!</v>
      </c>
      <c r="AA705" s="157" t="e">
        <f t="shared" si="79"/>
        <v>#DIV/0!</v>
      </c>
    </row>
    <row r="706" spans="14:27" ht="15">
      <c r="N706" s="194"/>
      <c r="O706" s="195"/>
      <c r="V706" s="196" t="str">
        <f t="shared" si="74"/>
        <v/>
      </c>
      <c r="W706" s="197" t="str">
        <f t="shared" si="75"/>
        <v/>
      </c>
      <c r="X706" s="197" t="str">
        <f t="shared" si="76"/>
        <v/>
      </c>
      <c r="Y706" s="197" t="str">
        <f t="shared" si="77"/>
        <v/>
      </c>
      <c r="Z706" s="157" t="e">
        <f t="shared" si="78"/>
        <v>#DIV/0!</v>
      </c>
      <c r="AA706" s="157" t="e">
        <f t="shared" si="79"/>
        <v>#DIV/0!</v>
      </c>
    </row>
    <row r="707" spans="14:27" ht="15">
      <c r="N707" s="194"/>
      <c r="O707" s="195"/>
      <c r="V707" s="196" t="str">
        <f t="shared" si="74"/>
        <v/>
      </c>
      <c r="W707" s="197" t="str">
        <f t="shared" si="75"/>
        <v/>
      </c>
      <c r="X707" s="197" t="str">
        <f t="shared" si="76"/>
        <v/>
      </c>
      <c r="Y707" s="197" t="str">
        <f t="shared" si="77"/>
        <v/>
      </c>
      <c r="Z707" s="157" t="e">
        <f t="shared" si="78"/>
        <v>#DIV/0!</v>
      </c>
      <c r="AA707" s="157" t="e">
        <f t="shared" si="79"/>
        <v>#DIV/0!</v>
      </c>
    </row>
    <row r="708" spans="14:27" ht="15">
      <c r="N708" s="194"/>
      <c r="O708" s="195"/>
      <c r="V708" s="196" t="str">
        <f t="shared" si="74"/>
        <v/>
      </c>
      <c r="W708" s="197" t="str">
        <f t="shared" si="75"/>
        <v/>
      </c>
      <c r="X708" s="197" t="str">
        <f t="shared" si="76"/>
        <v/>
      </c>
      <c r="Y708" s="197" t="str">
        <f t="shared" si="77"/>
        <v/>
      </c>
      <c r="Z708" s="157" t="e">
        <f t="shared" si="78"/>
        <v>#DIV/0!</v>
      </c>
      <c r="AA708" s="157" t="e">
        <f t="shared" si="79"/>
        <v>#DIV/0!</v>
      </c>
    </row>
    <row r="709" spans="14:27" ht="15">
      <c r="N709" s="194"/>
      <c r="O709" s="195"/>
      <c r="V709" s="196" t="str">
        <f t="shared" si="74"/>
        <v/>
      </c>
      <c r="W709" s="197" t="str">
        <f t="shared" si="75"/>
        <v/>
      </c>
      <c r="X709" s="197" t="str">
        <f t="shared" si="76"/>
        <v/>
      </c>
      <c r="Y709" s="197" t="str">
        <f t="shared" si="77"/>
        <v/>
      </c>
      <c r="Z709" s="157" t="e">
        <f t="shared" si="78"/>
        <v>#DIV/0!</v>
      </c>
      <c r="AA709" s="157" t="e">
        <f t="shared" si="79"/>
        <v>#DIV/0!</v>
      </c>
    </row>
    <row r="710" spans="14:27" ht="15">
      <c r="N710" s="194"/>
      <c r="O710" s="195"/>
      <c r="V710" s="196" t="str">
        <f t="shared" si="74"/>
        <v/>
      </c>
      <c r="W710" s="197" t="str">
        <f t="shared" si="75"/>
        <v/>
      </c>
      <c r="X710" s="197" t="str">
        <f t="shared" si="76"/>
        <v/>
      </c>
      <c r="Y710" s="197" t="str">
        <f t="shared" si="77"/>
        <v/>
      </c>
      <c r="Z710" s="157" t="e">
        <f t="shared" si="78"/>
        <v>#DIV/0!</v>
      </c>
      <c r="AA710" s="157" t="e">
        <f t="shared" si="79"/>
        <v>#DIV/0!</v>
      </c>
    </row>
    <row r="711" spans="14:27" ht="15">
      <c r="N711" s="194"/>
      <c r="O711" s="195"/>
      <c r="V711" s="196" t="str">
        <f t="shared" si="74"/>
        <v/>
      </c>
      <c r="W711" s="197" t="str">
        <f t="shared" si="75"/>
        <v/>
      </c>
      <c r="X711" s="197" t="str">
        <f t="shared" si="76"/>
        <v/>
      </c>
      <c r="Y711" s="197" t="str">
        <f t="shared" si="77"/>
        <v/>
      </c>
      <c r="Z711" s="157" t="e">
        <f t="shared" si="78"/>
        <v>#DIV/0!</v>
      </c>
      <c r="AA711" s="157" t="e">
        <f t="shared" si="79"/>
        <v>#DIV/0!</v>
      </c>
    </row>
    <row r="712" spans="14:27" ht="15">
      <c r="N712" s="194"/>
      <c r="O712" s="195"/>
      <c r="V712" s="196" t="str">
        <f t="shared" si="74"/>
        <v/>
      </c>
      <c r="W712" s="197" t="str">
        <f t="shared" si="75"/>
        <v/>
      </c>
      <c r="X712" s="197" t="str">
        <f t="shared" si="76"/>
        <v/>
      </c>
      <c r="Y712" s="197" t="str">
        <f t="shared" si="77"/>
        <v/>
      </c>
      <c r="Z712" s="157" t="e">
        <f t="shared" si="78"/>
        <v>#DIV/0!</v>
      </c>
      <c r="AA712" s="157" t="e">
        <f t="shared" si="79"/>
        <v>#DIV/0!</v>
      </c>
    </row>
    <row r="713" spans="14:27" ht="15">
      <c r="N713" s="194"/>
      <c r="O713" s="195"/>
      <c r="V713" s="196" t="str">
        <f t="shared" si="74"/>
        <v/>
      </c>
      <c r="W713" s="197" t="str">
        <f t="shared" si="75"/>
        <v/>
      </c>
      <c r="X713" s="197" t="str">
        <f t="shared" si="76"/>
        <v/>
      </c>
      <c r="Y713" s="197" t="str">
        <f t="shared" si="77"/>
        <v/>
      </c>
      <c r="Z713" s="157" t="e">
        <f t="shared" si="78"/>
        <v>#DIV/0!</v>
      </c>
      <c r="AA713" s="157" t="e">
        <f t="shared" si="79"/>
        <v>#DIV/0!</v>
      </c>
    </row>
    <row r="714" spans="14:27" ht="15">
      <c r="N714" s="194"/>
      <c r="O714" s="195"/>
      <c r="V714" s="196" t="str">
        <f t="shared" si="74"/>
        <v/>
      </c>
      <c r="W714" s="197" t="str">
        <f t="shared" si="75"/>
        <v/>
      </c>
      <c r="X714" s="197" t="str">
        <f t="shared" si="76"/>
        <v/>
      </c>
      <c r="Y714" s="197" t="str">
        <f t="shared" si="77"/>
        <v/>
      </c>
      <c r="Z714" s="157" t="e">
        <f t="shared" si="78"/>
        <v>#DIV/0!</v>
      </c>
      <c r="AA714" s="157" t="e">
        <f t="shared" si="79"/>
        <v>#DIV/0!</v>
      </c>
    </row>
    <row r="715" spans="14:27" ht="15">
      <c r="N715" s="194"/>
      <c r="O715" s="195"/>
      <c r="V715" s="196" t="str">
        <f t="shared" si="74"/>
        <v/>
      </c>
      <c r="W715" s="197" t="str">
        <f t="shared" si="75"/>
        <v/>
      </c>
      <c r="X715" s="197" t="str">
        <f t="shared" si="76"/>
        <v/>
      </c>
      <c r="Y715" s="197" t="str">
        <f t="shared" si="77"/>
        <v/>
      </c>
      <c r="Z715" s="157" t="e">
        <f t="shared" si="78"/>
        <v>#DIV/0!</v>
      </c>
      <c r="AA715" s="157" t="e">
        <f t="shared" si="79"/>
        <v>#DIV/0!</v>
      </c>
    </row>
    <row r="716" spans="14:27" ht="15">
      <c r="N716" s="194"/>
      <c r="O716" s="195"/>
      <c r="V716" s="196" t="str">
        <f t="shared" si="74"/>
        <v/>
      </c>
      <c r="W716" s="197" t="str">
        <f t="shared" si="75"/>
        <v/>
      </c>
      <c r="X716" s="197" t="str">
        <f t="shared" si="76"/>
        <v/>
      </c>
      <c r="Y716" s="197" t="str">
        <f t="shared" si="77"/>
        <v/>
      </c>
      <c r="Z716" s="157" t="e">
        <f t="shared" si="78"/>
        <v>#DIV/0!</v>
      </c>
      <c r="AA716" s="157" t="e">
        <f t="shared" si="79"/>
        <v>#DIV/0!</v>
      </c>
    </row>
    <row r="717" spans="14:27" ht="15">
      <c r="N717" s="194"/>
      <c r="O717" s="195"/>
      <c r="V717" s="196" t="str">
        <f t="shared" si="74"/>
        <v/>
      </c>
      <c r="W717" s="197" t="str">
        <f t="shared" si="75"/>
        <v/>
      </c>
      <c r="X717" s="197" t="str">
        <f t="shared" si="76"/>
        <v/>
      </c>
      <c r="Y717" s="197" t="str">
        <f t="shared" si="77"/>
        <v/>
      </c>
      <c r="Z717" s="157" t="e">
        <f t="shared" si="78"/>
        <v>#DIV/0!</v>
      </c>
      <c r="AA717" s="157" t="e">
        <f t="shared" si="79"/>
        <v>#DIV/0!</v>
      </c>
    </row>
    <row r="718" spans="14:27" ht="15">
      <c r="N718" s="194"/>
      <c r="O718" s="195"/>
      <c r="V718" s="196" t="str">
        <f t="shared" si="74"/>
        <v/>
      </c>
      <c r="W718" s="197" t="str">
        <f t="shared" si="75"/>
        <v/>
      </c>
      <c r="X718" s="197" t="str">
        <f t="shared" si="76"/>
        <v/>
      </c>
      <c r="Y718" s="197" t="str">
        <f t="shared" si="77"/>
        <v/>
      </c>
      <c r="Z718" s="157" t="e">
        <f t="shared" si="78"/>
        <v>#DIV/0!</v>
      </c>
      <c r="AA718" s="157" t="e">
        <f t="shared" si="79"/>
        <v>#DIV/0!</v>
      </c>
    </row>
    <row r="719" spans="14:27" ht="15">
      <c r="N719" s="194"/>
      <c r="O719" s="195"/>
      <c r="V719" s="196" t="str">
        <f t="shared" si="74"/>
        <v/>
      </c>
      <c r="W719" s="197" t="str">
        <f t="shared" si="75"/>
        <v/>
      </c>
      <c r="X719" s="197" t="str">
        <f t="shared" si="76"/>
        <v/>
      </c>
      <c r="Y719" s="197" t="str">
        <f t="shared" si="77"/>
        <v/>
      </c>
      <c r="Z719" s="157" t="e">
        <f t="shared" si="78"/>
        <v>#DIV/0!</v>
      </c>
      <c r="AA719" s="157" t="e">
        <f t="shared" si="79"/>
        <v>#DIV/0!</v>
      </c>
    </row>
    <row r="720" spans="14:27" ht="15">
      <c r="N720" s="194"/>
      <c r="O720" s="195"/>
      <c r="V720" s="196" t="str">
        <f t="shared" si="74"/>
        <v/>
      </c>
      <c r="W720" s="197" t="str">
        <f t="shared" si="75"/>
        <v/>
      </c>
      <c r="X720" s="197" t="str">
        <f t="shared" si="76"/>
        <v/>
      </c>
      <c r="Y720" s="197" t="str">
        <f t="shared" si="77"/>
        <v/>
      </c>
      <c r="Z720" s="157" t="e">
        <f t="shared" si="78"/>
        <v>#DIV/0!</v>
      </c>
      <c r="AA720" s="157" t="e">
        <f t="shared" si="79"/>
        <v>#DIV/0!</v>
      </c>
    </row>
    <row r="721" spans="14:27" ht="15">
      <c r="N721" s="194"/>
      <c r="O721" s="195"/>
      <c r="V721" s="196" t="str">
        <f t="shared" si="74"/>
        <v/>
      </c>
      <c r="W721" s="197" t="str">
        <f t="shared" si="75"/>
        <v/>
      </c>
      <c r="X721" s="197" t="str">
        <f t="shared" si="76"/>
        <v/>
      </c>
      <c r="Y721" s="197" t="str">
        <f t="shared" si="77"/>
        <v/>
      </c>
      <c r="Z721" s="157" t="e">
        <f t="shared" si="78"/>
        <v>#DIV/0!</v>
      </c>
      <c r="AA721" s="157" t="e">
        <f t="shared" si="79"/>
        <v>#DIV/0!</v>
      </c>
    </row>
    <row r="722" spans="14:27" ht="15">
      <c r="N722" s="194"/>
      <c r="O722" s="195"/>
      <c r="V722" s="196" t="str">
        <f t="shared" si="74"/>
        <v/>
      </c>
      <c r="W722" s="197" t="str">
        <f t="shared" si="75"/>
        <v/>
      </c>
      <c r="X722" s="197" t="str">
        <f t="shared" si="76"/>
        <v/>
      </c>
      <c r="Y722" s="197" t="str">
        <f t="shared" si="77"/>
        <v/>
      </c>
      <c r="Z722" s="157" t="e">
        <f t="shared" si="78"/>
        <v>#DIV/0!</v>
      </c>
      <c r="AA722" s="157" t="e">
        <f t="shared" si="79"/>
        <v>#DIV/0!</v>
      </c>
    </row>
    <row r="723" spans="14:27" ht="15">
      <c r="N723" s="194"/>
      <c r="O723" s="195"/>
      <c r="V723" s="196" t="str">
        <f t="shared" si="74"/>
        <v/>
      </c>
      <c r="W723" s="197" t="str">
        <f t="shared" si="75"/>
        <v/>
      </c>
      <c r="X723" s="197" t="str">
        <f t="shared" si="76"/>
        <v/>
      </c>
      <c r="Y723" s="197" t="str">
        <f t="shared" si="77"/>
        <v/>
      </c>
      <c r="Z723" s="157" t="e">
        <f t="shared" si="78"/>
        <v>#DIV/0!</v>
      </c>
      <c r="AA723" s="157" t="e">
        <f t="shared" si="79"/>
        <v>#DIV/0!</v>
      </c>
    </row>
    <row r="724" spans="14:27" ht="15">
      <c r="N724" s="194"/>
      <c r="O724" s="195"/>
      <c r="V724" s="196" t="str">
        <f t="shared" si="74"/>
        <v/>
      </c>
      <c r="W724" s="197" t="str">
        <f t="shared" si="75"/>
        <v/>
      </c>
      <c r="X724" s="197" t="str">
        <f t="shared" si="76"/>
        <v/>
      </c>
      <c r="Y724" s="197" t="str">
        <f t="shared" si="77"/>
        <v/>
      </c>
      <c r="Z724" s="157" t="e">
        <f t="shared" si="78"/>
        <v>#DIV/0!</v>
      </c>
      <c r="AA724" s="157" t="e">
        <f t="shared" si="79"/>
        <v>#DIV/0!</v>
      </c>
    </row>
    <row r="725" spans="14:27" ht="15">
      <c r="N725" s="194"/>
      <c r="O725" s="195"/>
      <c r="V725" s="196" t="str">
        <f t="shared" ref="V725:V788" si="80">IFERROR(IF(AND(1/L725&gt;$V$19,1/L725&lt;=$W$19),1/L725,0),"")</f>
        <v/>
      </c>
      <c r="W725" s="197" t="str">
        <f t="shared" ref="W725:W788" si="81">IFERROR(IF(AND(1/L725&gt;$W$19,1/L725&lt;=$X$19),1/L725,0),"")</f>
        <v/>
      </c>
      <c r="X725" s="197" t="str">
        <f t="shared" ref="X725:X788" si="82">IFERROR(IF(AND(1/L725&gt;$X$19,1/L725&lt;=$Y$19),1/L725,0),"")</f>
        <v/>
      </c>
      <c r="Y725" s="197" t="str">
        <f t="shared" ref="Y725:Y788" si="83">IFERROR(IF(1/L725&gt;$Y$19,1/L725,0),"")</f>
        <v/>
      </c>
      <c r="Z725" s="157" t="e">
        <f t="shared" ref="Z725:Z788" si="84">IF(N725&lt;&gt;"",(N725-$N$17)/1000,1/0)</f>
        <v>#DIV/0!</v>
      </c>
      <c r="AA725" s="157" t="e">
        <f t="shared" ref="AA725:AA788" si="85">IF(O725&lt;&gt;"",(O725-$O$17)/1000,1/0)</f>
        <v>#DIV/0!</v>
      </c>
    </row>
    <row r="726" spans="14:27" ht="15">
      <c r="N726" s="194"/>
      <c r="O726" s="195"/>
      <c r="V726" s="196" t="str">
        <f t="shared" si="80"/>
        <v/>
      </c>
      <c r="W726" s="197" t="str">
        <f t="shared" si="81"/>
        <v/>
      </c>
      <c r="X726" s="197" t="str">
        <f t="shared" si="82"/>
        <v/>
      </c>
      <c r="Y726" s="197" t="str">
        <f t="shared" si="83"/>
        <v/>
      </c>
      <c r="Z726" s="157" t="e">
        <f t="shared" si="84"/>
        <v>#DIV/0!</v>
      </c>
      <c r="AA726" s="157" t="e">
        <f t="shared" si="85"/>
        <v>#DIV/0!</v>
      </c>
    </row>
    <row r="727" spans="14:27" ht="15">
      <c r="N727" s="194"/>
      <c r="O727" s="195"/>
      <c r="V727" s="196" t="str">
        <f t="shared" si="80"/>
        <v/>
      </c>
      <c r="W727" s="197" t="str">
        <f t="shared" si="81"/>
        <v/>
      </c>
      <c r="X727" s="197" t="str">
        <f t="shared" si="82"/>
        <v/>
      </c>
      <c r="Y727" s="197" t="str">
        <f t="shared" si="83"/>
        <v/>
      </c>
      <c r="Z727" s="157" t="e">
        <f t="shared" si="84"/>
        <v>#DIV/0!</v>
      </c>
      <c r="AA727" s="157" t="e">
        <f t="shared" si="85"/>
        <v>#DIV/0!</v>
      </c>
    </row>
    <row r="728" spans="14:27" ht="15">
      <c r="N728" s="194"/>
      <c r="O728" s="195"/>
      <c r="V728" s="196" t="str">
        <f t="shared" si="80"/>
        <v/>
      </c>
      <c r="W728" s="197" t="str">
        <f t="shared" si="81"/>
        <v/>
      </c>
      <c r="X728" s="197" t="str">
        <f t="shared" si="82"/>
        <v/>
      </c>
      <c r="Y728" s="197" t="str">
        <f t="shared" si="83"/>
        <v/>
      </c>
      <c r="Z728" s="157" t="e">
        <f t="shared" si="84"/>
        <v>#DIV/0!</v>
      </c>
      <c r="AA728" s="157" t="e">
        <f t="shared" si="85"/>
        <v>#DIV/0!</v>
      </c>
    </row>
    <row r="729" spans="14:27" ht="15">
      <c r="N729" s="194"/>
      <c r="O729" s="195"/>
      <c r="V729" s="196" t="str">
        <f t="shared" si="80"/>
        <v/>
      </c>
      <c r="W729" s="197" t="str">
        <f t="shared" si="81"/>
        <v/>
      </c>
      <c r="X729" s="197" t="str">
        <f t="shared" si="82"/>
        <v/>
      </c>
      <c r="Y729" s="197" t="str">
        <f t="shared" si="83"/>
        <v/>
      </c>
      <c r="Z729" s="157" t="e">
        <f t="shared" si="84"/>
        <v>#DIV/0!</v>
      </c>
      <c r="AA729" s="157" t="e">
        <f t="shared" si="85"/>
        <v>#DIV/0!</v>
      </c>
    </row>
    <row r="730" spans="14:27" ht="15">
      <c r="N730" s="194"/>
      <c r="O730" s="195"/>
      <c r="V730" s="196" t="str">
        <f t="shared" si="80"/>
        <v/>
      </c>
      <c r="W730" s="197" t="str">
        <f t="shared" si="81"/>
        <v/>
      </c>
      <c r="X730" s="197" t="str">
        <f t="shared" si="82"/>
        <v/>
      </c>
      <c r="Y730" s="197" t="str">
        <f t="shared" si="83"/>
        <v/>
      </c>
      <c r="Z730" s="157" t="e">
        <f t="shared" si="84"/>
        <v>#DIV/0!</v>
      </c>
      <c r="AA730" s="157" t="e">
        <f t="shared" si="85"/>
        <v>#DIV/0!</v>
      </c>
    </row>
    <row r="731" spans="14:27" ht="15">
      <c r="N731" s="194"/>
      <c r="O731" s="195"/>
      <c r="V731" s="196" t="str">
        <f t="shared" si="80"/>
        <v/>
      </c>
      <c r="W731" s="197" t="str">
        <f t="shared" si="81"/>
        <v/>
      </c>
      <c r="X731" s="197" t="str">
        <f t="shared" si="82"/>
        <v/>
      </c>
      <c r="Y731" s="197" t="str">
        <f t="shared" si="83"/>
        <v/>
      </c>
      <c r="Z731" s="157" t="e">
        <f t="shared" si="84"/>
        <v>#DIV/0!</v>
      </c>
      <c r="AA731" s="157" t="e">
        <f t="shared" si="85"/>
        <v>#DIV/0!</v>
      </c>
    </row>
    <row r="732" spans="14:27" ht="15">
      <c r="N732" s="194"/>
      <c r="O732" s="195"/>
      <c r="V732" s="196" t="str">
        <f t="shared" si="80"/>
        <v/>
      </c>
      <c r="W732" s="197" t="str">
        <f t="shared" si="81"/>
        <v/>
      </c>
      <c r="X732" s="197" t="str">
        <f t="shared" si="82"/>
        <v/>
      </c>
      <c r="Y732" s="197" t="str">
        <f t="shared" si="83"/>
        <v/>
      </c>
      <c r="Z732" s="157" t="e">
        <f t="shared" si="84"/>
        <v>#DIV/0!</v>
      </c>
      <c r="AA732" s="157" t="e">
        <f t="shared" si="85"/>
        <v>#DIV/0!</v>
      </c>
    </row>
    <row r="733" spans="14:27" ht="15">
      <c r="N733" s="194"/>
      <c r="O733" s="195"/>
      <c r="V733" s="196" t="str">
        <f t="shared" si="80"/>
        <v/>
      </c>
      <c r="W733" s="197" t="str">
        <f t="shared" si="81"/>
        <v/>
      </c>
      <c r="X733" s="197" t="str">
        <f t="shared" si="82"/>
        <v/>
      </c>
      <c r="Y733" s="197" t="str">
        <f t="shared" si="83"/>
        <v/>
      </c>
      <c r="Z733" s="157" t="e">
        <f t="shared" si="84"/>
        <v>#DIV/0!</v>
      </c>
      <c r="AA733" s="157" t="e">
        <f t="shared" si="85"/>
        <v>#DIV/0!</v>
      </c>
    </row>
    <row r="734" spans="14:27" ht="15">
      <c r="N734" s="194"/>
      <c r="O734" s="195"/>
      <c r="V734" s="196" t="str">
        <f t="shared" si="80"/>
        <v/>
      </c>
      <c r="W734" s="197" t="str">
        <f t="shared" si="81"/>
        <v/>
      </c>
      <c r="X734" s="197" t="str">
        <f t="shared" si="82"/>
        <v/>
      </c>
      <c r="Y734" s="197" t="str">
        <f t="shared" si="83"/>
        <v/>
      </c>
      <c r="Z734" s="157" t="e">
        <f t="shared" si="84"/>
        <v>#DIV/0!</v>
      </c>
      <c r="AA734" s="157" t="e">
        <f t="shared" si="85"/>
        <v>#DIV/0!</v>
      </c>
    </row>
    <row r="735" spans="14:27" ht="15">
      <c r="N735" s="194"/>
      <c r="O735" s="195"/>
      <c r="V735" s="196" t="str">
        <f t="shared" si="80"/>
        <v/>
      </c>
      <c r="W735" s="197" t="str">
        <f t="shared" si="81"/>
        <v/>
      </c>
      <c r="X735" s="197" t="str">
        <f t="shared" si="82"/>
        <v/>
      </c>
      <c r="Y735" s="197" t="str">
        <f t="shared" si="83"/>
        <v/>
      </c>
      <c r="Z735" s="157" t="e">
        <f t="shared" si="84"/>
        <v>#DIV/0!</v>
      </c>
      <c r="AA735" s="157" t="e">
        <f t="shared" si="85"/>
        <v>#DIV/0!</v>
      </c>
    </row>
    <row r="736" spans="14:27" ht="15">
      <c r="N736" s="194"/>
      <c r="O736" s="195"/>
      <c r="V736" s="196" t="str">
        <f t="shared" si="80"/>
        <v/>
      </c>
      <c r="W736" s="197" t="str">
        <f t="shared" si="81"/>
        <v/>
      </c>
      <c r="X736" s="197" t="str">
        <f t="shared" si="82"/>
        <v/>
      </c>
      <c r="Y736" s="197" t="str">
        <f t="shared" si="83"/>
        <v/>
      </c>
      <c r="Z736" s="157" t="e">
        <f t="shared" si="84"/>
        <v>#DIV/0!</v>
      </c>
      <c r="AA736" s="157" t="e">
        <f t="shared" si="85"/>
        <v>#DIV/0!</v>
      </c>
    </row>
    <row r="737" spans="14:27" ht="15">
      <c r="N737" s="194"/>
      <c r="O737" s="195"/>
      <c r="V737" s="196" t="str">
        <f t="shared" si="80"/>
        <v/>
      </c>
      <c r="W737" s="197" t="str">
        <f t="shared" si="81"/>
        <v/>
      </c>
      <c r="X737" s="197" t="str">
        <f t="shared" si="82"/>
        <v/>
      </c>
      <c r="Y737" s="197" t="str">
        <f t="shared" si="83"/>
        <v/>
      </c>
      <c r="Z737" s="157" t="e">
        <f t="shared" si="84"/>
        <v>#DIV/0!</v>
      </c>
      <c r="AA737" s="157" t="e">
        <f t="shared" si="85"/>
        <v>#DIV/0!</v>
      </c>
    </row>
    <row r="738" spans="14:27" ht="15">
      <c r="N738" s="194"/>
      <c r="O738" s="195"/>
      <c r="V738" s="196" t="str">
        <f t="shared" si="80"/>
        <v/>
      </c>
      <c r="W738" s="197" t="str">
        <f t="shared" si="81"/>
        <v/>
      </c>
      <c r="X738" s="197" t="str">
        <f t="shared" si="82"/>
        <v/>
      </c>
      <c r="Y738" s="197" t="str">
        <f t="shared" si="83"/>
        <v/>
      </c>
      <c r="Z738" s="157" t="e">
        <f t="shared" si="84"/>
        <v>#DIV/0!</v>
      </c>
      <c r="AA738" s="157" t="e">
        <f t="shared" si="85"/>
        <v>#DIV/0!</v>
      </c>
    </row>
    <row r="739" spans="14:27" ht="15">
      <c r="N739" s="194"/>
      <c r="O739" s="195"/>
      <c r="V739" s="196" t="str">
        <f t="shared" si="80"/>
        <v/>
      </c>
      <c r="W739" s="197" t="str">
        <f t="shared" si="81"/>
        <v/>
      </c>
      <c r="X739" s="197" t="str">
        <f t="shared" si="82"/>
        <v/>
      </c>
      <c r="Y739" s="197" t="str">
        <f t="shared" si="83"/>
        <v/>
      </c>
      <c r="Z739" s="157" t="e">
        <f t="shared" si="84"/>
        <v>#DIV/0!</v>
      </c>
      <c r="AA739" s="157" t="e">
        <f t="shared" si="85"/>
        <v>#DIV/0!</v>
      </c>
    </row>
    <row r="740" spans="14:27" ht="15">
      <c r="N740" s="194"/>
      <c r="O740" s="195"/>
      <c r="V740" s="196" t="str">
        <f t="shared" si="80"/>
        <v/>
      </c>
      <c r="W740" s="197" t="str">
        <f t="shared" si="81"/>
        <v/>
      </c>
      <c r="X740" s="197" t="str">
        <f t="shared" si="82"/>
        <v/>
      </c>
      <c r="Y740" s="197" t="str">
        <f t="shared" si="83"/>
        <v/>
      </c>
      <c r="Z740" s="157" t="e">
        <f t="shared" si="84"/>
        <v>#DIV/0!</v>
      </c>
      <c r="AA740" s="157" t="e">
        <f t="shared" si="85"/>
        <v>#DIV/0!</v>
      </c>
    </row>
    <row r="741" spans="14:27" ht="15">
      <c r="N741" s="194"/>
      <c r="O741" s="195"/>
      <c r="V741" s="196" t="str">
        <f t="shared" si="80"/>
        <v/>
      </c>
      <c r="W741" s="197" t="str">
        <f t="shared" si="81"/>
        <v/>
      </c>
      <c r="X741" s="197" t="str">
        <f t="shared" si="82"/>
        <v/>
      </c>
      <c r="Y741" s="197" t="str">
        <f t="shared" si="83"/>
        <v/>
      </c>
      <c r="Z741" s="157" t="e">
        <f t="shared" si="84"/>
        <v>#DIV/0!</v>
      </c>
      <c r="AA741" s="157" t="e">
        <f t="shared" si="85"/>
        <v>#DIV/0!</v>
      </c>
    </row>
    <row r="742" spans="14:27" ht="15">
      <c r="N742" s="194"/>
      <c r="O742" s="195"/>
      <c r="V742" s="196" t="str">
        <f t="shared" si="80"/>
        <v/>
      </c>
      <c r="W742" s="197" t="str">
        <f t="shared" si="81"/>
        <v/>
      </c>
      <c r="X742" s="197" t="str">
        <f t="shared" si="82"/>
        <v/>
      </c>
      <c r="Y742" s="197" t="str">
        <f t="shared" si="83"/>
        <v/>
      </c>
      <c r="Z742" s="157" t="e">
        <f t="shared" si="84"/>
        <v>#DIV/0!</v>
      </c>
      <c r="AA742" s="157" t="e">
        <f t="shared" si="85"/>
        <v>#DIV/0!</v>
      </c>
    </row>
    <row r="743" spans="14:27" ht="15">
      <c r="N743" s="194"/>
      <c r="O743" s="195"/>
      <c r="V743" s="196" t="str">
        <f t="shared" si="80"/>
        <v/>
      </c>
      <c r="W743" s="197" t="str">
        <f t="shared" si="81"/>
        <v/>
      </c>
      <c r="X743" s="197" t="str">
        <f t="shared" si="82"/>
        <v/>
      </c>
      <c r="Y743" s="197" t="str">
        <f t="shared" si="83"/>
        <v/>
      </c>
      <c r="Z743" s="157" t="e">
        <f t="shared" si="84"/>
        <v>#DIV/0!</v>
      </c>
      <c r="AA743" s="157" t="e">
        <f t="shared" si="85"/>
        <v>#DIV/0!</v>
      </c>
    </row>
    <row r="744" spans="14:27" ht="15">
      <c r="N744" s="194"/>
      <c r="O744" s="195"/>
      <c r="V744" s="196" t="str">
        <f t="shared" si="80"/>
        <v/>
      </c>
      <c r="W744" s="197" t="str">
        <f t="shared" si="81"/>
        <v/>
      </c>
      <c r="X744" s="197" t="str">
        <f t="shared" si="82"/>
        <v/>
      </c>
      <c r="Y744" s="197" t="str">
        <f t="shared" si="83"/>
        <v/>
      </c>
      <c r="Z744" s="157" t="e">
        <f t="shared" si="84"/>
        <v>#DIV/0!</v>
      </c>
      <c r="AA744" s="157" t="e">
        <f t="shared" si="85"/>
        <v>#DIV/0!</v>
      </c>
    </row>
    <row r="745" spans="14:27" ht="15">
      <c r="N745" s="194"/>
      <c r="O745" s="195"/>
      <c r="V745" s="196" t="str">
        <f t="shared" si="80"/>
        <v/>
      </c>
      <c r="W745" s="197" t="str">
        <f t="shared" si="81"/>
        <v/>
      </c>
      <c r="X745" s="197" t="str">
        <f t="shared" si="82"/>
        <v/>
      </c>
      <c r="Y745" s="197" t="str">
        <f t="shared" si="83"/>
        <v/>
      </c>
      <c r="Z745" s="157" t="e">
        <f t="shared" si="84"/>
        <v>#DIV/0!</v>
      </c>
      <c r="AA745" s="157" t="e">
        <f t="shared" si="85"/>
        <v>#DIV/0!</v>
      </c>
    </row>
    <row r="746" spans="14:27" ht="15">
      <c r="N746" s="194"/>
      <c r="O746" s="195"/>
      <c r="V746" s="196" t="str">
        <f t="shared" si="80"/>
        <v/>
      </c>
      <c r="W746" s="197" t="str">
        <f t="shared" si="81"/>
        <v/>
      </c>
      <c r="X746" s="197" t="str">
        <f t="shared" si="82"/>
        <v/>
      </c>
      <c r="Y746" s="197" t="str">
        <f t="shared" si="83"/>
        <v/>
      </c>
      <c r="Z746" s="157" t="e">
        <f t="shared" si="84"/>
        <v>#DIV/0!</v>
      </c>
      <c r="AA746" s="157" t="e">
        <f t="shared" si="85"/>
        <v>#DIV/0!</v>
      </c>
    </row>
    <row r="747" spans="14:27" ht="15">
      <c r="N747" s="194"/>
      <c r="O747" s="195"/>
      <c r="V747" s="196" t="str">
        <f t="shared" si="80"/>
        <v/>
      </c>
      <c r="W747" s="197" t="str">
        <f t="shared" si="81"/>
        <v/>
      </c>
      <c r="X747" s="197" t="str">
        <f t="shared" si="82"/>
        <v/>
      </c>
      <c r="Y747" s="197" t="str">
        <f t="shared" si="83"/>
        <v/>
      </c>
      <c r="Z747" s="157" t="e">
        <f t="shared" si="84"/>
        <v>#DIV/0!</v>
      </c>
      <c r="AA747" s="157" t="e">
        <f t="shared" si="85"/>
        <v>#DIV/0!</v>
      </c>
    </row>
    <row r="748" spans="14:27" ht="15">
      <c r="N748" s="194"/>
      <c r="O748" s="195"/>
      <c r="V748" s="196" t="str">
        <f t="shared" si="80"/>
        <v/>
      </c>
      <c r="W748" s="197" t="str">
        <f t="shared" si="81"/>
        <v/>
      </c>
      <c r="X748" s="197" t="str">
        <f t="shared" si="82"/>
        <v/>
      </c>
      <c r="Y748" s="197" t="str">
        <f t="shared" si="83"/>
        <v/>
      </c>
      <c r="Z748" s="157" t="e">
        <f t="shared" si="84"/>
        <v>#DIV/0!</v>
      </c>
      <c r="AA748" s="157" t="e">
        <f t="shared" si="85"/>
        <v>#DIV/0!</v>
      </c>
    </row>
    <row r="749" spans="14:27" ht="15">
      <c r="N749" s="194"/>
      <c r="O749" s="195"/>
      <c r="V749" s="196" t="str">
        <f t="shared" si="80"/>
        <v/>
      </c>
      <c r="W749" s="197" t="str">
        <f t="shared" si="81"/>
        <v/>
      </c>
      <c r="X749" s="197" t="str">
        <f t="shared" si="82"/>
        <v/>
      </c>
      <c r="Y749" s="197" t="str">
        <f t="shared" si="83"/>
        <v/>
      </c>
      <c r="Z749" s="157" t="e">
        <f t="shared" si="84"/>
        <v>#DIV/0!</v>
      </c>
      <c r="AA749" s="157" t="e">
        <f t="shared" si="85"/>
        <v>#DIV/0!</v>
      </c>
    </row>
    <row r="750" spans="14:27" ht="15">
      <c r="N750" s="194"/>
      <c r="O750" s="195"/>
      <c r="V750" s="196" t="str">
        <f t="shared" si="80"/>
        <v/>
      </c>
      <c r="W750" s="197" t="str">
        <f t="shared" si="81"/>
        <v/>
      </c>
      <c r="X750" s="197" t="str">
        <f t="shared" si="82"/>
        <v/>
      </c>
      <c r="Y750" s="197" t="str">
        <f t="shared" si="83"/>
        <v/>
      </c>
      <c r="Z750" s="157" t="e">
        <f t="shared" si="84"/>
        <v>#DIV/0!</v>
      </c>
      <c r="AA750" s="157" t="e">
        <f t="shared" si="85"/>
        <v>#DIV/0!</v>
      </c>
    </row>
    <row r="751" spans="14:27" ht="15">
      <c r="N751" s="194"/>
      <c r="O751" s="195"/>
      <c r="V751" s="196" t="str">
        <f t="shared" si="80"/>
        <v/>
      </c>
      <c r="W751" s="197" t="str">
        <f t="shared" si="81"/>
        <v/>
      </c>
      <c r="X751" s="197" t="str">
        <f t="shared" si="82"/>
        <v/>
      </c>
      <c r="Y751" s="197" t="str">
        <f t="shared" si="83"/>
        <v/>
      </c>
      <c r="Z751" s="157" t="e">
        <f t="shared" si="84"/>
        <v>#DIV/0!</v>
      </c>
      <c r="AA751" s="157" t="e">
        <f t="shared" si="85"/>
        <v>#DIV/0!</v>
      </c>
    </row>
    <row r="752" spans="14:27" ht="15">
      <c r="N752" s="194"/>
      <c r="O752" s="195"/>
      <c r="V752" s="196" t="str">
        <f t="shared" si="80"/>
        <v/>
      </c>
      <c r="W752" s="197" t="str">
        <f t="shared" si="81"/>
        <v/>
      </c>
      <c r="X752" s="197" t="str">
        <f t="shared" si="82"/>
        <v/>
      </c>
      <c r="Y752" s="197" t="str">
        <f t="shared" si="83"/>
        <v/>
      </c>
      <c r="Z752" s="157" t="e">
        <f t="shared" si="84"/>
        <v>#DIV/0!</v>
      </c>
      <c r="AA752" s="157" t="e">
        <f t="shared" si="85"/>
        <v>#DIV/0!</v>
      </c>
    </row>
    <row r="753" spans="14:27" ht="15">
      <c r="N753" s="194"/>
      <c r="O753" s="195"/>
      <c r="V753" s="196" t="str">
        <f t="shared" si="80"/>
        <v/>
      </c>
      <c r="W753" s="197" t="str">
        <f t="shared" si="81"/>
        <v/>
      </c>
      <c r="X753" s="197" t="str">
        <f t="shared" si="82"/>
        <v/>
      </c>
      <c r="Y753" s="197" t="str">
        <f t="shared" si="83"/>
        <v/>
      </c>
      <c r="Z753" s="157" t="e">
        <f t="shared" si="84"/>
        <v>#DIV/0!</v>
      </c>
      <c r="AA753" s="157" t="e">
        <f t="shared" si="85"/>
        <v>#DIV/0!</v>
      </c>
    </row>
    <row r="754" spans="14:27" ht="15">
      <c r="N754" s="194"/>
      <c r="O754" s="195"/>
      <c r="V754" s="196" t="str">
        <f t="shared" si="80"/>
        <v/>
      </c>
      <c r="W754" s="197" t="str">
        <f t="shared" si="81"/>
        <v/>
      </c>
      <c r="X754" s="197" t="str">
        <f t="shared" si="82"/>
        <v/>
      </c>
      <c r="Y754" s="197" t="str">
        <f t="shared" si="83"/>
        <v/>
      </c>
      <c r="Z754" s="157" t="e">
        <f t="shared" si="84"/>
        <v>#DIV/0!</v>
      </c>
      <c r="AA754" s="157" t="e">
        <f t="shared" si="85"/>
        <v>#DIV/0!</v>
      </c>
    </row>
    <row r="755" spans="14:27" ht="15">
      <c r="N755" s="194"/>
      <c r="O755" s="195"/>
      <c r="V755" s="196" t="str">
        <f t="shared" si="80"/>
        <v/>
      </c>
      <c r="W755" s="197" t="str">
        <f t="shared" si="81"/>
        <v/>
      </c>
      <c r="X755" s="197" t="str">
        <f t="shared" si="82"/>
        <v/>
      </c>
      <c r="Y755" s="197" t="str">
        <f t="shared" si="83"/>
        <v/>
      </c>
      <c r="Z755" s="157" t="e">
        <f t="shared" si="84"/>
        <v>#DIV/0!</v>
      </c>
      <c r="AA755" s="157" t="e">
        <f t="shared" si="85"/>
        <v>#DIV/0!</v>
      </c>
    </row>
    <row r="756" spans="14:27" ht="15">
      <c r="N756" s="194"/>
      <c r="O756" s="195"/>
      <c r="V756" s="196" t="str">
        <f t="shared" si="80"/>
        <v/>
      </c>
      <c r="W756" s="197" t="str">
        <f t="shared" si="81"/>
        <v/>
      </c>
      <c r="X756" s="197" t="str">
        <f t="shared" si="82"/>
        <v/>
      </c>
      <c r="Y756" s="197" t="str">
        <f t="shared" si="83"/>
        <v/>
      </c>
      <c r="Z756" s="157" t="e">
        <f t="shared" si="84"/>
        <v>#DIV/0!</v>
      </c>
      <c r="AA756" s="157" t="e">
        <f t="shared" si="85"/>
        <v>#DIV/0!</v>
      </c>
    </row>
    <row r="757" spans="14:27" ht="15">
      <c r="N757" s="194"/>
      <c r="O757" s="195"/>
      <c r="V757" s="196" t="str">
        <f t="shared" si="80"/>
        <v/>
      </c>
      <c r="W757" s="197" t="str">
        <f t="shared" si="81"/>
        <v/>
      </c>
      <c r="X757" s="197" t="str">
        <f t="shared" si="82"/>
        <v/>
      </c>
      <c r="Y757" s="197" t="str">
        <f t="shared" si="83"/>
        <v/>
      </c>
      <c r="Z757" s="157" t="e">
        <f t="shared" si="84"/>
        <v>#DIV/0!</v>
      </c>
      <c r="AA757" s="157" t="e">
        <f t="shared" si="85"/>
        <v>#DIV/0!</v>
      </c>
    </row>
    <row r="758" spans="14:27" ht="15">
      <c r="N758" s="194"/>
      <c r="O758" s="195"/>
      <c r="V758" s="196" t="str">
        <f t="shared" si="80"/>
        <v/>
      </c>
      <c r="W758" s="197" t="str">
        <f t="shared" si="81"/>
        <v/>
      </c>
      <c r="X758" s="197" t="str">
        <f t="shared" si="82"/>
        <v/>
      </c>
      <c r="Y758" s="197" t="str">
        <f t="shared" si="83"/>
        <v/>
      </c>
      <c r="Z758" s="157" t="e">
        <f t="shared" si="84"/>
        <v>#DIV/0!</v>
      </c>
      <c r="AA758" s="157" t="e">
        <f t="shared" si="85"/>
        <v>#DIV/0!</v>
      </c>
    </row>
    <row r="759" spans="14:27" ht="15">
      <c r="N759" s="194"/>
      <c r="O759" s="195"/>
      <c r="V759" s="196" t="str">
        <f t="shared" si="80"/>
        <v/>
      </c>
      <c r="W759" s="197" t="str">
        <f t="shared" si="81"/>
        <v/>
      </c>
      <c r="X759" s="197" t="str">
        <f t="shared" si="82"/>
        <v/>
      </c>
      <c r="Y759" s="197" t="str">
        <f t="shared" si="83"/>
        <v/>
      </c>
      <c r="Z759" s="157" t="e">
        <f t="shared" si="84"/>
        <v>#DIV/0!</v>
      </c>
      <c r="AA759" s="157" t="e">
        <f t="shared" si="85"/>
        <v>#DIV/0!</v>
      </c>
    </row>
    <row r="760" spans="14:27" ht="15">
      <c r="N760" s="194"/>
      <c r="O760" s="195"/>
      <c r="V760" s="196" t="str">
        <f t="shared" si="80"/>
        <v/>
      </c>
      <c r="W760" s="197" t="str">
        <f t="shared" si="81"/>
        <v/>
      </c>
      <c r="X760" s="197" t="str">
        <f t="shared" si="82"/>
        <v/>
      </c>
      <c r="Y760" s="197" t="str">
        <f t="shared" si="83"/>
        <v/>
      </c>
      <c r="Z760" s="157" t="e">
        <f t="shared" si="84"/>
        <v>#DIV/0!</v>
      </c>
      <c r="AA760" s="157" t="e">
        <f t="shared" si="85"/>
        <v>#DIV/0!</v>
      </c>
    </row>
    <row r="761" spans="14:27" ht="15">
      <c r="N761" s="194"/>
      <c r="O761" s="195"/>
      <c r="V761" s="196" t="str">
        <f t="shared" si="80"/>
        <v/>
      </c>
      <c r="W761" s="197" t="str">
        <f t="shared" si="81"/>
        <v/>
      </c>
      <c r="X761" s="197" t="str">
        <f t="shared" si="82"/>
        <v/>
      </c>
      <c r="Y761" s="197" t="str">
        <f t="shared" si="83"/>
        <v/>
      </c>
      <c r="Z761" s="157" t="e">
        <f t="shared" si="84"/>
        <v>#DIV/0!</v>
      </c>
      <c r="AA761" s="157" t="e">
        <f t="shared" si="85"/>
        <v>#DIV/0!</v>
      </c>
    </row>
    <row r="762" spans="14:27" ht="15">
      <c r="N762" s="194"/>
      <c r="O762" s="195"/>
      <c r="V762" s="196" t="str">
        <f t="shared" si="80"/>
        <v/>
      </c>
      <c r="W762" s="197" t="str">
        <f t="shared" si="81"/>
        <v/>
      </c>
      <c r="X762" s="197" t="str">
        <f t="shared" si="82"/>
        <v/>
      </c>
      <c r="Y762" s="197" t="str">
        <f t="shared" si="83"/>
        <v/>
      </c>
      <c r="Z762" s="157" t="e">
        <f t="shared" si="84"/>
        <v>#DIV/0!</v>
      </c>
      <c r="AA762" s="157" t="e">
        <f t="shared" si="85"/>
        <v>#DIV/0!</v>
      </c>
    </row>
    <row r="763" spans="14:27" ht="15">
      <c r="N763" s="194"/>
      <c r="O763" s="195"/>
      <c r="V763" s="196" t="str">
        <f t="shared" si="80"/>
        <v/>
      </c>
      <c r="W763" s="197" t="str">
        <f t="shared" si="81"/>
        <v/>
      </c>
      <c r="X763" s="197" t="str">
        <f t="shared" si="82"/>
        <v/>
      </c>
      <c r="Y763" s="197" t="str">
        <f t="shared" si="83"/>
        <v/>
      </c>
      <c r="Z763" s="157" t="e">
        <f t="shared" si="84"/>
        <v>#DIV/0!</v>
      </c>
      <c r="AA763" s="157" t="e">
        <f t="shared" si="85"/>
        <v>#DIV/0!</v>
      </c>
    </row>
    <row r="764" spans="14:27" ht="15">
      <c r="N764" s="194"/>
      <c r="O764" s="195"/>
      <c r="V764" s="196" t="str">
        <f t="shared" si="80"/>
        <v/>
      </c>
      <c r="W764" s="197" t="str">
        <f t="shared" si="81"/>
        <v/>
      </c>
      <c r="X764" s="197" t="str">
        <f t="shared" si="82"/>
        <v/>
      </c>
      <c r="Y764" s="197" t="str">
        <f t="shared" si="83"/>
        <v/>
      </c>
      <c r="Z764" s="157" t="e">
        <f t="shared" si="84"/>
        <v>#DIV/0!</v>
      </c>
      <c r="AA764" s="157" t="e">
        <f t="shared" si="85"/>
        <v>#DIV/0!</v>
      </c>
    </row>
    <row r="765" spans="14:27" ht="15">
      <c r="N765" s="194"/>
      <c r="O765" s="195"/>
      <c r="V765" s="196" t="str">
        <f t="shared" si="80"/>
        <v/>
      </c>
      <c r="W765" s="197" t="str">
        <f t="shared" si="81"/>
        <v/>
      </c>
      <c r="X765" s="197" t="str">
        <f t="shared" si="82"/>
        <v/>
      </c>
      <c r="Y765" s="197" t="str">
        <f t="shared" si="83"/>
        <v/>
      </c>
      <c r="Z765" s="157" t="e">
        <f t="shared" si="84"/>
        <v>#DIV/0!</v>
      </c>
      <c r="AA765" s="157" t="e">
        <f t="shared" si="85"/>
        <v>#DIV/0!</v>
      </c>
    </row>
    <row r="766" spans="14:27" ht="15">
      <c r="N766" s="194"/>
      <c r="O766" s="195"/>
      <c r="V766" s="196" t="str">
        <f t="shared" si="80"/>
        <v/>
      </c>
      <c r="W766" s="197" t="str">
        <f t="shared" si="81"/>
        <v/>
      </c>
      <c r="X766" s="197" t="str">
        <f t="shared" si="82"/>
        <v/>
      </c>
      <c r="Y766" s="197" t="str">
        <f t="shared" si="83"/>
        <v/>
      </c>
      <c r="Z766" s="157" t="e">
        <f t="shared" si="84"/>
        <v>#DIV/0!</v>
      </c>
      <c r="AA766" s="157" t="e">
        <f t="shared" si="85"/>
        <v>#DIV/0!</v>
      </c>
    </row>
    <row r="767" spans="14:27" ht="15">
      <c r="N767" s="194"/>
      <c r="O767" s="195"/>
      <c r="V767" s="196" t="str">
        <f t="shared" si="80"/>
        <v/>
      </c>
      <c r="W767" s="197" t="str">
        <f t="shared" si="81"/>
        <v/>
      </c>
      <c r="X767" s="197" t="str">
        <f t="shared" si="82"/>
        <v/>
      </c>
      <c r="Y767" s="197" t="str">
        <f t="shared" si="83"/>
        <v/>
      </c>
      <c r="Z767" s="157" t="e">
        <f t="shared" si="84"/>
        <v>#DIV/0!</v>
      </c>
      <c r="AA767" s="157" t="e">
        <f t="shared" si="85"/>
        <v>#DIV/0!</v>
      </c>
    </row>
    <row r="768" spans="14:27" ht="15">
      <c r="N768" s="194"/>
      <c r="O768" s="195"/>
      <c r="V768" s="196" t="str">
        <f t="shared" si="80"/>
        <v/>
      </c>
      <c r="W768" s="197" t="str">
        <f t="shared" si="81"/>
        <v/>
      </c>
      <c r="X768" s="197" t="str">
        <f t="shared" si="82"/>
        <v/>
      </c>
      <c r="Y768" s="197" t="str">
        <f t="shared" si="83"/>
        <v/>
      </c>
      <c r="Z768" s="157" t="e">
        <f t="shared" si="84"/>
        <v>#DIV/0!</v>
      </c>
      <c r="AA768" s="157" t="e">
        <f t="shared" si="85"/>
        <v>#DIV/0!</v>
      </c>
    </row>
    <row r="769" spans="14:27" ht="15">
      <c r="N769" s="194"/>
      <c r="O769" s="195"/>
      <c r="V769" s="196" t="str">
        <f t="shared" si="80"/>
        <v/>
      </c>
      <c r="W769" s="197" t="str">
        <f t="shared" si="81"/>
        <v/>
      </c>
      <c r="X769" s="197" t="str">
        <f t="shared" si="82"/>
        <v/>
      </c>
      <c r="Y769" s="197" t="str">
        <f t="shared" si="83"/>
        <v/>
      </c>
      <c r="Z769" s="157" t="e">
        <f t="shared" si="84"/>
        <v>#DIV/0!</v>
      </c>
      <c r="AA769" s="157" t="e">
        <f t="shared" si="85"/>
        <v>#DIV/0!</v>
      </c>
    </row>
    <row r="770" spans="14:27" ht="15">
      <c r="N770" s="194"/>
      <c r="O770" s="195"/>
      <c r="V770" s="196" t="str">
        <f t="shared" si="80"/>
        <v/>
      </c>
      <c r="W770" s="197" t="str">
        <f t="shared" si="81"/>
        <v/>
      </c>
      <c r="X770" s="197" t="str">
        <f t="shared" si="82"/>
        <v/>
      </c>
      <c r="Y770" s="197" t="str">
        <f t="shared" si="83"/>
        <v/>
      </c>
      <c r="Z770" s="157" t="e">
        <f t="shared" si="84"/>
        <v>#DIV/0!</v>
      </c>
      <c r="AA770" s="157" t="e">
        <f t="shared" si="85"/>
        <v>#DIV/0!</v>
      </c>
    </row>
    <row r="771" spans="14:27" ht="15">
      <c r="N771" s="194"/>
      <c r="O771" s="195"/>
      <c r="V771" s="196" t="str">
        <f t="shared" si="80"/>
        <v/>
      </c>
      <c r="W771" s="197" t="str">
        <f t="shared" si="81"/>
        <v/>
      </c>
      <c r="X771" s="197" t="str">
        <f t="shared" si="82"/>
        <v/>
      </c>
      <c r="Y771" s="197" t="str">
        <f t="shared" si="83"/>
        <v/>
      </c>
      <c r="Z771" s="157" t="e">
        <f t="shared" si="84"/>
        <v>#DIV/0!</v>
      </c>
      <c r="AA771" s="157" t="e">
        <f t="shared" si="85"/>
        <v>#DIV/0!</v>
      </c>
    </row>
    <row r="772" spans="14:27" ht="15">
      <c r="N772" s="194"/>
      <c r="O772" s="195"/>
      <c r="V772" s="196" t="str">
        <f t="shared" si="80"/>
        <v/>
      </c>
      <c r="W772" s="197" t="str">
        <f t="shared" si="81"/>
        <v/>
      </c>
      <c r="X772" s="197" t="str">
        <f t="shared" si="82"/>
        <v/>
      </c>
      <c r="Y772" s="197" t="str">
        <f t="shared" si="83"/>
        <v/>
      </c>
      <c r="Z772" s="157" t="e">
        <f t="shared" si="84"/>
        <v>#DIV/0!</v>
      </c>
      <c r="AA772" s="157" t="e">
        <f t="shared" si="85"/>
        <v>#DIV/0!</v>
      </c>
    </row>
    <row r="773" spans="14:27" ht="15">
      <c r="N773" s="194"/>
      <c r="O773" s="195"/>
      <c r="V773" s="196" t="str">
        <f t="shared" si="80"/>
        <v/>
      </c>
      <c r="W773" s="197" t="str">
        <f t="shared" si="81"/>
        <v/>
      </c>
      <c r="X773" s="197" t="str">
        <f t="shared" si="82"/>
        <v/>
      </c>
      <c r="Y773" s="197" t="str">
        <f t="shared" si="83"/>
        <v/>
      </c>
      <c r="Z773" s="157" t="e">
        <f t="shared" si="84"/>
        <v>#DIV/0!</v>
      </c>
      <c r="AA773" s="157" t="e">
        <f t="shared" si="85"/>
        <v>#DIV/0!</v>
      </c>
    </row>
    <row r="774" spans="14:27" ht="15">
      <c r="N774" s="194"/>
      <c r="O774" s="195"/>
      <c r="V774" s="196" t="str">
        <f t="shared" si="80"/>
        <v/>
      </c>
      <c r="W774" s="197" t="str">
        <f t="shared" si="81"/>
        <v/>
      </c>
      <c r="X774" s="197" t="str">
        <f t="shared" si="82"/>
        <v/>
      </c>
      <c r="Y774" s="197" t="str">
        <f t="shared" si="83"/>
        <v/>
      </c>
      <c r="Z774" s="157" t="e">
        <f t="shared" si="84"/>
        <v>#DIV/0!</v>
      </c>
      <c r="AA774" s="157" t="e">
        <f t="shared" si="85"/>
        <v>#DIV/0!</v>
      </c>
    </row>
    <row r="775" spans="14:27" ht="15">
      <c r="N775" s="194"/>
      <c r="O775" s="195"/>
      <c r="V775" s="196" t="str">
        <f t="shared" si="80"/>
        <v/>
      </c>
      <c r="W775" s="197" t="str">
        <f t="shared" si="81"/>
        <v/>
      </c>
      <c r="X775" s="197" t="str">
        <f t="shared" si="82"/>
        <v/>
      </c>
      <c r="Y775" s="197" t="str">
        <f t="shared" si="83"/>
        <v/>
      </c>
      <c r="Z775" s="157" t="e">
        <f t="shared" si="84"/>
        <v>#DIV/0!</v>
      </c>
      <c r="AA775" s="157" t="e">
        <f t="shared" si="85"/>
        <v>#DIV/0!</v>
      </c>
    </row>
    <row r="776" spans="14:27" ht="15">
      <c r="N776" s="194"/>
      <c r="O776" s="195"/>
      <c r="V776" s="196" t="str">
        <f t="shared" si="80"/>
        <v/>
      </c>
      <c r="W776" s="197" t="str">
        <f t="shared" si="81"/>
        <v/>
      </c>
      <c r="X776" s="197" t="str">
        <f t="shared" si="82"/>
        <v/>
      </c>
      <c r="Y776" s="197" t="str">
        <f t="shared" si="83"/>
        <v/>
      </c>
      <c r="Z776" s="157" t="e">
        <f t="shared" si="84"/>
        <v>#DIV/0!</v>
      </c>
      <c r="AA776" s="157" t="e">
        <f t="shared" si="85"/>
        <v>#DIV/0!</v>
      </c>
    </row>
    <row r="777" spans="14:27" ht="15">
      <c r="N777" s="194"/>
      <c r="O777" s="195"/>
      <c r="V777" s="196" t="str">
        <f t="shared" si="80"/>
        <v/>
      </c>
      <c r="W777" s="197" t="str">
        <f t="shared" si="81"/>
        <v/>
      </c>
      <c r="X777" s="197" t="str">
        <f t="shared" si="82"/>
        <v/>
      </c>
      <c r="Y777" s="197" t="str">
        <f t="shared" si="83"/>
        <v/>
      </c>
      <c r="Z777" s="157" t="e">
        <f t="shared" si="84"/>
        <v>#DIV/0!</v>
      </c>
      <c r="AA777" s="157" t="e">
        <f t="shared" si="85"/>
        <v>#DIV/0!</v>
      </c>
    </row>
    <row r="778" spans="14:27" ht="15">
      <c r="N778" s="194"/>
      <c r="O778" s="195"/>
      <c r="V778" s="196" t="str">
        <f t="shared" si="80"/>
        <v/>
      </c>
      <c r="W778" s="197" t="str">
        <f t="shared" si="81"/>
        <v/>
      </c>
      <c r="X778" s="197" t="str">
        <f t="shared" si="82"/>
        <v/>
      </c>
      <c r="Y778" s="197" t="str">
        <f t="shared" si="83"/>
        <v/>
      </c>
      <c r="Z778" s="157" t="e">
        <f t="shared" si="84"/>
        <v>#DIV/0!</v>
      </c>
      <c r="AA778" s="157" t="e">
        <f t="shared" si="85"/>
        <v>#DIV/0!</v>
      </c>
    </row>
    <row r="779" spans="14:27" ht="15">
      <c r="N779" s="194"/>
      <c r="O779" s="195"/>
      <c r="V779" s="196" t="str">
        <f t="shared" si="80"/>
        <v/>
      </c>
      <c r="W779" s="197" t="str">
        <f t="shared" si="81"/>
        <v/>
      </c>
      <c r="X779" s="197" t="str">
        <f t="shared" si="82"/>
        <v/>
      </c>
      <c r="Y779" s="197" t="str">
        <f t="shared" si="83"/>
        <v/>
      </c>
      <c r="Z779" s="157" t="e">
        <f t="shared" si="84"/>
        <v>#DIV/0!</v>
      </c>
      <c r="AA779" s="157" t="e">
        <f t="shared" si="85"/>
        <v>#DIV/0!</v>
      </c>
    </row>
    <row r="780" spans="14:27" ht="15">
      <c r="N780" s="194"/>
      <c r="O780" s="195"/>
      <c r="V780" s="196" t="str">
        <f t="shared" si="80"/>
        <v/>
      </c>
      <c r="W780" s="197" t="str">
        <f t="shared" si="81"/>
        <v/>
      </c>
      <c r="X780" s="197" t="str">
        <f t="shared" si="82"/>
        <v/>
      </c>
      <c r="Y780" s="197" t="str">
        <f t="shared" si="83"/>
        <v/>
      </c>
      <c r="Z780" s="157" t="e">
        <f t="shared" si="84"/>
        <v>#DIV/0!</v>
      </c>
      <c r="AA780" s="157" t="e">
        <f t="shared" si="85"/>
        <v>#DIV/0!</v>
      </c>
    </row>
    <row r="781" spans="14:27" ht="15">
      <c r="N781" s="194"/>
      <c r="O781" s="195"/>
      <c r="V781" s="196" t="str">
        <f t="shared" si="80"/>
        <v/>
      </c>
      <c r="W781" s="197" t="str">
        <f t="shared" si="81"/>
        <v/>
      </c>
      <c r="X781" s="197" t="str">
        <f t="shared" si="82"/>
        <v/>
      </c>
      <c r="Y781" s="197" t="str">
        <f t="shared" si="83"/>
        <v/>
      </c>
      <c r="Z781" s="157" t="e">
        <f t="shared" si="84"/>
        <v>#DIV/0!</v>
      </c>
      <c r="AA781" s="157" t="e">
        <f t="shared" si="85"/>
        <v>#DIV/0!</v>
      </c>
    </row>
    <row r="782" spans="14:27" ht="15">
      <c r="N782" s="194"/>
      <c r="O782" s="195"/>
      <c r="V782" s="196" t="str">
        <f t="shared" si="80"/>
        <v/>
      </c>
      <c r="W782" s="197" t="str">
        <f t="shared" si="81"/>
        <v/>
      </c>
      <c r="X782" s="197" t="str">
        <f t="shared" si="82"/>
        <v/>
      </c>
      <c r="Y782" s="197" t="str">
        <f t="shared" si="83"/>
        <v/>
      </c>
      <c r="Z782" s="157" t="e">
        <f t="shared" si="84"/>
        <v>#DIV/0!</v>
      </c>
      <c r="AA782" s="157" t="e">
        <f t="shared" si="85"/>
        <v>#DIV/0!</v>
      </c>
    </row>
    <row r="783" spans="14:27" ht="15">
      <c r="N783" s="194"/>
      <c r="O783" s="195"/>
      <c r="V783" s="196" t="str">
        <f t="shared" si="80"/>
        <v/>
      </c>
      <c r="W783" s="197" t="str">
        <f t="shared" si="81"/>
        <v/>
      </c>
      <c r="X783" s="197" t="str">
        <f t="shared" si="82"/>
        <v/>
      </c>
      <c r="Y783" s="197" t="str">
        <f t="shared" si="83"/>
        <v/>
      </c>
      <c r="Z783" s="157" t="e">
        <f t="shared" si="84"/>
        <v>#DIV/0!</v>
      </c>
      <c r="AA783" s="157" t="e">
        <f t="shared" si="85"/>
        <v>#DIV/0!</v>
      </c>
    </row>
    <row r="784" spans="14:27" ht="15">
      <c r="N784" s="194"/>
      <c r="O784" s="195"/>
      <c r="V784" s="196" t="str">
        <f t="shared" si="80"/>
        <v/>
      </c>
      <c r="W784" s="197" t="str">
        <f t="shared" si="81"/>
        <v/>
      </c>
      <c r="X784" s="197" t="str">
        <f t="shared" si="82"/>
        <v/>
      </c>
      <c r="Y784" s="197" t="str">
        <f t="shared" si="83"/>
        <v/>
      </c>
      <c r="Z784" s="157" t="e">
        <f t="shared" si="84"/>
        <v>#DIV/0!</v>
      </c>
      <c r="AA784" s="157" t="e">
        <f t="shared" si="85"/>
        <v>#DIV/0!</v>
      </c>
    </row>
    <row r="785" spans="14:27" ht="15">
      <c r="N785" s="194"/>
      <c r="O785" s="195"/>
      <c r="V785" s="196" t="str">
        <f t="shared" si="80"/>
        <v/>
      </c>
      <c r="W785" s="197" t="str">
        <f t="shared" si="81"/>
        <v/>
      </c>
      <c r="X785" s="197" t="str">
        <f t="shared" si="82"/>
        <v/>
      </c>
      <c r="Y785" s="197" t="str">
        <f t="shared" si="83"/>
        <v/>
      </c>
      <c r="Z785" s="157" t="e">
        <f t="shared" si="84"/>
        <v>#DIV/0!</v>
      </c>
      <c r="AA785" s="157" t="e">
        <f t="shared" si="85"/>
        <v>#DIV/0!</v>
      </c>
    </row>
    <row r="786" spans="14:27" ht="15">
      <c r="N786" s="194"/>
      <c r="O786" s="195"/>
      <c r="V786" s="196" t="str">
        <f t="shared" si="80"/>
        <v/>
      </c>
      <c r="W786" s="197" t="str">
        <f t="shared" si="81"/>
        <v/>
      </c>
      <c r="X786" s="197" t="str">
        <f t="shared" si="82"/>
        <v/>
      </c>
      <c r="Y786" s="197" t="str">
        <f t="shared" si="83"/>
        <v/>
      </c>
      <c r="Z786" s="157" t="e">
        <f t="shared" si="84"/>
        <v>#DIV/0!</v>
      </c>
      <c r="AA786" s="157" t="e">
        <f t="shared" si="85"/>
        <v>#DIV/0!</v>
      </c>
    </row>
    <row r="787" spans="14:27" ht="15">
      <c r="N787" s="194"/>
      <c r="O787" s="195"/>
      <c r="V787" s="196" t="str">
        <f t="shared" si="80"/>
        <v/>
      </c>
      <c r="W787" s="197" t="str">
        <f t="shared" si="81"/>
        <v/>
      </c>
      <c r="X787" s="197" t="str">
        <f t="shared" si="82"/>
        <v/>
      </c>
      <c r="Y787" s="197" t="str">
        <f t="shared" si="83"/>
        <v/>
      </c>
      <c r="Z787" s="157" t="e">
        <f t="shared" si="84"/>
        <v>#DIV/0!</v>
      </c>
      <c r="AA787" s="157" t="e">
        <f t="shared" si="85"/>
        <v>#DIV/0!</v>
      </c>
    </row>
    <row r="788" spans="14:27" ht="15">
      <c r="N788" s="194"/>
      <c r="O788" s="195"/>
      <c r="V788" s="196" t="str">
        <f t="shared" si="80"/>
        <v/>
      </c>
      <c r="W788" s="197" t="str">
        <f t="shared" si="81"/>
        <v/>
      </c>
      <c r="X788" s="197" t="str">
        <f t="shared" si="82"/>
        <v/>
      </c>
      <c r="Y788" s="197" t="str">
        <f t="shared" si="83"/>
        <v/>
      </c>
      <c r="Z788" s="157" t="e">
        <f t="shared" si="84"/>
        <v>#DIV/0!</v>
      </c>
      <c r="AA788" s="157" t="e">
        <f t="shared" si="85"/>
        <v>#DIV/0!</v>
      </c>
    </row>
    <row r="789" spans="14:27" ht="15">
      <c r="N789" s="194"/>
      <c r="O789" s="195"/>
      <c r="V789" s="196" t="str">
        <f t="shared" ref="V789:V852" si="86">IFERROR(IF(AND(1/L789&gt;$V$19,1/L789&lt;=$W$19),1/L789,0),"")</f>
        <v/>
      </c>
      <c r="W789" s="197" t="str">
        <f t="shared" ref="W789:W852" si="87">IFERROR(IF(AND(1/L789&gt;$W$19,1/L789&lt;=$X$19),1/L789,0),"")</f>
        <v/>
      </c>
      <c r="X789" s="197" t="str">
        <f t="shared" ref="X789:X852" si="88">IFERROR(IF(AND(1/L789&gt;$X$19,1/L789&lt;=$Y$19),1/L789,0),"")</f>
        <v/>
      </c>
      <c r="Y789" s="197" t="str">
        <f t="shared" ref="Y789:Y852" si="89">IFERROR(IF(1/L789&gt;$Y$19,1/L789,0),"")</f>
        <v/>
      </c>
      <c r="Z789" s="157" t="e">
        <f t="shared" ref="Z789:Z852" si="90">IF(N789&lt;&gt;"",(N789-$N$17)/1000,1/0)</f>
        <v>#DIV/0!</v>
      </c>
      <c r="AA789" s="157" t="e">
        <f t="shared" ref="AA789:AA852" si="91">IF(O789&lt;&gt;"",(O789-$O$17)/1000,1/0)</f>
        <v>#DIV/0!</v>
      </c>
    </row>
    <row r="790" spans="14:27" ht="15">
      <c r="N790" s="194"/>
      <c r="O790" s="195"/>
      <c r="V790" s="196" t="str">
        <f t="shared" si="86"/>
        <v/>
      </c>
      <c r="W790" s="197" t="str">
        <f t="shared" si="87"/>
        <v/>
      </c>
      <c r="X790" s="197" t="str">
        <f t="shared" si="88"/>
        <v/>
      </c>
      <c r="Y790" s="197" t="str">
        <f t="shared" si="89"/>
        <v/>
      </c>
      <c r="Z790" s="157" t="e">
        <f t="shared" si="90"/>
        <v>#DIV/0!</v>
      </c>
      <c r="AA790" s="157" t="e">
        <f t="shared" si="91"/>
        <v>#DIV/0!</v>
      </c>
    </row>
    <row r="791" spans="14:27" ht="15">
      <c r="N791" s="194"/>
      <c r="O791" s="195"/>
      <c r="V791" s="196" t="str">
        <f t="shared" si="86"/>
        <v/>
      </c>
      <c r="W791" s="197" t="str">
        <f t="shared" si="87"/>
        <v/>
      </c>
      <c r="X791" s="197" t="str">
        <f t="shared" si="88"/>
        <v/>
      </c>
      <c r="Y791" s="197" t="str">
        <f t="shared" si="89"/>
        <v/>
      </c>
      <c r="Z791" s="157" t="e">
        <f t="shared" si="90"/>
        <v>#DIV/0!</v>
      </c>
      <c r="AA791" s="157" t="e">
        <f t="shared" si="91"/>
        <v>#DIV/0!</v>
      </c>
    </row>
    <row r="792" spans="14:27" ht="15">
      <c r="N792" s="194"/>
      <c r="O792" s="195"/>
      <c r="V792" s="196" t="str">
        <f t="shared" si="86"/>
        <v/>
      </c>
      <c r="W792" s="197" t="str">
        <f t="shared" si="87"/>
        <v/>
      </c>
      <c r="X792" s="197" t="str">
        <f t="shared" si="88"/>
        <v/>
      </c>
      <c r="Y792" s="197" t="str">
        <f t="shared" si="89"/>
        <v/>
      </c>
      <c r="Z792" s="157" t="e">
        <f t="shared" si="90"/>
        <v>#DIV/0!</v>
      </c>
      <c r="AA792" s="157" t="e">
        <f t="shared" si="91"/>
        <v>#DIV/0!</v>
      </c>
    </row>
    <row r="793" spans="14:27" ht="15">
      <c r="N793" s="194"/>
      <c r="O793" s="195"/>
      <c r="V793" s="196" t="str">
        <f t="shared" si="86"/>
        <v/>
      </c>
      <c r="W793" s="197" t="str">
        <f t="shared" si="87"/>
        <v/>
      </c>
      <c r="X793" s="197" t="str">
        <f t="shared" si="88"/>
        <v/>
      </c>
      <c r="Y793" s="197" t="str">
        <f t="shared" si="89"/>
        <v/>
      </c>
      <c r="Z793" s="157" t="e">
        <f t="shared" si="90"/>
        <v>#DIV/0!</v>
      </c>
      <c r="AA793" s="157" t="e">
        <f t="shared" si="91"/>
        <v>#DIV/0!</v>
      </c>
    </row>
    <row r="794" spans="14:27" ht="15">
      <c r="N794" s="194"/>
      <c r="O794" s="195"/>
      <c r="V794" s="196" t="str">
        <f t="shared" si="86"/>
        <v/>
      </c>
      <c r="W794" s="197" t="str">
        <f t="shared" si="87"/>
        <v/>
      </c>
      <c r="X794" s="197" t="str">
        <f t="shared" si="88"/>
        <v/>
      </c>
      <c r="Y794" s="197" t="str">
        <f t="shared" si="89"/>
        <v/>
      </c>
      <c r="Z794" s="157" t="e">
        <f t="shared" si="90"/>
        <v>#DIV/0!</v>
      </c>
      <c r="AA794" s="157" t="e">
        <f t="shared" si="91"/>
        <v>#DIV/0!</v>
      </c>
    </row>
    <row r="795" spans="14:27" ht="15">
      <c r="N795" s="194"/>
      <c r="O795" s="195"/>
      <c r="V795" s="196" t="str">
        <f t="shared" si="86"/>
        <v/>
      </c>
      <c r="W795" s="197" t="str">
        <f t="shared" si="87"/>
        <v/>
      </c>
      <c r="X795" s="197" t="str">
        <f t="shared" si="88"/>
        <v/>
      </c>
      <c r="Y795" s="197" t="str">
        <f t="shared" si="89"/>
        <v/>
      </c>
      <c r="Z795" s="157" t="e">
        <f t="shared" si="90"/>
        <v>#DIV/0!</v>
      </c>
      <c r="AA795" s="157" t="e">
        <f t="shared" si="91"/>
        <v>#DIV/0!</v>
      </c>
    </row>
    <row r="796" spans="14:27" ht="15">
      <c r="N796" s="194"/>
      <c r="O796" s="195"/>
      <c r="V796" s="196" t="str">
        <f t="shared" si="86"/>
        <v/>
      </c>
      <c r="W796" s="197" t="str">
        <f t="shared" si="87"/>
        <v/>
      </c>
      <c r="X796" s="197" t="str">
        <f t="shared" si="88"/>
        <v/>
      </c>
      <c r="Y796" s="197" t="str">
        <f t="shared" si="89"/>
        <v/>
      </c>
      <c r="Z796" s="157" t="e">
        <f t="shared" si="90"/>
        <v>#DIV/0!</v>
      </c>
      <c r="AA796" s="157" t="e">
        <f t="shared" si="91"/>
        <v>#DIV/0!</v>
      </c>
    </row>
    <row r="797" spans="14:27" ht="15">
      <c r="N797" s="194"/>
      <c r="O797" s="195"/>
      <c r="V797" s="196" t="str">
        <f t="shared" si="86"/>
        <v/>
      </c>
      <c r="W797" s="197" t="str">
        <f t="shared" si="87"/>
        <v/>
      </c>
      <c r="X797" s="197" t="str">
        <f t="shared" si="88"/>
        <v/>
      </c>
      <c r="Y797" s="197" t="str">
        <f t="shared" si="89"/>
        <v/>
      </c>
      <c r="Z797" s="157" t="e">
        <f t="shared" si="90"/>
        <v>#DIV/0!</v>
      </c>
      <c r="AA797" s="157" t="e">
        <f t="shared" si="91"/>
        <v>#DIV/0!</v>
      </c>
    </row>
    <row r="798" spans="14:27" ht="15">
      <c r="N798" s="194"/>
      <c r="O798" s="195"/>
      <c r="V798" s="196" t="str">
        <f t="shared" si="86"/>
        <v/>
      </c>
      <c r="W798" s="197" t="str">
        <f t="shared" si="87"/>
        <v/>
      </c>
      <c r="X798" s="197" t="str">
        <f t="shared" si="88"/>
        <v/>
      </c>
      <c r="Y798" s="197" t="str">
        <f t="shared" si="89"/>
        <v/>
      </c>
      <c r="Z798" s="157" t="e">
        <f t="shared" si="90"/>
        <v>#DIV/0!</v>
      </c>
      <c r="AA798" s="157" t="e">
        <f t="shared" si="91"/>
        <v>#DIV/0!</v>
      </c>
    </row>
    <row r="799" spans="14:27" ht="15">
      <c r="N799" s="194"/>
      <c r="O799" s="195"/>
      <c r="V799" s="196" t="str">
        <f t="shared" si="86"/>
        <v/>
      </c>
      <c r="W799" s="197" t="str">
        <f t="shared" si="87"/>
        <v/>
      </c>
      <c r="X799" s="197" t="str">
        <f t="shared" si="88"/>
        <v/>
      </c>
      <c r="Y799" s="197" t="str">
        <f t="shared" si="89"/>
        <v/>
      </c>
      <c r="Z799" s="157" t="e">
        <f t="shared" si="90"/>
        <v>#DIV/0!</v>
      </c>
      <c r="AA799" s="157" t="e">
        <f t="shared" si="91"/>
        <v>#DIV/0!</v>
      </c>
    </row>
    <row r="800" spans="14:27" ht="15">
      <c r="N800" s="194"/>
      <c r="O800" s="195"/>
      <c r="V800" s="196" t="str">
        <f t="shared" si="86"/>
        <v/>
      </c>
      <c r="W800" s="197" t="str">
        <f t="shared" si="87"/>
        <v/>
      </c>
      <c r="X800" s="197" t="str">
        <f t="shared" si="88"/>
        <v/>
      </c>
      <c r="Y800" s="197" t="str">
        <f t="shared" si="89"/>
        <v/>
      </c>
      <c r="Z800" s="157" t="e">
        <f t="shared" si="90"/>
        <v>#DIV/0!</v>
      </c>
      <c r="AA800" s="157" t="e">
        <f t="shared" si="91"/>
        <v>#DIV/0!</v>
      </c>
    </row>
    <row r="801" spans="14:27" ht="15">
      <c r="N801" s="194"/>
      <c r="O801" s="195"/>
      <c r="V801" s="196" t="str">
        <f t="shared" si="86"/>
        <v/>
      </c>
      <c r="W801" s="197" t="str">
        <f t="shared" si="87"/>
        <v/>
      </c>
      <c r="X801" s="197" t="str">
        <f t="shared" si="88"/>
        <v/>
      </c>
      <c r="Y801" s="197" t="str">
        <f t="shared" si="89"/>
        <v/>
      </c>
      <c r="Z801" s="157" t="e">
        <f t="shared" si="90"/>
        <v>#DIV/0!</v>
      </c>
      <c r="AA801" s="157" t="e">
        <f t="shared" si="91"/>
        <v>#DIV/0!</v>
      </c>
    </row>
    <row r="802" spans="14:27" ht="15">
      <c r="N802" s="194"/>
      <c r="O802" s="195"/>
      <c r="V802" s="196" t="str">
        <f t="shared" si="86"/>
        <v/>
      </c>
      <c r="W802" s="197" t="str">
        <f t="shared" si="87"/>
        <v/>
      </c>
      <c r="X802" s="197" t="str">
        <f t="shared" si="88"/>
        <v/>
      </c>
      <c r="Y802" s="197" t="str">
        <f t="shared" si="89"/>
        <v/>
      </c>
      <c r="Z802" s="157" t="e">
        <f t="shared" si="90"/>
        <v>#DIV/0!</v>
      </c>
      <c r="AA802" s="157" t="e">
        <f t="shared" si="91"/>
        <v>#DIV/0!</v>
      </c>
    </row>
    <row r="803" spans="14:27" ht="15">
      <c r="N803" s="194"/>
      <c r="O803" s="195"/>
      <c r="V803" s="196" t="str">
        <f t="shared" si="86"/>
        <v/>
      </c>
      <c r="W803" s="197" t="str">
        <f t="shared" si="87"/>
        <v/>
      </c>
      <c r="X803" s="197" t="str">
        <f t="shared" si="88"/>
        <v/>
      </c>
      <c r="Y803" s="197" t="str">
        <f t="shared" si="89"/>
        <v/>
      </c>
      <c r="Z803" s="157" t="e">
        <f t="shared" si="90"/>
        <v>#DIV/0!</v>
      </c>
      <c r="AA803" s="157" t="e">
        <f t="shared" si="91"/>
        <v>#DIV/0!</v>
      </c>
    </row>
    <row r="804" spans="14:27" ht="15">
      <c r="N804" s="194"/>
      <c r="O804" s="195"/>
      <c r="V804" s="196" t="str">
        <f t="shared" si="86"/>
        <v/>
      </c>
      <c r="W804" s="197" t="str">
        <f t="shared" si="87"/>
        <v/>
      </c>
      <c r="X804" s="197" t="str">
        <f t="shared" si="88"/>
        <v/>
      </c>
      <c r="Y804" s="197" t="str">
        <f t="shared" si="89"/>
        <v/>
      </c>
      <c r="Z804" s="157" t="e">
        <f t="shared" si="90"/>
        <v>#DIV/0!</v>
      </c>
      <c r="AA804" s="157" t="e">
        <f t="shared" si="91"/>
        <v>#DIV/0!</v>
      </c>
    </row>
    <row r="805" spans="14:27" ht="15">
      <c r="N805" s="194"/>
      <c r="O805" s="195"/>
      <c r="V805" s="196" t="str">
        <f t="shared" si="86"/>
        <v/>
      </c>
      <c r="W805" s="197" t="str">
        <f t="shared" si="87"/>
        <v/>
      </c>
      <c r="X805" s="197" t="str">
        <f t="shared" si="88"/>
        <v/>
      </c>
      <c r="Y805" s="197" t="str">
        <f t="shared" si="89"/>
        <v/>
      </c>
      <c r="Z805" s="157" t="e">
        <f t="shared" si="90"/>
        <v>#DIV/0!</v>
      </c>
      <c r="AA805" s="157" t="e">
        <f t="shared" si="91"/>
        <v>#DIV/0!</v>
      </c>
    </row>
    <row r="806" spans="14:27" ht="15">
      <c r="N806" s="194"/>
      <c r="O806" s="195"/>
      <c r="V806" s="196" t="str">
        <f t="shared" si="86"/>
        <v/>
      </c>
      <c r="W806" s="197" t="str">
        <f t="shared" si="87"/>
        <v/>
      </c>
      <c r="X806" s="197" t="str">
        <f t="shared" si="88"/>
        <v/>
      </c>
      <c r="Y806" s="197" t="str">
        <f t="shared" si="89"/>
        <v/>
      </c>
      <c r="Z806" s="157" t="e">
        <f t="shared" si="90"/>
        <v>#DIV/0!</v>
      </c>
      <c r="AA806" s="157" t="e">
        <f t="shared" si="91"/>
        <v>#DIV/0!</v>
      </c>
    </row>
    <row r="807" spans="14:27" ht="15">
      <c r="N807" s="194"/>
      <c r="O807" s="195"/>
      <c r="V807" s="196" t="str">
        <f t="shared" si="86"/>
        <v/>
      </c>
      <c r="W807" s="197" t="str">
        <f t="shared" si="87"/>
        <v/>
      </c>
      <c r="X807" s="197" t="str">
        <f t="shared" si="88"/>
        <v/>
      </c>
      <c r="Y807" s="197" t="str">
        <f t="shared" si="89"/>
        <v/>
      </c>
      <c r="Z807" s="157" t="e">
        <f t="shared" si="90"/>
        <v>#DIV/0!</v>
      </c>
      <c r="AA807" s="157" t="e">
        <f t="shared" si="91"/>
        <v>#DIV/0!</v>
      </c>
    </row>
    <row r="808" spans="14:27" ht="15">
      <c r="N808" s="194"/>
      <c r="O808" s="195"/>
      <c r="V808" s="196" t="str">
        <f t="shared" si="86"/>
        <v/>
      </c>
      <c r="W808" s="197" t="str">
        <f t="shared" si="87"/>
        <v/>
      </c>
      <c r="X808" s="197" t="str">
        <f t="shared" si="88"/>
        <v/>
      </c>
      <c r="Y808" s="197" t="str">
        <f t="shared" si="89"/>
        <v/>
      </c>
      <c r="Z808" s="157" t="e">
        <f t="shared" si="90"/>
        <v>#DIV/0!</v>
      </c>
      <c r="AA808" s="157" t="e">
        <f t="shared" si="91"/>
        <v>#DIV/0!</v>
      </c>
    </row>
    <row r="809" spans="14:27" ht="15">
      <c r="N809" s="194"/>
      <c r="O809" s="195"/>
      <c r="V809" s="196" t="str">
        <f t="shared" si="86"/>
        <v/>
      </c>
      <c r="W809" s="197" t="str">
        <f t="shared" si="87"/>
        <v/>
      </c>
      <c r="X809" s="197" t="str">
        <f t="shared" si="88"/>
        <v/>
      </c>
      <c r="Y809" s="197" t="str">
        <f t="shared" si="89"/>
        <v/>
      </c>
      <c r="Z809" s="157" t="e">
        <f t="shared" si="90"/>
        <v>#DIV/0!</v>
      </c>
      <c r="AA809" s="157" t="e">
        <f t="shared" si="91"/>
        <v>#DIV/0!</v>
      </c>
    </row>
    <row r="810" spans="14:27" ht="15">
      <c r="N810" s="194"/>
      <c r="O810" s="195"/>
      <c r="V810" s="196" t="str">
        <f t="shared" si="86"/>
        <v/>
      </c>
      <c r="W810" s="197" t="str">
        <f t="shared" si="87"/>
        <v/>
      </c>
      <c r="X810" s="197" t="str">
        <f t="shared" si="88"/>
        <v/>
      </c>
      <c r="Y810" s="197" t="str">
        <f t="shared" si="89"/>
        <v/>
      </c>
      <c r="Z810" s="157" t="e">
        <f t="shared" si="90"/>
        <v>#DIV/0!</v>
      </c>
      <c r="AA810" s="157" t="e">
        <f t="shared" si="91"/>
        <v>#DIV/0!</v>
      </c>
    </row>
    <row r="811" spans="14:27" ht="15">
      <c r="N811" s="194"/>
      <c r="O811" s="195"/>
      <c r="V811" s="196" t="str">
        <f t="shared" si="86"/>
        <v/>
      </c>
      <c r="W811" s="197" t="str">
        <f t="shared" si="87"/>
        <v/>
      </c>
      <c r="X811" s="197" t="str">
        <f t="shared" si="88"/>
        <v/>
      </c>
      <c r="Y811" s="197" t="str">
        <f t="shared" si="89"/>
        <v/>
      </c>
      <c r="Z811" s="157" t="e">
        <f t="shared" si="90"/>
        <v>#DIV/0!</v>
      </c>
      <c r="AA811" s="157" t="e">
        <f t="shared" si="91"/>
        <v>#DIV/0!</v>
      </c>
    </row>
    <row r="812" spans="14:27" ht="15">
      <c r="N812" s="194"/>
      <c r="O812" s="195"/>
      <c r="V812" s="196" t="str">
        <f t="shared" si="86"/>
        <v/>
      </c>
      <c r="W812" s="197" t="str">
        <f t="shared" si="87"/>
        <v/>
      </c>
      <c r="X812" s="197" t="str">
        <f t="shared" si="88"/>
        <v/>
      </c>
      <c r="Y812" s="197" t="str">
        <f t="shared" si="89"/>
        <v/>
      </c>
      <c r="Z812" s="157" t="e">
        <f t="shared" si="90"/>
        <v>#DIV/0!</v>
      </c>
      <c r="AA812" s="157" t="e">
        <f t="shared" si="91"/>
        <v>#DIV/0!</v>
      </c>
    </row>
    <row r="813" spans="14:27" ht="15">
      <c r="N813" s="194"/>
      <c r="O813" s="195"/>
      <c r="V813" s="196" t="str">
        <f t="shared" si="86"/>
        <v/>
      </c>
      <c r="W813" s="197" t="str">
        <f t="shared" si="87"/>
        <v/>
      </c>
      <c r="X813" s="197" t="str">
        <f t="shared" si="88"/>
        <v/>
      </c>
      <c r="Y813" s="197" t="str">
        <f t="shared" si="89"/>
        <v/>
      </c>
      <c r="Z813" s="157" t="e">
        <f t="shared" si="90"/>
        <v>#DIV/0!</v>
      </c>
      <c r="AA813" s="157" t="e">
        <f t="shared" si="91"/>
        <v>#DIV/0!</v>
      </c>
    </row>
    <row r="814" spans="14:27" ht="15">
      <c r="N814" s="194"/>
      <c r="O814" s="195"/>
      <c r="V814" s="196" t="str">
        <f t="shared" si="86"/>
        <v/>
      </c>
      <c r="W814" s="197" t="str">
        <f t="shared" si="87"/>
        <v/>
      </c>
      <c r="X814" s="197" t="str">
        <f t="shared" si="88"/>
        <v/>
      </c>
      <c r="Y814" s="197" t="str">
        <f t="shared" si="89"/>
        <v/>
      </c>
      <c r="Z814" s="157" t="e">
        <f t="shared" si="90"/>
        <v>#DIV/0!</v>
      </c>
      <c r="AA814" s="157" t="e">
        <f t="shared" si="91"/>
        <v>#DIV/0!</v>
      </c>
    </row>
    <row r="815" spans="14:27" ht="15">
      <c r="N815" s="194"/>
      <c r="O815" s="195"/>
      <c r="V815" s="196" t="str">
        <f t="shared" si="86"/>
        <v/>
      </c>
      <c r="W815" s="197" t="str">
        <f t="shared" si="87"/>
        <v/>
      </c>
      <c r="X815" s="197" t="str">
        <f t="shared" si="88"/>
        <v/>
      </c>
      <c r="Y815" s="197" t="str">
        <f t="shared" si="89"/>
        <v/>
      </c>
      <c r="Z815" s="157" t="e">
        <f t="shared" si="90"/>
        <v>#DIV/0!</v>
      </c>
      <c r="AA815" s="157" t="e">
        <f t="shared" si="91"/>
        <v>#DIV/0!</v>
      </c>
    </row>
    <row r="816" spans="14:27" ht="15">
      <c r="N816" s="194"/>
      <c r="O816" s="195"/>
      <c r="V816" s="196" t="str">
        <f t="shared" si="86"/>
        <v/>
      </c>
      <c r="W816" s="197" t="str">
        <f t="shared" si="87"/>
        <v/>
      </c>
      <c r="X816" s="197" t="str">
        <f t="shared" si="88"/>
        <v/>
      </c>
      <c r="Y816" s="197" t="str">
        <f t="shared" si="89"/>
        <v/>
      </c>
      <c r="Z816" s="157" t="e">
        <f t="shared" si="90"/>
        <v>#DIV/0!</v>
      </c>
      <c r="AA816" s="157" t="e">
        <f t="shared" si="91"/>
        <v>#DIV/0!</v>
      </c>
    </row>
    <row r="817" spans="14:27" ht="15">
      <c r="N817" s="194"/>
      <c r="O817" s="195"/>
      <c r="V817" s="196" t="str">
        <f t="shared" si="86"/>
        <v/>
      </c>
      <c r="W817" s="197" t="str">
        <f t="shared" si="87"/>
        <v/>
      </c>
      <c r="X817" s="197" t="str">
        <f t="shared" si="88"/>
        <v/>
      </c>
      <c r="Y817" s="197" t="str">
        <f t="shared" si="89"/>
        <v/>
      </c>
      <c r="Z817" s="157" t="e">
        <f t="shared" si="90"/>
        <v>#DIV/0!</v>
      </c>
      <c r="AA817" s="157" t="e">
        <f t="shared" si="91"/>
        <v>#DIV/0!</v>
      </c>
    </row>
    <row r="818" spans="14:27" ht="15">
      <c r="N818" s="194"/>
      <c r="O818" s="195"/>
      <c r="V818" s="196" t="str">
        <f t="shared" si="86"/>
        <v/>
      </c>
      <c r="W818" s="197" t="str">
        <f t="shared" si="87"/>
        <v/>
      </c>
      <c r="X818" s="197" t="str">
        <f t="shared" si="88"/>
        <v/>
      </c>
      <c r="Y818" s="197" t="str">
        <f t="shared" si="89"/>
        <v/>
      </c>
      <c r="Z818" s="157" t="e">
        <f t="shared" si="90"/>
        <v>#DIV/0!</v>
      </c>
      <c r="AA818" s="157" t="e">
        <f t="shared" si="91"/>
        <v>#DIV/0!</v>
      </c>
    </row>
    <row r="819" spans="14:27" ht="15">
      <c r="N819" s="194"/>
      <c r="O819" s="195"/>
      <c r="V819" s="196" t="str">
        <f t="shared" si="86"/>
        <v/>
      </c>
      <c r="W819" s="197" t="str">
        <f t="shared" si="87"/>
        <v/>
      </c>
      <c r="X819" s="197" t="str">
        <f t="shared" si="88"/>
        <v/>
      </c>
      <c r="Y819" s="197" t="str">
        <f t="shared" si="89"/>
        <v/>
      </c>
      <c r="Z819" s="157" t="e">
        <f t="shared" si="90"/>
        <v>#DIV/0!</v>
      </c>
      <c r="AA819" s="157" t="e">
        <f t="shared" si="91"/>
        <v>#DIV/0!</v>
      </c>
    </row>
    <row r="820" spans="14:27" ht="15">
      <c r="N820" s="194"/>
      <c r="O820" s="195"/>
      <c r="V820" s="196" t="str">
        <f t="shared" si="86"/>
        <v/>
      </c>
      <c r="W820" s="197" t="str">
        <f t="shared" si="87"/>
        <v/>
      </c>
      <c r="X820" s="197" t="str">
        <f t="shared" si="88"/>
        <v/>
      </c>
      <c r="Y820" s="197" t="str">
        <f t="shared" si="89"/>
        <v/>
      </c>
      <c r="Z820" s="157" t="e">
        <f t="shared" si="90"/>
        <v>#DIV/0!</v>
      </c>
      <c r="AA820" s="157" t="e">
        <f t="shared" si="91"/>
        <v>#DIV/0!</v>
      </c>
    </row>
    <row r="821" spans="14:27" ht="15">
      <c r="N821" s="194"/>
      <c r="O821" s="195"/>
      <c r="V821" s="196" t="str">
        <f t="shared" si="86"/>
        <v/>
      </c>
      <c r="W821" s="197" t="str">
        <f t="shared" si="87"/>
        <v/>
      </c>
      <c r="X821" s="197" t="str">
        <f t="shared" si="88"/>
        <v/>
      </c>
      <c r="Y821" s="197" t="str">
        <f t="shared" si="89"/>
        <v/>
      </c>
      <c r="Z821" s="157" t="e">
        <f t="shared" si="90"/>
        <v>#DIV/0!</v>
      </c>
      <c r="AA821" s="157" t="e">
        <f t="shared" si="91"/>
        <v>#DIV/0!</v>
      </c>
    </row>
    <row r="822" spans="14:27" ht="15">
      <c r="N822" s="194"/>
      <c r="O822" s="195"/>
      <c r="V822" s="196" t="str">
        <f t="shared" si="86"/>
        <v/>
      </c>
      <c r="W822" s="197" t="str">
        <f t="shared" si="87"/>
        <v/>
      </c>
      <c r="X822" s="197" t="str">
        <f t="shared" si="88"/>
        <v/>
      </c>
      <c r="Y822" s="197" t="str">
        <f t="shared" si="89"/>
        <v/>
      </c>
      <c r="Z822" s="157" t="e">
        <f t="shared" si="90"/>
        <v>#DIV/0!</v>
      </c>
      <c r="AA822" s="157" t="e">
        <f t="shared" si="91"/>
        <v>#DIV/0!</v>
      </c>
    </row>
    <row r="823" spans="14:27" ht="15">
      <c r="N823" s="194"/>
      <c r="O823" s="195"/>
      <c r="V823" s="196" t="str">
        <f t="shared" si="86"/>
        <v/>
      </c>
      <c r="W823" s="197" t="str">
        <f t="shared" si="87"/>
        <v/>
      </c>
      <c r="X823" s="197" t="str">
        <f t="shared" si="88"/>
        <v/>
      </c>
      <c r="Y823" s="197" t="str">
        <f t="shared" si="89"/>
        <v/>
      </c>
      <c r="Z823" s="157" t="e">
        <f t="shared" si="90"/>
        <v>#DIV/0!</v>
      </c>
      <c r="AA823" s="157" t="e">
        <f t="shared" si="91"/>
        <v>#DIV/0!</v>
      </c>
    </row>
    <row r="824" spans="14:27" ht="15">
      <c r="N824" s="194"/>
      <c r="O824" s="195"/>
      <c r="V824" s="196" t="str">
        <f t="shared" si="86"/>
        <v/>
      </c>
      <c r="W824" s="197" t="str">
        <f t="shared" si="87"/>
        <v/>
      </c>
      <c r="X824" s="197" t="str">
        <f t="shared" si="88"/>
        <v/>
      </c>
      <c r="Y824" s="197" t="str">
        <f t="shared" si="89"/>
        <v/>
      </c>
      <c r="Z824" s="157" t="e">
        <f t="shared" si="90"/>
        <v>#DIV/0!</v>
      </c>
      <c r="AA824" s="157" t="e">
        <f t="shared" si="91"/>
        <v>#DIV/0!</v>
      </c>
    </row>
    <row r="825" spans="14:27" ht="15">
      <c r="N825" s="194"/>
      <c r="O825" s="195"/>
      <c r="V825" s="196" t="str">
        <f t="shared" si="86"/>
        <v/>
      </c>
      <c r="W825" s="197" t="str">
        <f t="shared" si="87"/>
        <v/>
      </c>
      <c r="X825" s="197" t="str">
        <f t="shared" si="88"/>
        <v/>
      </c>
      <c r="Y825" s="197" t="str">
        <f t="shared" si="89"/>
        <v/>
      </c>
      <c r="Z825" s="157" t="e">
        <f t="shared" si="90"/>
        <v>#DIV/0!</v>
      </c>
      <c r="AA825" s="157" t="e">
        <f t="shared" si="91"/>
        <v>#DIV/0!</v>
      </c>
    </row>
    <row r="826" spans="14:27" ht="15">
      <c r="N826" s="194"/>
      <c r="O826" s="195"/>
      <c r="V826" s="196" t="str">
        <f t="shared" si="86"/>
        <v/>
      </c>
      <c r="W826" s="197" t="str">
        <f t="shared" si="87"/>
        <v/>
      </c>
      <c r="X826" s="197" t="str">
        <f t="shared" si="88"/>
        <v/>
      </c>
      <c r="Y826" s="197" t="str">
        <f t="shared" si="89"/>
        <v/>
      </c>
      <c r="Z826" s="157" t="e">
        <f t="shared" si="90"/>
        <v>#DIV/0!</v>
      </c>
      <c r="AA826" s="157" t="e">
        <f t="shared" si="91"/>
        <v>#DIV/0!</v>
      </c>
    </row>
    <row r="827" spans="14:27" ht="15">
      <c r="N827" s="194"/>
      <c r="O827" s="195"/>
      <c r="V827" s="196" t="str">
        <f t="shared" si="86"/>
        <v/>
      </c>
      <c r="W827" s="197" t="str">
        <f t="shared" si="87"/>
        <v/>
      </c>
      <c r="X827" s="197" t="str">
        <f t="shared" si="88"/>
        <v/>
      </c>
      <c r="Y827" s="197" t="str">
        <f t="shared" si="89"/>
        <v/>
      </c>
      <c r="Z827" s="157" t="e">
        <f t="shared" si="90"/>
        <v>#DIV/0!</v>
      </c>
      <c r="AA827" s="157" t="e">
        <f t="shared" si="91"/>
        <v>#DIV/0!</v>
      </c>
    </row>
    <row r="828" spans="14:27" ht="15">
      <c r="N828" s="194"/>
      <c r="O828" s="195"/>
      <c r="V828" s="196" t="str">
        <f t="shared" si="86"/>
        <v/>
      </c>
      <c r="W828" s="197" t="str">
        <f t="shared" si="87"/>
        <v/>
      </c>
      <c r="X828" s="197" t="str">
        <f t="shared" si="88"/>
        <v/>
      </c>
      <c r="Y828" s="197" t="str">
        <f t="shared" si="89"/>
        <v/>
      </c>
      <c r="Z828" s="157" t="e">
        <f t="shared" si="90"/>
        <v>#DIV/0!</v>
      </c>
      <c r="AA828" s="157" t="e">
        <f t="shared" si="91"/>
        <v>#DIV/0!</v>
      </c>
    </row>
    <row r="829" spans="14:27" ht="15">
      <c r="N829" s="194"/>
      <c r="O829" s="195"/>
      <c r="V829" s="196" t="str">
        <f t="shared" si="86"/>
        <v/>
      </c>
      <c r="W829" s="197" t="str">
        <f t="shared" si="87"/>
        <v/>
      </c>
      <c r="X829" s="197" t="str">
        <f t="shared" si="88"/>
        <v/>
      </c>
      <c r="Y829" s="197" t="str">
        <f t="shared" si="89"/>
        <v/>
      </c>
      <c r="Z829" s="157" t="e">
        <f t="shared" si="90"/>
        <v>#DIV/0!</v>
      </c>
      <c r="AA829" s="157" t="e">
        <f t="shared" si="91"/>
        <v>#DIV/0!</v>
      </c>
    </row>
    <row r="830" spans="14:27" ht="15">
      <c r="N830" s="194"/>
      <c r="O830" s="195"/>
      <c r="V830" s="196" t="str">
        <f t="shared" si="86"/>
        <v/>
      </c>
      <c r="W830" s="197" t="str">
        <f t="shared" si="87"/>
        <v/>
      </c>
      <c r="X830" s="197" t="str">
        <f t="shared" si="88"/>
        <v/>
      </c>
      <c r="Y830" s="197" t="str">
        <f t="shared" si="89"/>
        <v/>
      </c>
      <c r="Z830" s="157" t="e">
        <f t="shared" si="90"/>
        <v>#DIV/0!</v>
      </c>
      <c r="AA830" s="157" t="e">
        <f t="shared" si="91"/>
        <v>#DIV/0!</v>
      </c>
    </row>
    <row r="831" spans="14:27" ht="15">
      <c r="N831" s="194"/>
      <c r="O831" s="195"/>
      <c r="V831" s="196" t="str">
        <f t="shared" si="86"/>
        <v/>
      </c>
      <c r="W831" s="197" t="str">
        <f t="shared" si="87"/>
        <v/>
      </c>
      <c r="X831" s="197" t="str">
        <f t="shared" si="88"/>
        <v/>
      </c>
      <c r="Y831" s="197" t="str">
        <f t="shared" si="89"/>
        <v/>
      </c>
      <c r="Z831" s="157" t="e">
        <f t="shared" si="90"/>
        <v>#DIV/0!</v>
      </c>
      <c r="AA831" s="157" t="e">
        <f t="shared" si="91"/>
        <v>#DIV/0!</v>
      </c>
    </row>
    <row r="832" spans="14:27" ht="15">
      <c r="N832" s="194"/>
      <c r="O832" s="195"/>
      <c r="V832" s="196" t="str">
        <f t="shared" si="86"/>
        <v/>
      </c>
      <c r="W832" s="197" t="str">
        <f t="shared" si="87"/>
        <v/>
      </c>
      <c r="X832" s="197" t="str">
        <f t="shared" si="88"/>
        <v/>
      </c>
      <c r="Y832" s="197" t="str">
        <f t="shared" si="89"/>
        <v/>
      </c>
      <c r="Z832" s="157" t="e">
        <f t="shared" si="90"/>
        <v>#DIV/0!</v>
      </c>
      <c r="AA832" s="157" t="e">
        <f t="shared" si="91"/>
        <v>#DIV/0!</v>
      </c>
    </row>
    <row r="833" spans="14:27" ht="15">
      <c r="N833" s="194"/>
      <c r="O833" s="195"/>
      <c r="V833" s="196" t="str">
        <f t="shared" si="86"/>
        <v/>
      </c>
      <c r="W833" s="197" t="str">
        <f t="shared" si="87"/>
        <v/>
      </c>
      <c r="X833" s="197" t="str">
        <f t="shared" si="88"/>
        <v/>
      </c>
      <c r="Y833" s="197" t="str">
        <f t="shared" si="89"/>
        <v/>
      </c>
      <c r="Z833" s="157" t="e">
        <f t="shared" si="90"/>
        <v>#DIV/0!</v>
      </c>
      <c r="AA833" s="157" t="e">
        <f t="shared" si="91"/>
        <v>#DIV/0!</v>
      </c>
    </row>
    <row r="834" spans="14:27" ht="15">
      <c r="N834" s="194"/>
      <c r="O834" s="195"/>
      <c r="V834" s="196" t="str">
        <f t="shared" si="86"/>
        <v/>
      </c>
      <c r="W834" s="197" t="str">
        <f t="shared" si="87"/>
        <v/>
      </c>
      <c r="X834" s="197" t="str">
        <f t="shared" si="88"/>
        <v/>
      </c>
      <c r="Y834" s="197" t="str">
        <f t="shared" si="89"/>
        <v/>
      </c>
      <c r="Z834" s="157" t="e">
        <f t="shared" si="90"/>
        <v>#DIV/0!</v>
      </c>
      <c r="AA834" s="157" t="e">
        <f t="shared" si="91"/>
        <v>#DIV/0!</v>
      </c>
    </row>
    <row r="835" spans="14:27" ht="15">
      <c r="N835" s="194"/>
      <c r="O835" s="195"/>
      <c r="V835" s="196" t="str">
        <f t="shared" si="86"/>
        <v/>
      </c>
      <c r="W835" s="197" t="str">
        <f t="shared" si="87"/>
        <v/>
      </c>
      <c r="X835" s="197" t="str">
        <f t="shared" si="88"/>
        <v/>
      </c>
      <c r="Y835" s="197" t="str">
        <f t="shared" si="89"/>
        <v/>
      </c>
      <c r="Z835" s="157" t="e">
        <f t="shared" si="90"/>
        <v>#DIV/0!</v>
      </c>
      <c r="AA835" s="157" t="e">
        <f t="shared" si="91"/>
        <v>#DIV/0!</v>
      </c>
    </row>
    <row r="836" spans="14:27" ht="15">
      <c r="N836" s="194"/>
      <c r="O836" s="195"/>
      <c r="V836" s="196" t="str">
        <f t="shared" si="86"/>
        <v/>
      </c>
      <c r="W836" s="197" t="str">
        <f t="shared" si="87"/>
        <v/>
      </c>
      <c r="X836" s="197" t="str">
        <f t="shared" si="88"/>
        <v/>
      </c>
      <c r="Y836" s="197" t="str">
        <f t="shared" si="89"/>
        <v/>
      </c>
      <c r="Z836" s="157" t="e">
        <f t="shared" si="90"/>
        <v>#DIV/0!</v>
      </c>
      <c r="AA836" s="157" t="e">
        <f t="shared" si="91"/>
        <v>#DIV/0!</v>
      </c>
    </row>
    <row r="837" spans="14:27" ht="15">
      <c r="N837" s="194"/>
      <c r="O837" s="195"/>
      <c r="V837" s="196" t="str">
        <f t="shared" si="86"/>
        <v/>
      </c>
      <c r="W837" s="197" t="str">
        <f t="shared" si="87"/>
        <v/>
      </c>
      <c r="X837" s="197" t="str">
        <f t="shared" si="88"/>
        <v/>
      </c>
      <c r="Y837" s="197" t="str">
        <f t="shared" si="89"/>
        <v/>
      </c>
      <c r="Z837" s="157" t="e">
        <f t="shared" si="90"/>
        <v>#DIV/0!</v>
      </c>
      <c r="AA837" s="157" t="e">
        <f t="shared" si="91"/>
        <v>#DIV/0!</v>
      </c>
    </row>
    <row r="838" spans="14:27" ht="15">
      <c r="N838" s="194"/>
      <c r="O838" s="195"/>
      <c r="V838" s="196" t="str">
        <f t="shared" si="86"/>
        <v/>
      </c>
      <c r="W838" s="197" t="str">
        <f t="shared" si="87"/>
        <v/>
      </c>
      <c r="X838" s="197" t="str">
        <f t="shared" si="88"/>
        <v/>
      </c>
      <c r="Y838" s="197" t="str">
        <f t="shared" si="89"/>
        <v/>
      </c>
      <c r="Z838" s="157" t="e">
        <f t="shared" si="90"/>
        <v>#DIV/0!</v>
      </c>
      <c r="AA838" s="157" t="e">
        <f t="shared" si="91"/>
        <v>#DIV/0!</v>
      </c>
    </row>
    <row r="839" spans="14:27" ht="15">
      <c r="N839" s="194"/>
      <c r="O839" s="195"/>
      <c r="V839" s="196" t="str">
        <f t="shared" si="86"/>
        <v/>
      </c>
      <c r="W839" s="197" t="str">
        <f t="shared" si="87"/>
        <v/>
      </c>
      <c r="X839" s="197" t="str">
        <f t="shared" si="88"/>
        <v/>
      </c>
      <c r="Y839" s="197" t="str">
        <f t="shared" si="89"/>
        <v/>
      </c>
      <c r="Z839" s="157" t="e">
        <f t="shared" si="90"/>
        <v>#DIV/0!</v>
      </c>
      <c r="AA839" s="157" t="e">
        <f t="shared" si="91"/>
        <v>#DIV/0!</v>
      </c>
    </row>
    <row r="840" spans="14:27" ht="15">
      <c r="N840" s="194"/>
      <c r="O840" s="195"/>
      <c r="V840" s="196" t="str">
        <f t="shared" si="86"/>
        <v/>
      </c>
      <c r="W840" s="197" t="str">
        <f t="shared" si="87"/>
        <v/>
      </c>
      <c r="X840" s="197" t="str">
        <f t="shared" si="88"/>
        <v/>
      </c>
      <c r="Y840" s="197" t="str">
        <f t="shared" si="89"/>
        <v/>
      </c>
      <c r="Z840" s="157" t="e">
        <f t="shared" si="90"/>
        <v>#DIV/0!</v>
      </c>
      <c r="AA840" s="157" t="e">
        <f t="shared" si="91"/>
        <v>#DIV/0!</v>
      </c>
    </row>
    <row r="841" spans="14:27" ht="15">
      <c r="N841" s="194"/>
      <c r="O841" s="195"/>
      <c r="V841" s="196" t="str">
        <f t="shared" si="86"/>
        <v/>
      </c>
      <c r="W841" s="197" t="str">
        <f t="shared" si="87"/>
        <v/>
      </c>
      <c r="X841" s="197" t="str">
        <f t="shared" si="88"/>
        <v/>
      </c>
      <c r="Y841" s="197" t="str">
        <f t="shared" si="89"/>
        <v/>
      </c>
      <c r="Z841" s="157" t="e">
        <f t="shared" si="90"/>
        <v>#DIV/0!</v>
      </c>
      <c r="AA841" s="157" t="e">
        <f t="shared" si="91"/>
        <v>#DIV/0!</v>
      </c>
    </row>
    <row r="842" spans="14:27" ht="15">
      <c r="N842" s="194"/>
      <c r="O842" s="195"/>
      <c r="V842" s="196" t="str">
        <f t="shared" si="86"/>
        <v/>
      </c>
      <c r="W842" s="197" t="str">
        <f t="shared" si="87"/>
        <v/>
      </c>
      <c r="X842" s="197" t="str">
        <f t="shared" si="88"/>
        <v/>
      </c>
      <c r="Y842" s="197" t="str">
        <f t="shared" si="89"/>
        <v/>
      </c>
      <c r="Z842" s="157" t="e">
        <f t="shared" si="90"/>
        <v>#DIV/0!</v>
      </c>
      <c r="AA842" s="157" t="e">
        <f t="shared" si="91"/>
        <v>#DIV/0!</v>
      </c>
    </row>
    <row r="843" spans="14:27" ht="15">
      <c r="N843" s="194"/>
      <c r="O843" s="195"/>
      <c r="V843" s="196" t="str">
        <f t="shared" si="86"/>
        <v/>
      </c>
      <c r="W843" s="197" t="str">
        <f t="shared" si="87"/>
        <v/>
      </c>
      <c r="X843" s="197" t="str">
        <f t="shared" si="88"/>
        <v/>
      </c>
      <c r="Y843" s="197" t="str">
        <f t="shared" si="89"/>
        <v/>
      </c>
      <c r="Z843" s="157" t="e">
        <f t="shared" si="90"/>
        <v>#DIV/0!</v>
      </c>
      <c r="AA843" s="157" t="e">
        <f t="shared" si="91"/>
        <v>#DIV/0!</v>
      </c>
    </row>
    <row r="844" spans="14:27" ht="15">
      <c r="N844" s="194"/>
      <c r="O844" s="195"/>
      <c r="V844" s="196" t="str">
        <f t="shared" si="86"/>
        <v/>
      </c>
      <c r="W844" s="197" t="str">
        <f t="shared" si="87"/>
        <v/>
      </c>
      <c r="X844" s="197" t="str">
        <f t="shared" si="88"/>
        <v/>
      </c>
      <c r="Y844" s="197" t="str">
        <f t="shared" si="89"/>
        <v/>
      </c>
      <c r="Z844" s="157" t="e">
        <f t="shared" si="90"/>
        <v>#DIV/0!</v>
      </c>
      <c r="AA844" s="157" t="e">
        <f t="shared" si="91"/>
        <v>#DIV/0!</v>
      </c>
    </row>
    <row r="845" spans="14:27" ht="15">
      <c r="N845" s="194"/>
      <c r="O845" s="195"/>
      <c r="V845" s="196" t="str">
        <f t="shared" si="86"/>
        <v/>
      </c>
      <c r="W845" s="197" t="str">
        <f t="shared" si="87"/>
        <v/>
      </c>
      <c r="X845" s="197" t="str">
        <f t="shared" si="88"/>
        <v/>
      </c>
      <c r="Y845" s="197" t="str">
        <f t="shared" si="89"/>
        <v/>
      </c>
      <c r="Z845" s="157" t="e">
        <f t="shared" si="90"/>
        <v>#DIV/0!</v>
      </c>
      <c r="AA845" s="157" t="e">
        <f t="shared" si="91"/>
        <v>#DIV/0!</v>
      </c>
    </row>
    <row r="846" spans="14:27" ht="15">
      <c r="N846" s="194"/>
      <c r="O846" s="195"/>
      <c r="V846" s="196" t="str">
        <f t="shared" si="86"/>
        <v/>
      </c>
      <c r="W846" s="197" t="str">
        <f t="shared" si="87"/>
        <v/>
      </c>
      <c r="X846" s="197" t="str">
        <f t="shared" si="88"/>
        <v/>
      </c>
      <c r="Y846" s="197" t="str">
        <f t="shared" si="89"/>
        <v/>
      </c>
      <c r="Z846" s="157" t="e">
        <f t="shared" si="90"/>
        <v>#DIV/0!</v>
      </c>
      <c r="AA846" s="157" t="e">
        <f t="shared" si="91"/>
        <v>#DIV/0!</v>
      </c>
    </row>
    <row r="847" spans="14:27" ht="15">
      <c r="N847" s="194"/>
      <c r="O847" s="195"/>
      <c r="V847" s="196" t="str">
        <f t="shared" si="86"/>
        <v/>
      </c>
      <c r="W847" s="197" t="str">
        <f t="shared" si="87"/>
        <v/>
      </c>
      <c r="X847" s="197" t="str">
        <f t="shared" si="88"/>
        <v/>
      </c>
      <c r="Y847" s="197" t="str">
        <f t="shared" si="89"/>
        <v/>
      </c>
      <c r="Z847" s="157" t="e">
        <f t="shared" si="90"/>
        <v>#DIV/0!</v>
      </c>
      <c r="AA847" s="157" t="e">
        <f t="shared" si="91"/>
        <v>#DIV/0!</v>
      </c>
    </row>
    <row r="848" spans="14:27" ht="15">
      <c r="N848" s="194"/>
      <c r="O848" s="195"/>
      <c r="V848" s="196" t="str">
        <f t="shared" si="86"/>
        <v/>
      </c>
      <c r="W848" s="197" t="str">
        <f t="shared" si="87"/>
        <v/>
      </c>
      <c r="X848" s="197" t="str">
        <f t="shared" si="88"/>
        <v/>
      </c>
      <c r="Y848" s="197" t="str">
        <f t="shared" si="89"/>
        <v/>
      </c>
      <c r="Z848" s="157" t="e">
        <f t="shared" si="90"/>
        <v>#DIV/0!</v>
      </c>
      <c r="AA848" s="157" t="e">
        <f t="shared" si="91"/>
        <v>#DIV/0!</v>
      </c>
    </row>
    <row r="849" spans="14:27" ht="15">
      <c r="N849" s="194"/>
      <c r="O849" s="195"/>
      <c r="V849" s="196" t="str">
        <f t="shared" si="86"/>
        <v/>
      </c>
      <c r="W849" s="197" t="str">
        <f t="shared" si="87"/>
        <v/>
      </c>
      <c r="X849" s="197" t="str">
        <f t="shared" si="88"/>
        <v/>
      </c>
      <c r="Y849" s="197" t="str">
        <f t="shared" si="89"/>
        <v/>
      </c>
      <c r="Z849" s="157" t="e">
        <f t="shared" si="90"/>
        <v>#DIV/0!</v>
      </c>
      <c r="AA849" s="157" t="e">
        <f t="shared" si="91"/>
        <v>#DIV/0!</v>
      </c>
    </row>
    <row r="850" spans="14:27" ht="15">
      <c r="N850" s="194"/>
      <c r="O850" s="195"/>
      <c r="V850" s="196" t="str">
        <f t="shared" si="86"/>
        <v/>
      </c>
      <c r="W850" s="197" t="str">
        <f t="shared" si="87"/>
        <v/>
      </c>
      <c r="X850" s="197" t="str">
        <f t="shared" si="88"/>
        <v/>
      </c>
      <c r="Y850" s="197" t="str">
        <f t="shared" si="89"/>
        <v/>
      </c>
      <c r="Z850" s="157" t="e">
        <f t="shared" si="90"/>
        <v>#DIV/0!</v>
      </c>
      <c r="AA850" s="157" t="e">
        <f t="shared" si="91"/>
        <v>#DIV/0!</v>
      </c>
    </row>
    <row r="851" spans="14:27" ht="15">
      <c r="N851" s="194"/>
      <c r="O851" s="195"/>
      <c r="V851" s="196" t="str">
        <f t="shared" si="86"/>
        <v/>
      </c>
      <c r="W851" s="197" t="str">
        <f t="shared" si="87"/>
        <v/>
      </c>
      <c r="X851" s="197" t="str">
        <f t="shared" si="88"/>
        <v/>
      </c>
      <c r="Y851" s="197" t="str">
        <f t="shared" si="89"/>
        <v/>
      </c>
      <c r="Z851" s="157" t="e">
        <f t="shared" si="90"/>
        <v>#DIV/0!</v>
      </c>
      <c r="AA851" s="157" t="e">
        <f t="shared" si="91"/>
        <v>#DIV/0!</v>
      </c>
    </row>
    <row r="852" spans="14:27" ht="15">
      <c r="N852" s="194"/>
      <c r="O852" s="195"/>
      <c r="V852" s="196" t="str">
        <f t="shared" si="86"/>
        <v/>
      </c>
      <c r="W852" s="197" t="str">
        <f t="shared" si="87"/>
        <v/>
      </c>
      <c r="X852" s="197" t="str">
        <f t="shared" si="88"/>
        <v/>
      </c>
      <c r="Y852" s="197" t="str">
        <f t="shared" si="89"/>
        <v/>
      </c>
      <c r="Z852" s="157" t="e">
        <f t="shared" si="90"/>
        <v>#DIV/0!</v>
      </c>
      <c r="AA852" s="157" t="e">
        <f t="shared" si="91"/>
        <v>#DIV/0!</v>
      </c>
    </row>
    <row r="853" spans="14:27" ht="15">
      <c r="N853" s="194"/>
      <c r="O853" s="195"/>
      <c r="V853" s="196" t="str">
        <f t="shared" ref="V853:V916" si="92">IFERROR(IF(AND(1/L853&gt;$V$19,1/L853&lt;=$W$19),1/L853,0),"")</f>
        <v/>
      </c>
      <c r="W853" s="197" t="str">
        <f t="shared" ref="W853:W916" si="93">IFERROR(IF(AND(1/L853&gt;$W$19,1/L853&lt;=$X$19),1/L853,0),"")</f>
        <v/>
      </c>
      <c r="X853" s="197" t="str">
        <f t="shared" ref="X853:X916" si="94">IFERROR(IF(AND(1/L853&gt;$X$19,1/L853&lt;=$Y$19),1/L853,0),"")</f>
        <v/>
      </c>
      <c r="Y853" s="197" t="str">
        <f t="shared" ref="Y853:Y916" si="95">IFERROR(IF(1/L853&gt;$Y$19,1/L853,0),"")</f>
        <v/>
      </c>
      <c r="Z853" s="157" t="e">
        <f t="shared" ref="Z853:Z916" si="96">IF(N853&lt;&gt;"",(N853-$N$17)/1000,1/0)</f>
        <v>#DIV/0!</v>
      </c>
      <c r="AA853" s="157" t="e">
        <f t="shared" ref="AA853:AA916" si="97">IF(O853&lt;&gt;"",(O853-$O$17)/1000,1/0)</f>
        <v>#DIV/0!</v>
      </c>
    </row>
    <row r="854" spans="14:27" ht="15">
      <c r="N854" s="194"/>
      <c r="O854" s="195"/>
      <c r="V854" s="196" t="str">
        <f t="shared" si="92"/>
        <v/>
      </c>
      <c r="W854" s="197" t="str">
        <f t="shared" si="93"/>
        <v/>
      </c>
      <c r="X854" s="197" t="str">
        <f t="shared" si="94"/>
        <v/>
      </c>
      <c r="Y854" s="197" t="str">
        <f t="shared" si="95"/>
        <v/>
      </c>
      <c r="Z854" s="157" t="e">
        <f t="shared" si="96"/>
        <v>#DIV/0!</v>
      </c>
      <c r="AA854" s="157" t="e">
        <f t="shared" si="97"/>
        <v>#DIV/0!</v>
      </c>
    </row>
    <row r="855" spans="14:27" ht="15">
      <c r="N855" s="194"/>
      <c r="O855" s="195"/>
      <c r="V855" s="196" t="str">
        <f t="shared" si="92"/>
        <v/>
      </c>
      <c r="W855" s="197" t="str">
        <f t="shared" si="93"/>
        <v/>
      </c>
      <c r="X855" s="197" t="str">
        <f t="shared" si="94"/>
        <v/>
      </c>
      <c r="Y855" s="197" t="str">
        <f t="shared" si="95"/>
        <v/>
      </c>
      <c r="Z855" s="157" t="e">
        <f t="shared" si="96"/>
        <v>#DIV/0!</v>
      </c>
      <c r="AA855" s="157" t="e">
        <f t="shared" si="97"/>
        <v>#DIV/0!</v>
      </c>
    </row>
    <row r="856" spans="14:27" ht="15">
      <c r="N856" s="194"/>
      <c r="O856" s="195"/>
      <c r="V856" s="196" t="str">
        <f t="shared" si="92"/>
        <v/>
      </c>
      <c r="W856" s="197" t="str">
        <f t="shared" si="93"/>
        <v/>
      </c>
      <c r="X856" s="197" t="str">
        <f t="shared" si="94"/>
        <v/>
      </c>
      <c r="Y856" s="197" t="str">
        <f t="shared" si="95"/>
        <v/>
      </c>
      <c r="Z856" s="157" t="e">
        <f t="shared" si="96"/>
        <v>#DIV/0!</v>
      </c>
      <c r="AA856" s="157" t="e">
        <f t="shared" si="97"/>
        <v>#DIV/0!</v>
      </c>
    </row>
    <row r="857" spans="14:27" ht="15">
      <c r="N857" s="194"/>
      <c r="O857" s="195"/>
      <c r="V857" s="196" t="str">
        <f t="shared" si="92"/>
        <v/>
      </c>
      <c r="W857" s="197" t="str">
        <f t="shared" si="93"/>
        <v/>
      </c>
      <c r="X857" s="197" t="str">
        <f t="shared" si="94"/>
        <v/>
      </c>
      <c r="Y857" s="197" t="str">
        <f t="shared" si="95"/>
        <v/>
      </c>
      <c r="Z857" s="157" t="e">
        <f t="shared" si="96"/>
        <v>#DIV/0!</v>
      </c>
      <c r="AA857" s="157" t="e">
        <f t="shared" si="97"/>
        <v>#DIV/0!</v>
      </c>
    </row>
    <row r="858" spans="14:27" ht="15">
      <c r="N858" s="194"/>
      <c r="O858" s="195"/>
      <c r="V858" s="196" t="str">
        <f t="shared" si="92"/>
        <v/>
      </c>
      <c r="W858" s="197" t="str">
        <f t="shared" si="93"/>
        <v/>
      </c>
      <c r="X858" s="197" t="str">
        <f t="shared" si="94"/>
        <v/>
      </c>
      <c r="Y858" s="197" t="str">
        <f t="shared" si="95"/>
        <v/>
      </c>
      <c r="Z858" s="157" t="e">
        <f t="shared" si="96"/>
        <v>#DIV/0!</v>
      </c>
      <c r="AA858" s="157" t="e">
        <f t="shared" si="97"/>
        <v>#DIV/0!</v>
      </c>
    </row>
    <row r="859" spans="14:27" ht="15">
      <c r="N859" s="194"/>
      <c r="O859" s="195"/>
      <c r="V859" s="196" t="str">
        <f t="shared" si="92"/>
        <v/>
      </c>
      <c r="W859" s="197" t="str">
        <f t="shared" si="93"/>
        <v/>
      </c>
      <c r="X859" s="197" t="str">
        <f t="shared" si="94"/>
        <v/>
      </c>
      <c r="Y859" s="197" t="str">
        <f t="shared" si="95"/>
        <v/>
      </c>
      <c r="Z859" s="157" t="e">
        <f t="shared" si="96"/>
        <v>#DIV/0!</v>
      </c>
      <c r="AA859" s="157" t="e">
        <f t="shared" si="97"/>
        <v>#DIV/0!</v>
      </c>
    </row>
    <row r="860" spans="14:27" ht="15">
      <c r="N860" s="194"/>
      <c r="O860" s="195"/>
      <c r="V860" s="196" t="str">
        <f t="shared" si="92"/>
        <v/>
      </c>
      <c r="W860" s="197" t="str">
        <f t="shared" si="93"/>
        <v/>
      </c>
      <c r="X860" s="197" t="str">
        <f t="shared" si="94"/>
        <v/>
      </c>
      <c r="Y860" s="197" t="str">
        <f t="shared" si="95"/>
        <v/>
      </c>
      <c r="Z860" s="157" t="e">
        <f t="shared" si="96"/>
        <v>#DIV/0!</v>
      </c>
      <c r="AA860" s="157" t="e">
        <f t="shared" si="97"/>
        <v>#DIV/0!</v>
      </c>
    </row>
    <row r="861" spans="14:27" ht="15">
      <c r="N861" s="194"/>
      <c r="O861" s="195"/>
      <c r="V861" s="196" t="str">
        <f t="shared" si="92"/>
        <v/>
      </c>
      <c r="W861" s="197" t="str">
        <f t="shared" si="93"/>
        <v/>
      </c>
      <c r="X861" s="197" t="str">
        <f t="shared" si="94"/>
        <v/>
      </c>
      <c r="Y861" s="197" t="str">
        <f t="shared" si="95"/>
        <v/>
      </c>
      <c r="Z861" s="157" t="e">
        <f t="shared" si="96"/>
        <v>#DIV/0!</v>
      </c>
      <c r="AA861" s="157" t="e">
        <f t="shared" si="97"/>
        <v>#DIV/0!</v>
      </c>
    </row>
    <row r="862" spans="14:27" ht="15">
      <c r="N862" s="194"/>
      <c r="O862" s="195"/>
      <c r="V862" s="196" t="str">
        <f t="shared" si="92"/>
        <v/>
      </c>
      <c r="W862" s="197" t="str">
        <f t="shared" si="93"/>
        <v/>
      </c>
      <c r="X862" s="197" t="str">
        <f t="shared" si="94"/>
        <v/>
      </c>
      <c r="Y862" s="197" t="str">
        <f t="shared" si="95"/>
        <v/>
      </c>
      <c r="Z862" s="157" t="e">
        <f t="shared" si="96"/>
        <v>#DIV/0!</v>
      </c>
      <c r="AA862" s="157" t="e">
        <f t="shared" si="97"/>
        <v>#DIV/0!</v>
      </c>
    </row>
    <row r="863" spans="14:27" ht="15">
      <c r="N863" s="194"/>
      <c r="O863" s="195"/>
      <c r="V863" s="196" t="str">
        <f t="shared" si="92"/>
        <v/>
      </c>
      <c r="W863" s="197" t="str">
        <f t="shared" si="93"/>
        <v/>
      </c>
      <c r="X863" s="197" t="str">
        <f t="shared" si="94"/>
        <v/>
      </c>
      <c r="Y863" s="197" t="str">
        <f t="shared" si="95"/>
        <v/>
      </c>
      <c r="Z863" s="157" t="e">
        <f t="shared" si="96"/>
        <v>#DIV/0!</v>
      </c>
      <c r="AA863" s="157" t="e">
        <f t="shared" si="97"/>
        <v>#DIV/0!</v>
      </c>
    </row>
    <row r="864" spans="14:27" ht="15">
      <c r="N864" s="194"/>
      <c r="O864" s="195"/>
      <c r="V864" s="196" t="str">
        <f t="shared" si="92"/>
        <v/>
      </c>
      <c r="W864" s="197" t="str">
        <f t="shared" si="93"/>
        <v/>
      </c>
      <c r="X864" s="197" t="str">
        <f t="shared" si="94"/>
        <v/>
      </c>
      <c r="Y864" s="197" t="str">
        <f t="shared" si="95"/>
        <v/>
      </c>
      <c r="Z864" s="157" t="e">
        <f t="shared" si="96"/>
        <v>#DIV/0!</v>
      </c>
      <c r="AA864" s="157" t="e">
        <f t="shared" si="97"/>
        <v>#DIV/0!</v>
      </c>
    </row>
    <row r="865" spans="14:27" ht="15">
      <c r="N865" s="194"/>
      <c r="O865" s="195"/>
      <c r="V865" s="196" t="str">
        <f t="shared" si="92"/>
        <v/>
      </c>
      <c r="W865" s="197" t="str">
        <f t="shared" si="93"/>
        <v/>
      </c>
      <c r="X865" s="197" t="str">
        <f t="shared" si="94"/>
        <v/>
      </c>
      <c r="Y865" s="197" t="str">
        <f t="shared" si="95"/>
        <v/>
      </c>
      <c r="Z865" s="157" t="e">
        <f t="shared" si="96"/>
        <v>#DIV/0!</v>
      </c>
      <c r="AA865" s="157" t="e">
        <f t="shared" si="97"/>
        <v>#DIV/0!</v>
      </c>
    </row>
    <row r="866" spans="14:27" ht="15">
      <c r="N866" s="194"/>
      <c r="O866" s="195"/>
      <c r="V866" s="196" t="str">
        <f t="shared" si="92"/>
        <v/>
      </c>
      <c r="W866" s="197" t="str">
        <f t="shared" si="93"/>
        <v/>
      </c>
      <c r="X866" s="197" t="str">
        <f t="shared" si="94"/>
        <v/>
      </c>
      <c r="Y866" s="197" t="str">
        <f t="shared" si="95"/>
        <v/>
      </c>
      <c r="Z866" s="157" t="e">
        <f t="shared" si="96"/>
        <v>#DIV/0!</v>
      </c>
      <c r="AA866" s="157" t="e">
        <f t="shared" si="97"/>
        <v>#DIV/0!</v>
      </c>
    </row>
    <row r="867" spans="14:27" ht="15">
      <c r="N867" s="194"/>
      <c r="O867" s="195"/>
      <c r="V867" s="196" t="str">
        <f t="shared" si="92"/>
        <v/>
      </c>
      <c r="W867" s="197" t="str">
        <f t="shared" si="93"/>
        <v/>
      </c>
      <c r="X867" s="197" t="str">
        <f t="shared" si="94"/>
        <v/>
      </c>
      <c r="Y867" s="197" t="str">
        <f t="shared" si="95"/>
        <v/>
      </c>
      <c r="Z867" s="157" t="e">
        <f t="shared" si="96"/>
        <v>#DIV/0!</v>
      </c>
      <c r="AA867" s="157" t="e">
        <f t="shared" si="97"/>
        <v>#DIV/0!</v>
      </c>
    </row>
    <row r="868" spans="14:27" ht="15">
      <c r="N868" s="194"/>
      <c r="O868" s="195"/>
      <c r="V868" s="196" t="str">
        <f t="shared" si="92"/>
        <v/>
      </c>
      <c r="W868" s="197" t="str">
        <f t="shared" si="93"/>
        <v/>
      </c>
      <c r="X868" s="197" t="str">
        <f t="shared" si="94"/>
        <v/>
      </c>
      <c r="Y868" s="197" t="str">
        <f t="shared" si="95"/>
        <v/>
      </c>
      <c r="Z868" s="157" t="e">
        <f t="shared" si="96"/>
        <v>#DIV/0!</v>
      </c>
      <c r="AA868" s="157" t="e">
        <f t="shared" si="97"/>
        <v>#DIV/0!</v>
      </c>
    </row>
    <row r="869" spans="14:27" ht="15">
      <c r="N869" s="194"/>
      <c r="O869" s="195"/>
      <c r="V869" s="196" t="str">
        <f t="shared" si="92"/>
        <v/>
      </c>
      <c r="W869" s="197" t="str">
        <f t="shared" si="93"/>
        <v/>
      </c>
      <c r="X869" s="197" t="str">
        <f t="shared" si="94"/>
        <v/>
      </c>
      <c r="Y869" s="197" t="str">
        <f t="shared" si="95"/>
        <v/>
      </c>
      <c r="Z869" s="157" t="e">
        <f t="shared" si="96"/>
        <v>#DIV/0!</v>
      </c>
      <c r="AA869" s="157" t="e">
        <f t="shared" si="97"/>
        <v>#DIV/0!</v>
      </c>
    </row>
    <row r="870" spans="14:27" ht="15">
      <c r="N870" s="194"/>
      <c r="O870" s="195"/>
      <c r="V870" s="196" t="str">
        <f t="shared" si="92"/>
        <v/>
      </c>
      <c r="W870" s="197" t="str">
        <f t="shared" si="93"/>
        <v/>
      </c>
      <c r="X870" s="197" t="str">
        <f t="shared" si="94"/>
        <v/>
      </c>
      <c r="Y870" s="197" t="str">
        <f t="shared" si="95"/>
        <v/>
      </c>
      <c r="Z870" s="157" t="e">
        <f t="shared" si="96"/>
        <v>#DIV/0!</v>
      </c>
      <c r="AA870" s="157" t="e">
        <f t="shared" si="97"/>
        <v>#DIV/0!</v>
      </c>
    </row>
    <row r="871" spans="14:27" ht="15">
      <c r="N871" s="194"/>
      <c r="O871" s="195"/>
      <c r="V871" s="196" t="str">
        <f t="shared" si="92"/>
        <v/>
      </c>
      <c r="W871" s="197" t="str">
        <f t="shared" si="93"/>
        <v/>
      </c>
      <c r="X871" s="197" t="str">
        <f t="shared" si="94"/>
        <v/>
      </c>
      <c r="Y871" s="197" t="str">
        <f t="shared" si="95"/>
        <v/>
      </c>
      <c r="Z871" s="157" t="e">
        <f t="shared" si="96"/>
        <v>#DIV/0!</v>
      </c>
      <c r="AA871" s="157" t="e">
        <f t="shared" si="97"/>
        <v>#DIV/0!</v>
      </c>
    </row>
    <row r="872" spans="14:27" ht="15">
      <c r="N872" s="194"/>
      <c r="O872" s="195"/>
      <c r="V872" s="196" t="str">
        <f t="shared" si="92"/>
        <v/>
      </c>
      <c r="W872" s="197" t="str">
        <f t="shared" si="93"/>
        <v/>
      </c>
      <c r="X872" s="197" t="str">
        <f t="shared" si="94"/>
        <v/>
      </c>
      <c r="Y872" s="197" t="str">
        <f t="shared" si="95"/>
        <v/>
      </c>
      <c r="Z872" s="157" t="e">
        <f t="shared" si="96"/>
        <v>#DIV/0!</v>
      </c>
      <c r="AA872" s="157" t="e">
        <f t="shared" si="97"/>
        <v>#DIV/0!</v>
      </c>
    </row>
    <row r="873" spans="14:27" ht="15">
      <c r="N873" s="194"/>
      <c r="O873" s="195"/>
      <c r="V873" s="196" t="str">
        <f t="shared" si="92"/>
        <v/>
      </c>
      <c r="W873" s="197" t="str">
        <f t="shared" si="93"/>
        <v/>
      </c>
      <c r="X873" s="197" t="str">
        <f t="shared" si="94"/>
        <v/>
      </c>
      <c r="Y873" s="197" t="str">
        <f t="shared" si="95"/>
        <v/>
      </c>
      <c r="Z873" s="157" t="e">
        <f t="shared" si="96"/>
        <v>#DIV/0!</v>
      </c>
      <c r="AA873" s="157" t="e">
        <f t="shared" si="97"/>
        <v>#DIV/0!</v>
      </c>
    </row>
    <row r="874" spans="14:27" ht="15">
      <c r="N874" s="194"/>
      <c r="O874" s="195"/>
      <c r="V874" s="196" t="str">
        <f t="shared" si="92"/>
        <v/>
      </c>
      <c r="W874" s="197" t="str">
        <f t="shared" si="93"/>
        <v/>
      </c>
      <c r="X874" s="197" t="str">
        <f t="shared" si="94"/>
        <v/>
      </c>
      <c r="Y874" s="197" t="str">
        <f t="shared" si="95"/>
        <v/>
      </c>
      <c r="Z874" s="157" t="e">
        <f t="shared" si="96"/>
        <v>#DIV/0!</v>
      </c>
      <c r="AA874" s="157" t="e">
        <f t="shared" si="97"/>
        <v>#DIV/0!</v>
      </c>
    </row>
    <row r="875" spans="14:27" ht="15">
      <c r="N875" s="194"/>
      <c r="O875" s="195"/>
      <c r="V875" s="196" t="str">
        <f t="shared" si="92"/>
        <v/>
      </c>
      <c r="W875" s="197" t="str">
        <f t="shared" si="93"/>
        <v/>
      </c>
      <c r="X875" s="197" t="str">
        <f t="shared" si="94"/>
        <v/>
      </c>
      <c r="Y875" s="197" t="str">
        <f t="shared" si="95"/>
        <v/>
      </c>
      <c r="Z875" s="157" t="e">
        <f t="shared" si="96"/>
        <v>#DIV/0!</v>
      </c>
      <c r="AA875" s="157" t="e">
        <f t="shared" si="97"/>
        <v>#DIV/0!</v>
      </c>
    </row>
    <row r="876" spans="14:27" ht="15">
      <c r="N876" s="194"/>
      <c r="O876" s="195"/>
      <c r="V876" s="196" t="str">
        <f t="shared" si="92"/>
        <v/>
      </c>
      <c r="W876" s="197" t="str">
        <f t="shared" si="93"/>
        <v/>
      </c>
      <c r="X876" s="197" t="str">
        <f t="shared" si="94"/>
        <v/>
      </c>
      <c r="Y876" s="197" t="str">
        <f t="shared" si="95"/>
        <v/>
      </c>
      <c r="Z876" s="157" t="e">
        <f t="shared" si="96"/>
        <v>#DIV/0!</v>
      </c>
      <c r="AA876" s="157" t="e">
        <f t="shared" si="97"/>
        <v>#DIV/0!</v>
      </c>
    </row>
    <row r="877" spans="14:27" ht="15">
      <c r="N877" s="194"/>
      <c r="O877" s="195"/>
      <c r="V877" s="196" t="str">
        <f t="shared" si="92"/>
        <v/>
      </c>
      <c r="W877" s="197" t="str">
        <f t="shared" si="93"/>
        <v/>
      </c>
      <c r="X877" s="197" t="str">
        <f t="shared" si="94"/>
        <v/>
      </c>
      <c r="Y877" s="197" t="str">
        <f t="shared" si="95"/>
        <v/>
      </c>
      <c r="Z877" s="157" t="e">
        <f t="shared" si="96"/>
        <v>#DIV/0!</v>
      </c>
      <c r="AA877" s="157" t="e">
        <f t="shared" si="97"/>
        <v>#DIV/0!</v>
      </c>
    </row>
    <row r="878" spans="14:27" ht="15">
      <c r="N878" s="194"/>
      <c r="O878" s="195"/>
      <c r="V878" s="196" t="str">
        <f t="shared" si="92"/>
        <v/>
      </c>
      <c r="W878" s="197" t="str">
        <f t="shared" si="93"/>
        <v/>
      </c>
      <c r="X878" s="197" t="str">
        <f t="shared" si="94"/>
        <v/>
      </c>
      <c r="Y878" s="197" t="str">
        <f t="shared" si="95"/>
        <v/>
      </c>
      <c r="Z878" s="157" t="e">
        <f t="shared" si="96"/>
        <v>#DIV/0!</v>
      </c>
      <c r="AA878" s="157" t="e">
        <f t="shared" si="97"/>
        <v>#DIV/0!</v>
      </c>
    </row>
    <row r="879" spans="14:27" ht="15">
      <c r="N879" s="194"/>
      <c r="O879" s="195"/>
      <c r="V879" s="196" t="str">
        <f t="shared" si="92"/>
        <v/>
      </c>
      <c r="W879" s="197" t="str">
        <f t="shared" si="93"/>
        <v/>
      </c>
      <c r="X879" s="197" t="str">
        <f t="shared" si="94"/>
        <v/>
      </c>
      <c r="Y879" s="197" t="str">
        <f t="shared" si="95"/>
        <v/>
      </c>
      <c r="Z879" s="157" t="e">
        <f t="shared" si="96"/>
        <v>#DIV/0!</v>
      </c>
      <c r="AA879" s="157" t="e">
        <f t="shared" si="97"/>
        <v>#DIV/0!</v>
      </c>
    </row>
    <row r="880" spans="14:27" ht="15">
      <c r="N880" s="194"/>
      <c r="O880" s="195"/>
      <c r="V880" s="196" t="str">
        <f t="shared" si="92"/>
        <v/>
      </c>
      <c r="W880" s="197" t="str">
        <f t="shared" si="93"/>
        <v/>
      </c>
      <c r="X880" s="197" t="str">
        <f t="shared" si="94"/>
        <v/>
      </c>
      <c r="Y880" s="197" t="str">
        <f t="shared" si="95"/>
        <v/>
      </c>
      <c r="Z880" s="157" t="e">
        <f t="shared" si="96"/>
        <v>#DIV/0!</v>
      </c>
      <c r="AA880" s="157" t="e">
        <f t="shared" si="97"/>
        <v>#DIV/0!</v>
      </c>
    </row>
    <row r="881" spans="14:27" ht="15">
      <c r="N881" s="194"/>
      <c r="O881" s="195"/>
      <c r="V881" s="196" t="str">
        <f t="shared" si="92"/>
        <v/>
      </c>
      <c r="W881" s="197" t="str">
        <f t="shared" si="93"/>
        <v/>
      </c>
      <c r="X881" s="197" t="str">
        <f t="shared" si="94"/>
        <v/>
      </c>
      <c r="Y881" s="197" t="str">
        <f t="shared" si="95"/>
        <v/>
      </c>
      <c r="Z881" s="157" t="e">
        <f t="shared" si="96"/>
        <v>#DIV/0!</v>
      </c>
      <c r="AA881" s="157" t="e">
        <f t="shared" si="97"/>
        <v>#DIV/0!</v>
      </c>
    </row>
    <row r="882" spans="14:27" ht="15">
      <c r="N882" s="194"/>
      <c r="O882" s="195"/>
      <c r="V882" s="196" t="str">
        <f t="shared" si="92"/>
        <v/>
      </c>
      <c r="W882" s="197" t="str">
        <f t="shared" si="93"/>
        <v/>
      </c>
      <c r="X882" s="197" t="str">
        <f t="shared" si="94"/>
        <v/>
      </c>
      <c r="Y882" s="197" t="str">
        <f t="shared" si="95"/>
        <v/>
      </c>
      <c r="Z882" s="157" t="e">
        <f t="shared" si="96"/>
        <v>#DIV/0!</v>
      </c>
      <c r="AA882" s="157" t="e">
        <f t="shared" si="97"/>
        <v>#DIV/0!</v>
      </c>
    </row>
    <row r="883" spans="14:27" ht="15">
      <c r="N883" s="194"/>
      <c r="O883" s="195"/>
      <c r="V883" s="196" t="str">
        <f t="shared" si="92"/>
        <v/>
      </c>
      <c r="W883" s="197" t="str">
        <f t="shared" si="93"/>
        <v/>
      </c>
      <c r="X883" s="197" t="str">
        <f t="shared" si="94"/>
        <v/>
      </c>
      <c r="Y883" s="197" t="str">
        <f t="shared" si="95"/>
        <v/>
      </c>
      <c r="Z883" s="157" t="e">
        <f t="shared" si="96"/>
        <v>#DIV/0!</v>
      </c>
      <c r="AA883" s="157" t="e">
        <f t="shared" si="97"/>
        <v>#DIV/0!</v>
      </c>
    </row>
    <row r="884" spans="14:27" ht="15">
      <c r="N884" s="194"/>
      <c r="O884" s="195"/>
      <c r="V884" s="196" t="str">
        <f t="shared" si="92"/>
        <v/>
      </c>
      <c r="W884" s="197" t="str">
        <f t="shared" si="93"/>
        <v/>
      </c>
      <c r="X884" s="197" t="str">
        <f t="shared" si="94"/>
        <v/>
      </c>
      <c r="Y884" s="197" t="str">
        <f t="shared" si="95"/>
        <v/>
      </c>
      <c r="Z884" s="157" t="e">
        <f t="shared" si="96"/>
        <v>#DIV/0!</v>
      </c>
      <c r="AA884" s="157" t="e">
        <f t="shared" si="97"/>
        <v>#DIV/0!</v>
      </c>
    </row>
    <row r="885" spans="14:27" ht="15">
      <c r="N885" s="194"/>
      <c r="O885" s="195"/>
      <c r="V885" s="196" t="str">
        <f t="shared" si="92"/>
        <v/>
      </c>
      <c r="W885" s="197" t="str">
        <f t="shared" si="93"/>
        <v/>
      </c>
      <c r="X885" s="197" t="str">
        <f t="shared" si="94"/>
        <v/>
      </c>
      <c r="Y885" s="197" t="str">
        <f t="shared" si="95"/>
        <v/>
      </c>
      <c r="Z885" s="157" t="e">
        <f t="shared" si="96"/>
        <v>#DIV/0!</v>
      </c>
      <c r="AA885" s="157" t="e">
        <f t="shared" si="97"/>
        <v>#DIV/0!</v>
      </c>
    </row>
    <row r="886" spans="14:27" ht="15">
      <c r="N886" s="194"/>
      <c r="O886" s="195"/>
      <c r="V886" s="196" t="str">
        <f t="shared" si="92"/>
        <v/>
      </c>
      <c r="W886" s="197" t="str">
        <f t="shared" si="93"/>
        <v/>
      </c>
      <c r="X886" s="197" t="str">
        <f t="shared" si="94"/>
        <v/>
      </c>
      <c r="Y886" s="197" t="str">
        <f t="shared" si="95"/>
        <v/>
      </c>
      <c r="Z886" s="157" t="e">
        <f t="shared" si="96"/>
        <v>#DIV/0!</v>
      </c>
      <c r="AA886" s="157" t="e">
        <f t="shared" si="97"/>
        <v>#DIV/0!</v>
      </c>
    </row>
    <row r="887" spans="14:27" ht="15">
      <c r="N887" s="194"/>
      <c r="O887" s="195"/>
      <c r="V887" s="196" t="str">
        <f t="shared" si="92"/>
        <v/>
      </c>
      <c r="W887" s="197" t="str">
        <f t="shared" si="93"/>
        <v/>
      </c>
      <c r="X887" s="197" t="str">
        <f t="shared" si="94"/>
        <v/>
      </c>
      <c r="Y887" s="197" t="str">
        <f t="shared" si="95"/>
        <v/>
      </c>
      <c r="Z887" s="157" t="e">
        <f t="shared" si="96"/>
        <v>#DIV/0!</v>
      </c>
      <c r="AA887" s="157" t="e">
        <f t="shared" si="97"/>
        <v>#DIV/0!</v>
      </c>
    </row>
    <row r="888" spans="14:27" ht="15">
      <c r="N888" s="194"/>
      <c r="O888" s="195"/>
      <c r="V888" s="196" t="str">
        <f t="shared" si="92"/>
        <v/>
      </c>
      <c r="W888" s="197" t="str">
        <f t="shared" si="93"/>
        <v/>
      </c>
      <c r="X888" s="197" t="str">
        <f t="shared" si="94"/>
        <v/>
      </c>
      <c r="Y888" s="197" t="str">
        <f t="shared" si="95"/>
        <v/>
      </c>
      <c r="Z888" s="157" t="e">
        <f t="shared" si="96"/>
        <v>#DIV/0!</v>
      </c>
      <c r="AA888" s="157" t="e">
        <f t="shared" si="97"/>
        <v>#DIV/0!</v>
      </c>
    </row>
    <row r="889" spans="14:27" ht="15">
      <c r="N889" s="194"/>
      <c r="O889" s="195"/>
      <c r="V889" s="196" t="str">
        <f t="shared" si="92"/>
        <v/>
      </c>
      <c r="W889" s="197" t="str">
        <f t="shared" si="93"/>
        <v/>
      </c>
      <c r="X889" s="197" t="str">
        <f t="shared" si="94"/>
        <v/>
      </c>
      <c r="Y889" s="197" t="str">
        <f t="shared" si="95"/>
        <v/>
      </c>
      <c r="Z889" s="157" t="e">
        <f t="shared" si="96"/>
        <v>#DIV/0!</v>
      </c>
      <c r="AA889" s="157" t="e">
        <f t="shared" si="97"/>
        <v>#DIV/0!</v>
      </c>
    </row>
    <row r="890" spans="14:27" ht="15">
      <c r="N890" s="194"/>
      <c r="O890" s="195"/>
      <c r="V890" s="196" t="str">
        <f t="shared" si="92"/>
        <v/>
      </c>
      <c r="W890" s="197" t="str">
        <f t="shared" si="93"/>
        <v/>
      </c>
      <c r="X890" s="197" t="str">
        <f t="shared" si="94"/>
        <v/>
      </c>
      <c r="Y890" s="197" t="str">
        <f t="shared" si="95"/>
        <v/>
      </c>
      <c r="Z890" s="157" t="e">
        <f t="shared" si="96"/>
        <v>#DIV/0!</v>
      </c>
      <c r="AA890" s="157" t="e">
        <f t="shared" si="97"/>
        <v>#DIV/0!</v>
      </c>
    </row>
    <row r="891" spans="14:27" ht="15">
      <c r="N891" s="194"/>
      <c r="O891" s="195"/>
      <c r="V891" s="196" t="str">
        <f t="shared" si="92"/>
        <v/>
      </c>
      <c r="W891" s="197" t="str">
        <f t="shared" si="93"/>
        <v/>
      </c>
      <c r="X891" s="197" t="str">
        <f t="shared" si="94"/>
        <v/>
      </c>
      <c r="Y891" s="197" t="str">
        <f t="shared" si="95"/>
        <v/>
      </c>
      <c r="Z891" s="157" t="e">
        <f t="shared" si="96"/>
        <v>#DIV/0!</v>
      </c>
      <c r="AA891" s="157" t="e">
        <f t="shared" si="97"/>
        <v>#DIV/0!</v>
      </c>
    </row>
    <row r="892" spans="14:27" ht="15">
      <c r="N892" s="194"/>
      <c r="O892" s="195"/>
      <c r="V892" s="196" t="str">
        <f t="shared" si="92"/>
        <v/>
      </c>
      <c r="W892" s="197" t="str">
        <f t="shared" si="93"/>
        <v/>
      </c>
      <c r="X892" s="197" t="str">
        <f t="shared" si="94"/>
        <v/>
      </c>
      <c r="Y892" s="197" t="str">
        <f t="shared" si="95"/>
        <v/>
      </c>
      <c r="Z892" s="157" t="e">
        <f t="shared" si="96"/>
        <v>#DIV/0!</v>
      </c>
      <c r="AA892" s="157" t="e">
        <f t="shared" si="97"/>
        <v>#DIV/0!</v>
      </c>
    </row>
    <row r="893" spans="14:27" ht="15">
      <c r="N893" s="194"/>
      <c r="O893" s="195"/>
      <c r="V893" s="196" t="str">
        <f t="shared" si="92"/>
        <v/>
      </c>
      <c r="W893" s="197" t="str">
        <f t="shared" si="93"/>
        <v/>
      </c>
      <c r="X893" s="197" t="str">
        <f t="shared" si="94"/>
        <v/>
      </c>
      <c r="Y893" s="197" t="str">
        <f t="shared" si="95"/>
        <v/>
      </c>
      <c r="Z893" s="157" t="e">
        <f t="shared" si="96"/>
        <v>#DIV/0!</v>
      </c>
      <c r="AA893" s="157" t="e">
        <f t="shared" si="97"/>
        <v>#DIV/0!</v>
      </c>
    </row>
    <row r="894" spans="14:27" ht="15">
      <c r="N894" s="194"/>
      <c r="O894" s="195"/>
      <c r="V894" s="196" t="str">
        <f t="shared" si="92"/>
        <v/>
      </c>
      <c r="W894" s="197" t="str">
        <f t="shared" si="93"/>
        <v/>
      </c>
      <c r="X894" s="197" t="str">
        <f t="shared" si="94"/>
        <v/>
      </c>
      <c r="Y894" s="197" t="str">
        <f t="shared" si="95"/>
        <v/>
      </c>
      <c r="Z894" s="157" t="e">
        <f t="shared" si="96"/>
        <v>#DIV/0!</v>
      </c>
      <c r="AA894" s="157" t="e">
        <f t="shared" si="97"/>
        <v>#DIV/0!</v>
      </c>
    </row>
    <row r="895" spans="14:27" ht="15">
      <c r="N895" s="194"/>
      <c r="O895" s="195"/>
      <c r="V895" s="196" t="str">
        <f t="shared" si="92"/>
        <v/>
      </c>
      <c r="W895" s="197" t="str">
        <f t="shared" si="93"/>
        <v/>
      </c>
      <c r="X895" s="197" t="str">
        <f t="shared" si="94"/>
        <v/>
      </c>
      <c r="Y895" s="197" t="str">
        <f t="shared" si="95"/>
        <v/>
      </c>
      <c r="Z895" s="157" t="e">
        <f t="shared" si="96"/>
        <v>#DIV/0!</v>
      </c>
      <c r="AA895" s="157" t="e">
        <f t="shared" si="97"/>
        <v>#DIV/0!</v>
      </c>
    </row>
    <row r="896" spans="14:27" ht="15">
      <c r="N896" s="194"/>
      <c r="O896" s="195"/>
      <c r="V896" s="196" t="str">
        <f t="shared" si="92"/>
        <v/>
      </c>
      <c r="W896" s="197" t="str">
        <f t="shared" si="93"/>
        <v/>
      </c>
      <c r="X896" s="197" t="str">
        <f t="shared" si="94"/>
        <v/>
      </c>
      <c r="Y896" s="197" t="str">
        <f t="shared" si="95"/>
        <v/>
      </c>
      <c r="Z896" s="157" t="e">
        <f t="shared" si="96"/>
        <v>#DIV/0!</v>
      </c>
      <c r="AA896" s="157" t="e">
        <f t="shared" si="97"/>
        <v>#DIV/0!</v>
      </c>
    </row>
    <row r="897" spans="14:27" ht="15">
      <c r="N897" s="194"/>
      <c r="O897" s="195"/>
      <c r="V897" s="196" t="str">
        <f t="shared" si="92"/>
        <v/>
      </c>
      <c r="W897" s="197" t="str">
        <f t="shared" si="93"/>
        <v/>
      </c>
      <c r="X897" s="197" t="str">
        <f t="shared" si="94"/>
        <v/>
      </c>
      <c r="Y897" s="197" t="str">
        <f t="shared" si="95"/>
        <v/>
      </c>
      <c r="Z897" s="157" t="e">
        <f t="shared" si="96"/>
        <v>#DIV/0!</v>
      </c>
      <c r="AA897" s="157" t="e">
        <f t="shared" si="97"/>
        <v>#DIV/0!</v>
      </c>
    </row>
    <row r="898" spans="14:27" ht="15">
      <c r="N898" s="194"/>
      <c r="O898" s="195"/>
      <c r="V898" s="196" t="str">
        <f t="shared" si="92"/>
        <v/>
      </c>
      <c r="W898" s="197" t="str">
        <f t="shared" si="93"/>
        <v/>
      </c>
      <c r="X898" s="197" t="str">
        <f t="shared" si="94"/>
        <v/>
      </c>
      <c r="Y898" s="197" t="str">
        <f t="shared" si="95"/>
        <v/>
      </c>
      <c r="Z898" s="157" t="e">
        <f t="shared" si="96"/>
        <v>#DIV/0!</v>
      </c>
      <c r="AA898" s="157" t="e">
        <f t="shared" si="97"/>
        <v>#DIV/0!</v>
      </c>
    </row>
    <row r="899" spans="14:27" ht="15">
      <c r="N899" s="194"/>
      <c r="O899" s="195"/>
      <c r="V899" s="196" t="str">
        <f t="shared" si="92"/>
        <v/>
      </c>
      <c r="W899" s="197" t="str">
        <f t="shared" si="93"/>
        <v/>
      </c>
      <c r="X899" s="197" t="str">
        <f t="shared" si="94"/>
        <v/>
      </c>
      <c r="Y899" s="197" t="str">
        <f t="shared" si="95"/>
        <v/>
      </c>
      <c r="Z899" s="157" t="e">
        <f t="shared" si="96"/>
        <v>#DIV/0!</v>
      </c>
      <c r="AA899" s="157" t="e">
        <f t="shared" si="97"/>
        <v>#DIV/0!</v>
      </c>
    </row>
    <row r="900" spans="14:27" ht="15">
      <c r="N900" s="194"/>
      <c r="O900" s="195"/>
      <c r="V900" s="196" t="str">
        <f t="shared" si="92"/>
        <v/>
      </c>
      <c r="W900" s="197" t="str">
        <f t="shared" si="93"/>
        <v/>
      </c>
      <c r="X900" s="197" t="str">
        <f t="shared" si="94"/>
        <v/>
      </c>
      <c r="Y900" s="197" t="str">
        <f t="shared" si="95"/>
        <v/>
      </c>
      <c r="Z900" s="157" t="e">
        <f t="shared" si="96"/>
        <v>#DIV/0!</v>
      </c>
      <c r="AA900" s="157" t="e">
        <f t="shared" si="97"/>
        <v>#DIV/0!</v>
      </c>
    </row>
    <row r="901" spans="14:27" ht="15">
      <c r="N901" s="194"/>
      <c r="O901" s="195"/>
      <c r="V901" s="196" t="str">
        <f t="shared" si="92"/>
        <v/>
      </c>
      <c r="W901" s="197" t="str">
        <f t="shared" si="93"/>
        <v/>
      </c>
      <c r="X901" s="197" t="str">
        <f t="shared" si="94"/>
        <v/>
      </c>
      <c r="Y901" s="197" t="str">
        <f t="shared" si="95"/>
        <v/>
      </c>
      <c r="Z901" s="157" t="e">
        <f t="shared" si="96"/>
        <v>#DIV/0!</v>
      </c>
      <c r="AA901" s="157" t="e">
        <f t="shared" si="97"/>
        <v>#DIV/0!</v>
      </c>
    </row>
    <row r="902" spans="14:27" ht="15">
      <c r="N902" s="194"/>
      <c r="O902" s="195"/>
      <c r="V902" s="196" t="str">
        <f t="shared" si="92"/>
        <v/>
      </c>
      <c r="W902" s="197" t="str">
        <f t="shared" si="93"/>
        <v/>
      </c>
      <c r="X902" s="197" t="str">
        <f t="shared" si="94"/>
        <v/>
      </c>
      <c r="Y902" s="197" t="str">
        <f t="shared" si="95"/>
        <v/>
      </c>
      <c r="Z902" s="157" t="e">
        <f t="shared" si="96"/>
        <v>#DIV/0!</v>
      </c>
      <c r="AA902" s="157" t="e">
        <f t="shared" si="97"/>
        <v>#DIV/0!</v>
      </c>
    </row>
    <row r="903" spans="14:27" ht="15">
      <c r="N903" s="194"/>
      <c r="O903" s="195"/>
      <c r="V903" s="196" t="str">
        <f t="shared" si="92"/>
        <v/>
      </c>
      <c r="W903" s="197" t="str">
        <f t="shared" si="93"/>
        <v/>
      </c>
      <c r="X903" s="197" t="str">
        <f t="shared" si="94"/>
        <v/>
      </c>
      <c r="Y903" s="197" t="str">
        <f t="shared" si="95"/>
        <v/>
      </c>
      <c r="Z903" s="157" t="e">
        <f t="shared" si="96"/>
        <v>#DIV/0!</v>
      </c>
      <c r="AA903" s="157" t="e">
        <f t="shared" si="97"/>
        <v>#DIV/0!</v>
      </c>
    </row>
    <row r="904" spans="14:27" ht="15">
      <c r="N904" s="194"/>
      <c r="O904" s="195"/>
      <c r="V904" s="196" t="str">
        <f t="shared" si="92"/>
        <v/>
      </c>
      <c r="W904" s="197" t="str">
        <f t="shared" si="93"/>
        <v/>
      </c>
      <c r="X904" s="197" t="str">
        <f t="shared" si="94"/>
        <v/>
      </c>
      <c r="Y904" s="197" t="str">
        <f t="shared" si="95"/>
        <v/>
      </c>
      <c r="Z904" s="157" t="e">
        <f t="shared" si="96"/>
        <v>#DIV/0!</v>
      </c>
      <c r="AA904" s="157" t="e">
        <f t="shared" si="97"/>
        <v>#DIV/0!</v>
      </c>
    </row>
    <row r="905" spans="14:27" ht="15">
      <c r="N905" s="194"/>
      <c r="O905" s="195"/>
      <c r="V905" s="196" t="str">
        <f t="shared" si="92"/>
        <v/>
      </c>
      <c r="W905" s="197" t="str">
        <f t="shared" si="93"/>
        <v/>
      </c>
      <c r="X905" s="197" t="str">
        <f t="shared" si="94"/>
        <v/>
      </c>
      <c r="Y905" s="197" t="str">
        <f t="shared" si="95"/>
        <v/>
      </c>
      <c r="Z905" s="157" t="e">
        <f t="shared" si="96"/>
        <v>#DIV/0!</v>
      </c>
      <c r="AA905" s="157" t="e">
        <f t="shared" si="97"/>
        <v>#DIV/0!</v>
      </c>
    </row>
    <row r="906" spans="14:27" ht="15">
      <c r="N906" s="194"/>
      <c r="O906" s="195"/>
      <c r="V906" s="196" t="str">
        <f t="shared" si="92"/>
        <v/>
      </c>
      <c r="W906" s="197" t="str">
        <f t="shared" si="93"/>
        <v/>
      </c>
      <c r="X906" s="197" t="str">
        <f t="shared" si="94"/>
        <v/>
      </c>
      <c r="Y906" s="197" t="str">
        <f t="shared" si="95"/>
        <v/>
      </c>
      <c r="Z906" s="157" t="e">
        <f t="shared" si="96"/>
        <v>#DIV/0!</v>
      </c>
      <c r="AA906" s="157" t="e">
        <f t="shared" si="97"/>
        <v>#DIV/0!</v>
      </c>
    </row>
    <row r="907" spans="14:27" ht="15">
      <c r="N907" s="194"/>
      <c r="O907" s="195"/>
      <c r="V907" s="196" t="str">
        <f t="shared" si="92"/>
        <v/>
      </c>
      <c r="W907" s="197" t="str">
        <f t="shared" si="93"/>
        <v/>
      </c>
      <c r="X907" s="197" t="str">
        <f t="shared" si="94"/>
        <v/>
      </c>
      <c r="Y907" s="197" t="str">
        <f t="shared" si="95"/>
        <v/>
      </c>
      <c r="Z907" s="157" t="e">
        <f t="shared" si="96"/>
        <v>#DIV/0!</v>
      </c>
      <c r="AA907" s="157" t="e">
        <f t="shared" si="97"/>
        <v>#DIV/0!</v>
      </c>
    </row>
    <row r="908" spans="14:27" ht="15">
      <c r="N908" s="194"/>
      <c r="O908" s="195"/>
      <c r="V908" s="196" t="str">
        <f t="shared" si="92"/>
        <v/>
      </c>
      <c r="W908" s="197" t="str">
        <f t="shared" si="93"/>
        <v/>
      </c>
      <c r="X908" s="197" t="str">
        <f t="shared" si="94"/>
        <v/>
      </c>
      <c r="Y908" s="197" t="str">
        <f t="shared" si="95"/>
        <v/>
      </c>
      <c r="Z908" s="157" t="e">
        <f t="shared" si="96"/>
        <v>#DIV/0!</v>
      </c>
      <c r="AA908" s="157" t="e">
        <f t="shared" si="97"/>
        <v>#DIV/0!</v>
      </c>
    </row>
    <row r="909" spans="14:27" ht="15">
      <c r="N909" s="194"/>
      <c r="O909" s="195"/>
      <c r="V909" s="196" t="str">
        <f t="shared" si="92"/>
        <v/>
      </c>
      <c r="W909" s="197" t="str">
        <f t="shared" si="93"/>
        <v/>
      </c>
      <c r="X909" s="197" t="str">
        <f t="shared" si="94"/>
        <v/>
      </c>
      <c r="Y909" s="197" t="str">
        <f t="shared" si="95"/>
        <v/>
      </c>
      <c r="Z909" s="157" t="e">
        <f t="shared" si="96"/>
        <v>#DIV/0!</v>
      </c>
      <c r="AA909" s="157" t="e">
        <f t="shared" si="97"/>
        <v>#DIV/0!</v>
      </c>
    </row>
    <row r="910" spans="14:27" ht="15">
      <c r="N910" s="194"/>
      <c r="O910" s="195"/>
      <c r="V910" s="196" t="str">
        <f t="shared" si="92"/>
        <v/>
      </c>
      <c r="W910" s="197" t="str">
        <f t="shared" si="93"/>
        <v/>
      </c>
      <c r="X910" s="197" t="str">
        <f t="shared" si="94"/>
        <v/>
      </c>
      <c r="Y910" s="197" t="str">
        <f t="shared" si="95"/>
        <v/>
      </c>
      <c r="Z910" s="157" t="e">
        <f t="shared" si="96"/>
        <v>#DIV/0!</v>
      </c>
      <c r="AA910" s="157" t="e">
        <f t="shared" si="97"/>
        <v>#DIV/0!</v>
      </c>
    </row>
    <row r="911" spans="14:27" ht="15">
      <c r="N911" s="194"/>
      <c r="O911" s="195"/>
      <c r="V911" s="196" t="str">
        <f t="shared" si="92"/>
        <v/>
      </c>
      <c r="W911" s="197" t="str">
        <f t="shared" si="93"/>
        <v/>
      </c>
      <c r="X911" s="197" t="str">
        <f t="shared" si="94"/>
        <v/>
      </c>
      <c r="Y911" s="197" t="str">
        <f t="shared" si="95"/>
        <v/>
      </c>
      <c r="Z911" s="157" t="e">
        <f t="shared" si="96"/>
        <v>#DIV/0!</v>
      </c>
      <c r="AA911" s="157" t="e">
        <f t="shared" si="97"/>
        <v>#DIV/0!</v>
      </c>
    </row>
    <row r="912" spans="14:27" ht="15">
      <c r="N912" s="194"/>
      <c r="O912" s="195"/>
      <c r="V912" s="196" t="str">
        <f t="shared" si="92"/>
        <v/>
      </c>
      <c r="W912" s="197" t="str">
        <f t="shared" si="93"/>
        <v/>
      </c>
      <c r="X912" s="197" t="str">
        <f t="shared" si="94"/>
        <v/>
      </c>
      <c r="Y912" s="197" t="str">
        <f t="shared" si="95"/>
        <v/>
      </c>
      <c r="Z912" s="157" t="e">
        <f t="shared" si="96"/>
        <v>#DIV/0!</v>
      </c>
      <c r="AA912" s="157" t="e">
        <f t="shared" si="97"/>
        <v>#DIV/0!</v>
      </c>
    </row>
    <row r="913" spans="14:27" ht="15">
      <c r="N913" s="194"/>
      <c r="O913" s="195"/>
      <c r="V913" s="196" t="str">
        <f t="shared" si="92"/>
        <v/>
      </c>
      <c r="W913" s="197" t="str">
        <f t="shared" si="93"/>
        <v/>
      </c>
      <c r="X913" s="197" t="str">
        <f t="shared" si="94"/>
        <v/>
      </c>
      <c r="Y913" s="197" t="str">
        <f t="shared" si="95"/>
        <v/>
      </c>
      <c r="Z913" s="157" t="e">
        <f t="shared" si="96"/>
        <v>#DIV/0!</v>
      </c>
      <c r="AA913" s="157" t="e">
        <f t="shared" si="97"/>
        <v>#DIV/0!</v>
      </c>
    </row>
    <row r="914" spans="14:27" ht="15">
      <c r="N914" s="194"/>
      <c r="O914" s="195"/>
      <c r="V914" s="196" t="str">
        <f t="shared" si="92"/>
        <v/>
      </c>
      <c r="W914" s="197" t="str">
        <f t="shared" si="93"/>
        <v/>
      </c>
      <c r="X914" s="197" t="str">
        <f t="shared" si="94"/>
        <v/>
      </c>
      <c r="Y914" s="197" t="str">
        <f t="shared" si="95"/>
        <v/>
      </c>
      <c r="Z914" s="157" t="e">
        <f t="shared" si="96"/>
        <v>#DIV/0!</v>
      </c>
      <c r="AA914" s="157" t="e">
        <f t="shared" si="97"/>
        <v>#DIV/0!</v>
      </c>
    </row>
    <row r="915" spans="14:27" ht="15">
      <c r="N915" s="194"/>
      <c r="O915" s="195"/>
      <c r="V915" s="196" t="str">
        <f t="shared" si="92"/>
        <v/>
      </c>
      <c r="W915" s="197" t="str">
        <f t="shared" si="93"/>
        <v/>
      </c>
      <c r="X915" s="197" t="str">
        <f t="shared" si="94"/>
        <v/>
      </c>
      <c r="Y915" s="197" t="str">
        <f t="shared" si="95"/>
        <v/>
      </c>
      <c r="Z915" s="157" t="e">
        <f t="shared" si="96"/>
        <v>#DIV/0!</v>
      </c>
      <c r="AA915" s="157" t="e">
        <f t="shared" si="97"/>
        <v>#DIV/0!</v>
      </c>
    </row>
    <row r="916" spans="14:27" ht="15">
      <c r="N916" s="194"/>
      <c r="O916" s="195"/>
      <c r="V916" s="196" t="str">
        <f t="shared" si="92"/>
        <v/>
      </c>
      <c r="W916" s="197" t="str">
        <f t="shared" si="93"/>
        <v/>
      </c>
      <c r="X916" s="197" t="str">
        <f t="shared" si="94"/>
        <v/>
      </c>
      <c r="Y916" s="197" t="str">
        <f t="shared" si="95"/>
        <v/>
      </c>
      <c r="Z916" s="157" t="e">
        <f t="shared" si="96"/>
        <v>#DIV/0!</v>
      </c>
      <c r="AA916" s="157" t="e">
        <f t="shared" si="97"/>
        <v>#DIV/0!</v>
      </c>
    </row>
    <row r="917" spans="14:27" ht="15">
      <c r="N917" s="194"/>
      <c r="O917" s="195"/>
      <c r="V917" s="196" t="str">
        <f t="shared" ref="V917:V980" si="98">IFERROR(IF(AND(1/L917&gt;$V$19,1/L917&lt;=$W$19),1/L917,0),"")</f>
        <v/>
      </c>
      <c r="W917" s="197" t="str">
        <f t="shared" ref="W917:W980" si="99">IFERROR(IF(AND(1/L917&gt;$W$19,1/L917&lt;=$X$19),1/L917,0),"")</f>
        <v/>
      </c>
      <c r="X917" s="197" t="str">
        <f t="shared" ref="X917:X980" si="100">IFERROR(IF(AND(1/L917&gt;$X$19,1/L917&lt;=$Y$19),1/L917,0),"")</f>
        <v/>
      </c>
      <c r="Y917" s="197" t="str">
        <f t="shared" ref="Y917:Y980" si="101">IFERROR(IF(1/L917&gt;$Y$19,1/L917,0),"")</f>
        <v/>
      </c>
      <c r="Z917" s="157" t="e">
        <f t="shared" ref="Z917:Z980" si="102">IF(N917&lt;&gt;"",(N917-$N$17)/1000,1/0)</f>
        <v>#DIV/0!</v>
      </c>
      <c r="AA917" s="157" t="e">
        <f t="shared" ref="AA917:AA980" si="103">IF(O917&lt;&gt;"",(O917-$O$17)/1000,1/0)</f>
        <v>#DIV/0!</v>
      </c>
    </row>
    <row r="918" spans="14:27" ht="15">
      <c r="N918" s="194"/>
      <c r="O918" s="195"/>
      <c r="V918" s="196" t="str">
        <f t="shared" si="98"/>
        <v/>
      </c>
      <c r="W918" s="197" t="str">
        <f t="shared" si="99"/>
        <v/>
      </c>
      <c r="X918" s="197" t="str">
        <f t="shared" si="100"/>
        <v/>
      </c>
      <c r="Y918" s="197" t="str">
        <f t="shared" si="101"/>
        <v/>
      </c>
      <c r="Z918" s="157" t="e">
        <f t="shared" si="102"/>
        <v>#DIV/0!</v>
      </c>
      <c r="AA918" s="157" t="e">
        <f t="shared" si="103"/>
        <v>#DIV/0!</v>
      </c>
    </row>
    <row r="919" spans="14:27" ht="15">
      <c r="N919" s="194"/>
      <c r="O919" s="195"/>
      <c r="V919" s="196" t="str">
        <f t="shared" si="98"/>
        <v/>
      </c>
      <c r="W919" s="197" t="str">
        <f t="shared" si="99"/>
        <v/>
      </c>
      <c r="X919" s="197" t="str">
        <f t="shared" si="100"/>
        <v/>
      </c>
      <c r="Y919" s="197" t="str">
        <f t="shared" si="101"/>
        <v/>
      </c>
      <c r="Z919" s="157" t="e">
        <f t="shared" si="102"/>
        <v>#DIV/0!</v>
      </c>
      <c r="AA919" s="157" t="e">
        <f t="shared" si="103"/>
        <v>#DIV/0!</v>
      </c>
    </row>
    <row r="920" spans="14:27" ht="15">
      <c r="N920" s="194"/>
      <c r="O920" s="195"/>
      <c r="V920" s="196" t="str">
        <f t="shared" si="98"/>
        <v/>
      </c>
      <c r="W920" s="197" t="str">
        <f t="shared" si="99"/>
        <v/>
      </c>
      <c r="X920" s="197" t="str">
        <f t="shared" si="100"/>
        <v/>
      </c>
      <c r="Y920" s="197" t="str">
        <f t="shared" si="101"/>
        <v/>
      </c>
      <c r="Z920" s="157" t="e">
        <f t="shared" si="102"/>
        <v>#DIV/0!</v>
      </c>
      <c r="AA920" s="157" t="e">
        <f t="shared" si="103"/>
        <v>#DIV/0!</v>
      </c>
    </row>
    <row r="921" spans="14:27" ht="15">
      <c r="N921" s="194"/>
      <c r="O921" s="195"/>
      <c r="V921" s="196" t="str">
        <f t="shared" si="98"/>
        <v/>
      </c>
      <c r="W921" s="197" t="str">
        <f t="shared" si="99"/>
        <v/>
      </c>
      <c r="X921" s="197" t="str">
        <f t="shared" si="100"/>
        <v/>
      </c>
      <c r="Y921" s="197" t="str">
        <f t="shared" si="101"/>
        <v/>
      </c>
      <c r="Z921" s="157" t="e">
        <f t="shared" si="102"/>
        <v>#DIV/0!</v>
      </c>
      <c r="AA921" s="157" t="e">
        <f t="shared" si="103"/>
        <v>#DIV/0!</v>
      </c>
    </row>
    <row r="922" spans="14:27" ht="15">
      <c r="N922" s="194"/>
      <c r="O922" s="195"/>
      <c r="V922" s="196" t="str">
        <f t="shared" si="98"/>
        <v/>
      </c>
      <c r="W922" s="197" t="str">
        <f t="shared" si="99"/>
        <v/>
      </c>
      <c r="X922" s="197" t="str">
        <f t="shared" si="100"/>
        <v/>
      </c>
      <c r="Y922" s="197" t="str">
        <f t="shared" si="101"/>
        <v/>
      </c>
      <c r="Z922" s="157" t="e">
        <f t="shared" si="102"/>
        <v>#DIV/0!</v>
      </c>
      <c r="AA922" s="157" t="e">
        <f t="shared" si="103"/>
        <v>#DIV/0!</v>
      </c>
    </row>
    <row r="923" spans="14:27" ht="15">
      <c r="N923" s="194"/>
      <c r="O923" s="195"/>
      <c r="V923" s="196" t="str">
        <f t="shared" si="98"/>
        <v/>
      </c>
      <c r="W923" s="197" t="str">
        <f t="shared" si="99"/>
        <v/>
      </c>
      <c r="X923" s="197" t="str">
        <f t="shared" si="100"/>
        <v/>
      </c>
      <c r="Y923" s="197" t="str">
        <f t="shared" si="101"/>
        <v/>
      </c>
      <c r="Z923" s="157" t="e">
        <f t="shared" si="102"/>
        <v>#DIV/0!</v>
      </c>
      <c r="AA923" s="157" t="e">
        <f t="shared" si="103"/>
        <v>#DIV/0!</v>
      </c>
    </row>
    <row r="924" spans="14:27" ht="15">
      <c r="N924" s="194"/>
      <c r="O924" s="195"/>
      <c r="V924" s="196" t="str">
        <f t="shared" si="98"/>
        <v/>
      </c>
      <c r="W924" s="197" t="str">
        <f t="shared" si="99"/>
        <v/>
      </c>
      <c r="X924" s="197" t="str">
        <f t="shared" si="100"/>
        <v/>
      </c>
      <c r="Y924" s="197" t="str">
        <f t="shared" si="101"/>
        <v/>
      </c>
      <c r="Z924" s="157" t="e">
        <f t="shared" si="102"/>
        <v>#DIV/0!</v>
      </c>
      <c r="AA924" s="157" t="e">
        <f t="shared" si="103"/>
        <v>#DIV/0!</v>
      </c>
    </row>
    <row r="925" spans="14:27" ht="15">
      <c r="N925" s="194"/>
      <c r="O925" s="195"/>
      <c r="V925" s="196" t="str">
        <f t="shared" si="98"/>
        <v/>
      </c>
      <c r="W925" s="197" t="str">
        <f t="shared" si="99"/>
        <v/>
      </c>
      <c r="X925" s="197" t="str">
        <f t="shared" si="100"/>
        <v/>
      </c>
      <c r="Y925" s="197" t="str">
        <f t="shared" si="101"/>
        <v/>
      </c>
      <c r="Z925" s="157" t="e">
        <f t="shared" si="102"/>
        <v>#DIV/0!</v>
      </c>
      <c r="AA925" s="157" t="e">
        <f t="shared" si="103"/>
        <v>#DIV/0!</v>
      </c>
    </row>
    <row r="926" spans="14:27" ht="15">
      <c r="N926" s="194"/>
      <c r="O926" s="195"/>
      <c r="V926" s="196" t="str">
        <f t="shared" si="98"/>
        <v/>
      </c>
      <c r="W926" s="197" t="str">
        <f t="shared" si="99"/>
        <v/>
      </c>
      <c r="X926" s="197" t="str">
        <f t="shared" si="100"/>
        <v/>
      </c>
      <c r="Y926" s="197" t="str">
        <f t="shared" si="101"/>
        <v/>
      </c>
      <c r="Z926" s="157" t="e">
        <f t="shared" si="102"/>
        <v>#DIV/0!</v>
      </c>
      <c r="AA926" s="157" t="e">
        <f t="shared" si="103"/>
        <v>#DIV/0!</v>
      </c>
    </row>
    <row r="927" spans="14:27" ht="15">
      <c r="N927" s="194"/>
      <c r="O927" s="195"/>
      <c r="V927" s="196" t="str">
        <f t="shared" si="98"/>
        <v/>
      </c>
      <c r="W927" s="197" t="str">
        <f t="shared" si="99"/>
        <v/>
      </c>
      <c r="X927" s="197" t="str">
        <f t="shared" si="100"/>
        <v/>
      </c>
      <c r="Y927" s="197" t="str">
        <f t="shared" si="101"/>
        <v/>
      </c>
      <c r="Z927" s="157" t="e">
        <f t="shared" si="102"/>
        <v>#DIV/0!</v>
      </c>
      <c r="AA927" s="157" t="e">
        <f t="shared" si="103"/>
        <v>#DIV/0!</v>
      </c>
    </row>
    <row r="928" spans="14:27" ht="15">
      <c r="N928" s="194"/>
      <c r="O928" s="195"/>
      <c r="V928" s="196" t="str">
        <f t="shared" si="98"/>
        <v/>
      </c>
      <c r="W928" s="197" t="str">
        <f t="shared" si="99"/>
        <v/>
      </c>
      <c r="X928" s="197" t="str">
        <f t="shared" si="100"/>
        <v/>
      </c>
      <c r="Y928" s="197" t="str">
        <f t="shared" si="101"/>
        <v/>
      </c>
      <c r="Z928" s="157" t="e">
        <f t="shared" si="102"/>
        <v>#DIV/0!</v>
      </c>
      <c r="AA928" s="157" t="e">
        <f t="shared" si="103"/>
        <v>#DIV/0!</v>
      </c>
    </row>
    <row r="929" spans="14:27" ht="15">
      <c r="N929" s="194"/>
      <c r="O929" s="195"/>
      <c r="V929" s="196" t="str">
        <f t="shared" si="98"/>
        <v/>
      </c>
      <c r="W929" s="197" t="str">
        <f t="shared" si="99"/>
        <v/>
      </c>
      <c r="X929" s="197" t="str">
        <f t="shared" si="100"/>
        <v/>
      </c>
      <c r="Y929" s="197" t="str">
        <f t="shared" si="101"/>
        <v/>
      </c>
      <c r="Z929" s="157" t="e">
        <f t="shared" si="102"/>
        <v>#DIV/0!</v>
      </c>
      <c r="AA929" s="157" t="e">
        <f t="shared" si="103"/>
        <v>#DIV/0!</v>
      </c>
    </row>
    <row r="930" spans="14:27" ht="15">
      <c r="N930" s="194"/>
      <c r="O930" s="195"/>
      <c r="V930" s="196" t="str">
        <f t="shared" si="98"/>
        <v/>
      </c>
      <c r="W930" s="197" t="str">
        <f t="shared" si="99"/>
        <v/>
      </c>
      <c r="X930" s="197" t="str">
        <f t="shared" si="100"/>
        <v/>
      </c>
      <c r="Y930" s="197" t="str">
        <f t="shared" si="101"/>
        <v/>
      </c>
      <c r="Z930" s="157" t="e">
        <f t="shared" si="102"/>
        <v>#DIV/0!</v>
      </c>
      <c r="AA930" s="157" t="e">
        <f t="shared" si="103"/>
        <v>#DIV/0!</v>
      </c>
    </row>
    <row r="931" spans="14:27" ht="15">
      <c r="N931" s="194"/>
      <c r="O931" s="195"/>
      <c r="V931" s="196" t="str">
        <f t="shared" si="98"/>
        <v/>
      </c>
      <c r="W931" s="197" t="str">
        <f t="shared" si="99"/>
        <v/>
      </c>
      <c r="X931" s="197" t="str">
        <f t="shared" si="100"/>
        <v/>
      </c>
      <c r="Y931" s="197" t="str">
        <f t="shared" si="101"/>
        <v/>
      </c>
      <c r="Z931" s="157" t="e">
        <f t="shared" si="102"/>
        <v>#DIV/0!</v>
      </c>
      <c r="AA931" s="157" t="e">
        <f t="shared" si="103"/>
        <v>#DIV/0!</v>
      </c>
    </row>
    <row r="932" spans="14:27" ht="15">
      <c r="N932" s="194"/>
      <c r="O932" s="195"/>
      <c r="V932" s="196" t="str">
        <f t="shared" si="98"/>
        <v/>
      </c>
      <c r="W932" s="197" t="str">
        <f t="shared" si="99"/>
        <v/>
      </c>
      <c r="X932" s="197" t="str">
        <f t="shared" si="100"/>
        <v/>
      </c>
      <c r="Y932" s="197" t="str">
        <f t="shared" si="101"/>
        <v/>
      </c>
      <c r="Z932" s="157" t="e">
        <f t="shared" si="102"/>
        <v>#DIV/0!</v>
      </c>
      <c r="AA932" s="157" t="e">
        <f t="shared" si="103"/>
        <v>#DIV/0!</v>
      </c>
    </row>
    <row r="933" spans="14:27" ht="15">
      <c r="N933" s="194"/>
      <c r="O933" s="195"/>
      <c r="V933" s="196" t="str">
        <f t="shared" si="98"/>
        <v/>
      </c>
      <c r="W933" s="197" t="str">
        <f t="shared" si="99"/>
        <v/>
      </c>
      <c r="X933" s="197" t="str">
        <f t="shared" si="100"/>
        <v/>
      </c>
      <c r="Y933" s="197" t="str">
        <f t="shared" si="101"/>
        <v/>
      </c>
      <c r="Z933" s="157" t="e">
        <f t="shared" si="102"/>
        <v>#DIV/0!</v>
      </c>
      <c r="AA933" s="157" t="e">
        <f t="shared" si="103"/>
        <v>#DIV/0!</v>
      </c>
    </row>
    <row r="934" spans="14:27" ht="15">
      <c r="N934" s="194"/>
      <c r="O934" s="195"/>
      <c r="V934" s="196" t="str">
        <f t="shared" si="98"/>
        <v/>
      </c>
      <c r="W934" s="197" t="str">
        <f t="shared" si="99"/>
        <v/>
      </c>
      <c r="X934" s="197" t="str">
        <f t="shared" si="100"/>
        <v/>
      </c>
      <c r="Y934" s="197" t="str">
        <f t="shared" si="101"/>
        <v/>
      </c>
      <c r="Z934" s="157" t="e">
        <f t="shared" si="102"/>
        <v>#DIV/0!</v>
      </c>
      <c r="AA934" s="157" t="e">
        <f t="shared" si="103"/>
        <v>#DIV/0!</v>
      </c>
    </row>
    <row r="935" spans="14:27" ht="15">
      <c r="N935" s="194"/>
      <c r="O935" s="195"/>
      <c r="V935" s="196" t="str">
        <f t="shared" si="98"/>
        <v/>
      </c>
      <c r="W935" s="197" t="str">
        <f t="shared" si="99"/>
        <v/>
      </c>
      <c r="X935" s="197" t="str">
        <f t="shared" si="100"/>
        <v/>
      </c>
      <c r="Y935" s="197" t="str">
        <f t="shared" si="101"/>
        <v/>
      </c>
      <c r="Z935" s="157" t="e">
        <f t="shared" si="102"/>
        <v>#DIV/0!</v>
      </c>
      <c r="AA935" s="157" t="e">
        <f t="shared" si="103"/>
        <v>#DIV/0!</v>
      </c>
    </row>
    <row r="936" spans="14:27" ht="15">
      <c r="N936" s="194"/>
      <c r="O936" s="195"/>
      <c r="V936" s="196" t="str">
        <f t="shared" si="98"/>
        <v/>
      </c>
      <c r="W936" s="197" t="str">
        <f t="shared" si="99"/>
        <v/>
      </c>
      <c r="X936" s="197" t="str">
        <f t="shared" si="100"/>
        <v/>
      </c>
      <c r="Y936" s="197" t="str">
        <f t="shared" si="101"/>
        <v/>
      </c>
      <c r="Z936" s="157" t="e">
        <f t="shared" si="102"/>
        <v>#DIV/0!</v>
      </c>
      <c r="AA936" s="157" t="e">
        <f t="shared" si="103"/>
        <v>#DIV/0!</v>
      </c>
    </row>
    <row r="937" spans="14:27" ht="15">
      <c r="N937" s="194"/>
      <c r="O937" s="195"/>
      <c r="V937" s="196" t="str">
        <f t="shared" si="98"/>
        <v/>
      </c>
      <c r="W937" s="197" t="str">
        <f t="shared" si="99"/>
        <v/>
      </c>
      <c r="X937" s="197" t="str">
        <f t="shared" si="100"/>
        <v/>
      </c>
      <c r="Y937" s="197" t="str">
        <f t="shared" si="101"/>
        <v/>
      </c>
      <c r="Z937" s="157" t="e">
        <f t="shared" si="102"/>
        <v>#DIV/0!</v>
      </c>
      <c r="AA937" s="157" t="e">
        <f t="shared" si="103"/>
        <v>#DIV/0!</v>
      </c>
    </row>
    <row r="938" spans="14:27" ht="15">
      <c r="N938" s="194"/>
      <c r="O938" s="195"/>
      <c r="V938" s="196" t="str">
        <f t="shared" si="98"/>
        <v/>
      </c>
      <c r="W938" s="197" t="str">
        <f t="shared" si="99"/>
        <v/>
      </c>
      <c r="X938" s="197" t="str">
        <f t="shared" si="100"/>
        <v/>
      </c>
      <c r="Y938" s="197" t="str">
        <f t="shared" si="101"/>
        <v/>
      </c>
      <c r="Z938" s="157" t="e">
        <f t="shared" si="102"/>
        <v>#DIV/0!</v>
      </c>
      <c r="AA938" s="157" t="e">
        <f t="shared" si="103"/>
        <v>#DIV/0!</v>
      </c>
    </row>
    <row r="939" spans="14:27" ht="15">
      <c r="N939" s="194"/>
      <c r="O939" s="195"/>
      <c r="V939" s="196" t="str">
        <f t="shared" si="98"/>
        <v/>
      </c>
      <c r="W939" s="197" t="str">
        <f t="shared" si="99"/>
        <v/>
      </c>
      <c r="X939" s="197" t="str">
        <f t="shared" si="100"/>
        <v/>
      </c>
      <c r="Y939" s="197" t="str">
        <f t="shared" si="101"/>
        <v/>
      </c>
      <c r="Z939" s="157" t="e">
        <f t="shared" si="102"/>
        <v>#DIV/0!</v>
      </c>
      <c r="AA939" s="157" t="e">
        <f t="shared" si="103"/>
        <v>#DIV/0!</v>
      </c>
    </row>
    <row r="940" spans="14:27" ht="15">
      <c r="N940" s="194"/>
      <c r="O940" s="195"/>
      <c r="V940" s="196" t="str">
        <f t="shared" si="98"/>
        <v/>
      </c>
      <c r="W940" s="197" t="str">
        <f t="shared" si="99"/>
        <v/>
      </c>
      <c r="X940" s="197" t="str">
        <f t="shared" si="100"/>
        <v/>
      </c>
      <c r="Y940" s="197" t="str">
        <f t="shared" si="101"/>
        <v/>
      </c>
      <c r="Z940" s="157" t="e">
        <f t="shared" si="102"/>
        <v>#DIV/0!</v>
      </c>
      <c r="AA940" s="157" t="e">
        <f t="shared" si="103"/>
        <v>#DIV/0!</v>
      </c>
    </row>
    <row r="941" spans="14:27" ht="15">
      <c r="N941" s="194"/>
      <c r="O941" s="195"/>
      <c r="V941" s="196" t="str">
        <f t="shared" si="98"/>
        <v/>
      </c>
      <c r="W941" s="197" t="str">
        <f t="shared" si="99"/>
        <v/>
      </c>
      <c r="X941" s="197" t="str">
        <f t="shared" si="100"/>
        <v/>
      </c>
      <c r="Y941" s="197" t="str">
        <f t="shared" si="101"/>
        <v/>
      </c>
      <c r="Z941" s="157" t="e">
        <f t="shared" si="102"/>
        <v>#DIV/0!</v>
      </c>
      <c r="AA941" s="157" t="e">
        <f t="shared" si="103"/>
        <v>#DIV/0!</v>
      </c>
    </row>
    <row r="942" spans="14:27" ht="15">
      <c r="N942" s="194"/>
      <c r="O942" s="195"/>
      <c r="V942" s="196" t="str">
        <f t="shared" si="98"/>
        <v/>
      </c>
      <c r="W942" s="197" t="str">
        <f t="shared" si="99"/>
        <v/>
      </c>
      <c r="X942" s="197" t="str">
        <f t="shared" si="100"/>
        <v/>
      </c>
      <c r="Y942" s="197" t="str">
        <f t="shared" si="101"/>
        <v/>
      </c>
      <c r="Z942" s="157" t="e">
        <f t="shared" si="102"/>
        <v>#DIV/0!</v>
      </c>
      <c r="AA942" s="157" t="e">
        <f t="shared" si="103"/>
        <v>#DIV/0!</v>
      </c>
    </row>
    <row r="943" spans="14:27" ht="15">
      <c r="N943" s="194"/>
      <c r="O943" s="195"/>
      <c r="V943" s="196" t="str">
        <f t="shared" si="98"/>
        <v/>
      </c>
      <c r="W943" s="197" t="str">
        <f t="shared" si="99"/>
        <v/>
      </c>
      <c r="X943" s="197" t="str">
        <f t="shared" si="100"/>
        <v/>
      </c>
      <c r="Y943" s="197" t="str">
        <f t="shared" si="101"/>
        <v/>
      </c>
      <c r="Z943" s="157" t="e">
        <f t="shared" si="102"/>
        <v>#DIV/0!</v>
      </c>
      <c r="AA943" s="157" t="e">
        <f t="shared" si="103"/>
        <v>#DIV/0!</v>
      </c>
    </row>
    <row r="944" spans="14:27" ht="15">
      <c r="N944" s="194"/>
      <c r="O944" s="195"/>
      <c r="V944" s="196" t="str">
        <f t="shared" si="98"/>
        <v/>
      </c>
      <c r="W944" s="197" t="str">
        <f t="shared" si="99"/>
        <v/>
      </c>
      <c r="X944" s="197" t="str">
        <f t="shared" si="100"/>
        <v/>
      </c>
      <c r="Y944" s="197" t="str">
        <f t="shared" si="101"/>
        <v/>
      </c>
      <c r="Z944" s="157" t="e">
        <f t="shared" si="102"/>
        <v>#DIV/0!</v>
      </c>
      <c r="AA944" s="157" t="e">
        <f t="shared" si="103"/>
        <v>#DIV/0!</v>
      </c>
    </row>
    <row r="945" spans="14:27" ht="15">
      <c r="N945" s="194"/>
      <c r="O945" s="195"/>
      <c r="V945" s="196" t="str">
        <f t="shared" si="98"/>
        <v/>
      </c>
      <c r="W945" s="197" t="str">
        <f t="shared" si="99"/>
        <v/>
      </c>
      <c r="X945" s="197" t="str">
        <f t="shared" si="100"/>
        <v/>
      </c>
      <c r="Y945" s="197" t="str">
        <f t="shared" si="101"/>
        <v/>
      </c>
      <c r="Z945" s="157" t="e">
        <f t="shared" si="102"/>
        <v>#DIV/0!</v>
      </c>
      <c r="AA945" s="157" t="e">
        <f t="shared" si="103"/>
        <v>#DIV/0!</v>
      </c>
    </row>
    <row r="946" spans="14:27" ht="15">
      <c r="N946" s="194"/>
      <c r="O946" s="195"/>
      <c r="V946" s="196" t="str">
        <f t="shared" si="98"/>
        <v/>
      </c>
      <c r="W946" s="197" t="str">
        <f t="shared" si="99"/>
        <v/>
      </c>
      <c r="X946" s="197" t="str">
        <f t="shared" si="100"/>
        <v/>
      </c>
      <c r="Y946" s="197" t="str">
        <f t="shared" si="101"/>
        <v/>
      </c>
      <c r="Z946" s="157" t="e">
        <f t="shared" si="102"/>
        <v>#DIV/0!</v>
      </c>
      <c r="AA946" s="157" t="e">
        <f t="shared" si="103"/>
        <v>#DIV/0!</v>
      </c>
    </row>
    <row r="947" spans="14:27" ht="15">
      <c r="N947" s="194"/>
      <c r="O947" s="195"/>
      <c r="V947" s="196" t="str">
        <f t="shared" si="98"/>
        <v/>
      </c>
      <c r="W947" s="197" t="str">
        <f t="shared" si="99"/>
        <v/>
      </c>
      <c r="X947" s="197" t="str">
        <f t="shared" si="100"/>
        <v/>
      </c>
      <c r="Y947" s="197" t="str">
        <f t="shared" si="101"/>
        <v/>
      </c>
      <c r="Z947" s="157" t="e">
        <f t="shared" si="102"/>
        <v>#DIV/0!</v>
      </c>
      <c r="AA947" s="157" t="e">
        <f t="shared" si="103"/>
        <v>#DIV/0!</v>
      </c>
    </row>
    <row r="948" spans="14:27" ht="15">
      <c r="N948" s="194"/>
      <c r="O948" s="195"/>
      <c r="V948" s="196" t="str">
        <f t="shared" si="98"/>
        <v/>
      </c>
      <c r="W948" s="197" t="str">
        <f t="shared" si="99"/>
        <v/>
      </c>
      <c r="X948" s="197" t="str">
        <f t="shared" si="100"/>
        <v/>
      </c>
      <c r="Y948" s="197" t="str">
        <f t="shared" si="101"/>
        <v/>
      </c>
      <c r="Z948" s="157" t="e">
        <f t="shared" si="102"/>
        <v>#DIV/0!</v>
      </c>
      <c r="AA948" s="157" t="e">
        <f t="shared" si="103"/>
        <v>#DIV/0!</v>
      </c>
    </row>
    <row r="949" spans="14:27" ht="15">
      <c r="N949" s="194"/>
      <c r="O949" s="195"/>
      <c r="V949" s="196" t="str">
        <f t="shared" si="98"/>
        <v/>
      </c>
      <c r="W949" s="197" t="str">
        <f t="shared" si="99"/>
        <v/>
      </c>
      <c r="X949" s="197" t="str">
        <f t="shared" si="100"/>
        <v/>
      </c>
      <c r="Y949" s="197" t="str">
        <f t="shared" si="101"/>
        <v/>
      </c>
      <c r="Z949" s="157" t="e">
        <f t="shared" si="102"/>
        <v>#DIV/0!</v>
      </c>
      <c r="AA949" s="157" t="e">
        <f t="shared" si="103"/>
        <v>#DIV/0!</v>
      </c>
    </row>
    <row r="950" spans="14:27" ht="15">
      <c r="N950" s="194"/>
      <c r="O950" s="195"/>
      <c r="V950" s="196" t="str">
        <f t="shared" si="98"/>
        <v/>
      </c>
      <c r="W950" s="197" t="str">
        <f t="shared" si="99"/>
        <v/>
      </c>
      <c r="X950" s="197" t="str">
        <f t="shared" si="100"/>
        <v/>
      </c>
      <c r="Y950" s="197" t="str">
        <f t="shared" si="101"/>
        <v/>
      </c>
      <c r="Z950" s="157" t="e">
        <f t="shared" si="102"/>
        <v>#DIV/0!</v>
      </c>
      <c r="AA950" s="157" t="e">
        <f t="shared" si="103"/>
        <v>#DIV/0!</v>
      </c>
    </row>
    <row r="951" spans="14:27" ht="15">
      <c r="N951" s="194"/>
      <c r="O951" s="195"/>
      <c r="V951" s="196" t="str">
        <f t="shared" si="98"/>
        <v/>
      </c>
      <c r="W951" s="197" t="str">
        <f t="shared" si="99"/>
        <v/>
      </c>
      <c r="X951" s="197" t="str">
        <f t="shared" si="100"/>
        <v/>
      </c>
      <c r="Y951" s="197" t="str">
        <f t="shared" si="101"/>
        <v/>
      </c>
      <c r="Z951" s="157" t="e">
        <f t="shared" si="102"/>
        <v>#DIV/0!</v>
      </c>
      <c r="AA951" s="157" t="e">
        <f t="shared" si="103"/>
        <v>#DIV/0!</v>
      </c>
    </row>
    <row r="952" spans="14:27" ht="15">
      <c r="N952" s="194"/>
      <c r="O952" s="195"/>
      <c r="V952" s="196" t="str">
        <f t="shared" si="98"/>
        <v/>
      </c>
      <c r="W952" s="197" t="str">
        <f t="shared" si="99"/>
        <v/>
      </c>
      <c r="X952" s="197" t="str">
        <f t="shared" si="100"/>
        <v/>
      </c>
      <c r="Y952" s="197" t="str">
        <f t="shared" si="101"/>
        <v/>
      </c>
      <c r="Z952" s="157" t="e">
        <f t="shared" si="102"/>
        <v>#DIV/0!</v>
      </c>
      <c r="AA952" s="157" t="e">
        <f t="shared" si="103"/>
        <v>#DIV/0!</v>
      </c>
    </row>
    <row r="953" spans="14:27" ht="15">
      <c r="N953" s="194"/>
      <c r="O953" s="195"/>
      <c r="V953" s="196" t="str">
        <f t="shared" si="98"/>
        <v/>
      </c>
      <c r="W953" s="197" t="str">
        <f t="shared" si="99"/>
        <v/>
      </c>
      <c r="X953" s="197" t="str">
        <f t="shared" si="100"/>
        <v/>
      </c>
      <c r="Y953" s="197" t="str">
        <f t="shared" si="101"/>
        <v/>
      </c>
      <c r="Z953" s="157" t="e">
        <f t="shared" si="102"/>
        <v>#DIV/0!</v>
      </c>
      <c r="AA953" s="157" t="e">
        <f t="shared" si="103"/>
        <v>#DIV/0!</v>
      </c>
    </row>
    <row r="954" spans="14:27" ht="15">
      <c r="N954" s="194"/>
      <c r="O954" s="195"/>
      <c r="V954" s="196" t="str">
        <f t="shared" si="98"/>
        <v/>
      </c>
      <c r="W954" s="197" t="str">
        <f t="shared" si="99"/>
        <v/>
      </c>
      <c r="X954" s="197" t="str">
        <f t="shared" si="100"/>
        <v/>
      </c>
      <c r="Y954" s="197" t="str">
        <f t="shared" si="101"/>
        <v/>
      </c>
      <c r="Z954" s="157" t="e">
        <f t="shared" si="102"/>
        <v>#DIV/0!</v>
      </c>
      <c r="AA954" s="157" t="e">
        <f t="shared" si="103"/>
        <v>#DIV/0!</v>
      </c>
    </row>
    <row r="955" spans="14:27" ht="15">
      <c r="N955" s="194"/>
      <c r="O955" s="195"/>
      <c r="V955" s="196" t="str">
        <f t="shared" si="98"/>
        <v/>
      </c>
      <c r="W955" s="197" t="str">
        <f t="shared" si="99"/>
        <v/>
      </c>
      <c r="X955" s="197" t="str">
        <f t="shared" si="100"/>
        <v/>
      </c>
      <c r="Y955" s="197" t="str">
        <f t="shared" si="101"/>
        <v/>
      </c>
      <c r="Z955" s="157" t="e">
        <f t="shared" si="102"/>
        <v>#DIV/0!</v>
      </c>
      <c r="AA955" s="157" t="e">
        <f t="shared" si="103"/>
        <v>#DIV/0!</v>
      </c>
    </row>
    <row r="956" spans="14:27" ht="15">
      <c r="N956" s="194"/>
      <c r="O956" s="195"/>
      <c r="V956" s="196" t="str">
        <f t="shared" si="98"/>
        <v/>
      </c>
      <c r="W956" s="197" t="str">
        <f t="shared" si="99"/>
        <v/>
      </c>
      <c r="X956" s="197" t="str">
        <f t="shared" si="100"/>
        <v/>
      </c>
      <c r="Y956" s="197" t="str">
        <f t="shared" si="101"/>
        <v/>
      </c>
      <c r="Z956" s="157" t="e">
        <f t="shared" si="102"/>
        <v>#DIV/0!</v>
      </c>
      <c r="AA956" s="157" t="e">
        <f t="shared" si="103"/>
        <v>#DIV/0!</v>
      </c>
    </row>
    <row r="957" spans="14:27" ht="15">
      <c r="N957" s="194"/>
      <c r="O957" s="195"/>
      <c r="V957" s="196" t="str">
        <f t="shared" si="98"/>
        <v/>
      </c>
      <c r="W957" s="197" t="str">
        <f t="shared" si="99"/>
        <v/>
      </c>
      <c r="X957" s="197" t="str">
        <f t="shared" si="100"/>
        <v/>
      </c>
      <c r="Y957" s="197" t="str">
        <f t="shared" si="101"/>
        <v/>
      </c>
      <c r="Z957" s="157" t="e">
        <f t="shared" si="102"/>
        <v>#DIV/0!</v>
      </c>
      <c r="AA957" s="157" t="e">
        <f t="shared" si="103"/>
        <v>#DIV/0!</v>
      </c>
    </row>
    <row r="958" spans="14:27" ht="15">
      <c r="N958" s="194"/>
      <c r="O958" s="195"/>
      <c r="V958" s="196" t="str">
        <f t="shared" si="98"/>
        <v/>
      </c>
      <c r="W958" s="197" t="str">
        <f t="shared" si="99"/>
        <v/>
      </c>
      <c r="X958" s="197" t="str">
        <f t="shared" si="100"/>
        <v/>
      </c>
      <c r="Y958" s="197" t="str">
        <f t="shared" si="101"/>
        <v/>
      </c>
      <c r="Z958" s="157" t="e">
        <f t="shared" si="102"/>
        <v>#DIV/0!</v>
      </c>
      <c r="AA958" s="157" t="e">
        <f t="shared" si="103"/>
        <v>#DIV/0!</v>
      </c>
    </row>
    <row r="959" spans="14:27" ht="15">
      <c r="N959" s="194"/>
      <c r="O959" s="195"/>
      <c r="V959" s="196" t="str">
        <f t="shared" si="98"/>
        <v/>
      </c>
      <c r="W959" s="197" t="str">
        <f t="shared" si="99"/>
        <v/>
      </c>
      <c r="X959" s="197" t="str">
        <f t="shared" si="100"/>
        <v/>
      </c>
      <c r="Y959" s="197" t="str">
        <f t="shared" si="101"/>
        <v/>
      </c>
      <c r="Z959" s="157" t="e">
        <f t="shared" si="102"/>
        <v>#DIV/0!</v>
      </c>
      <c r="AA959" s="157" t="e">
        <f t="shared" si="103"/>
        <v>#DIV/0!</v>
      </c>
    </row>
    <row r="960" spans="14:27" ht="15">
      <c r="N960" s="194"/>
      <c r="O960" s="195"/>
      <c r="V960" s="196" t="str">
        <f t="shared" si="98"/>
        <v/>
      </c>
      <c r="W960" s="197" t="str">
        <f t="shared" si="99"/>
        <v/>
      </c>
      <c r="X960" s="197" t="str">
        <f t="shared" si="100"/>
        <v/>
      </c>
      <c r="Y960" s="197" t="str">
        <f t="shared" si="101"/>
        <v/>
      </c>
      <c r="Z960" s="157" t="e">
        <f t="shared" si="102"/>
        <v>#DIV/0!</v>
      </c>
      <c r="AA960" s="157" t="e">
        <f t="shared" si="103"/>
        <v>#DIV/0!</v>
      </c>
    </row>
    <row r="961" spans="14:27" ht="15">
      <c r="N961" s="194"/>
      <c r="O961" s="195"/>
      <c r="V961" s="196" t="str">
        <f t="shared" si="98"/>
        <v/>
      </c>
      <c r="W961" s="197" t="str">
        <f t="shared" si="99"/>
        <v/>
      </c>
      <c r="X961" s="197" t="str">
        <f t="shared" si="100"/>
        <v/>
      </c>
      <c r="Y961" s="197" t="str">
        <f t="shared" si="101"/>
        <v/>
      </c>
      <c r="Z961" s="157" t="e">
        <f t="shared" si="102"/>
        <v>#DIV/0!</v>
      </c>
      <c r="AA961" s="157" t="e">
        <f t="shared" si="103"/>
        <v>#DIV/0!</v>
      </c>
    </row>
    <row r="962" spans="14:27" ht="15">
      <c r="N962" s="194"/>
      <c r="O962" s="195"/>
      <c r="V962" s="196" t="str">
        <f t="shared" si="98"/>
        <v/>
      </c>
      <c r="W962" s="197" t="str">
        <f t="shared" si="99"/>
        <v/>
      </c>
      <c r="X962" s="197" t="str">
        <f t="shared" si="100"/>
        <v/>
      </c>
      <c r="Y962" s="197" t="str">
        <f t="shared" si="101"/>
        <v/>
      </c>
      <c r="Z962" s="157" t="e">
        <f t="shared" si="102"/>
        <v>#DIV/0!</v>
      </c>
      <c r="AA962" s="157" t="e">
        <f t="shared" si="103"/>
        <v>#DIV/0!</v>
      </c>
    </row>
    <row r="963" spans="14:27" ht="15">
      <c r="N963" s="194"/>
      <c r="O963" s="195"/>
      <c r="V963" s="196" t="str">
        <f t="shared" si="98"/>
        <v/>
      </c>
      <c r="W963" s="197" t="str">
        <f t="shared" si="99"/>
        <v/>
      </c>
      <c r="X963" s="197" t="str">
        <f t="shared" si="100"/>
        <v/>
      </c>
      <c r="Y963" s="197" t="str">
        <f t="shared" si="101"/>
        <v/>
      </c>
      <c r="Z963" s="157" t="e">
        <f t="shared" si="102"/>
        <v>#DIV/0!</v>
      </c>
      <c r="AA963" s="157" t="e">
        <f t="shared" si="103"/>
        <v>#DIV/0!</v>
      </c>
    </row>
    <row r="964" spans="14:27" ht="15">
      <c r="N964" s="194"/>
      <c r="O964" s="195"/>
      <c r="V964" s="196" t="str">
        <f t="shared" si="98"/>
        <v/>
      </c>
      <c r="W964" s="197" t="str">
        <f t="shared" si="99"/>
        <v/>
      </c>
      <c r="X964" s="197" t="str">
        <f t="shared" si="100"/>
        <v/>
      </c>
      <c r="Y964" s="197" t="str">
        <f t="shared" si="101"/>
        <v/>
      </c>
      <c r="Z964" s="157" t="e">
        <f t="shared" si="102"/>
        <v>#DIV/0!</v>
      </c>
      <c r="AA964" s="157" t="e">
        <f t="shared" si="103"/>
        <v>#DIV/0!</v>
      </c>
    </row>
    <row r="965" spans="14:27" ht="15">
      <c r="N965" s="194"/>
      <c r="O965" s="195"/>
      <c r="V965" s="196" t="str">
        <f t="shared" si="98"/>
        <v/>
      </c>
      <c r="W965" s="197" t="str">
        <f t="shared" si="99"/>
        <v/>
      </c>
      <c r="X965" s="197" t="str">
        <f t="shared" si="100"/>
        <v/>
      </c>
      <c r="Y965" s="197" t="str">
        <f t="shared" si="101"/>
        <v/>
      </c>
      <c r="Z965" s="157" t="e">
        <f t="shared" si="102"/>
        <v>#DIV/0!</v>
      </c>
      <c r="AA965" s="157" t="e">
        <f t="shared" si="103"/>
        <v>#DIV/0!</v>
      </c>
    </row>
    <row r="966" spans="14:27" ht="15">
      <c r="N966" s="194"/>
      <c r="O966" s="195"/>
      <c r="V966" s="196" t="str">
        <f t="shared" si="98"/>
        <v/>
      </c>
      <c r="W966" s="197" t="str">
        <f t="shared" si="99"/>
        <v/>
      </c>
      <c r="X966" s="197" t="str">
        <f t="shared" si="100"/>
        <v/>
      </c>
      <c r="Y966" s="197" t="str">
        <f t="shared" si="101"/>
        <v/>
      </c>
      <c r="Z966" s="157" t="e">
        <f t="shared" si="102"/>
        <v>#DIV/0!</v>
      </c>
      <c r="AA966" s="157" t="e">
        <f t="shared" si="103"/>
        <v>#DIV/0!</v>
      </c>
    </row>
    <row r="967" spans="14:27" ht="15">
      <c r="N967" s="194"/>
      <c r="O967" s="195"/>
      <c r="V967" s="196" t="str">
        <f t="shared" si="98"/>
        <v/>
      </c>
      <c r="W967" s="197" t="str">
        <f t="shared" si="99"/>
        <v/>
      </c>
      <c r="X967" s="197" t="str">
        <f t="shared" si="100"/>
        <v/>
      </c>
      <c r="Y967" s="197" t="str">
        <f t="shared" si="101"/>
        <v/>
      </c>
      <c r="Z967" s="157" t="e">
        <f t="shared" si="102"/>
        <v>#DIV/0!</v>
      </c>
      <c r="AA967" s="157" t="e">
        <f t="shared" si="103"/>
        <v>#DIV/0!</v>
      </c>
    </row>
    <row r="968" spans="14:27" ht="15">
      <c r="N968" s="194"/>
      <c r="O968" s="195"/>
      <c r="V968" s="196" t="str">
        <f t="shared" si="98"/>
        <v/>
      </c>
      <c r="W968" s="197" t="str">
        <f t="shared" si="99"/>
        <v/>
      </c>
      <c r="X968" s="197" t="str">
        <f t="shared" si="100"/>
        <v/>
      </c>
      <c r="Y968" s="197" t="str">
        <f t="shared" si="101"/>
        <v/>
      </c>
      <c r="Z968" s="157" t="e">
        <f t="shared" si="102"/>
        <v>#DIV/0!</v>
      </c>
      <c r="AA968" s="157" t="e">
        <f t="shared" si="103"/>
        <v>#DIV/0!</v>
      </c>
    </row>
    <row r="969" spans="14:27" ht="15">
      <c r="N969" s="194"/>
      <c r="O969" s="195"/>
      <c r="V969" s="196" t="str">
        <f t="shared" si="98"/>
        <v/>
      </c>
      <c r="W969" s="197" t="str">
        <f t="shared" si="99"/>
        <v/>
      </c>
      <c r="X969" s="197" t="str">
        <f t="shared" si="100"/>
        <v/>
      </c>
      <c r="Y969" s="197" t="str">
        <f t="shared" si="101"/>
        <v/>
      </c>
      <c r="Z969" s="157" t="e">
        <f t="shared" si="102"/>
        <v>#DIV/0!</v>
      </c>
      <c r="AA969" s="157" t="e">
        <f t="shared" si="103"/>
        <v>#DIV/0!</v>
      </c>
    </row>
    <row r="970" spans="14:27" ht="15">
      <c r="N970" s="194"/>
      <c r="O970" s="195"/>
      <c r="V970" s="196" t="str">
        <f t="shared" si="98"/>
        <v/>
      </c>
      <c r="W970" s="197" t="str">
        <f t="shared" si="99"/>
        <v/>
      </c>
      <c r="X970" s="197" t="str">
        <f t="shared" si="100"/>
        <v/>
      </c>
      <c r="Y970" s="197" t="str">
        <f t="shared" si="101"/>
        <v/>
      </c>
      <c r="Z970" s="157" t="e">
        <f t="shared" si="102"/>
        <v>#DIV/0!</v>
      </c>
      <c r="AA970" s="157" t="e">
        <f t="shared" si="103"/>
        <v>#DIV/0!</v>
      </c>
    </row>
    <row r="971" spans="14:27" ht="15">
      <c r="N971" s="194"/>
      <c r="O971" s="195"/>
      <c r="V971" s="196" t="str">
        <f t="shared" si="98"/>
        <v/>
      </c>
      <c r="W971" s="197" t="str">
        <f t="shared" si="99"/>
        <v/>
      </c>
      <c r="X971" s="197" t="str">
        <f t="shared" si="100"/>
        <v/>
      </c>
      <c r="Y971" s="197" t="str">
        <f t="shared" si="101"/>
        <v/>
      </c>
      <c r="Z971" s="157" t="e">
        <f t="shared" si="102"/>
        <v>#DIV/0!</v>
      </c>
      <c r="AA971" s="157" t="e">
        <f t="shared" si="103"/>
        <v>#DIV/0!</v>
      </c>
    </row>
    <row r="972" spans="14:27" ht="15">
      <c r="N972" s="194"/>
      <c r="O972" s="195"/>
      <c r="V972" s="196" t="str">
        <f t="shared" si="98"/>
        <v/>
      </c>
      <c r="W972" s="197" t="str">
        <f t="shared" si="99"/>
        <v/>
      </c>
      <c r="X972" s="197" t="str">
        <f t="shared" si="100"/>
        <v/>
      </c>
      <c r="Y972" s="197" t="str">
        <f t="shared" si="101"/>
        <v/>
      </c>
      <c r="Z972" s="157" t="e">
        <f t="shared" si="102"/>
        <v>#DIV/0!</v>
      </c>
      <c r="AA972" s="157" t="e">
        <f t="shared" si="103"/>
        <v>#DIV/0!</v>
      </c>
    </row>
    <row r="973" spans="14:27" ht="15">
      <c r="N973" s="194"/>
      <c r="O973" s="195"/>
      <c r="V973" s="196" t="str">
        <f t="shared" si="98"/>
        <v/>
      </c>
      <c r="W973" s="197" t="str">
        <f t="shared" si="99"/>
        <v/>
      </c>
      <c r="X973" s="197" t="str">
        <f t="shared" si="100"/>
        <v/>
      </c>
      <c r="Y973" s="197" t="str">
        <f t="shared" si="101"/>
        <v/>
      </c>
      <c r="Z973" s="157" t="e">
        <f t="shared" si="102"/>
        <v>#DIV/0!</v>
      </c>
      <c r="AA973" s="157" t="e">
        <f t="shared" si="103"/>
        <v>#DIV/0!</v>
      </c>
    </row>
    <row r="974" spans="14:27" ht="15">
      <c r="N974" s="194"/>
      <c r="O974" s="195"/>
      <c r="V974" s="196" t="str">
        <f t="shared" si="98"/>
        <v/>
      </c>
      <c r="W974" s="197" t="str">
        <f t="shared" si="99"/>
        <v/>
      </c>
      <c r="X974" s="197" t="str">
        <f t="shared" si="100"/>
        <v/>
      </c>
      <c r="Y974" s="197" t="str">
        <f t="shared" si="101"/>
        <v/>
      </c>
      <c r="Z974" s="157" t="e">
        <f t="shared" si="102"/>
        <v>#DIV/0!</v>
      </c>
      <c r="AA974" s="157" t="e">
        <f t="shared" si="103"/>
        <v>#DIV/0!</v>
      </c>
    </row>
    <row r="975" spans="14:27" ht="15">
      <c r="N975" s="194"/>
      <c r="O975" s="195"/>
      <c r="V975" s="196" t="str">
        <f t="shared" si="98"/>
        <v/>
      </c>
      <c r="W975" s="197" t="str">
        <f t="shared" si="99"/>
        <v/>
      </c>
      <c r="X975" s="197" t="str">
        <f t="shared" si="100"/>
        <v/>
      </c>
      <c r="Y975" s="197" t="str">
        <f t="shared" si="101"/>
        <v/>
      </c>
      <c r="Z975" s="157" t="e">
        <f t="shared" si="102"/>
        <v>#DIV/0!</v>
      </c>
      <c r="AA975" s="157" t="e">
        <f t="shared" si="103"/>
        <v>#DIV/0!</v>
      </c>
    </row>
    <row r="976" spans="14:27" ht="15">
      <c r="N976" s="194"/>
      <c r="O976" s="195"/>
      <c r="V976" s="196" t="str">
        <f t="shared" si="98"/>
        <v/>
      </c>
      <c r="W976" s="197" t="str">
        <f t="shared" si="99"/>
        <v/>
      </c>
      <c r="X976" s="197" t="str">
        <f t="shared" si="100"/>
        <v/>
      </c>
      <c r="Y976" s="197" t="str">
        <f t="shared" si="101"/>
        <v/>
      </c>
      <c r="Z976" s="157" t="e">
        <f t="shared" si="102"/>
        <v>#DIV/0!</v>
      </c>
      <c r="AA976" s="157" t="e">
        <f t="shared" si="103"/>
        <v>#DIV/0!</v>
      </c>
    </row>
    <row r="977" spans="14:27" ht="15">
      <c r="N977" s="194"/>
      <c r="O977" s="195"/>
      <c r="V977" s="196" t="str">
        <f t="shared" si="98"/>
        <v/>
      </c>
      <c r="W977" s="197" t="str">
        <f t="shared" si="99"/>
        <v/>
      </c>
      <c r="X977" s="197" t="str">
        <f t="shared" si="100"/>
        <v/>
      </c>
      <c r="Y977" s="197" t="str">
        <f t="shared" si="101"/>
        <v/>
      </c>
      <c r="Z977" s="157" t="e">
        <f t="shared" si="102"/>
        <v>#DIV/0!</v>
      </c>
      <c r="AA977" s="157" t="e">
        <f t="shared" si="103"/>
        <v>#DIV/0!</v>
      </c>
    </row>
    <row r="978" spans="14:27" ht="15">
      <c r="N978" s="194"/>
      <c r="O978" s="195"/>
      <c r="V978" s="196" t="str">
        <f t="shared" si="98"/>
        <v/>
      </c>
      <c r="W978" s="197" t="str">
        <f t="shared" si="99"/>
        <v/>
      </c>
      <c r="X978" s="197" t="str">
        <f t="shared" si="100"/>
        <v/>
      </c>
      <c r="Y978" s="197" t="str">
        <f t="shared" si="101"/>
        <v/>
      </c>
      <c r="Z978" s="157" t="e">
        <f t="shared" si="102"/>
        <v>#DIV/0!</v>
      </c>
      <c r="AA978" s="157" t="e">
        <f t="shared" si="103"/>
        <v>#DIV/0!</v>
      </c>
    </row>
    <row r="979" spans="14:27" ht="15">
      <c r="N979" s="194"/>
      <c r="O979" s="195"/>
      <c r="V979" s="196" t="str">
        <f t="shared" si="98"/>
        <v/>
      </c>
      <c r="W979" s="197" t="str">
        <f t="shared" si="99"/>
        <v/>
      </c>
      <c r="X979" s="197" t="str">
        <f t="shared" si="100"/>
        <v/>
      </c>
      <c r="Y979" s="197" t="str">
        <f t="shared" si="101"/>
        <v/>
      </c>
      <c r="Z979" s="157" t="e">
        <f t="shared" si="102"/>
        <v>#DIV/0!</v>
      </c>
      <c r="AA979" s="157" t="e">
        <f t="shared" si="103"/>
        <v>#DIV/0!</v>
      </c>
    </row>
    <row r="980" spans="14:27" ht="15">
      <c r="N980" s="194"/>
      <c r="O980" s="195"/>
      <c r="V980" s="196" t="str">
        <f t="shared" si="98"/>
        <v/>
      </c>
      <c r="W980" s="197" t="str">
        <f t="shared" si="99"/>
        <v/>
      </c>
      <c r="X980" s="197" t="str">
        <f t="shared" si="100"/>
        <v/>
      </c>
      <c r="Y980" s="197" t="str">
        <f t="shared" si="101"/>
        <v/>
      </c>
      <c r="Z980" s="157" t="e">
        <f t="shared" si="102"/>
        <v>#DIV/0!</v>
      </c>
      <c r="AA980" s="157" t="e">
        <f t="shared" si="103"/>
        <v>#DIV/0!</v>
      </c>
    </row>
    <row r="981" spans="14:27" ht="15">
      <c r="N981" s="194"/>
      <c r="O981" s="195"/>
      <c r="V981" s="196" t="str">
        <f t="shared" ref="V981:V1000" si="104">IFERROR(IF(AND(1/L981&gt;$V$19,1/L981&lt;=$W$19),1/L981,0),"")</f>
        <v/>
      </c>
      <c r="W981" s="197" t="str">
        <f t="shared" ref="W981:W1000" si="105">IFERROR(IF(AND(1/L981&gt;$W$19,1/L981&lt;=$X$19),1/L981,0),"")</f>
        <v/>
      </c>
      <c r="X981" s="197" t="str">
        <f t="shared" ref="X981:X1000" si="106">IFERROR(IF(AND(1/L981&gt;$X$19,1/L981&lt;=$Y$19),1/L981,0),"")</f>
        <v/>
      </c>
      <c r="Y981" s="197" t="str">
        <f t="shared" ref="Y981:Y1000" si="107">IFERROR(IF(1/L981&gt;$Y$19,1/L981,0),"")</f>
        <v/>
      </c>
      <c r="Z981" s="157" t="e">
        <f t="shared" ref="Z981:Z1000" si="108">IF(N981&lt;&gt;"",(N981-$N$17)/1000,1/0)</f>
        <v>#DIV/0!</v>
      </c>
      <c r="AA981" s="157" t="e">
        <f t="shared" ref="AA981:AA1000" si="109">IF(O981&lt;&gt;"",(O981-$O$17)/1000,1/0)</f>
        <v>#DIV/0!</v>
      </c>
    </row>
    <row r="982" spans="14:27" ht="15">
      <c r="N982" s="194"/>
      <c r="O982" s="195"/>
      <c r="V982" s="196" t="str">
        <f t="shared" si="104"/>
        <v/>
      </c>
      <c r="W982" s="197" t="str">
        <f t="shared" si="105"/>
        <v/>
      </c>
      <c r="X982" s="197" t="str">
        <f t="shared" si="106"/>
        <v/>
      </c>
      <c r="Y982" s="197" t="str">
        <f t="shared" si="107"/>
        <v/>
      </c>
      <c r="Z982" s="157" t="e">
        <f t="shared" si="108"/>
        <v>#DIV/0!</v>
      </c>
      <c r="AA982" s="157" t="e">
        <f t="shared" si="109"/>
        <v>#DIV/0!</v>
      </c>
    </row>
    <row r="983" spans="14:27" ht="15">
      <c r="N983" s="194"/>
      <c r="O983" s="195"/>
      <c r="V983" s="196" t="str">
        <f t="shared" si="104"/>
        <v/>
      </c>
      <c r="W983" s="197" t="str">
        <f t="shared" si="105"/>
        <v/>
      </c>
      <c r="X983" s="197" t="str">
        <f t="shared" si="106"/>
        <v/>
      </c>
      <c r="Y983" s="197" t="str">
        <f t="shared" si="107"/>
        <v/>
      </c>
      <c r="Z983" s="157" t="e">
        <f t="shared" si="108"/>
        <v>#DIV/0!</v>
      </c>
      <c r="AA983" s="157" t="e">
        <f t="shared" si="109"/>
        <v>#DIV/0!</v>
      </c>
    </row>
    <row r="984" spans="14:27" ht="15">
      <c r="N984" s="194"/>
      <c r="O984" s="195"/>
      <c r="V984" s="196" t="str">
        <f t="shared" si="104"/>
        <v/>
      </c>
      <c r="W984" s="197" t="str">
        <f t="shared" si="105"/>
        <v/>
      </c>
      <c r="X984" s="197" t="str">
        <f t="shared" si="106"/>
        <v/>
      </c>
      <c r="Y984" s="197" t="str">
        <f t="shared" si="107"/>
        <v/>
      </c>
      <c r="Z984" s="157" t="e">
        <f t="shared" si="108"/>
        <v>#DIV/0!</v>
      </c>
      <c r="AA984" s="157" t="e">
        <f t="shared" si="109"/>
        <v>#DIV/0!</v>
      </c>
    </row>
    <row r="985" spans="14:27" ht="15">
      <c r="N985" s="194"/>
      <c r="O985" s="195"/>
      <c r="V985" s="196" t="str">
        <f t="shared" si="104"/>
        <v/>
      </c>
      <c r="W985" s="197" t="str">
        <f t="shared" si="105"/>
        <v/>
      </c>
      <c r="X985" s="197" t="str">
        <f t="shared" si="106"/>
        <v/>
      </c>
      <c r="Y985" s="197" t="str">
        <f t="shared" si="107"/>
        <v/>
      </c>
      <c r="Z985" s="157" t="e">
        <f t="shared" si="108"/>
        <v>#DIV/0!</v>
      </c>
      <c r="AA985" s="157" t="e">
        <f t="shared" si="109"/>
        <v>#DIV/0!</v>
      </c>
    </row>
    <row r="986" spans="14:27" ht="15">
      <c r="N986" s="194"/>
      <c r="O986" s="195"/>
      <c r="V986" s="196" t="str">
        <f t="shared" si="104"/>
        <v/>
      </c>
      <c r="W986" s="197" t="str">
        <f t="shared" si="105"/>
        <v/>
      </c>
      <c r="X986" s="197" t="str">
        <f t="shared" si="106"/>
        <v/>
      </c>
      <c r="Y986" s="197" t="str">
        <f t="shared" si="107"/>
        <v/>
      </c>
      <c r="Z986" s="157" t="e">
        <f t="shared" si="108"/>
        <v>#DIV/0!</v>
      </c>
      <c r="AA986" s="157" t="e">
        <f t="shared" si="109"/>
        <v>#DIV/0!</v>
      </c>
    </row>
    <row r="987" spans="14:27" ht="15">
      <c r="N987" s="194"/>
      <c r="O987" s="195"/>
      <c r="V987" s="196" t="str">
        <f t="shared" si="104"/>
        <v/>
      </c>
      <c r="W987" s="197" t="str">
        <f t="shared" si="105"/>
        <v/>
      </c>
      <c r="X987" s="197" t="str">
        <f t="shared" si="106"/>
        <v/>
      </c>
      <c r="Y987" s="197" t="str">
        <f t="shared" si="107"/>
        <v/>
      </c>
      <c r="Z987" s="157" t="e">
        <f t="shared" si="108"/>
        <v>#DIV/0!</v>
      </c>
      <c r="AA987" s="157" t="e">
        <f t="shared" si="109"/>
        <v>#DIV/0!</v>
      </c>
    </row>
    <row r="988" spans="14:27" ht="15">
      <c r="N988" s="194"/>
      <c r="O988" s="195"/>
      <c r="V988" s="196" t="str">
        <f t="shared" si="104"/>
        <v/>
      </c>
      <c r="W988" s="197" t="str">
        <f t="shared" si="105"/>
        <v/>
      </c>
      <c r="X988" s="197" t="str">
        <f t="shared" si="106"/>
        <v/>
      </c>
      <c r="Y988" s="197" t="str">
        <f t="shared" si="107"/>
        <v/>
      </c>
      <c r="Z988" s="157" t="e">
        <f t="shared" si="108"/>
        <v>#DIV/0!</v>
      </c>
      <c r="AA988" s="157" t="e">
        <f t="shared" si="109"/>
        <v>#DIV/0!</v>
      </c>
    </row>
    <row r="989" spans="14:27" ht="15">
      <c r="N989" s="194"/>
      <c r="O989" s="195"/>
      <c r="V989" s="196" t="str">
        <f t="shared" si="104"/>
        <v/>
      </c>
      <c r="W989" s="197" t="str">
        <f t="shared" si="105"/>
        <v/>
      </c>
      <c r="X989" s="197" t="str">
        <f t="shared" si="106"/>
        <v/>
      </c>
      <c r="Y989" s="197" t="str">
        <f t="shared" si="107"/>
        <v/>
      </c>
      <c r="Z989" s="157" t="e">
        <f t="shared" si="108"/>
        <v>#DIV/0!</v>
      </c>
      <c r="AA989" s="157" t="e">
        <f t="shared" si="109"/>
        <v>#DIV/0!</v>
      </c>
    </row>
    <row r="990" spans="14:27" ht="15">
      <c r="N990" s="194"/>
      <c r="O990" s="195"/>
      <c r="V990" s="196" t="str">
        <f t="shared" si="104"/>
        <v/>
      </c>
      <c r="W990" s="197" t="str">
        <f t="shared" si="105"/>
        <v/>
      </c>
      <c r="X990" s="197" t="str">
        <f t="shared" si="106"/>
        <v/>
      </c>
      <c r="Y990" s="197" t="str">
        <f t="shared" si="107"/>
        <v/>
      </c>
      <c r="Z990" s="157" t="e">
        <f t="shared" si="108"/>
        <v>#DIV/0!</v>
      </c>
      <c r="AA990" s="157" t="e">
        <f t="shared" si="109"/>
        <v>#DIV/0!</v>
      </c>
    </row>
    <row r="991" spans="14:27" ht="15">
      <c r="N991" s="194"/>
      <c r="O991" s="195"/>
      <c r="V991" s="196" t="str">
        <f t="shared" si="104"/>
        <v/>
      </c>
      <c r="W991" s="197" t="str">
        <f t="shared" si="105"/>
        <v/>
      </c>
      <c r="X991" s="197" t="str">
        <f t="shared" si="106"/>
        <v/>
      </c>
      <c r="Y991" s="197" t="str">
        <f t="shared" si="107"/>
        <v/>
      </c>
      <c r="Z991" s="157" t="e">
        <f t="shared" si="108"/>
        <v>#DIV/0!</v>
      </c>
      <c r="AA991" s="157" t="e">
        <f t="shared" si="109"/>
        <v>#DIV/0!</v>
      </c>
    </row>
    <row r="992" spans="14:27" ht="15">
      <c r="N992" s="194"/>
      <c r="O992" s="195"/>
      <c r="V992" s="196" t="str">
        <f t="shared" si="104"/>
        <v/>
      </c>
      <c r="W992" s="197" t="str">
        <f t="shared" si="105"/>
        <v/>
      </c>
      <c r="X992" s="197" t="str">
        <f t="shared" si="106"/>
        <v/>
      </c>
      <c r="Y992" s="197" t="str">
        <f t="shared" si="107"/>
        <v/>
      </c>
      <c r="Z992" s="157" t="e">
        <f t="shared" si="108"/>
        <v>#DIV/0!</v>
      </c>
      <c r="AA992" s="157" t="e">
        <f t="shared" si="109"/>
        <v>#DIV/0!</v>
      </c>
    </row>
    <row r="993" spans="14:27" ht="15">
      <c r="N993" s="194"/>
      <c r="O993" s="195"/>
      <c r="V993" s="196" t="str">
        <f t="shared" si="104"/>
        <v/>
      </c>
      <c r="W993" s="197" t="str">
        <f t="shared" si="105"/>
        <v/>
      </c>
      <c r="X993" s="197" t="str">
        <f t="shared" si="106"/>
        <v/>
      </c>
      <c r="Y993" s="197" t="str">
        <f t="shared" si="107"/>
        <v/>
      </c>
      <c r="Z993" s="157" t="e">
        <f t="shared" si="108"/>
        <v>#DIV/0!</v>
      </c>
      <c r="AA993" s="157" t="e">
        <f t="shared" si="109"/>
        <v>#DIV/0!</v>
      </c>
    </row>
    <row r="994" spans="14:27" ht="15">
      <c r="N994" s="194"/>
      <c r="O994" s="195"/>
      <c r="V994" s="196" t="str">
        <f t="shared" si="104"/>
        <v/>
      </c>
      <c r="W994" s="197" t="str">
        <f t="shared" si="105"/>
        <v/>
      </c>
      <c r="X994" s="197" t="str">
        <f t="shared" si="106"/>
        <v/>
      </c>
      <c r="Y994" s="197" t="str">
        <f t="shared" si="107"/>
        <v/>
      </c>
      <c r="Z994" s="157" t="e">
        <f t="shared" si="108"/>
        <v>#DIV/0!</v>
      </c>
      <c r="AA994" s="157" t="e">
        <f t="shared" si="109"/>
        <v>#DIV/0!</v>
      </c>
    </row>
    <row r="995" spans="14:27" ht="15">
      <c r="N995" s="194"/>
      <c r="O995" s="195"/>
      <c r="V995" s="196" t="str">
        <f t="shared" si="104"/>
        <v/>
      </c>
      <c r="W995" s="197" t="str">
        <f t="shared" si="105"/>
        <v/>
      </c>
      <c r="X995" s="197" t="str">
        <f t="shared" si="106"/>
        <v/>
      </c>
      <c r="Y995" s="197" t="str">
        <f t="shared" si="107"/>
        <v/>
      </c>
      <c r="Z995" s="157" t="e">
        <f t="shared" si="108"/>
        <v>#DIV/0!</v>
      </c>
      <c r="AA995" s="157" t="e">
        <f t="shared" si="109"/>
        <v>#DIV/0!</v>
      </c>
    </row>
    <row r="996" spans="14:27" ht="15">
      <c r="N996" s="194"/>
      <c r="O996" s="195"/>
      <c r="V996" s="196" t="str">
        <f t="shared" si="104"/>
        <v/>
      </c>
      <c r="W996" s="197" t="str">
        <f t="shared" si="105"/>
        <v/>
      </c>
      <c r="X996" s="197" t="str">
        <f t="shared" si="106"/>
        <v/>
      </c>
      <c r="Y996" s="197" t="str">
        <f t="shared" si="107"/>
        <v/>
      </c>
      <c r="Z996" s="157" t="e">
        <f t="shared" si="108"/>
        <v>#DIV/0!</v>
      </c>
      <c r="AA996" s="157" t="e">
        <f t="shared" si="109"/>
        <v>#DIV/0!</v>
      </c>
    </row>
    <row r="997" spans="14:27" ht="15">
      <c r="N997" s="194"/>
      <c r="O997" s="195"/>
      <c r="V997" s="196" t="str">
        <f t="shared" si="104"/>
        <v/>
      </c>
      <c r="W997" s="197" t="str">
        <f t="shared" si="105"/>
        <v/>
      </c>
      <c r="X997" s="197" t="str">
        <f t="shared" si="106"/>
        <v/>
      </c>
      <c r="Y997" s="197" t="str">
        <f t="shared" si="107"/>
        <v/>
      </c>
      <c r="Z997" s="157" t="e">
        <f t="shared" si="108"/>
        <v>#DIV/0!</v>
      </c>
      <c r="AA997" s="157" t="e">
        <f t="shared" si="109"/>
        <v>#DIV/0!</v>
      </c>
    </row>
    <row r="998" spans="14:27" ht="15">
      <c r="N998" s="194"/>
      <c r="O998" s="195"/>
      <c r="V998" s="196" t="str">
        <f t="shared" si="104"/>
        <v/>
      </c>
      <c r="W998" s="197" t="str">
        <f t="shared" si="105"/>
        <v/>
      </c>
      <c r="X998" s="197" t="str">
        <f t="shared" si="106"/>
        <v/>
      </c>
      <c r="Y998" s="197" t="str">
        <f t="shared" si="107"/>
        <v/>
      </c>
      <c r="Z998" s="157" t="e">
        <f t="shared" si="108"/>
        <v>#DIV/0!</v>
      </c>
      <c r="AA998" s="157" t="e">
        <f t="shared" si="109"/>
        <v>#DIV/0!</v>
      </c>
    </row>
    <row r="999" spans="14:27" ht="15">
      <c r="N999" s="194"/>
      <c r="O999" s="195"/>
      <c r="V999" s="196" t="str">
        <f t="shared" si="104"/>
        <v/>
      </c>
      <c r="W999" s="197" t="str">
        <f t="shared" si="105"/>
        <v/>
      </c>
      <c r="X999" s="197" t="str">
        <f t="shared" si="106"/>
        <v/>
      </c>
      <c r="Y999" s="197" t="str">
        <f t="shared" si="107"/>
        <v/>
      </c>
      <c r="Z999" s="157" t="e">
        <f t="shared" si="108"/>
        <v>#DIV/0!</v>
      </c>
      <c r="AA999" s="157" t="e">
        <f t="shared" si="109"/>
        <v>#DIV/0!</v>
      </c>
    </row>
    <row r="1000" spans="14:27" ht="15">
      <c r="N1000" s="194"/>
      <c r="O1000" s="195"/>
      <c r="V1000" s="196" t="str">
        <f t="shared" si="104"/>
        <v/>
      </c>
      <c r="W1000" s="197" t="str">
        <f t="shared" si="105"/>
        <v/>
      </c>
      <c r="X1000" s="197" t="str">
        <f t="shared" si="106"/>
        <v/>
      </c>
      <c r="Y1000" s="197" t="str">
        <f t="shared" si="107"/>
        <v/>
      </c>
      <c r="Z1000" s="157" t="e">
        <f t="shared" si="108"/>
        <v>#DIV/0!</v>
      </c>
      <c r="AA1000" s="157" t="e">
        <f t="shared" si="109"/>
        <v>#DIV/0!</v>
      </c>
    </row>
  </sheetData>
  <mergeCells count="45">
    <mergeCell ref="C16:E16"/>
    <mergeCell ref="F16:G16"/>
    <mergeCell ref="H16:I16"/>
    <mergeCell ref="A18:B18"/>
    <mergeCell ref="N18:O18"/>
    <mergeCell ref="J18:J19"/>
    <mergeCell ref="C14:E14"/>
    <mergeCell ref="F14:G14"/>
    <mergeCell ref="H14:I14"/>
    <mergeCell ref="C15:E15"/>
    <mergeCell ref="F15:G15"/>
    <mergeCell ref="H15:I15"/>
    <mergeCell ref="C12:E12"/>
    <mergeCell ref="F12:G12"/>
    <mergeCell ref="H12:I12"/>
    <mergeCell ref="C13:E13"/>
    <mergeCell ref="F13:G13"/>
    <mergeCell ref="H13:I13"/>
    <mergeCell ref="J8:L8"/>
    <mergeCell ref="C9:G9"/>
    <mergeCell ref="H9:I9"/>
    <mergeCell ref="J9:L9"/>
    <mergeCell ref="C10:G10"/>
    <mergeCell ref="H10:I10"/>
    <mergeCell ref="J10:L10"/>
    <mergeCell ref="C7:G8"/>
    <mergeCell ref="C5:E5"/>
    <mergeCell ref="F5:H5"/>
    <mergeCell ref="I5:K5"/>
    <mergeCell ref="L5:M5"/>
    <mergeCell ref="J7:L7"/>
    <mergeCell ref="C3:E3"/>
    <mergeCell ref="F3:H3"/>
    <mergeCell ref="I3:K3"/>
    <mergeCell ref="L3:M3"/>
    <mergeCell ref="C4:E4"/>
    <mergeCell ref="F4:H4"/>
    <mergeCell ref="I4:K4"/>
    <mergeCell ref="L4:M4"/>
    <mergeCell ref="C1:M1"/>
    <mergeCell ref="N1:O1"/>
    <mergeCell ref="C2:E2"/>
    <mergeCell ref="F2:H2"/>
    <mergeCell ref="I2:K2"/>
    <mergeCell ref="L2:M2"/>
  </mergeCells>
  <conditionalFormatting sqref="M20:M15019">
    <cfRule type="cellIs" dxfId="10" priority="4" operator="equal">
      <formula>"NOT OK"</formula>
    </cfRule>
  </conditionalFormatting>
  <dataValidations count="2">
    <dataValidation type="list" allowBlank="1" showInputMessage="1" showErrorMessage="1" sqref="H9:I9">
      <formula1>"C1,C2,C3"</formula1>
    </dataValidation>
    <dataValidation type="list" allowBlank="1" showInputMessage="1" showErrorMessage="1" sqref="M10">
      <formula1>"Thử tĩnh, PP khác"</formula1>
    </dataValidation>
  </dataValidations>
  <pageMargins left="0.6" right="0.4" top="0.4" bottom="0.4" header="0.157" footer="0.157"/>
  <pageSetup scale="93" fitToHeight="0"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00FF"/>
  </sheetPr>
  <dimension ref="A1"/>
  <sheetViews>
    <sheetView workbookViewId="0">
      <selection activeCell="W32" sqref="W32"/>
    </sheetView>
  </sheetViews>
  <sheetFormatPr defaultColWidth="9" defaultRowHeight="15"/>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00FF"/>
  </sheetPr>
  <dimension ref="AH2:AO45"/>
  <sheetViews>
    <sheetView topLeftCell="U1" workbookViewId="0">
      <selection activeCell="AN2" sqref="AN2:AN11"/>
    </sheetView>
  </sheetViews>
  <sheetFormatPr defaultColWidth="9" defaultRowHeight="15"/>
  <cols>
    <col min="34" max="34" width="8.5703125" style="154" customWidth="1"/>
    <col min="35" max="35" width="8.140625" style="154"/>
    <col min="36" max="37" width="8.140625" style="43"/>
    <col min="38" max="38" width="6.5703125" style="154" customWidth="1"/>
    <col min="39" max="39" width="9.140625" style="43"/>
  </cols>
  <sheetData>
    <row r="2" spans="34:41">
      <c r="AH2" s="154" t="s">
        <v>912</v>
      </c>
      <c r="AL2" s="154" t="s">
        <v>913</v>
      </c>
      <c r="AM2" s="43">
        <v>1</v>
      </c>
      <c r="AN2" t="s">
        <v>914</v>
      </c>
      <c r="AO2" s="155">
        <v>1</v>
      </c>
    </row>
    <row r="3" spans="34:41">
      <c r="AH3" s="154" t="s">
        <v>915</v>
      </c>
      <c r="AL3" s="365" t="s">
        <v>916</v>
      </c>
      <c r="AM3" s="43">
        <v>2</v>
      </c>
      <c r="AN3" t="s">
        <v>917</v>
      </c>
      <c r="AO3" s="155">
        <v>2</v>
      </c>
    </row>
    <row r="4" spans="34:41">
      <c r="AH4" s="154" t="s">
        <v>918</v>
      </c>
      <c r="AL4" s="154" t="s">
        <v>919</v>
      </c>
      <c r="AM4" s="43">
        <v>3</v>
      </c>
      <c r="AN4" t="s">
        <v>920</v>
      </c>
      <c r="AO4" s="155" t="s">
        <v>921</v>
      </c>
    </row>
    <row r="5" spans="34:41">
      <c r="AH5" s="154" t="s">
        <v>922</v>
      </c>
      <c r="AL5" s="154" t="s">
        <v>923</v>
      </c>
      <c r="AM5" s="43">
        <v>4</v>
      </c>
      <c r="AN5" t="s">
        <v>924</v>
      </c>
      <c r="AO5" s="155" t="s">
        <v>925</v>
      </c>
    </row>
    <row r="6" spans="34:41">
      <c r="AH6" s="154" t="s">
        <v>926</v>
      </c>
      <c r="AL6" s="154" t="s">
        <v>927</v>
      </c>
      <c r="AM6" s="43">
        <v>5</v>
      </c>
      <c r="AN6" t="s">
        <v>928</v>
      </c>
      <c r="AO6" s="155" t="s">
        <v>929</v>
      </c>
    </row>
    <row r="7" spans="34:41">
      <c r="AH7" s="154" t="s">
        <v>930</v>
      </c>
      <c r="AL7" s="154" t="s">
        <v>931</v>
      </c>
      <c r="AM7" s="43">
        <v>6</v>
      </c>
      <c r="AN7" t="s">
        <v>932</v>
      </c>
      <c r="AO7" s="155">
        <v>4</v>
      </c>
    </row>
    <row r="8" spans="34:41">
      <c r="AH8" s="154" t="s">
        <v>933</v>
      </c>
      <c r="AL8" s="154" t="s">
        <v>934</v>
      </c>
      <c r="AM8" s="43">
        <v>7</v>
      </c>
      <c r="AN8" t="s">
        <v>935</v>
      </c>
      <c r="AO8" s="155">
        <v>5</v>
      </c>
    </row>
    <row r="9" spans="34:41">
      <c r="AH9" s="154" t="s">
        <v>936</v>
      </c>
      <c r="AN9" t="s">
        <v>937</v>
      </c>
      <c r="AO9" s="155">
        <v>6</v>
      </c>
    </row>
    <row r="10" spans="34:41">
      <c r="AH10" s="154" t="s">
        <v>938</v>
      </c>
      <c r="AN10" t="s">
        <v>939</v>
      </c>
      <c r="AO10" s="155">
        <v>7</v>
      </c>
    </row>
    <row r="11" spans="34:41">
      <c r="AH11" s="154" t="s">
        <v>940</v>
      </c>
      <c r="AN11" t="s">
        <v>941</v>
      </c>
      <c r="AO11" s="155">
        <v>8</v>
      </c>
    </row>
    <row r="12" spans="34:41">
      <c r="AH12" s="154" t="s">
        <v>942</v>
      </c>
    </row>
    <row r="13" spans="34:41">
      <c r="AH13" s="154" t="s">
        <v>943</v>
      </c>
    </row>
    <row r="14" spans="34:41">
      <c r="AH14" s="154" t="s">
        <v>944</v>
      </c>
    </row>
    <row r="41" spans="34:39">
      <c r="AH41" s="156"/>
    </row>
    <row r="42" spans="34:39">
      <c r="AH42" s="156"/>
    </row>
    <row r="44" spans="34:39">
      <c r="AI44" s="156"/>
      <c r="AJ44" s="35"/>
      <c r="AK44" s="35"/>
      <c r="AL44" s="156"/>
      <c r="AM44" s="35"/>
    </row>
    <row r="45" spans="34:39">
      <c r="AI45" s="156"/>
      <c r="AJ45" s="35"/>
      <c r="AK45" s="35"/>
      <c r="AL45" s="156"/>
      <c r="AM45" s="35"/>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00FF"/>
    <pageSetUpPr fitToPage="1"/>
  </sheetPr>
  <dimension ref="A1:FC129"/>
  <sheetViews>
    <sheetView tabSelected="1" view="pageBreakPreview" zoomScale="115" zoomScaleNormal="115" workbookViewId="0">
      <selection activeCell="G18" sqref="G18"/>
    </sheetView>
  </sheetViews>
  <sheetFormatPr defaultColWidth="8.140625" defaultRowHeight="12.75"/>
  <cols>
    <col min="1" max="1" width="8" style="38" customWidth="1"/>
    <col min="2" max="2" width="10.28515625" style="39" customWidth="1"/>
    <col min="3" max="3" width="8.140625" style="38" customWidth="1"/>
    <col min="4" max="4" width="10.5703125" style="38" customWidth="1"/>
    <col min="5" max="5" width="5.140625" style="38" customWidth="1"/>
    <col min="6" max="6" width="8.7109375" style="38" customWidth="1"/>
    <col min="7" max="7" width="9.28515625" style="38" customWidth="1"/>
    <col min="8" max="8" width="8.42578125" style="38" customWidth="1"/>
    <col min="9" max="9" width="9.42578125" style="39" customWidth="1"/>
    <col min="10" max="10" width="8" style="38" customWidth="1"/>
    <col min="11" max="11" width="8.5703125" style="38" customWidth="1"/>
    <col min="12" max="12" width="7.85546875" style="38" customWidth="1"/>
    <col min="13" max="13" width="9.42578125" style="38" customWidth="1"/>
    <col min="14" max="14" width="8.140625" style="37"/>
    <col min="15" max="15" width="8.85546875" style="43" customWidth="1"/>
    <col min="16" max="16" width="10.85546875" style="43" customWidth="1"/>
    <col min="17" max="17" width="8.140625" style="43"/>
    <col min="18" max="20" width="8.140625" style="128"/>
    <col min="21" max="21" width="11.42578125" style="128" customWidth="1"/>
    <col min="22" max="22" width="8.42578125" style="128" customWidth="1"/>
    <col min="23" max="23" width="8.85546875" style="43" customWidth="1"/>
    <col min="24" max="24" width="10.85546875" style="43" customWidth="1"/>
    <col min="25" max="27" width="8.140625" style="43"/>
    <col min="28" max="28" width="8.85546875" style="43" customWidth="1"/>
    <col min="29" max="29" width="10.85546875" style="43" customWidth="1"/>
    <col min="30" max="32" width="8.140625" style="43"/>
    <col min="33" max="33" width="8.85546875" style="43" customWidth="1"/>
    <col min="34" max="34" width="10.85546875" style="43" customWidth="1"/>
    <col min="35" max="37" width="8.140625" style="43"/>
    <col min="38" max="38" width="8.85546875" style="43" customWidth="1"/>
    <col min="39" max="39" width="10.85546875" style="43" customWidth="1"/>
    <col min="40" max="42" width="8.140625" style="43"/>
    <col min="43" max="43" width="8.85546875" style="43" customWidth="1"/>
    <col min="44" max="44" width="10.85546875" style="43" customWidth="1"/>
    <col min="45" max="47" width="8.140625" style="43"/>
    <col min="48" max="48" width="8.85546875" style="43" customWidth="1"/>
    <col min="49" max="49" width="10.85546875" style="43" customWidth="1"/>
    <col min="50" max="52" width="8.140625" style="43"/>
    <col min="53" max="53" width="8.85546875" style="43" customWidth="1"/>
    <col min="54" max="54" width="10.85546875" style="43" customWidth="1"/>
    <col min="55" max="57" width="8.140625" style="43"/>
    <col min="58" max="58" width="8.85546875" style="43" customWidth="1"/>
    <col min="59" max="59" width="10.85546875" style="43" customWidth="1"/>
    <col min="60" max="62" width="8.140625" style="43"/>
    <col min="63" max="63" width="8.85546875" style="43" customWidth="1"/>
    <col min="64" max="64" width="10.85546875" style="43" customWidth="1"/>
    <col min="65" max="67" width="8.140625" style="43"/>
    <col min="68" max="68" width="8.85546875" style="43" customWidth="1"/>
    <col min="69" max="69" width="10.85546875" style="43" customWidth="1"/>
    <col min="70" max="72" width="8.140625" style="43"/>
    <col min="73" max="73" width="8.85546875" style="43" customWidth="1"/>
    <col min="74" max="74" width="10.85546875" style="43" customWidth="1"/>
    <col min="75" max="77" width="8.140625" style="43"/>
    <col min="78" max="78" width="8.85546875" style="43" customWidth="1"/>
    <col min="79" max="79" width="10.85546875" style="43" customWidth="1"/>
    <col min="80" max="82" width="8.140625" style="43"/>
    <col min="83" max="83" width="8.85546875" style="43" customWidth="1"/>
    <col min="84" max="84" width="10.85546875" style="43" customWidth="1"/>
    <col min="85" max="87" width="8.140625" style="43"/>
    <col min="88" max="88" width="8.85546875" style="43" customWidth="1"/>
    <col min="89" max="89" width="10.85546875" style="43" customWidth="1"/>
    <col min="90" max="92" width="8.140625" style="43"/>
    <col min="93" max="93" width="8.85546875" style="43" customWidth="1"/>
    <col min="94" max="94" width="10.85546875" style="43" customWidth="1"/>
    <col min="95" max="97" width="8.140625" style="43"/>
    <col min="98" max="98" width="8.85546875" style="43" customWidth="1"/>
    <col min="99" max="99" width="10.85546875" style="43" customWidth="1"/>
    <col min="100" max="102" width="8.140625" style="43"/>
    <col min="103" max="103" width="8.85546875" style="43" customWidth="1"/>
    <col min="104" max="104" width="10.85546875" style="43" customWidth="1"/>
    <col min="105" max="107" width="8.140625" style="43"/>
    <col min="108" max="108" width="8.85546875" style="43" customWidth="1"/>
    <col min="109" max="109" width="10.85546875" style="43" customWidth="1"/>
    <col min="110" max="112" width="8.140625" style="43"/>
    <col min="113" max="113" width="8.85546875" style="43" customWidth="1"/>
    <col min="114" max="114" width="10.85546875" style="43" customWidth="1"/>
    <col min="115" max="117" width="8.140625" style="43"/>
    <col min="118" max="118" width="8.85546875" style="43" customWidth="1"/>
    <col min="119" max="119" width="10.85546875" style="43" customWidth="1"/>
    <col min="120" max="122" width="8.140625" style="43"/>
    <col min="123" max="123" width="8.85546875" style="43" customWidth="1"/>
    <col min="124" max="124" width="10.85546875" style="43" customWidth="1"/>
    <col min="125" max="127" width="8.140625" style="43"/>
    <col min="128" max="128" width="8.85546875" style="43" customWidth="1"/>
    <col min="129" max="129" width="10.85546875" style="43" customWidth="1"/>
    <col min="130" max="132" width="8.140625" style="43"/>
    <col min="133" max="133" width="8.85546875" style="43" customWidth="1"/>
    <col min="134" max="134" width="10.85546875" style="43" customWidth="1"/>
    <col min="135" max="137" width="8.140625" style="43"/>
    <col min="138" max="138" width="8.85546875" style="43" customWidth="1"/>
    <col min="139" max="139" width="10.85546875" style="43" customWidth="1"/>
    <col min="140" max="142" width="8.140625" style="43"/>
    <col min="143" max="143" width="8.85546875" style="43" customWidth="1"/>
    <col min="144" max="144" width="10.85546875" style="43" customWidth="1"/>
    <col min="145" max="147" width="8.140625" style="43"/>
    <col min="148" max="148" width="8.85546875" style="43" customWidth="1"/>
    <col min="149" max="149" width="10.85546875" style="43" customWidth="1"/>
    <col min="150" max="152" width="8.140625" style="43"/>
    <col min="153" max="153" width="8.85546875" style="43" customWidth="1"/>
    <col min="154" max="154" width="10.85546875" style="43" customWidth="1"/>
    <col min="155" max="157" width="8.140625" style="43"/>
    <col min="158" max="158" width="8.85546875" style="43" customWidth="1"/>
    <col min="159" max="159" width="10.85546875" style="43" customWidth="1"/>
    <col min="160" max="16384" width="8.140625" style="43"/>
  </cols>
  <sheetData>
    <row r="1" spans="1:159" ht="30" customHeight="1">
      <c r="A1" s="408" t="s">
        <v>228</v>
      </c>
      <c r="B1" s="408"/>
      <c r="C1" s="408"/>
      <c r="D1" s="408"/>
      <c r="E1" s="408"/>
      <c r="F1" s="408"/>
      <c r="G1" s="408"/>
      <c r="H1" s="408"/>
      <c r="I1" s="408"/>
      <c r="J1" s="408"/>
      <c r="K1" s="408"/>
      <c r="L1" s="408"/>
      <c r="M1" s="532"/>
      <c r="N1" s="533" t="s">
        <v>945</v>
      </c>
      <c r="O1" s="533"/>
      <c r="P1" s="533"/>
      <c r="Q1" s="533"/>
      <c r="R1" s="130"/>
      <c r="S1" s="130"/>
      <c r="T1" s="130"/>
      <c r="U1" s="131" t="s">
        <v>305</v>
      </c>
      <c r="V1" s="131">
        <f>$D$16</f>
        <v>43.2</v>
      </c>
      <c r="W1" s="534" t="s">
        <v>946</v>
      </c>
      <c r="X1" s="534"/>
      <c r="Z1" s="131" t="s">
        <v>305</v>
      </c>
      <c r="AA1" s="131">
        <f>$D$16</f>
        <v>43.2</v>
      </c>
      <c r="AB1" s="534" t="s">
        <v>947</v>
      </c>
      <c r="AC1" s="534"/>
      <c r="AE1" s="131" t="s">
        <v>305</v>
      </c>
      <c r="AF1" s="131">
        <f>$D$16</f>
        <v>43.2</v>
      </c>
      <c r="AG1" s="534" t="s">
        <v>948</v>
      </c>
      <c r="AH1" s="534"/>
      <c r="AJ1" s="131" t="s">
        <v>305</v>
      </c>
      <c r="AK1" s="131">
        <f>$D$16</f>
        <v>43.2</v>
      </c>
      <c r="AL1" s="534" t="s">
        <v>949</v>
      </c>
      <c r="AM1" s="534"/>
      <c r="AO1" s="131" t="s">
        <v>305</v>
      </c>
      <c r="AP1" s="131">
        <f>$D$16</f>
        <v>43.2</v>
      </c>
      <c r="AQ1" s="534" t="s">
        <v>950</v>
      </c>
      <c r="AR1" s="534"/>
      <c r="AT1" s="131" t="s">
        <v>305</v>
      </c>
      <c r="AU1" s="131">
        <f>$D$16</f>
        <v>43.2</v>
      </c>
      <c r="AV1" s="534" t="s">
        <v>951</v>
      </c>
      <c r="AW1" s="534"/>
      <c r="AY1" s="131" t="s">
        <v>305</v>
      </c>
      <c r="AZ1" s="131">
        <f>$D$16</f>
        <v>43.2</v>
      </c>
      <c r="BA1" s="534" t="s">
        <v>952</v>
      </c>
      <c r="BB1" s="534"/>
      <c r="BD1" s="131" t="s">
        <v>305</v>
      </c>
      <c r="BE1" s="131">
        <f>$D$16</f>
        <v>43.2</v>
      </c>
      <c r="BF1" s="534" t="s">
        <v>953</v>
      </c>
      <c r="BG1" s="534"/>
      <c r="BI1" s="131" t="s">
        <v>305</v>
      </c>
      <c r="BJ1" s="131">
        <f>$D$16</f>
        <v>43.2</v>
      </c>
      <c r="BK1" s="534" t="s">
        <v>954</v>
      </c>
      <c r="BL1" s="534"/>
      <c r="BN1" s="131" t="s">
        <v>305</v>
      </c>
      <c r="BO1" s="131">
        <f>$D$16</f>
        <v>43.2</v>
      </c>
      <c r="BP1" s="534" t="s">
        <v>955</v>
      </c>
      <c r="BQ1" s="534"/>
      <c r="BS1" s="131" t="s">
        <v>305</v>
      </c>
      <c r="BT1" s="131">
        <f>$D$16</f>
        <v>43.2</v>
      </c>
      <c r="BU1" s="534" t="s">
        <v>956</v>
      </c>
      <c r="BV1" s="534"/>
      <c r="BX1" s="131" t="s">
        <v>305</v>
      </c>
      <c r="BY1" s="131">
        <f>$D$16</f>
        <v>43.2</v>
      </c>
      <c r="BZ1" s="534" t="s">
        <v>957</v>
      </c>
      <c r="CA1" s="534"/>
      <c r="CC1" s="131" t="s">
        <v>305</v>
      </c>
      <c r="CD1" s="131">
        <f>$D$16</f>
        <v>43.2</v>
      </c>
      <c r="CE1" s="534" t="s">
        <v>958</v>
      </c>
      <c r="CF1" s="534"/>
      <c r="CH1" s="131" t="s">
        <v>305</v>
      </c>
      <c r="CI1" s="131">
        <f>$D$16</f>
        <v>43.2</v>
      </c>
      <c r="CJ1" s="534" t="s">
        <v>959</v>
      </c>
      <c r="CK1" s="534"/>
      <c r="CM1" s="131" t="s">
        <v>305</v>
      </c>
      <c r="CN1" s="131">
        <f>$D$16</f>
        <v>43.2</v>
      </c>
      <c r="CO1" s="534" t="s">
        <v>960</v>
      </c>
      <c r="CP1" s="534"/>
      <c r="CR1" s="131" t="s">
        <v>305</v>
      </c>
      <c r="CS1" s="131">
        <f>$D$16</f>
        <v>43.2</v>
      </c>
      <c r="CT1" s="534" t="s">
        <v>961</v>
      </c>
      <c r="CU1" s="534"/>
      <c r="CW1" s="131" t="s">
        <v>305</v>
      </c>
      <c r="CX1" s="131">
        <f>$D$16</f>
        <v>43.2</v>
      </c>
      <c r="CY1" s="534" t="s">
        <v>962</v>
      </c>
      <c r="CZ1" s="534"/>
      <c r="DB1" s="131" t="s">
        <v>305</v>
      </c>
      <c r="DC1" s="131">
        <f>$D$16</f>
        <v>43.2</v>
      </c>
      <c r="DD1" s="534" t="s">
        <v>963</v>
      </c>
      <c r="DE1" s="534"/>
      <c r="DG1" s="131" t="s">
        <v>305</v>
      </c>
      <c r="DH1" s="131">
        <f>$D$16</f>
        <v>43.2</v>
      </c>
      <c r="DI1" s="534" t="s">
        <v>284</v>
      </c>
      <c r="DJ1" s="534"/>
      <c r="DL1" s="131" t="s">
        <v>305</v>
      </c>
      <c r="DM1" s="131">
        <f>$D$16</f>
        <v>43.2</v>
      </c>
      <c r="DN1" s="534" t="s">
        <v>964</v>
      </c>
      <c r="DO1" s="534"/>
      <c r="DQ1" s="131" t="s">
        <v>305</v>
      </c>
      <c r="DR1" s="131">
        <f>$D$16</f>
        <v>43.2</v>
      </c>
      <c r="DS1" s="534" t="s">
        <v>965</v>
      </c>
      <c r="DT1" s="534"/>
      <c r="DV1" s="131" t="s">
        <v>305</v>
      </c>
      <c r="DW1" s="131">
        <f>$D$16</f>
        <v>43.2</v>
      </c>
      <c r="DX1" s="534" t="s">
        <v>966</v>
      </c>
      <c r="DY1" s="534"/>
      <c r="EA1" s="131" t="s">
        <v>305</v>
      </c>
      <c r="EB1" s="131">
        <f>$D$16</f>
        <v>43.2</v>
      </c>
      <c r="EC1" s="534" t="s">
        <v>967</v>
      </c>
      <c r="ED1" s="534"/>
      <c r="EF1" s="131" t="s">
        <v>305</v>
      </c>
      <c r="EG1" s="131">
        <f>$D$16</f>
        <v>43.2</v>
      </c>
      <c r="EH1" s="534" t="s">
        <v>968</v>
      </c>
      <c r="EI1" s="534"/>
      <c r="EK1" s="131" t="s">
        <v>305</v>
      </c>
      <c r="EL1" s="131">
        <f>$D$16</f>
        <v>43.2</v>
      </c>
      <c r="EM1" s="534" t="s">
        <v>969</v>
      </c>
      <c r="EN1" s="534"/>
      <c r="EP1" s="131" t="s">
        <v>305</v>
      </c>
      <c r="EQ1" s="131">
        <f>$D$16</f>
        <v>43.2</v>
      </c>
      <c r="ER1" s="534" t="s">
        <v>970</v>
      </c>
      <c r="ES1" s="534"/>
      <c r="EU1" s="131" t="s">
        <v>305</v>
      </c>
      <c r="EV1" s="131">
        <f>$D$16</f>
        <v>43.2</v>
      </c>
      <c r="EW1" s="534" t="s">
        <v>971</v>
      </c>
      <c r="EX1" s="534"/>
      <c r="EZ1" s="131" t="s">
        <v>305</v>
      </c>
      <c r="FA1" s="131">
        <f>$D$16</f>
        <v>43.2</v>
      </c>
      <c r="FB1" s="534" t="s">
        <v>972</v>
      </c>
      <c r="FC1" s="534"/>
    </row>
    <row r="2" spans="1:159" ht="15.75" customHeight="1">
      <c r="A2" s="409" t="s">
        <v>253</v>
      </c>
      <c r="B2" s="409"/>
      <c r="C2" s="409"/>
      <c r="D2" s="410" t="s">
        <v>254</v>
      </c>
      <c r="E2" s="410"/>
      <c r="F2" s="410"/>
      <c r="G2" s="410"/>
      <c r="H2" s="410"/>
      <c r="I2" s="535" t="s">
        <v>255</v>
      </c>
      <c r="J2" s="536"/>
      <c r="K2" s="537"/>
      <c r="L2" s="538" t="s">
        <v>256</v>
      </c>
      <c r="M2" s="512"/>
      <c r="N2" s="129" t="s">
        <v>946</v>
      </c>
      <c r="O2" s="152">
        <f>FLOOR((_xll.qb_SPT2025($D$10,$D$12,$D$13,$V$1,$V$1,$W$3:$X$16,$W$19:$X$108)*D19-_xll.flu_SPT2025($D$10,$D$12,$D$13,$D$20,$D$15,$V$1,$W$3:$X$16,$W$19:$X$108,TRUE,FALSE,"",0,$D$17)+_xll.flu_SPT2025($D$10,$D$12,$D$13,$D$20,$D$15,$V$1,$W$3:$X$16,$W$19:$X$108,FALSE,TRUE,"",0,$D$17))/($D$27*$D$26)-$D$29*$D$26,10)</f>
        <v>5780</v>
      </c>
      <c r="P2" s="129" t="s">
        <v>960</v>
      </c>
      <c r="Q2" s="142">
        <f>FLOOR((_xll.qb_SPT2025($D$10,$D$12,$D$13,$CN$1,$CN$1,$CO$3:$CP$16,$CO$19:$CP$108)*D19-_xll.flu_SPT2025($D$10,$D$12,$D$13,$D$20,$D$15,$CN$1,$CO$3:$CP$16,$CO$19:$CP$108,TRUE,FALSE,"",0,$D$17)+_xll.flu_SPT2025($D$10,$D$12,$D$13,$D$20,$D$15,$CN$1,$CO$3:$CP$16,$CO$19:$CP$108,FALSE,TRUE,"",0,$D$17))/($D$27*$D$26)-$D$29*$D$26,10)</f>
        <v>5780</v>
      </c>
      <c r="R2" s="136"/>
      <c r="S2" s="136"/>
      <c r="T2" s="136"/>
      <c r="U2" s="137" t="s">
        <v>973</v>
      </c>
      <c r="V2" s="137" t="s">
        <v>229</v>
      </c>
      <c r="W2" s="129" t="s">
        <v>287</v>
      </c>
      <c r="X2" s="132" t="s">
        <v>974</v>
      </c>
      <c r="Z2" s="137" t="s">
        <v>973</v>
      </c>
      <c r="AA2" s="137" t="s">
        <v>229</v>
      </c>
      <c r="AB2" s="129" t="s">
        <v>287</v>
      </c>
      <c r="AC2" s="132" t="s">
        <v>974</v>
      </c>
      <c r="AE2" s="137" t="s">
        <v>973</v>
      </c>
      <c r="AF2" s="137" t="s">
        <v>229</v>
      </c>
      <c r="AG2" s="129" t="s">
        <v>287</v>
      </c>
      <c r="AH2" s="132" t="s">
        <v>974</v>
      </c>
      <c r="AJ2" s="137" t="s">
        <v>973</v>
      </c>
      <c r="AK2" s="137" t="s">
        <v>229</v>
      </c>
      <c r="AL2" s="129" t="s">
        <v>287</v>
      </c>
      <c r="AM2" s="132" t="s">
        <v>974</v>
      </c>
      <c r="AO2" s="137" t="s">
        <v>973</v>
      </c>
      <c r="AP2" s="137" t="s">
        <v>229</v>
      </c>
      <c r="AQ2" s="129" t="s">
        <v>287</v>
      </c>
      <c r="AR2" s="132" t="s">
        <v>974</v>
      </c>
      <c r="AT2" s="137" t="s">
        <v>973</v>
      </c>
      <c r="AU2" s="137" t="s">
        <v>229</v>
      </c>
      <c r="AV2" s="129" t="s">
        <v>287</v>
      </c>
      <c r="AW2" s="132" t="s">
        <v>974</v>
      </c>
      <c r="AY2" s="137" t="s">
        <v>973</v>
      </c>
      <c r="AZ2" s="137" t="s">
        <v>229</v>
      </c>
      <c r="BA2" s="129" t="s">
        <v>287</v>
      </c>
      <c r="BB2" s="132" t="s">
        <v>974</v>
      </c>
      <c r="BD2" s="137" t="s">
        <v>973</v>
      </c>
      <c r="BE2" s="137" t="s">
        <v>229</v>
      </c>
      <c r="BF2" s="129" t="s">
        <v>287</v>
      </c>
      <c r="BG2" s="132" t="s">
        <v>974</v>
      </c>
      <c r="BI2" s="137" t="s">
        <v>973</v>
      </c>
      <c r="BJ2" s="137" t="s">
        <v>229</v>
      </c>
      <c r="BK2" s="129" t="s">
        <v>287</v>
      </c>
      <c r="BL2" s="132" t="s">
        <v>974</v>
      </c>
      <c r="BN2" s="137" t="s">
        <v>973</v>
      </c>
      <c r="BO2" s="137" t="s">
        <v>229</v>
      </c>
      <c r="BP2" s="129" t="s">
        <v>287</v>
      </c>
      <c r="BQ2" s="132" t="s">
        <v>974</v>
      </c>
      <c r="BS2" s="137" t="s">
        <v>973</v>
      </c>
      <c r="BT2" s="137" t="s">
        <v>229</v>
      </c>
      <c r="BU2" s="129" t="s">
        <v>287</v>
      </c>
      <c r="BV2" s="132" t="s">
        <v>974</v>
      </c>
      <c r="BX2" s="137" t="s">
        <v>973</v>
      </c>
      <c r="BY2" s="137" t="s">
        <v>229</v>
      </c>
      <c r="BZ2" s="129" t="s">
        <v>287</v>
      </c>
      <c r="CA2" s="132" t="s">
        <v>974</v>
      </c>
      <c r="CC2" s="137" t="s">
        <v>973</v>
      </c>
      <c r="CD2" s="137" t="s">
        <v>229</v>
      </c>
      <c r="CE2" s="129" t="s">
        <v>287</v>
      </c>
      <c r="CF2" s="132" t="s">
        <v>974</v>
      </c>
      <c r="CH2" s="137" t="s">
        <v>973</v>
      </c>
      <c r="CI2" s="137" t="s">
        <v>229</v>
      </c>
      <c r="CJ2" s="129" t="s">
        <v>287</v>
      </c>
      <c r="CK2" s="132" t="s">
        <v>974</v>
      </c>
      <c r="CM2" s="137" t="s">
        <v>973</v>
      </c>
      <c r="CN2" s="137" t="s">
        <v>229</v>
      </c>
      <c r="CO2" s="129" t="s">
        <v>287</v>
      </c>
      <c r="CP2" s="132" t="s">
        <v>974</v>
      </c>
      <c r="CR2" s="137" t="s">
        <v>973</v>
      </c>
      <c r="CS2" s="137" t="s">
        <v>229</v>
      </c>
      <c r="CT2" s="129" t="s">
        <v>287</v>
      </c>
      <c r="CU2" s="132" t="s">
        <v>974</v>
      </c>
      <c r="CW2" s="137" t="s">
        <v>973</v>
      </c>
      <c r="CX2" s="137" t="s">
        <v>229</v>
      </c>
      <c r="CY2" s="129" t="s">
        <v>287</v>
      </c>
      <c r="CZ2" s="132" t="s">
        <v>974</v>
      </c>
      <c r="DB2" s="137" t="s">
        <v>973</v>
      </c>
      <c r="DC2" s="137" t="s">
        <v>229</v>
      </c>
      <c r="DD2" s="129" t="s">
        <v>287</v>
      </c>
      <c r="DE2" s="132" t="s">
        <v>974</v>
      </c>
      <c r="DG2" s="137" t="s">
        <v>973</v>
      </c>
      <c r="DH2" s="137" t="s">
        <v>229</v>
      </c>
      <c r="DI2" s="129" t="s">
        <v>287</v>
      </c>
      <c r="DJ2" s="132" t="s">
        <v>974</v>
      </c>
      <c r="DL2" s="137" t="s">
        <v>973</v>
      </c>
      <c r="DM2" s="137" t="s">
        <v>229</v>
      </c>
      <c r="DN2" s="129" t="s">
        <v>287</v>
      </c>
      <c r="DO2" s="132" t="s">
        <v>974</v>
      </c>
      <c r="DQ2" s="137" t="s">
        <v>973</v>
      </c>
      <c r="DR2" s="137" t="s">
        <v>229</v>
      </c>
      <c r="DS2" s="129" t="s">
        <v>287</v>
      </c>
      <c r="DT2" s="132" t="s">
        <v>974</v>
      </c>
      <c r="DV2" s="137" t="s">
        <v>973</v>
      </c>
      <c r="DW2" s="137" t="s">
        <v>229</v>
      </c>
      <c r="DX2" s="129" t="s">
        <v>287</v>
      </c>
      <c r="DY2" s="132" t="s">
        <v>974</v>
      </c>
      <c r="EA2" s="137" t="s">
        <v>973</v>
      </c>
      <c r="EB2" s="137" t="s">
        <v>229</v>
      </c>
      <c r="EC2" s="129" t="s">
        <v>287</v>
      </c>
      <c r="ED2" s="132" t="s">
        <v>974</v>
      </c>
      <c r="EF2" s="137" t="s">
        <v>973</v>
      </c>
      <c r="EG2" s="137" t="s">
        <v>229</v>
      </c>
      <c r="EH2" s="129" t="s">
        <v>287</v>
      </c>
      <c r="EI2" s="132" t="s">
        <v>974</v>
      </c>
      <c r="EK2" s="137" t="s">
        <v>973</v>
      </c>
      <c r="EL2" s="137" t="s">
        <v>229</v>
      </c>
      <c r="EM2" s="129" t="s">
        <v>287</v>
      </c>
      <c r="EN2" s="132" t="s">
        <v>974</v>
      </c>
      <c r="EP2" s="137" t="s">
        <v>973</v>
      </c>
      <c r="EQ2" s="137" t="s">
        <v>229</v>
      </c>
      <c r="ER2" s="129" t="s">
        <v>287</v>
      </c>
      <c r="ES2" s="132" t="s">
        <v>974</v>
      </c>
      <c r="EU2" s="137" t="s">
        <v>973</v>
      </c>
      <c r="EV2" s="137" t="s">
        <v>229</v>
      </c>
      <c r="EW2" s="129" t="s">
        <v>287</v>
      </c>
      <c r="EX2" s="132" t="s">
        <v>974</v>
      </c>
      <c r="EZ2" s="137" t="s">
        <v>973</v>
      </c>
      <c r="FA2" s="137" t="s">
        <v>229</v>
      </c>
      <c r="FB2" s="129" t="s">
        <v>287</v>
      </c>
      <c r="FC2" s="132" t="s">
        <v>974</v>
      </c>
    </row>
    <row r="3" spans="1:159" ht="15">
      <c r="A3" s="409" t="s">
        <v>257</v>
      </c>
      <c r="B3" s="409"/>
      <c r="C3" s="409"/>
      <c r="D3" s="410" t="s">
        <v>254</v>
      </c>
      <c r="E3" s="410"/>
      <c r="F3" s="410"/>
      <c r="G3" s="410"/>
      <c r="H3" s="410"/>
      <c r="I3" s="535" t="s">
        <v>258</v>
      </c>
      <c r="J3" s="512"/>
      <c r="K3" s="513"/>
      <c r="L3" s="539">
        <f ca="1">TODAY()</f>
        <v>46281</v>
      </c>
      <c r="M3" s="512"/>
      <c r="N3" s="129" t="s">
        <v>947</v>
      </c>
      <c r="O3" s="152">
        <f>FLOOR((_xll.qb_SPT2025($D$10,$D$12,$D$13,$AA$1,$AA$1,$AB$3:$AC$16,$AB$19:$AC$108)*D19-_xll.flu_SPT2025($D$10,$D$12,$D$13,$D$20,$D$15,$AA$1,$AB$3:$AC$16,$AB$19:$AC$108,TRUE,FALSE,"",0,$D$17)+_xll.flu_SPT2025($D$10,$D$12,$D$13,$D$20,$D$15,$AA$1,$AB$3:$AC$16,$AB$19:$AC$108,FALSE,TRUE,"",0,$D$17))/($D$27*$D$26)-$D$29*$D$26,10)</f>
        <v>3460</v>
      </c>
      <c r="P3" s="129" t="s">
        <v>961</v>
      </c>
      <c r="Q3" s="142">
        <f>FLOOR((_xll.qb_SPT2025($D$10,$D$12,$D$13,$CS$1,$CS$1,$CT$3:$CU$16,$CT$19:$CU$108)*D19-_xll.flu_SPT2025($D$10,$D$12,$D$13,$D$20,$D$15,$CS$1,$CT$3:$CU$16,$CT$19:$CU$108,TRUE,FALSE,"",0,$D$17)+_xll.flu_SPT2025($D$10,$D$12,$D$13,$D$20,$D$15,$CS$1,$CT$3:$CU$16,$CT$19:$CU$108,FALSE,TRUE,"",0,$D$17))/($D$27*$D$26)-$D$29*$D$26,10)</f>
        <v>5780</v>
      </c>
      <c r="R3" s="136"/>
      <c r="S3" s="136"/>
      <c r="T3" s="136"/>
      <c r="U3" s="138" t="s">
        <v>262</v>
      </c>
      <c r="V3" s="138" t="s">
        <v>269</v>
      </c>
      <c r="W3" s="138">
        <v>0</v>
      </c>
      <c r="X3" s="138" t="s">
        <v>975</v>
      </c>
      <c r="Z3" s="138" t="s">
        <v>262</v>
      </c>
      <c r="AA3" s="138" t="s">
        <v>269</v>
      </c>
      <c r="AB3" s="138">
        <v>0</v>
      </c>
      <c r="AC3" s="138" t="s">
        <v>975</v>
      </c>
      <c r="AE3" s="138" t="s">
        <v>262</v>
      </c>
      <c r="AF3" s="138" t="s">
        <v>269</v>
      </c>
      <c r="AG3" s="138">
        <v>0</v>
      </c>
      <c r="AH3" s="138" t="s">
        <v>975</v>
      </c>
      <c r="AJ3" s="138" t="s">
        <v>262</v>
      </c>
      <c r="AK3" s="138" t="s">
        <v>269</v>
      </c>
      <c r="AL3" s="138">
        <v>0</v>
      </c>
      <c r="AM3" s="138" t="s">
        <v>975</v>
      </c>
      <c r="AO3" s="138" t="s">
        <v>262</v>
      </c>
      <c r="AP3" s="138" t="s">
        <v>269</v>
      </c>
      <c r="AQ3" s="138">
        <v>0</v>
      </c>
      <c r="AR3" s="138" t="s">
        <v>975</v>
      </c>
      <c r="AT3" s="138" t="s">
        <v>262</v>
      </c>
      <c r="AU3" s="138" t="s">
        <v>269</v>
      </c>
      <c r="AV3" s="138">
        <v>0</v>
      </c>
      <c r="AW3" s="138" t="s">
        <v>975</v>
      </c>
      <c r="AY3" s="138" t="s">
        <v>262</v>
      </c>
      <c r="AZ3" s="138" t="s">
        <v>269</v>
      </c>
      <c r="BA3" s="138">
        <v>0</v>
      </c>
      <c r="BB3" s="138" t="s">
        <v>975</v>
      </c>
      <c r="BD3" s="138" t="s">
        <v>262</v>
      </c>
      <c r="BE3" s="138" t="s">
        <v>269</v>
      </c>
      <c r="BF3" s="138">
        <v>0</v>
      </c>
      <c r="BG3" s="138" t="s">
        <v>975</v>
      </c>
      <c r="BI3" s="138" t="s">
        <v>262</v>
      </c>
      <c r="BJ3" s="138" t="s">
        <v>269</v>
      </c>
      <c r="BK3" s="138">
        <v>0</v>
      </c>
      <c r="BL3" s="138" t="s">
        <v>975</v>
      </c>
      <c r="BN3" s="138" t="s">
        <v>262</v>
      </c>
      <c r="BO3" s="138" t="s">
        <v>269</v>
      </c>
      <c r="BP3" s="138">
        <v>0</v>
      </c>
      <c r="BQ3" s="138" t="s">
        <v>975</v>
      </c>
      <c r="BS3" s="138" t="s">
        <v>262</v>
      </c>
      <c r="BT3" s="138" t="s">
        <v>269</v>
      </c>
      <c r="BU3" s="138">
        <v>0</v>
      </c>
      <c r="BV3" s="138" t="s">
        <v>975</v>
      </c>
      <c r="BX3" s="138" t="s">
        <v>262</v>
      </c>
      <c r="BY3" s="138" t="s">
        <v>269</v>
      </c>
      <c r="BZ3" s="138">
        <v>0</v>
      </c>
      <c r="CA3" s="138" t="s">
        <v>975</v>
      </c>
      <c r="CC3" s="138" t="s">
        <v>262</v>
      </c>
      <c r="CD3" s="138" t="s">
        <v>269</v>
      </c>
      <c r="CE3" s="138">
        <v>0</v>
      </c>
      <c r="CF3" s="138" t="s">
        <v>975</v>
      </c>
      <c r="CH3" s="138" t="s">
        <v>262</v>
      </c>
      <c r="CI3" s="138" t="s">
        <v>269</v>
      </c>
      <c r="CJ3" s="138">
        <v>0</v>
      </c>
      <c r="CK3" s="138" t="s">
        <v>975</v>
      </c>
      <c r="CM3" s="138" t="s">
        <v>262</v>
      </c>
      <c r="CN3" s="138" t="s">
        <v>269</v>
      </c>
      <c r="CO3" s="138">
        <v>0</v>
      </c>
      <c r="CP3" s="138" t="s">
        <v>975</v>
      </c>
      <c r="CR3" s="138" t="s">
        <v>262</v>
      </c>
      <c r="CS3" s="138" t="s">
        <v>269</v>
      </c>
      <c r="CT3" s="138">
        <v>0</v>
      </c>
      <c r="CU3" s="138" t="s">
        <v>975</v>
      </c>
      <c r="CW3" s="138" t="s">
        <v>262</v>
      </c>
      <c r="CX3" s="138" t="s">
        <v>269</v>
      </c>
      <c r="CY3" s="138">
        <v>0</v>
      </c>
      <c r="CZ3" s="138" t="s">
        <v>975</v>
      </c>
      <c r="DB3" s="138" t="s">
        <v>262</v>
      </c>
      <c r="DC3" s="138" t="s">
        <v>269</v>
      </c>
      <c r="DD3" s="138">
        <v>0</v>
      </c>
      <c r="DE3" s="138" t="s">
        <v>975</v>
      </c>
      <c r="DG3" s="138" t="s">
        <v>262</v>
      </c>
      <c r="DH3" s="138" t="s">
        <v>269</v>
      </c>
      <c r="DI3" s="138">
        <v>0</v>
      </c>
      <c r="DJ3" s="138" t="s">
        <v>975</v>
      </c>
      <c r="DL3" s="138" t="s">
        <v>262</v>
      </c>
      <c r="DM3" s="138" t="s">
        <v>269</v>
      </c>
      <c r="DN3" s="138">
        <v>0</v>
      </c>
      <c r="DO3" s="138" t="s">
        <v>975</v>
      </c>
      <c r="DQ3" s="138" t="s">
        <v>262</v>
      </c>
      <c r="DR3" s="138" t="s">
        <v>269</v>
      </c>
      <c r="DS3" s="138">
        <v>0</v>
      </c>
      <c r="DT3" s="138" t="s">
        <v>975</v>
      </c>
      <c r="DV3" s="138" t="s">
        <v>262</v>
      </c>
      <c r="DW3" s="138" t="s">
        <v>269</v>
      </c>
      <c r="DX3" s="138">
        <v>0</v>
      </c>
      <c r="DY3" s="138" t="s">
        <v>975</v>
      </c>
      <c r="EA3" s="138" t="s">
        <v>262</v>
      </c>
      <c r="EB3" s="138" t="s">
        <v>269</v>
      </c>
      <c r="EC3" s="138">
        <v>0</v>
      </c>
      <c r="ED3" s="138" t="s">
        <v>975</v>
      </c>
      <c r="EF3" s="138" t="s">
        <v>262</v>
      </c>
      <c r="EG3" s="138" t="s">
        <v>269</v>
      </c>
      <c r="EH3" s="138">
        <v>0</v>
      </c>
      <c r="EI3" s="138" t="s">
        <v>975</v>
      </c>
      <c r="EK3" s="138" t="s">
        <v>262</v>
      </c>
      <c r="EL3" s="138" t="s">
        <v>269</v>
      </c>
      <c r="EM3" s="138">
        <v>0</v>
      </c>
      <c r="EN3" s="138" t="s">
        <v>975</v>
      </c>
      <c r="EP3" s="138" t="s">
        <v>262</v>
      </c>
      <c r="EQ3" s="138" t="s">
        <v>269</v>
      </c>
      <c r="ER3" s="138">
        <v>0</v>
      </c>
      <c r="ES3" s="138" t="s">
        <v>975</v>
      </c>
      <c r="EU3" s="138" t="s">
        <v>262</v>
      </c>
      <c r="EV3" s="138" t="s">
        <v>269</v>
      </c>
      <c r="EW3" s="138">
        <v>0</v>
      </c>
      <c r="EX3" s="138" t="s">
        <v>975</v>
      </c>
      <c r="EZ3" s="138" t="s">
        <v>262</v>
      </c>
      <c r="FA3" s="138" t="s">
        <v>269</v>
      </c>
      <c r="FB3" s="138">
        <v>0</v>
      </c>
      <c r="FC3" s="138" t="s">
        <v>975</v>
      </c>
    </row>
    <row r="4" spans="1:159" ht="15">
      <c r="A4" s="409" t="s">
        <v>260</v>
      </c>
      <c r="B4" s="409"/>
      <c r="C4" s="409"/>
      <c r="D4" s="410" t="s">
        <v>254</v>
      </c>
      <c r="E4" s="410"/>
      <c r="F4" s="410"/>
      <c r="G4" s="410"/>
      <c r="H4" s="410"/>
      <c r="I4" s="535" t="s">
        <v>261</v>
      </c>
      <c r="J4" s="512"/>
      <c r="K4" s="513"/>
      <c r="L4" s="538" t="s">
        <v>254</v>
      </c>
      <c r="M4" s="512"/>
      <c r="N4" s="129" t="s">
        <v>948</v>
      </c>
      <c r="O4" s="152">
        <f>FLOOR((_xll.qb_SPT2025($D$10,$D$12,$D$13,$AF$1,$AF$1,$AG$3:$AH$16,$AG$19:$AH$108)*D19-_xll.flu_SPT2025($D$10,$D$12,$D$13,$D$20,$D$15,$AF$1,$AG$3:$AH$16,$AG$19:$AH$108,TRUE,FALSE,"",0,$D$17)+_xll.flu_SPT2025($D$10,$D$12,$D$13,$D$20,$D$15,$AF$1,$AG$3:$AH$16,$AG$19:$AH$108,FALSE,TRUE,"",0,$D$17))/($D$27*$D$26)-$D$29*$D$26,10)</f>
        <v>10880</v>
      </c>
      <c r="P4" s="129" t="s">
        <v>962</v>
      </c>
      <c r="Q4" s="142">
        <f>FLOOR((_xll.qb_SPT2025($D$10,$D$12,$D$13,$CX$1,$CX$1,$CY$3:$CZ$16,$CY$19:$CZ$108)*D19-_xll.flu_SPT2025($D$10,$D$12,$D$13,$D$20,$D$15,$CX$1,$CY$3:$CZ$16,$CY$19:$CZ$108,TRUE,FALSE,"",0,$D$17)+_xll.flu_SPT2025($D$10,$D$12,$D$13,$D$20,$D$15,$CX$1,$CY$3:$CZ$16,$CY$19:$CZ$108,FALSE,TRUE,"",0,$D$17))/($D$27*$D$26)-$D$29*$D$26,10)</f>
        <v>5780</v>
      </c>
      <c r="R4" s="136"/>
      <c r="S4" s="136"/>
      <c r="T4" s="136"/>
      <c r="U4" s="138" t="s">
        <v>268</v>
      </c>
      <c r="V4" s="138" t="s">
        <v>269</v>
      </c>
      <c r="W4" s="138">
        <v>1.5</v>
      </c>
      <c r="X4" s="138" t="s">
        <v>975</v>
      </c>
      <c r="Z4" s="138" t="s">
        <v>268</v>
      </c>
      <c r="AA4" s="138" t="s">
        <v>269</v>
      </c>
      <c r="AB4" s="138">
        <v>2</v>
      </c>
      <c r="AC4" s="138" t="s">
        <v>975</v>
      </c>
      <c r="AE4" s="138" t="s">
        <v>268</v>
      </c>
      <c r="AF4" s="138" t="s">
        <v>269</v>
      </c>
      <c r="AG4" s="138">
        <v>3</v>
      </c>
      <c r="AH4" s="138" t="s">
        <v>975</v>
      </c>
      <c r="AJ4" s="138" t="s">
        <v>268</v>
      </c>
      <c r="AK4" s="138" t="s">
        <v>269</v>
      </c>
      <c r="AL4" s="138">
        <v>1.5</v>
      </c>
      <c r="AM4" s="138" t="s">
        <v>975</v>
      </c>
      <c r="AO4" s="138" t="s">
        <v>268</v>
      </c>
      <c r="AP4" s="138" t="s">
        <v>269</v>
      </c>
      <c r="AQ4" s="138">
        <v>1.5</v>
      </c>
      <c r="AR4" s="138" t="s">
        <v>975</v>
      </c>
      <c r="AT4" s="138" t="s">
        <v>268</v>
      </c>
      <c r="AU4" s="138" t="s">
        <v>269</v>
      </c>
      <c r="AV4" s="138">
        <v>1.5</v>
      </c>
      <c r="AW4" s="138" t="s">
        <v>975</v>
      </c>
      <c r="AY4" s="138" t="s">
        <v>268</v>
      </c>
      <c r="AZ4" s="138" t="s">
        <v>269</v>
      </c>
      <c r="BA4" s="138">
        <v>1.5</v>
      </c>
      <c r="BB4" s="138" t="s">
        <v>975</v>
      </c>
      <c r="BD4" s="138" t="s">
        <v>268</v>
      </c>
      <c r="BE4" s="138" t="s">
        <v>269</v>
      </c>
      <c r="BF4" s="138">
        <v>1.5</v>
      </c>
      <c r="BG4" s="138" t="s">
        <v>975</v>
      </c>
      <c r="BI4" s="138" t="s">
        <v>268</v>
      </c>
      <c r="BJ4" s="138" t="s">
        <v>269</v>
      </c>
      <c r="BK4" s="138">
        <v>1.5</v>
      </c>
      <c r="BL4" s="138" t="s">
        <v>975</v>
      </c>
      <c r="BN4" s="138" t="s">
        <v>268</v>
      </c>
      <c r="BO4" s="138" t="s">
        <v>269</v>
      </c>
      <c r="BP4" s="138">
        <v>1.5</v>
      </c>
      <c r="BQ4" s="138" t="s">
        <v>975</v>
      </c>
      <c r="BS4" s="138" t="s">
        <v>268</v>
      </c>
      <c r="BT4" s="138" t="s">
        <v>269</v>
      </c>
      <c r="BU4" s="138">
        <v>1.5</v>
      </c>
      <c r="BV4" s="138" t="s">
        <v>975</v>
      </c>
      <c r="BX4" s="138" t="s">
        <v>268</v>
      </c>
      <c r="BY4" s="138" t="s">
        <v>269</v>
      </c>
      <c r="BZ4" s="138">
        <v>1.5</v>
      </c>
      <c r="CA4" s="138" t="s">
        <v>975</v>
      </c>
      <c r="CC4" s="138" t="s">
        <v>268</v>
      </c>
      <c r="CD4" s="138" t="s">
        <v>269</v>
      </c>
      <c r="CE4" s="138">
        <v>1.5</v>
      </c>
      <c r="CF4" s="138" t="s">
        <v>975</v>
      </c>
      <c r="CH4" s="138" t="s">
        <v>268</v>
      </c>
      <c r="CI4" s="138" t="s">
        <v>269</v>
      </c>
      <c r="CJ4" s="138">
        <v>1.5</v>
      </c>
      <c r="CK4" s="138" t="s">
        <v>975</v>
      </c>
      <c r="CM4" s="138" t="s">
        <v>268</v>
      </c>
      <c r="CN4" s="138" t="s">
        <v>269</v>
      </c>
      <c r="CO4" s="138">
        <v>1.5</v>
      </c>
      <c r="CP4" s="138" t="s">
        <v>975</v>
      </c>
      <c r="CR4" s="138" t="s">
        <v>268</v>
      </c>
      <c r="CS4" s="138" t="s">
        <v>269</v>
      </c>
      <c r="CT4" s="138">
        <v>1.5</v>
      </c>
      <c r="CU4" s="138" t="s">
        <v>975</v>
      </c>
      <c r="CW4" s="138" t="s">
        <v>268</v>
      </c>
      <c r="CX4" s="138" t="s">
        <v>269</v>
      </c>
      <c r="CY4" s="138">
        <v>1.5</v>
      </c>
      <c r="CZ4" s="138" t="s">
        <v>975</v>
      </c>
      <c r="DB4" s="138" t="s">
        <v>268</v>
      </c>
      <c r="DC4" s="138" t="s">
        <v>269</v>
      </c>
      <c r="DD4" s="138">
        <v>1.5</v>
      </c>
      <c r="DE4" s="138" t="s">
        <v>975</v>
      </c>
      <c r="DG4" s="138" t="s">
        <v>268</v>
      </c>
      <c r="DH4" s="138" t="s">
        <v>269</v>
      </c>
      <c r="DI4" s="138">
        <v>1.5</v>
      </c>
      <c r="DJ4" s="138" t="s">
        <v>975</v>
      </c>
      <c r="DL4" s="138" t="s">
        <v>268</v>
      </c>
      <c r="DM4" s="138" t="s">
        <v>269</v>
      </c>
      <c r="DN4" s="138">
        <v>1.5</v>
      </c>
      <c r="DO4" s="138" t="s">
        <v>975</v>
      </c>
      <c r="DQ4" s="138" t="s">
        <v>268</v>
      </c>
      <c r="DR4" s="138" t="s">
        <v>269</v>
      </c>
      <c r="DS4" s="138">
        <v>1.5</v>
      </c>
      <c r="DT4" s="138" t="s">
        <v>975</v>
      </c>
      <c r="DV4" s="138" t="s">
        <v>268</v>
      </c>
      <c r="DW4" s="138" t="s">
        <v>269</v>
      </c>
      <c r="DX4" s="138">
        <v>1.5</v>
      </c>
      <c r="DY4" s="138" t="s">
        <v>975</v>
      </c>
      <c r="EA4" s="138" t="s">
        <v>268</v>
      </c>
      <c r="EB4" s="138" t="s">
        <v>269</v>
      </c>
      <c r="EC4" s="138">
        <v>1.5</v>
      </c>
      <c r="ED4" s="138" t="s">
        <v>975</v>
      </c>
      <c r="EF4" s="138" t="s">
        <v>268</v>
      </c>
      <c r="EG4" s="138" t="s">
        <v>269</v>
      </c>
      <c r="EH4" s="138">
        <v>1.5</v>
      </c>
      <c r="EI4" s="138" t="s">
        <v>975</v>
      </c>
      <c r="EK4" s="138" t="s">
        <v>268</v>
      </c>
      <c r="EL4" s="138" t="s">
        <v>269</v>
      </c>
      <c r="EM4" s="138">
        <v>1.5</v>
      </c>
      <c r="EN4" s="138" t="s">
        <v>975</v>
      </c>
      <c r="EP4" s="138" t="s">
        <v>268</v>
      </c>
      <c r="EQ4" s="138" t="s">
        <v>269</v>
      </c>
      <c r="ER4" s="138">
        <v>1.5</v>
      </c>
      <c r="ES4" s="138" t="s">
        <v>975</v>
      </c>
      <c r="EU4" s="138" t="s">
        <v>268</v>
      </c>
      <c r="EV4" s="138" t="s">
        <v>269</v>
      </c>
      <c r="EW4" s="138">
        <v>1.5</v>
      </c>
      <c r="EX4" s="138" t="s">
        <v>975</v>
      </c>
      <c r="EZ4" s="138" t="s">
        <v>268</v>
      </c>
      <c r="FA4" s="138" t="s">
        <v>269</v>
      </c>
      <c r="FB4" s="138">
        <v>1.5</v>
      </c>
      <c r="FC4" s="138" t="s">
        <v>975</v>
      </c>
    </row>
    <row r="5" spans="1:159" ht="15">
      <c r="A5" s="409" t="s">
        <v>265</v>
      </c>
      <c r="B5" s="409"/>
      <c r="C5" s="409"/>
      <c r="D5" s="414" t="s">
        <v>976</v>
      </c>
      <c r="E5" s="414"/>
      <c r="F5" s="414"/>
      <c r="G5" s="414"/>
      <c r="H5" s="414"/>
      <c r="I5" s="535" t="s">
        <v>267</v>
      </c>
      <c r="J5" s="512"/>
      <c r="K5" s="513"/>
      <c r="L5" s="538" t="s">
        <v>254</v>
      </c>
      <c r="M5" s="512"/>
      <c r="N5" s="129" t="s">
        <v>949</v>
      </c>
      <c r="O5" s="152">
        <f>FLOOR((_xll.qb_SPT2025($D$10,$D$12,$D$13,$AK$1,$AK$1,$AL$3:$AM$16,$AL$19:$AM$108)*D19-_xll.flu_SPT2025($D$10,$D$12,$D$13,$D$20,$D$15,$AK$1,$AL$3:$AM$16,$AL$19:$AM$108,TRUE,FALSE,"",0,$D$17)+_xll.flu_SPT2025($D$10,$D$12,$D$13,$D$20,$D$15,$AK$1,$AL$3:$AM$16,$AL$19:$AM$108,FALSE,TRUE,"",0,$D$17))/($D$27*$D$26)-$D$29*$D$26,10)</f>
        <v>5780</v>
      </c>
      <c r="P5" s="129" t="s">
        <v>963</v>
      </c>
      <c r="Q5" s="142">
        <f>FLOOR((_xll.qb_SPT2025($D$10,$D$12,$D$13,$DC$1,$DC$1,$DD$3:$DE$16,$DD$19:$DE$108)*D19-_xll.flu_SPT2025($D$10,$D$12,$D$13,$D$20,$D$15,$DC$1,$DD$3:$DE$16,$DD$19:$DE$108,TRUE,FALSE,"",0,$D$17)+_xll.flu_SPT2025($D$10,$D$12,$D$13,$D$20,$D$15,$DC$1,$DD$3:$DE$16,$DD$19:$DE$108,FALSE,TRUE,"",0,$D$17))/($D$27*$D$26)-$D$29*$D$26,10)</f>
        <v>5780</v>
      </c>
      <c r="R5" s="136"/>
      <c r="S5" s="136"/>
      <c r="T5" s="136"/>
      <c r="U5" s="138" t="s">
        <v>270</v>
      </c>
      <c r="V5" s="138" t="s">
        <v>269</v>
      </c>
      <c r="W5" s="138">
        <v>7</v>
      </c>
      <c r="X5" s="138" t="s">
        <v>975</v>
      </c>
      <c r="Z5" s="138" t="s">
        <v>270</v>
      </c>
      <c r="AA5" s="138" t="s">
        <v>269</v>
      </c>
      <c r="AB5" s="138">
        <v>8</v>
      </c>
      <c r="AC5" s="138" t="s">
        <v>975</v>
      </c>
      <c r="AE5" s="138" t="s">
        <v>270</v>
      </c>
      <c r="AF5" s="138" t="s">
        <v>269</v>
      </c>
      <c r="AG5" s="138">
        <v>5</v>
      </c>
      <c r="AH5" s="138" t="s">
        <v>975</v>
      </c>
      <c r="AJ5" s="138" t="s">
        <v>270</v>
      </c>
      <c r="AK5" s="138" t="s">
        <v>269</v>
      </c>
      <c r="AL5" s="138">
        <v>7</v>
      </c>
      <c r="AM5" s="138" t="s">
        <v>975</v>
      </c>
      <c r="AO5" s="138" t="s">
        <v>270</v>
      </c>
      <c r="AP5" s="138" t="s">
        <v>269</v>
      </c>
      <c r="AQ5" s="138">
        <v>7</v>
      </c>
      <c r="AR5" s="138" t="s">
        <v>975</v>
      </c>
      <c r="AT5" s="138" t="s">
        <v>270</v>
      </c>
      <c r="AU5" s="138" t="s">
        <v>269</v>
      </c>
      <c r="AV5" s="138">
        <v>7</v>
      </c>
      <c r="AW5" s="138" t="s">
        <v>975</v>
      </c>
      <c r="AY5" s="138" t="s">
        <v>270</v>
      </c>
      <c r="AZ5" s="138" t="s">
        <v>269</v>
      </c>
      <c r="BA5" s="138">
        <v>7</v>
      </c>
      <c r="BB5" s="138" t="s">
        <v>975</v>
      </c>
      <c r="BD5" s="138" t="s">
        <v>270</v>
      </c>
      <c r="BE5" s="138" t="s">
        <v>269</v>
      </c>
      <c r="BF5" s="138">
        <v>7</v>
      </c>
      <c r="BG5" s="138" t="s">
        <v>975</v>
      </c>
      <c r="BI5" s="138" t="s">
        <v>270</v>
      </c>
      <c r="BJ5" s="138" t="s">
        <v>269</v>
      </c>
      <c r="BK5" s="138">
        <v>7</v>
      </c>
      <c r="BL5" s="138" t="s">
        <v>975</v>
      </c>
      <c r="BN5" s="138" t="s">
        <v>270</v>
      </c>
      <c r="BO5" s="138" t="s">
        <v>269</v>
      </c>
      <c r="BP5" s="138">
        <v>7</v>
      </c>
      <c r="BQ5" s="138" t="s">
        <v>975</v>
      </c>
      <c r="BS5" s="138" t="s">
        <v>270</v>
      </c>
      <c r="BT5" s="138" t="s">
        <v>269</v>
      </c>
      <c r="BU5" s="138">
        <v>7</v>
      </c>
      <c r="BV5" s="138" t="s">
        <v>975</v>
      </c>
      <c r="BX5" s="138" t="s">
        <v>270</v>
      </c>
      <c r="BY5" s="138" t="s">
        <v>269</v>
      </c>
      <c r="BZ5" s="138">
        <v>7</v>
      </c>
      <c r="CA5" s="138" t="s">
        <v>975</v>
      </c>
      <c r="CC5" s="138" t="s">
        <v>270</v>
      </c>
      <c r="CD5" s="138" t="s">
        <v>269</v>
      </c>
      <c r="CE5" s="138">
        <v>7</v>
      </c>
      <c r="CF5" s="138" t="s">
        <v>975</v>
      </c>
      <c r="CH5" s="138" t="s">
        <v>270</v>
      </c>
      <c r="CI5" s="138" t="s">
        <v>269</v>
      </c>
      <c r="CJ5" s="138">
        <v>7</v>
      </c>
      <c r="CK5" s="138" t="s">
        <v>975</v>
      </c>
      <c r="CM5" s="138" t="s">
        <v>270</v>
      </c>
      <c r="CN5" s="138" t="s">
        <v>269</v>
      </c>
      <c r="CO5" s="138">
        <v>7</v>
      </c>
      <c r="CP5" s="138" t="s">
        <v>975</v>
      </c>
      <c r="CR5" s="138" t="s">
        <v>270</v>
      </c>
      <c r="CS5" s="138" t="s">
        <v>269</v>
      </c>
      <c r="CT5" s="138">
        <v>7</v>
      </c>
      <c r="CU5" s="138" t="s">
        <v>975</v>
      </c>
      <c r="CW5" s="138" t="s">
        <v>270</v>
      </c>
      <c r="CX5" s="138" t="s">
        <v>269</v>
      </c>
      <c r="CY5" s="138">
        <v>7</v>
      </c>
      <c r="CZ5" s="138" t="s">
        <v>975</v>
      </c>
      <c r="DB5" s="138" t="s">
        <v>270</v>
      </c>
      <c r="DC5" s="138" t="s">
        <v>269</v>
      </c>
      <c r="DD5" s="138">
        <v>7</v>
      </c>
      <c r="DE5" s="138" t="s">
        <v>975</v>
      </c>
      <c r="DG5" s="138" t="s">
        <v>270</v>
      </c>
      <c r="DH5" s="138" t="s">
        <v>269</v>
      </c>
      <c r="DI5" s="138">
        <v>7</v>
      </c>
      <c r="DJ5" s="138" t="s">
        <v>975</v>
      </c>
      <c r="DL5" s="138" t="s">
        <v>270</v>
      </c>
      <c r="DM5" s="138" t="s">
        <v>269</v>
      </c>
      <c r="DN5" s="138">
        <v>7</v>
      </c>
      <c r="DO5" s="138" t="s">
        <v>975</v>
      </c>
      <c r="DQ5" s="138" t="s">
        <v>270</v>
      </c>
      <c r="DR5" s="138" t="s">
        <v>269</v>
      </c>
      <c r="DS5" s="138">
        <v>7</v>
      </c>
      <c r="DT5" s="138" t="s">
        <v>975</v>
      </c>
      <c r="DV5" s="138" t="s">
        <v>270</v>
      </c>
      <c r="DW5" s="138" t="s">
        <v>269</v>
      </c>
      <c r="DX5" s="138">
        <v>7</v>
      </c>
      <c r="DY5" s="138" t="s">
        <v>975</v>
      </c>
      <c r="EA5" s="138" t="s">
        <v>270</v>
      </c>
      <c r="EB5" s="138" t="s">
        <v>269</v>
      </c>
      <c r="EC5" s="138">
        <v>7</v>
      </c>
      <c r="ED5" s="138" t="s">
        <v>975</v>
      </c>
      <c r="EF5" s="138" t="s">
        <v>270</v>
      </c>
      <c r="EG5" s="138" t="s">
        <v>269</v>
      </c>
      <c r="EH5" s="138">
        <v>7</v>
      </c>
      <c r="EI5" s="138" t="s">
        <v>975</v>
      </c>
      <c r="EK5" s="138" t="s">
        <v>270</v>
      </c>
      <c r="EL5" s="138" t="s">
        <v>269</v>
      </c>
      <c r="EM5" s="138">
        <v>7</v>
      </c>
      <c r="EN5" s="138" t="s">
        <v>975</v>
      </c>
      <c r="EP5" s="138" t="s">
        <v>270</v>
      </c>
      <c r="EQ5" s="138" t="s">
        <v>269</v>
      </c>
      <c r="ER5" s="138">
        <v>7</v>
      </c>
      <c r="ES5" s="138" t="s">
        <v>975</v>
      </c>
      <c r="EU5" s="138" t="s">
        <v>270</v>
      </c>
      <c r="EV5" s="138" t="s">
        <v>269</v>
      </c>
      <c r="EW5" s="138">
        <v>7</v>
      </c>
      <c r="EX5" s="138" t="s">
        <v>975</v>
      </c>
      <c r="EZ5" s="138" t="s">
        <v>270</v>
      </c>
      <c r="FA5" s="138" t="s">
        <v>269</v>
      </c>
      <c r="FB5" s="138">
        <v>7</v>
      </c>
      <c r="FC5" s="138" t="s">
        <v>975</v>
      </c>
    </row>
    <row r="6" spans="1:159" ht="21" customHeight="1">
      <c r="A6" s="424"/>
      <c r="B6" s="425"/>
      <c r="C6" s="425"/>
      <c r="D6" s="425"/>
      <c r="E6" s="425"/>
      <c r="F6" s="425"/>
      <c r="G6" s="425"/>
      <c r="H6" s="425"/>
      <c r="I6" s="425"/>
      <c r="J6" s="425"/>
      <c r="K6" s="425"/>
      <c r="L6" s="425"/>
      <c r="M6" s="425"/>
      <c r="N6" s="129" t="s">
        <v>950</v>
      </c>
      <c r="O6" s="152">
        <f>FLOOR((_xll.qb_SPT2025($D$10,$D$12,$D$13,$AP$1,$AP$1,$AQ$3:$AR$16,$AQ$19:$AR$108)*D19-_xll.flu_SPT2025($D$10,$D$12,$D$13,$D$20,$D$15,$AP$1,$AQ$3:$AR$16,$AQ$19:$AR$108,TRUE,FALSE,"",0,$D$17)+_xll.flu_SPT2025($D$10,$D$12,$D$13,$D$20,$D$15,$AP$1,$AQ$3:$AR$16,$AQ$19:$AR$108,FALSE,TRUE,"",0,$D$17))/($D$27*$D$26)-$D$29*$D$26,10)</f>
        <v>5780</v>
      </c>
      <c r="P6" s="129" t="s">
        <v>284</v>
      </c>
      <c r="Q6" s="142">
        <f>FLOOR((_xll.qb_SPT2025($D$10,$D$12,$D$13,$DH$1,$DH$1,$DI$3:$DJ$16,$DI$19:$DJ$108)*D19-_xll.flu_SPT2025($D$10,$D$12,$D$13,$D$20,$D$15,$DH$1,$DI$3:$DJ$16,$DI$19:$DJ$108,TRUE,FALSE,"",0,$D$17)+_xll.flu_SPT2025($D$10,$D$12,$D$13,$D$20,$D$15,$DH$1,$DI$3:$DJ$16,$DI$19:$DJ$108,FALSE,TRUE,"",0,$D$17))/($D$27*$D$26)-$D$29*$D$26,10)</f>
        <v>5780</v>
      </c>
      <c r="R6" s="136"/>
      <c r="S6" s="136"/>
      <c r="T6" s="136"/>
      <c r="U6" s="138" t="s">
        <v>274</v>
      </c>
      <c r="V6" s="138" t="s">
        <v>269</v>
      </c>
      <c r="W6" s="138">
        <v>10.5</v>
      </c>
      <c r="X6" s="138" t="s">
        <v>975</v>
      </c>
      <c r="Z6" s="138" t="s">
        <v>274</v>
      </c>
      <c r="AA6" s="138" t="s">
        <v>269</v>
      </c>
      <c r="AB6" s="138">
        <v>15</v>
      </c>
      <c r="AC6" s="138" t="s">
        <v>975</v>
      </c>
      <c r="AE6" s="138" t="s">
        <v>274</v>
      </c>
      <c r="AF6" s="138" t="s">
        <v>269</v>
      </c>
      <c r="AG6" s="138">
        <v>11</v>
      </c>
      <c r="AH6" s="138" t="s">
        <v>975</v>
      </c>
      <c r="AJ6" s="138" t="s">
        <v>274</v>
      </c>
      <c r="AK6" s="138" t="s">
        <v>269</v>
      </c>
      <c r="AL6" s="138">
        <v>10.5</v>
      </c>
      <c r="AM6" s="138" t="s">
        <v>975</v>
      </c>
      <c r="AO6" s="138" t="s">
        <v>274</v>
      </c>
      <c r="AP6" s="138" t="s">
        <v>269</v>
      </c>
      <c r="AQ6" s="138">
        <v>10.5</v>
      </c>
      <c r="AR6" s="138" t="s">
        <v>975</v>
      </c>
      <c r="AT6" s="138" t="s">
        <v>274</v>
      </c>
      <c r="AU6" s="138" t="s">
        <v>269</v>
      </c>
      <c r="AV6" s="138">
        <v>10.5</v>
      </c>
      <c r="AW6" s="138" t="s">
        <v>975</v>
      </c>
      <c r="AY6" s="138" t="s">
        <v>274</v>
      </c>
      <c r="AZ6" s="138" t="s">
        <v>269</v>
      </c>
      <c r="BA6" s="138">
        <v>10.5</v>
      </c>
      <c r="BB6" s="138" t="s">
        <v>975</v>
      </c>
      <c r="BD6" s="138" t="s">
        <v>274</v>
      </c>
      <c r="BE6" s="138" t="s">
        <v>269</v>
      </c>
      <c r="BF6" s="138">
        <v>10.5</v>
      </c>
      <c r="BG6" s="138" t="s">
        <v>975</v>
      </c>
      <c r="BI6" s="138" t="s">
        <v>274</v>
      </c>
      <c r="BJ6" s="138" t="s">
        <v>269</v>
      </c>
      <c r="BK6" s="138">
        <v>10.5</v>
      </c>
      <c r="BL6" s="138" t="s">
        <v>975</v>
      </c>
      <c r="BN6" s="138" t="s">
        <v>274</v>
      </c>
      <c r="BO6" s="138" t="s">
        <v>269</v>
      </c>
      <c r="BP6" s="138">
        <v>10.5</v>
      </c>
      <c r="BQ6" s="138" t="s">
        <v>975</v>
      </c>
      <c r="BS6" s="138" t="s">
        <v>274</v>
      </c>
      <c r="BT6" s="138" t="s">
        <v>269</v>
      </c>
      <c r="BU6" s="138">
        <v>10.5</v>
      </c>
      <c r="BV6" s="138" t="s">
        <v>975</v>
      </c>
      <c r="BX6" s="138" t="s">
        <v>274</v>
      </c>
      <c r="BY6" s="138" t="s">
        <v>269</v>
      </c>
      <c r="BZ6" s="138">
        <v>10.5</v>
      </c>
      <c r="CA6" s="138" t="s">
        <v>975</v>
      </c>
      <c r="CC6" s="138" t="s">
        <v>274</v>
      </c>
      <c r="CD6" s="138" t="s">
        <v>269</v>
      </c>
      <c r="CE6" s="138">
        <v>10.5</v>
      </c>
      <c r="CF6" s="138" t="s">
        <v>975</v>
      </c>
      <c r="CH6" s="138" t="s">
        <v>274</v>
      </c>
      <c r="CI6" s="138" t="s">
        <v>269</v>
      </c>
      <c r="CJ6" s="138">
        <v>10.5</v>
      </c>
      <c r="CK6" s="138" t="s">
        <v>975</v>
      </c>
      <c r="CM6" s="138" t="s">
        <v>274</v>
      </c>
      <c r="CN6" s="138" t="s">
        <v>269</v>
      </c>
      <c r="CO6" s="138">
        <v>10.5</v>
      </c>
      <c r="CP6" s="138" t="s">
        <v>975</v>
      </c>
      <c r="CR6" s="138" t="s">
        <v>274</v>
      </c>
      <c r="CS6" s="138" t="s">
        <v>269</v>
      </c>
      <c r="CT6" s="138">
        <v>10.5</v>
      </c>
      <c r="CU6" s="138" t="s">
        <v>975</v>
      </c>
      <c r="CW6" s="138" t="s">
        <v>274</v>
      </c>
      <c r="CX6" s="138" t="s">
        <v>269</v>
      </c>
      <c r="CY6" s="138">
        <v>10.5</v>
      </c>
      <c r="CZ6" s="138" t="s">
        <v>975</v>
      </c>
      <c r="DB6" s="138" t="s">
        <v>274</v>
      </c>
      <c r="DC6" s="138" t="s">
        <v>269</v>
      </c>
      <c r="DD6" s="138">
        <v>10.5</v>
      </c>
      <c r="DE6" s="138" t="s">
        <v>975</v>
      </c>
      <c r="DG6" s="138" t="s">
        <v>274</v>
      </c>
      <c r="DH6" s="138" t="s">
        <v>269</v>
      </c>
      <c r="DI6" s="138">
        <v>10.5</v>
      </c>
      <c r="DJ6" s="138" t="s">
        <v>975</v>
      </c>
      <c r="DL6" s="138" t="s">
        <v>274</v>
      </c>
      <c r="DM6" s="138" t="s">
        <v>269</v>
      </c>
      <c r="DN6" s="138">
        <v>10.5</v>
      </c>
      <c r="DO6" s="138" t="s">
        <v>975</v>
      </c>
      <c r="DQ6" s="138" t="s">
        <v>274</v>
      </c>
      <c r="DR6" s="138" t="s">
        <v>269</v>
      </c>
      <c r="DS6" s="138">
        <v>10.5</v>
      </c>
      <c r="DT6" s="138" t="s">
        <v>975</v>
      </c>
      <c r="DV6" s="138" t="s">
        <v>274</v>
      </c>
      <c r="DW6" s="138" t="s">
        <v>269</v>
      </c>
      <c r="DX6" s="138">
        <v>10.5</v>
      </c>
      <c r="DY6" s="138" t="s">
        <v>975</v>
      </c>
      <c r="EA6" s="138" t="s">
        <v>274</v>
      </c>
      <c r="EB6" s="138" t="s">
        <v>269</v>
      </c>
      <c r="EC6" s="138">
        <v>10.5</v>
      </c>
      <c r="ED6" s="138" t="s">
        <v>975</v>
      </c>
      <c r="EF6" s="138" t="s">
        <v>274</v>
      </c>
      <c r="EG6" s="138" t="s">
        <v>269</v>
      </c>
      <c r="EH6" s="138">
        <v>10.5</v>
      </c>
      <c r="EI6" s="138" t="s">
        <v>975</v>
      </c>
      <c r="EK6" s="138" t="s">
        <v>274</v>
      </c>
      <c r="EL6" s="138" t="s">
        <v>269</v>
      </c>
      <c r="EM6" s="138">
        <v>10.5</v>
      </c>
      <c r="EN6" s="138" t="s">
        <v>975</v>
      </c>
      <c r="EP6" s="138" t="s">
        <v>274</v>
      </c>
      <c r="EQ6" s="138" t="s">
        <v>269</v>
      </c>
      <c r="ER6" s="138">
        <v>10.5</v>
      </c>
      <c r="ES6" s="138" t="s">
        <v>975</v>
      </c>
      <c r="EU6" s="138" t="s">
        <v>274</v>
      </c>
      <c r="EV6" s="138" t="s">
        <v>269</v>
      </c>
      <c r="EW6" s="138">
        <v>10.5</v>
      </c>
      <c r="EX6" s="138" t="s">
        <v>975</v>
      </c>
      <c r="EZ6" s="138" t="s">
        <v>274</v>
      </c>
      <c r="FA6" s="138" t="s">
        <v>269</v>
      </c>
      <c r="FB6" s="138">
        <v>10.5</v>
      </c>
      <c r="FC6" s="138" t="s">
        <v>975</v>
      </c>
    </row>
    <row r="7" spans="1:159">
      <c r="A7" s="540" t="s">
        <v>977</v>
      </c>
      <c r="B7" s="427"/>
      <c r="C7" s="427"/>
      <c r="D7" s="427"/>
      <c r="E7" s="427"/>
      <c r="F7" s="427"/>
      <c r="G7" s="427"/>
      <c r="H7" s="427"/>
      <c r="I7" s="427"/>
      <c r="J7" s="427"/>
      <c r="K7" s="427"/>
      <c r="L7" s="427"/>
      <c r="M7" s="427"/>
      <c r="N7" s="129" t="s">
        <v>951</v>
      </c>
      <c r="O7" s="152">
        <f>FLOOR((_xll.qb_SPT2025($D$10,$D$12,$D$13,$AU$1,$AU$1,$AV$3:$AW$16,$AV$19:$AW$108)*D19-_xll.flu_SPT2025($D$10,$D$12,$D$13,$D$20,$D$15,$AU$1,$AV$3:$AW$16,$AV$19:$AW$108,TRUE,FALSE,"",0,$D$17)+_xll.flu_SPT2025($D$10,$D$12,$D$13,$D$20,$D$15,$AU$1,$AV$3:$AW$16,$AV$19:$AW$108,FALSE,TRUE,"",0,$D$17))/($D$27*$D$26)-$D$29*$D$26,10)</f>
        <v>5780</v>
      </c>
      <c r="P7" s="129" t="s">
        <v>964</v>
      </c>
      <c r="Q7" s="142">
        <f>FLOOR((_xll.qb_SPT2025($D$10,$D$12,$D$13,$DM$1,$DM$1,$DN$3:$DO$16,$DN$19:$DO$108)*D19-_xll.flu_SPT2025($D$10,$D$12,$D$13,$D$20,$D$15,$DM$1,$DN$3:$DO$16,$DN$19:$DO$108,TRUE,FALSE,"",0,$D$17)+_xll.flu_SPT2025($D$10,$D$12,$D$13,$D$20,$D$15,$DM$1,$DN$3:$DO$16,$DN$19:$DO$108,FALSE,TRUE,"",0,$D$17))/($D$27*$D$26)-$D$29*$D$26,10)</f>
        <v>5780</v>
      </c>
      <c r="R7" s="136"/>
      <c r="S7" s="136"/>
      <c r="T7" s="136"/>
      <c r="U7" s="138" t="s">
        <v>277</v>
      </c>
      <c r="V7" s="138" t="s">
        <v>278</v>
      </c>
      <c r="W7" s="138">
        <v>12.2</v>
      </c>
      <c r="X7" s="138" t="s">
        <v>978</v>
      </c>
      <c r="Z7" s="138" t="s">
        <v>277</v>
      </c>
      <c r="AA7" s="138" t="s">
        <v>278</v>
      </c>
      <c r="AB7" s="138">
        <v>17</v>
      </c>
      <c r="AC7" s="138" t="s">
        <v>978</v>
      </c>
      <c r="AE7" s="138" t="s">
        <v>277</v>
      </c>
      <c r="AF7" s="138" t="s">
        <v>278</v>
      </c>
      <c r="AG7" s="138">
        <v>13</v>
      </c>
      <c r="AH7" s="138" t="s">
        <v>978</v>
      </c>
      <c r="AJ7" s="138" t="s">
        <v>277</v>
      </c>
      <c r="AK7" s="138" t="s">
        <v>278</v>
      </c>
      <c r="AL7" s="138">
        <v>12.2</v>
      </c>
      <c r="AM7" s="138" t="s">
        <v>978</v>
      </c>
      <c r="AO7" s="138" t="s">
        <v>277</v>
      </c>
      <c r="AP7" s="138" t="s">
        <v>278</v>
      </c>
      <c r="AQ7" s="138">
        <v>12.2</v>
      </c>
      <c r="AR7" s="138" t="s">
        <v>978</v>
      </c>
      <c r="AT7" s="138" t="s">
        <v>277</v>
      </c>
      <c r="AU7" s="138" t="s">
        <v>278</v>
      </c>
      <c r="AV7" s="138">
        <v>12.2</v>
      </c>
      <c r="AW7" s="138" t="s">
        <v>978</v>
      </c>
      <c r="AY7" s="138" t="s">
        <v>277</v>
      </c>
      <c r="AZ7" s="138" t="s">
        <v>278</v>
      </c>
      <c r="BA7" s="138">
        <v>12.2</v>
      </c>
      <c r="BB7" s="138" t="s">
        <v>978</v>
      </c>
      <c r="BD7" s="138" t="s">
        <v>277</v>
      </c>
      <c r="BE7" s="138" t="s">
        <v>278</v>
      </c>
      <c r="BF7" s="138">
        <v>12.2</v>
      </c>
      <c r="BG7" s="138" t="s">
        <v>978</v>
      </c>
      <c r="BI7" s="138" t="s">
        <v>277</v>
      </c>
      <c r="BJ7" s="138" t="s">
        <v>278</v>
      </c>
      <c r="BK7" s="138">
        <v>12.2</v>
      </c>
      <c r="BL7" s="138" t="s">
        <v>978</v>
      </c>
      <c r="BN7" s="138" t="s">
        <v>277</v>
      </c>
      <c r="BO7" s="138" t="s">
        <v>278</v>
      </c>
      <c r="BP7" s="138">
        <v>12.2</v>
      </c>
      <c r="BQ7" s="138" t="s">
        <v>978</v>
      </c>
      <c r="BS7" s="138" t="s">
        <v>277</v>
      </c>
      <c r="BT7" s="138" t="s">
        <v>278</v>
      </c>
      <c r="BU7" s="138">
        <v>12.2</v>
      </c>
      <c r="BV7" s="138" t="s">
        <v>978</v>
      </c>
      <c r="BX7" s="138" t="s">
        <v>277</v>
      </c>
      <c r="BY7" s="138" t="s">
        <v>278</v>
      </c>
      <c r="BZ7" s="138">
        <v>12.2</v>
      </c>
      <c r="CA7" s="138" t="s">
        <v>978</v>
      </c>
      <c r="CC7" s="138" t="s">
        <v>277</v>
      </c>
      <c r="CD7" s="138" t="s">
        <v>278</v>
      </c>
      <c r="CE7" s="138">
        <v>12.2</v>
      </c>
      <c r="CF7" s="138" t="s">
        <v>978</v>
      </c>
      <c r="CH7" s="138" t="s">
        <v>277</v>
      </c>
      <c r="CI7" s="138" t="s">
        <v>278</v>
      </c>
      <c r="CJ7" s="138">
        <v>12.2</v>
      </c>
      <c r="CK7" s="138" t="s">
        <v>978</v>
      </c>
      <c r="CM7" s="138" t="s">
        <v>277</v>
      </c>
      <c r="CN7" s="138" t="s">
        <v>278</v>
      </c>
      <c r="CO7" s="138">
        <v>12.2</v>
      </c>
      <c r="CP7" s="138" t="s">
        <v>978</v>
      </c>
      <c r="CR7" s="138" t="s">
        <v>277</v>
      </c>
      <c r="CS7" s="138" t="s">
        <v>278</v>
      </c>
      <c r="CT7" s="138">
        <v>12.2</v>
      </c>
      <c r="CU7" s="138" t="s">
        <v>978</v>
      </c>
      <c r="CW7" s="138" t="s">
        <v>277</v>
      </c>
      <c r="CX7" s="138" t="s">
        <v>278</v>
      </c>
      <c r="CY7" s="138">
        <v>12.2</v>
      </c>
      <c r="CZ7" s="138" t="s">
        <v>978</v>
      </c>
      <c r="DB7" s="138" t="s">
        <v>277</v>
      </c>
      <c r="DC7" s="138" t="s">
        <v>278</v>
      </c>
      <c r="DD7" s="138">
        <v>12.2</v>
      </c>
      <c r="DE7" s="138" t="s">
        <v>978</v>
      </c>
      <c r="DG7" s="138" t="s">
        <v>277</v>
      </c>
      <c r="DH7" s="138" t="s">
        <v>278</v>
      </c>
      <c r="DI7" s="138">
        <v>12.2</v>
      </c>
      <c r="DJ7" s="138" t="s">
        <v>978</v>
      </c>
      <c r="DL7" s="138" t="s">
        <v>277</v>
      </c>
      <c r="DM7" s="138" t="s">
        <v>278</v>
      </c>
      <c r="DN7" s="138">
        <v>12.2</v>
      </c>
      <c r="DO7" s="138" t="s">
        <v>978</v>
      </c>
      <c r="DQ7" s="138" t="s">
        <v>277</v>
      </c>
      <c r="DR7" s="138" t="s">
        <v>278</v>
      </c>
      <c r="DS7" s="138">
        <v>12.2</v>
      </c>
      <c r="DT7" s="138" t="s">
        <v>978</v>
      </c>
      <c r="DV7" s="138" t="s">
        <v>277</v>
      </c>
      <c r="DW7" s="138" t="s">
        <v>278</v>
      </c>
      <c r="DX7" s="138">
        <v>12.2</v>
      </c>
      <c r="DY7" s="138" t="s">
        <v>978</v>
      </c>
      <c r="EA7" s="138" t="s">
        <v>277</v>
      </c>
      <c r="EB7" s="138" t="s">
        <v>278</v>
      </c>
      <c r="EC7" s="138">
        <v>12.2</v>
      </c>
      <c r="ED7" s="138" t="s">
        <v>978</v>
      </c>
      <c r="EF7" s="138" t="s">
        <v>277</v>
      </c>
      <c r="EG7" s="138" t="s">
        <v>278</v>
      </c>
      <c r="EH7" s="138">
        <v>12.2</v>
      </c>
      <c r="EI7" s="138" t="s">
        <v>978</v>
      </c>
      <c r="EK7" s="138" t="s">
        <v>277</v>
      </c>
      <c r="EL7" s="138" t="s">
        <v>278</v>
      </c>
      <c r="EM7" s="138">
        <v>12.2</v>
      </c>
      <c r="EN7" s="138" t="s">
        <v>978</v>
      </c>
      <c r="EP7" s="138" t="s">
        <v>277</v>
      </c>
      <c r="EQ7" s="138" t="s">
        <v>278</v>
      </c>
      <c r="ER7" s="138">
        <v>12.2</v>
      </c>
      <c r="ES7" s="138" t="s">
        <v>978</v>
      </c>
      <c r="EU7" s="138" t="s">
        <v>277</v>
      </c>
      <c r="EV7" s="138" t="s">
        <v>278</v>
      </c>
      <c r="EW7" s="138">
        <v>12.2</v>
      </c>
      <c r="EX7" s="138" t="s">
        <v>978</v>
      </c>
      <c r="EZ7" s="138" t="s">
        <v>277</v>
      </c>
      <c r="FA7" s="138" t="s">
        <v>278</v>
      </c>
      <c r="FB7" s="138">
        <v>12.2</v>
      </c>
      <c r="FC7" s="138" t="s">
        <v>978</v>
      </c>
    </row>
    <row r="8" spans="1:159" ht="16.5" customHeight="1">
      <c r="A8" s="431"/>
      <c r="B8" s="432"/>
      <c r="C8" s="432"/>
      <c r="D8" s="432"/>
      <c r="E8" s="432"/>
      <c r="F8" s="432"/>
      <c r="G8" s="432"/>
      <c r="H8" s="432"/>
      <c r="I8" s="432"/>
      <c r="J8" s="432"/>
      <c r="K8" s="432"/>
      <c r="L8" s="432"/>
      <c r="M8" s="432"/>
      <c r="N8" s="129" t="s">
        <v>952</v>
      </c>
      <c r="O8" s="152">
        <f>FLOOR((_xll.qb_SPT2025($D$10,$D$12,$D$13,$AZ$1,$AZ$1,$BA$3:$BB$16,$BA$19:$BB$108)*D19-_xll.flu_SPT2025($D$10,$D$12,$D$13,$D$20,$D$15,$AZ$1,$BA$3:$BB$16,$BA$19:$BB$108,TRUE,FALSE,"",0,$D$17)+_xll.flu_SPT2025($D$10,$D$12,$D$13,$D$20,$D$15,$AZ$1,$BA$3:$BB$16,$BA$19:$BB$108,FALSE,TRUE,"",0,$D$17))/($D$27*$D$26)-$D$29*$D$26,10)</f>
        <v>5780</v>
      </c>
      <c r="P8" s="129" t="s">
        <v>965</v>
      </c>
      <c r="Q8" s="142">
        <f>FLOOR((_xll.qb_SPT2025($D$10,$D$12,$D$13,$DR$1,$DR$1,$DS$3:$DT$16,$DS$19:$DT$108)*D19-_xll.flu_SPT2025($D$10,$D$12,$D$13,$D$20,$D$15,$DR$1,$DS$3:$DT$16,$DS$19:$DT$108,TRUE,FALSE,"",0,$D$17)+_xll.flu_SPT2025($D$10,$D$12,$D$13,$D$20,$D$15,$DR$1,$DS$3:$DT$16,$DS$19:$DT$108,FALSE,TRUE,"",0,$D$17))/($D$27*$D$26)-$D$29*$D$26,10)</f>
        <v>5780</v>
      </c>
      <c r="R8" s="136"/>
      <c r="S8" s="136"/>
      <c r="T8" s="136"/>
      <c r="U8" s="138" t="s">
        <v>282</v>
      </c>
      <c r="V8" s="138" t="s">
        <v>278</v>
      </c>
      <c r="W8" s="138">
        <v>27</v>
      </c>
      <c r="X8" s="138" t="s">
        <v>978</v>
      </c>
      <c r="Z8" s="138" t="s">
        <v>282</v>
      </c>
      <c r="AA8" s="138" t="s">
        <v>278</v>
      </c>
      <c r="AB8" s="138">
        <v>25</v>
      </c>
      <c r="AC8" s="138" t="s">
        <v>978</v>
      </c>
      <c r="AE8" s="138" t="s">
        <v>282</v>
      </c>
      <c r="AF8" s="138" t="s">
        <v>278</v>
      </c>
      <c r="AG8" s="138">
        <v>29</v>
      </c>
      <c r="AH8" s="138" t="s">
        <v>978</v>
      </c>
      <c r="AJ8" s="138" t="s">
        <v>282</v>
      </c>
      <c r="AK8" s="138" t="s">
        <v>278</v>
      </c>
      <c r="AL8" s="138">
        <v>27</v>
      </c>
      <c r="AM8" s="138" t="s">
        <v>978</v>
      </c>
      <c r="AO8" s="138" t="s">
        <v>282</v>
      </c>
      <c r="AP8" s="138" t="s">
        <v>278</v>
      </c>
      <c r="AQ8" s="138">
        <v>27</v>
      </c>
      <c r="AR8" s="138" t="s">
        <v>978</v>
      </c>
      <c r="AT8" s="138" t="s">
        <v>282</v>
      </c>
      <c r="AU8" s="138" t="s">
        <v>278</v>
      </c>
      <c r="AV8" s="138">
        <v>27</v>
      </c>
      <c r="AW8" s="138" t="s">
        <v>978</v>
      </c>
      <c r="AY8" s="138" t="s">
        <v>282</v>
      </c>
      <c r="AZ8" s="138" t="s">
        <v>278</v>
      </c>
      <c r="BA8" s="138">
        <v>27</v>
      </c>
      <c r="BB8" s="138" t="s">
        <v>978</v>
      </c>
      <c r="BD8" s="138" t="s">
        <v>282</v>
      </c>
      <c r="BE8" s="138" t="s">
        <v>278</v>
      </c>
      <c r="BF8" s="138">
        <v>27</v>
      </c>
      <c r="BG8" s="138" t="s">
        <v>978</v>
      </c>
      <c r="BI8" s="138" t="s">
        <v>282</v>
      </c>
      <c r="BJ8" s="138" t="s">
        <v>278</v>
      </c>
      <c r="BK8" s="138">
        <v>27</v>
      </c>
      <c r="BL8" s="138" t="s">
        <v>978</v>
      </c>
      <c r="BN8" s="138" t="s">
        <v>282</v>
      </c>
      <c r="BO8" s="138" t="s">
        <v>278</v>
      </c>
      <c r="BP8" s="138">
        <v>27</v>
      </c>
      <c r="BQ8" s="138" t="s">
        <v>978</v>
      </c>
      <c r="BS8" s="138" t="s">
        <v>282</v>
      </c>
      <c r="BT8" s="138" t="s">
        <v>278</v>
      </c>
      <c r="BU8" s="138">
        <v>27</v>
      </c>
      <c r="BV8" s="138" t="s">
        <v>978</v>
      </c>
      <c r="BX8" s="138" t="s">
        <v>282</v>
      </c>
      <c r="BY8" s="138" t="s">
        <v>278</v>
      </c>
      <c r="BZ8" s="138">
        <v>27</v>
      </c>
      <c r="CA8" s="138" t="s">
        <v>978</v>
      </c>
      <c r="CC8" s="138" t="s">
        <v>282</v>
      </c>
      <c r="CD8" s="138" t="s">
        <v>278</v>
      </c>
      <c r="CE8" s="138">
        <v>27</v>
      </c>
      <c r="CF8" s="138" t="s">
        <v>978</v>
      </c>
      <c r="CH8" s="138" t="s">
        <v>282</v>
      </c>
      <c r="CI8" s="138" t="s">
        <v>278</v>
      </c>
      <c r="CJ8" s="138">
        <v>27</v>
      </c>
      <c r="CK8" s="138" t="s">
        <v>978</v>
      </c>
      <c r="CM8" s="138" t="s">
        <v>282</v>
      </c>
      <c r="CN8" s="138" t="s">
        <v>278</v>
      </c>
      <c r="CO8" s="138">
        <v>27</v>
      </c>
      <c r="CP8" s="138" t="s">
        <v>978</v>
      </c>
      <c r="CR8" s="138" t="s">
        <v>282</v>
      </c>
      <c r="CS8" s="138" t="s">
        <v>278</v>
      </c>
      <c r="CT8" s="138">
        <v>27</v>
      </c>
      <c r="CU8" s="138" t="s">
        <v>978</v>
      </c>
      <c r="CW8" s="138" t="s">
        <v>282</v>
      </c>
      <c r="CX8" s="138" t="s">
        <v>278</v>
      </c>
      <c r="CY8" s="138">
        <v>27</v>
      </c>
      <c r="CZ8" s="138" t="s">
        <v>978</v>
      </c>
      <c r="DB8" s="138" t="s">
        <v>282</v>
      </c>
      <c r="DC8" s="138" t="s">
        <v>278</v>
      </c>
      <c r="DD8" s="138">
        <v>27</v>
      </c>
      <c r="DE8" s="138" t="s">
        <v>978</v>
      </c>
      <c r="DG8" s="138" t="s">
        <v>282</v>
      </c>
      <c r="DH8" s="138" t="s">
        <v>278</v>
      </c>
      <c r="DI8" s="138">
        <v>27</v>
      </c>
      <c r="DJ8" s="138" t="s">
        <v>978</v>
      </c>
      <c r="DL8" s="138" t="s">
        <v>282</v>
      </c>
      <c r="DM8" s="138" t="s">
        <v>278</v>
      </c>
      <c r="DN8" s="138">
        <v>27</v>
      </c>
      <c r="DO8" s="138" t="s">
        <v>978</v>
      </c>
      <c r="DQ8" s="138" t="s">
        <v>282</v>
      </c>
      <c r="DR8" s="138" t="s">
        <v>278</v>
      </c>
      <c r="DS8" s="138">
        <v>27</v>
      </c>
      <c r="DT8" s="138" t="s">
        <v>978</v>
      </c>
      <c r="DV8" s="138" t="s">
        <v>282</v>
      </c>
      <c r="DW8" s="138" t="s">
        <v>278</v>
      </c>
      <c r="DX8" s="138">
        <v>27</v>
      </c>
      <c r="DY8" s="138" t="s">
        <v>978</v>
      </c>
      <c r="EA8" s="138" t="s">
        <v>282</v>
      </c>
      <c r="EB8" s="138" t="s">
        <v>278</v>
      </c>
      <c r="EC8" s="138">
        <v>27</v>
      </c>
      <c r="ED8" s="138" t="s">
        <v>978</v>
      </c>
      <c r="EF8" s="138" t="s">
        <v>282</v>
      </c>
      <c r="EG8" s="138" t="s">
        <v>278</v>
      </c>
      <c r="EH8" s="138">
        <v>27</v>
      </c>
      <c r="EI8" s="138" t="s">
        <v>978</v>
      </c>
      <c r="EK8" s="138" t="s">
        <v>282</v>
      </c>
      <c r="EL8" s="138" t="s">
        <v>278</v>
      </c>
      <c r="EM8" s="138">
        <v>27</v>
      </c>
      <c r="EN8" s="138" t="s">
        <v>978</v>
      </c>
      <c r="EP8" s="138" t="s">
        <v>282</v>
      </c>
      <c r="EQ8" s="138" t="s">
        <v>278</v>
      </c>
      <c r="ER8" s="138">
        <v>27</v>
      </c>
      <c r="ES8" s="138" t="s">
        <v>978</v>
      </c>
      <c r="EU8" s="138" t="s">
        <v>282</v>
      </c>
      <c r="EV8" s="138" t="s">
        <v>278</v>
      </c>
      <c r="EW8" s="138">
        <v>27</v>
      </c>
      <c r="EX8" s="138" t="s">
        <v>978</v>
      </c>
      <c r="EZ8" s="138" t="s">
        <v>282</v>
      </c>
      <c r="FA8" s="138" t="s">
        <v>278</v>
      </c>
      <c r="FB8" s="138">
        <v>27</v>
      </c>
      <c r="FC8" s="138" t="s">
        <v>978</v>
      </c>
    </row>
    <row r="9" spans="1:159" ht="13.15" customHeight="1">
      <c r="A9" s="434" t="s">
        <v>283</v>
      </c>
      <c r="B9" s="434"/>
      <c r="C9" s="434"/>
      <c r="D9" s="13" t="s">
        <v>946</v>
      </c>
      <c r="E9" s="47"/>
      <c r="F9" s="541" t="s">
        <v>973</v>
      </c>
      <c r="G9" s="542" t="s">
        <v>229</v>
      </c>
      <c r="H9" s="544" t="s">
        <v>979</v>
      </c>
      <c r="I9" s="544" t="s">
        <v>974</v>
      </c>
      <c r="J9" s="115"/>
      <c r="K9" s="115"/>
      <c r="L9" s="65"/>
      <c r="M9" s="65"/>
      <c r="N9" s="129" t="s">
        <v>953</v>
      </c>
      <c r="O9" s="152">
        <f>FLOOR((_xll.qb_SPT2025($D$10,$D$12,$D$13,$BE$1,$BE$1,$BF$3:$BG$16,$BF$19:$BG$108)*D19-_xll.flu_SPT2025($D$10,$D$12,$D$13,$D$20,$D$15,$BE$1,$BF$3:$BG$16,$BF$19:$BG$108,TRUE,FALSE,"",0,$D$17)+_xll.flu_SPT2025($D$10,$D$12,$D$13,$D$20,$D$15,$BE$1,$BF$3:$BG$16,$BF$19:$BG$108,FALSE,TRUE,"",0,$D$17))/($D$27*$D$26)-$D$29*$D$26,10)</f>
        <v>5780</v>
      </c>
      <c r="P9" s="129" t="s">
        <v>966</v>
      </c>
      <c r="Q9" s="142">
        <f>FLOOR((_xll.qb_SPT2025($D$10,$D$12,$D$13,$DW$1,$DW$1,$DX$3:$DY$16,$DX$19:$DY$108)*D19-_xll.flu_SPT2025($D$10,$D$12,$D$13,$D$20,$D$15,$DW$1,$DX$3:$DY$16,$DX$19:$DY$108,TRUE,FALSE,"",0,$D$17)+_xll.flu_SPT2025($D$10,$D$12,$D$13,$D$20,$D$15,$DW$1,$DX$3:$DY$16,$DX$19:$DY$108,FALSE,TRUE,"",0,$D$17))/($D$27*$D$26)-$D$29*$D$26,10)</f>
        <v>5780</v>
      </c>
      <c r="R9" s="136"/>
      <c r="S9" s="136"/>
      <c r="T9" s="136"/>
      <c r="U9" s="138" t="s">
        <v>289</v>
      </c>
      <c r="V9" s="138" t="s">
        <v>278</v>
      </c>
      <c r="W9" s="138">
        <v>38.200000000000003</v>
      </c>
      <c r="X9" s="138" t="s">
        <v>978</v>
      </c>
      <c r="Z9" s="138" t="s">
        <v>289</v>
      </c>
      <c r="AA9" s="138" t="s">
        <v>278</v>
      </c>
      <c r="AB9" s="138">
        <v>40</v>
      </c>
      <c r="AC9" s="138" t="s">
        <v>978</v>
      </c>
      <c r="AE9" s="138" t="s">
        <v>289</v>
      </c>
      <c r="AF9" s="138" t="s">
        <v>278</v>
      </c>
      <c r="AG9" s="138">
        <v>41</v>
      </c>
      <c r="AH9" s="138" t="s">
        <v>978</v>
      </c>
      <c r="AJ9" s="138" t="s">
        <v>289</v>
      </c>
      <c r="AK9" s="138" t="s">
        <v>278</v>
      </c>
      <c r="AL9" s="138">
        <v>38.200000000000003</v>
      </c>
      <c r="AM9" s="138" t="s">
        <v>978</v>
      </c>
      <c r="AO9" s="138" t="s">
        <v>289</v>
      </c>
      <c r="AP9" s="138" t="s">
        <v>278</v>
      </c>
      <c r="AQ9" s="138">
        <v>38.200000000000003</v>
      </c>
      <c r="AR9" s="138" t="s">
        <v>978</v>
      </c>
      <c r="AT9" s="138" t="s">
        <v>289</v>
      </c>
      <c r="AU9" s="138" t="s">
        <v>278</v>
      </c>
      <c r="AV9" s="138">
        <v>38.200000000000003</v>
      </c>
      <c r="AW9" s="138" t="s">
        <v>978</v>
      </c>
      <c r="AY9" s="138" t="s">
        <v>289</v>
      </c>
      <c r="AZ9" s="138" t="s">
        <v>278</v>
      </c>
      <c r="BA9" s="138">
        <v>38.200000000000003</v>
      </c>
      <c r="BB9" s="138" t="s">
        <v>978</v>
      </c>
      <c r="BD9" s="138" t="s">
        <v>289</v>
      </c>
      <c r="BE9" s="138" t="s">
        <v>278</v>
      </c>
      <c r="BF9" s="138">
        <v>38.200000000000003</v>
      </c>
      <c r="BG9" s="138" t="s">
        <v>978</v>
      </c>
      <c r="BI9" s="138" t="s">
        <v>289</v>
      </c>
      <c r="BJ9" s="138" t="s">
        <v>278</v>
      </c>
      <c r="BK9" s="138">
        <v>38.200000000000003</v>
      </c>
      <c r="BL9" s="138" t="s">
        <v>978</v>
      </c>
      <c r="BN9" s="138" t="s">
        <v>289</v>
      </c>
      <c r="BO9" s="138" t="s">
        <v>278</v>
      </c>
      <c r="BP9" s="138">
        <v>38.200000000000003</v>
      </c>
      <c r="BQ9" s="138" t="s">
        <v>978</v>
      </c>
      <c r="BS9" s="138" t="s">
        <v>289</v>
      </c>
      <c r="BT9" s="138" t="s">
        <v>278</v>
      </c>
      <c r="BU9" s="138">
        <v>38.200000000000003</v>
      </c>
      <c r="BV9" s="138" t="s">
        <v>978</v>
      </c>
      <c r="BX9" s="138" t="s">
        <v>289</v>
      </c>
      <c r="BY9" s="138" t="s">
        <v>278</v>
      </c>
      <c r="BZ9" s="138">
        <v>38.200000000000003</v>
      </c>
      <c r="CA9" s="138" t="s">
        <v>978</v>
      </c>
      <c r="CC9" s="138" t="s">
        <v>289</v>
      </c>
      <c r="CD9" s="138" t="s">
        <v>278</v>
      </c>
      <c r="CE9" s="138">
        <v>38.200000000000003</v>
      </c>
      <c r="CF9" s="138" t="s">
        <v>978</v>
      </c>
      <c r="CH9" s="138" t="s">
        <v>289</v>
      </c>
      <c r="CI9" s="138" t="s">
        <v>278</v>
      </c>
      <c r="CJ9" s="138">
        <v>38.200000000000003</v>
      </c>
      <c r="CK9" s="138" t="s">
        <v>978</v>
      </c>
      <c r="CM9" s="138" t="s">
        <v>289</v>
      </c>
      <c r="CN9" s="138" t="s">
        <v>278</v>
      </c>
      <c r="CO9" s="138">
        <v>38.200000000000003</v>
      </c>
      <c r="CP9" s="138" t="s">
        <v>978</v>
      </c>
      <c r="CR9" s="138" t="s">
        <v>289</v>
      </c>
      <c r="CS9" s="138" t="s">
        <v>278</v>
      </c>
      <c r="CT9" s="138">
        <v>38.200000000000003</v>
      </c>
      <c r="CU9" s="138" t="s">
        <v>978</v>
      </c>
      <c r="CW9" s="138" t="s">
        <v>289</v>
      </c>
      <c r="CX9" s="138" t="s">
        <v>278</v>
      </c>
      <c r="CY9" s="138">
        <v>38.200000000000003</v>
      </c>
      <c r="CZ9" s="138" t="s">
        <v>978</v>
      </c>
      <c r="DB9" s="138" t="s">
        <v>289</v>
      </c>
      <c r="DC9" s="138" t="s">
        <v>278</v>
      </c>
      <c r="DD9" s="138">
        <v>38.200000000000003</v>
      </c>
      <c r="DE9" s="138" t="s">
        <v>978</v>
      </c>
      <c r="DG9" s="138" t="s">
        <v>289</v>
      </c>
      <c r="DH9" s="138" t="s">
        <v>278</v>
      </c>
      <c r="DI9" s="138">
        <v>38.200000000000003</v>
      </c>
      <c r="DJ9" s="138" t="s">
        <v>978</v>
      </c>
      <c r="DL9" s="138" t="s">
        <v>289</v>
      </c>
      <c r="DM9" s="138" t="s">
        <v>278</v>
      </c>
      <c r="DN9" s="138">
        <v>38.200000000000003</v>
      </c>
      <c r="DO9" s="138" t="s">
        <v>978</v>
      </c>
      <c r="DQ9" s="138" t="s">
        <v>289</v>
      </c>
      <c r="DR9" s="138" t="s">
        <v>278</v>
      </c>
      <c r="DS9" s="138">
        <v>38.200000000000003</v>
      </c>
      <c r="DT9" s="138" t="s">
        <v>978</v>
      </c>
      <c r="DV9" s="138" t="s">
        <v>289</v>
      </c>
      <c r="DW9" s="138" t="s">
        <v>278</v>
      </c>
      <c r="DX9" s="138">
        <v>38.200000000000003</v>
      </c>
      <c r="DY9" s="138" t="s">
        <v>978</v>
      </c>
      <c r="EA9" s="138" t="s">
        <v>289</v>
      </c>
      <c r="EB9" s="138" t="s">
        <v>278</v>
      </c>
      <c r="EC9" s="138">
        <v>38.200000000000003</v>
      </c>
      <c r="ED9" s="138" t="s">
        <v>978</v>
      </c>
      <c r="EF9" s="138" t="s">
        <v>289</v>
      </c>
      <c r="EG9" s="138" t="s">
        <v>278</v>
      </c>
      <c r="EH9" s="138">
        <v>38.200000000000003</v>
      </c>
      <c r="EI9" s="138" t="s">
        <v>978</v>
      </c>
      <c r="EK9" s="138" t="s">
        <v>289</v>
      </c>
      <c r="EL9" s="138" t="s">
        <v>278</v>
      </c>
      <c r="EM9" s="138">
        <v>38.200000000000003</v>
      </c>
      <c r="EN9" s="138" t="s">
        <v>978</v>
      </c>
      <c r="EP9" s="138" t="s">
        <v>289</v>
      </c>
      <c r="EQ9" s="138" t="s">
        <v>278</v>
      </c>
      <c r="ER9" s="138">
        <v>38.200000000000003</v>
      </c>
      <c r="ES9" s="138" t="s">
        <v>978</v>
      </c>
      <c r="EU9" s="138" t="s">
        <v>289</v>
      </c>
      <c r="EV9" s="138" t="s">
        <v>278</v>
      </c>
      <c r="EW9" s="138">
        <v>38.200000000000003</v>
      </c>
      <c r="EX9" s="138" t="s">
        <v>978</v>
      </c>
      <c r="EZ9" s="138" t="s">
        <v>289</v>
      </c>
      <c r="FA9" s="138" t="s">
        <v>278</v>
      </c>
      <c r="FB9" s="138">
        <v>38.200000000000003</v>
      </c>
      <c r="FC9" s="138" t="s">
        <v>978</v>
      </c>
    </row>
    <row r="10" spans="1:159" ht="15.6" customHeight="1">
      <c r="A10" s="434" t="s">
        <v>980</v>
      </c>
      <c r="B10" s="434"/>
      <c r="C10" s="434"/>
      <c r="D10" s="13" t="s">
        <v>104</v>
      </c>
      <c r="E10" s="48"/>
      <c r="F10" s="541"/>
      <c r="G10" s="543"/>
      <c r="H10" s="544"/>
      <c r="I10" s="544"/>
      <c r="J10" s="115"/>
      <c r="K10" s="115"/>
      <c r="L10" s="65"/>
      <c r="M10" s="65"/>
      <c r="N10" s="129" t="s">
        <v>954</v>
      </c>
      <c r="O10" s="152">
        <f>FLOOR((_xll.qb_SPT2025($D$10,$D$12,$D$13,$BJ$1,$BJ$1,$BK$3:$BL$16,$BK$19:$BL$108)*D19-_xll.flu_SPT2025($D$10,$D$12,$D$13,$D$20,$D$15,$BJ$1,$BK$3:$BL$16,$BK$19:$BL$108,TRUE,FALSE,"",0,$D$17)+_xll.flu_SPT2025($D$10,$D$12,$D$13,$D$20,$D$15,$BJ$1,$BK$3:$BL$16,$BK$19:$BL$108,FALSE,TRUE,"",0,$D$17))/($D$27*$D$26)-$D$29*$D$26,10)</f>
        <v>5780</v>
      </c>
      <c r="P10" s="129" t="s">
        <v>967</v>
      </c>
      <c r="Q10" s="142">
        <f>FLOOR((_xll.qb_SPT2025($D$10,$D$12,$D$13,$EB$1,$EB$1,$EC$3:$ED$16,$EC$19:$ED$108)*D19-_xll.flu_SPT2025($D$10,$D$12,$D$13,$D$20,$D$15,$EB$1,$EC$3:$ED$16,$EC$19:$ED$108,TRUE,FALSE,"",0,$D$17)+_xll.flu_SPT2025($D$10,$D$12,$D$13,$D$20,$D$15,$EB$1,$EC$3:$ED$16,$EC$19:$ED$108,FALSE,TRUE,"",0,$D$17))/($D$27*$D$26)-$D$29*$D$26,10)</f>
        <v>5780</v>
      </c>
      <c r="R10" s="136"/>
      <c r="S10" s="136"/>
      <c r="T10" s="136"/>
      <c r="U10" s="138"/>
      <c r="V10" s="138"/>
      <c r="W10" s="138"/>
      <c r="X10" s="138"/>
      <c r="Z10" s="138"/>
      <c r="AA10" s="138"/>
      <c r="AB10" s="138"/>
      <c r="AC10" s="138"/>
      <c r="AE10" s="138"/>
      <c r="AF10" s="138"/>
      <c r="AG10" s="138"/>
      <c r="AH10" s="138"/>
      <c r="AJ10" s="138"/>
      <c r="AK10" s="138"/>
      <c r="AL10" s="138"/>
      <c r="AM10" s="138"/>
      <c r="AO10" s="138"/>
      <c r="AP10" s="138"/>
      <c r="AQ10" s="138"/>
      <c r="AR10" s="138"/>
      <c r="AT10" s="138"/>
      <c r="AU10" s="138"/>
      <c r="AV10" s="138"/>
      <c r="AW10" s="138"/>
      <c r="AY10" s="138"/>
      <c r="AZ10" s="138"/>
      <c r="BA10" s="138"/>
      <c r="BB10" s="138"/>
      <c r="BD10" s="138"/>
      <c r="BE10" s="138"/>
      <c r="BF10" s="138"/>
      <c r="BG10" s="138"/>
      <c r="BI10" s="138"/>
      <c r="BJ10" s="138"/>
      <c r="BK10" s="138"/>
      <c r="BL10" s="138"/>
      <c r="BN10" s="138"/>
      <c r="BO10" s="138"/>
      <c r="BP10" s="138"/>
      <c r="BQ10" s="138"/>
      <c r="BS10" s="138"/>
      <c r="BT10" s="138"/>
      <c r="BU10" s="138"/>
      <c r="BV10" s="138"/>
      <c r="BX10" s="138"/>
      <c r="BY10" s="138"/>
      <c r="BZ10" s="138"/>
      <c r="CA10" s="138"/>
      <c r="CC10" s="138"/>
      <c r="CD10" s="138"/>
      <c r="CE10" s="138"/>
      <c r="CF10" s="138"/>
      <c r="CH10" s="138"/>
      <c r="CI10" s="138"/>
      <c r="CJ10" s="138"/>
      <c r="CK10" s="138"/>
      <c r="CM10" s="138"/>
      <c r="CN10" s="138"/>
      <c r="CO10" s="138"/>
      <c r="CP10" s="138"/>
      <c r="CR10" s="138"/>
      <c r="CS10" s="138"/>
      <c r="CT10" s="138"/>
      <c r="CU10" s="138"/>
      <c r="CW10" s="138"/>
      <c r="CX10" s="138"/>
      <c r="CY10" s="138"/>
      <c r="CZ10" s="138"/>
      <c r="DB10" s="138"/>
      <c r="DC10" s="138"/>
      <c r="DD10" s="138"/>
      <c r="DE10" s="138"/>
      <c r="DG10" s="138"/>
      <c r="DH10" s="138"/>
      <c r="DI10" s="138"/>
      <c r="DJ10" s="138"/>
      <c r="DL10" s="138"/>
      <c r="DM10" s="138"/>
      <c r="DN10" s="138"/>
      <c r="DO10" s="138"/>
      <c r="DQ10" s="138"/>
      <c r="DR10" s="138"/>
      <c r="DS10" s="138"/>
      <c r="DT10" s="138"/>
      <c r="DV10" s="138"/>
      <c r="DW10" s="138"/>
      <c r="DX10" s="138"/>
      <c r="DY10" s="138"/>
      <c r="EA10" s="138"/>
      <c r="EB10" s="138"/>
      <c r="EC10" s="138"/>
      <c r="ED10" s="138"/>
      <c r="EF10" s="138"/>
      <c r="EG10" s="138"/>
      <c r="EH10" s="138"/>
      <c r="EI10" s="138"/>
      <c r="EK10" s="138"/>
      <c r="EL10" s="138"/>
      <c r="EM10" s="138"/>
      <c r="EN10" s="138"/>
      <c r="EP10" s="138"/>
      <c r="EQ10" s="138"/>
      <c r="ER10" s="138"/>
      <c r="ES10" s="138"/>
      <c r="EU10" s="138"/>
      <c r="EV10" s="138"/>
      <c r="EW10" s="138"/>
      <c r="EX10" s="138"/>
      <c r="EZ10" s="138"/>
      <c r="FA10" s="138"/>
      <c r="FB10" s="138"/>
      <c r="FC10" s="138"/>
    </row>
    <row r="11" spans="1:159" ht="15.6" customHeight="1">
      <c r="A11" s="434" t="s">
        <v>981</v>
      </c>
      <c r="B11" s="434"/>
      <c r="C11" s="434"/>
      <c r="D11" s="13" t="s">
        <v>299</v>
      </c>
      <c r="E11" s="48"/>
      <c r="F11" s="13" t="s">
        <v>262</v>
      </c>
      <c r="G11" s="8" t="s">
        <v>269</v>
      </c>
      <c r="H11" s="50">
        <v>0</v>
      </c>
      <c r="I11" s="50" t="s">
        <v>975</v>
      </c>
      <c r="J11" s="116"/>
      <c r="K11" s="116"/>
      <c r="L11" s="65"/>
      <c r="M11" s="65"/>
      <c r="N11" s="129" t="s">
        <v>955</v>
      </c>
      <c r="O11" s="152">
        <f>FLOOR((_xll.qb_SPT2025($D$10,$D$12,$D$13,$BO$1,$BO$1,$BP$3:$BQ$16,$BP$19:$BQ$108)*D19-_xll.flu_SPT2025($D$10,$D$12,$D$13,$D$20,$D$15,$BO$1,$BP$3:$BQ$16,$BP$19:$BQ$108,TRUE,FALSE,"",0,$D$17)+_xll.flu_SPT2025($D$10,$D$12,$D$13,$D$20,$D$15,$BO$1,$BP$3:$BQ$16,$BP$19:$BQ$108,FALSE,TRUE,"",0,$D$17))/($D$27*$D$26)-$D$29*$D$26,10)</f>
        <v>5780</v>
      </c>
      <c r="P11" s="129" t="s">
        <v>968</v>
      </c>
      <c r="Q11" s="142">
        <f>FLOOR((_xll.qb_SPT2025($D$10,$D$12,$D$13,$EG$1,$EG$1,$EH$3:$EI$16,$EH$19:$EI$108)*D19-_xll.flu_SPT2025($D$10,$D$12,$D$13,$D$20,$D$15,$EG$1,$EH$3:$EI$16,$EH$19:$EI$108,TRUE,FALSE,"",0,$D$17)+_xll.flu_SPT2025($D$10,$D$12,$D$13,$D$20,$D$15,$EG$1,$EH$3:$EI$16,$EH$19:$EI$108,FALSE,TRUE,"",0,$D$17))/($D$27*$D$26)-$D$29*$D$26,10)</f>
        <v>5780</v>
      </c>
      <c r="R11" s="136"/>
      <c r="S11" s="136"/>
      <c r="T11" s="136"/>
      <c r="U11" s="138"/>
      <c r="V11" s="138"/>
      <c r="W11" s="138"/>
      <c r="X11" s="138"/>
      <c r="Z11" s="138"/>
      <c r="AA11" s="138"/>
      <c r="AB11" s="138"/>
      <c r="AC11" s="138"/>
      <c r="AE11" s="138"/>
      <c r="AF11" s="138"/>
      <c r="AG11" s="138"/>
      <c r="AH11" s="138"/>
      <c r="AJ11" s="138"/>
      <c r="AK11" s="138"/>
      <c r="AL11" s="138"/>
      <c r="AM11" s="138"/>
      <c r="AO11" s="138"/>
      <c r="AP11" s="138"/>
      <c r="AQ11" s="138"/>
      <c r="AR11" s="138"/>
      <c r="AT11" s="138"/>
      <c r="AU11" s="138"/>
      <c r="AV11" s="138"/>
      <c r="AW11" s="138"/>
      <c r="AY11" s="138"/>
      <c r="AZ11" s="138"/>
      <c r="BA11" s="138"/>
      <c r="BB11" s="138"/>
      <c r="BD11" s="138"/>
      <c r="BE11" s="138"/>
      <c r="BF11" s="138"/>
      <c r="BG11" s="138"/>
      <c r="BI11" s="138"/>
      <c r="BJ11" s="138"/>
      <c r="BK11" s="138"/>
      <c r="BL11" s="138"/>
      <c r="BN11" s="138"/>
      <c r="BO11" s="138"/>
      <c r="BP11" s="138"/>
      <c r="BQ11" s="138"/>
      <c r="BS11" s="138"/>
      <c r="BT11" s="138"/>
      <c r="BU11" s="138"/>
      <c r="BV11" s="138"/>
      <c r="BX11" s="138"/>
      <c r="BY11" s="138"/>
      <c r="BZ11" s="138"/>
      <c r="CA11" s="138"/>
      <c r="CC11" s="138"/>
      <c r="CD11" s="138"/>
      <c r="CE11" s="138"/>
      <c r="CF11" s="138"/>
      <c r="CH11" s="138"/>
      <c r="CI11" s="138"/>
      <c r="CJ11" s="138"/>
      <c r="CK11" s="138"/>
      <c r="CM11" s="138"/>
      <c r="CN11" s="138"/>
      <c r="CO11" s="138"/>
      <c r="CP11" s="138"/>
      <c r="CR11" s="138"/>
      <c r="CS11" s="138"/>
      <c r="CT11" s="138"/>
      <c r="CU11" s="138"/>
      <c r="CW11" s="138"/>
      <c r="CX11" s="138"/>
      <c r="CY11" s="138"/>
      <c r="CZ11" s="138"/>
      <c r="DB11" s="138"/>
      <c r="DC11" s="138"/>
      <c r="DD11" s="138"/>
      <c r="DE11" s="138"/>
      <c r="DG11" s="138"/>
      <c r="DH11" s="138"/>
      <c r="DI11" s="138"/>
      <c r="DJ11" s="138"/>
      <c r="DL11" s="138"/>
      <c r="DM11" s="138"/>
      <c r="DN11" s="138"/>
      <c r="DO11" s="138"/>
      <c r="DQ11" s="138"/>
      <c r="DR11" s="138"/>
      <c r="DS11" s="138"/>
      <c r="DT11" s="138"/>
      <c r="DV11" s="138"/>
      <c r="DW11" s="138"/>
      <c r="DX11" s="138"/>
      <c r="DY11" s="138"/>
      <c r="EA11" s="138"/>
      <c r="EB11" s="138"/>
      <c r="EC11" s="138"/>
      <c r="ED11" s="138"/>
      <c r="EF11" s="138"/>
      <c r="EG11" s="138"/>
      <c r="EH11" s="138"/>
      <c r="EI11" s="138"/>
      <c r="EK11" s="138"/>
      <c r="EL11" s="138"/>
      <c r="EM11" s="138"/>
      <c r="EN11" s="138"/>
      <c r="EP11" s="138"/>
      <c r="EQ11" s="138"/>
      <c r="ER11" s="138"/>
      <c r="ES11" s="138"/>
      <c r="EU11" s="138"/>
      <c r="EV11" s="138"/>
      <c r="EW11" s="138"/>
      <c r="EX11" s="138"/>
      <c r="EZ11" s="138"/>
      <c r="FA11" s="138"/>
      <c r="FB11" s="138"/>
      <c r="FC11" s="138"/>
    </row>
    <row r="12" spans="1:159" ht="15.6" customHeight="1">
      <c r="A12" s="434" t="s">
        <v>298</v>
      </c>
      <c r="B12" s="434"/>
      <c r="C12" s="434"/>
      <c r="D12" s="18">
        <v>1</v>
      </c>
      <c r="E12" s="54"/>
      <c r="F12" s="13" t="s">
        <v>268</v>
      </c>
      <c r="G12" s="8" t="s">
        <v>269</v>
      </c>
      <c r="H12" s="50">
        <v>1.5</v>
      </c>
      <c r="I12" s="50" t="s">
        <v>975</v>
      </c>
      <c r="J12" s="116"/>
      <c r="K12" s="116"/>
      <c r="L12" s="65"/>
      <c r="M12" s="65"/>
      <c r="N12" s="129" t="s">
        <v>956</v>
      </c>
      <c r="O12" s="152">
        <f>FLOOR((_xll.qb_SPT2025($D$10,$D$12,$D$13,$BT$1,$BT$1,$BU$3:$BV$16,$BU$19:$BV$108)*D19-_xll.flu_SPT2025($D$10,$D$12,$D$13,$D$20,$D$15,$BT$1,$BU$3:$BV$16,$BU$19:$BV$108,TRUE,FALSE,"",0,$D$17)+_xll.flu_SPT2025($D$10,$D$12,$D$13,$D$20,$D$15,$BT$1,$BU$3:$BV$16,$BU$19:$BV$108,FALSE,TRUE,"",0,$D$17))/($D$27*$D$26)-$D$29*$D$26,10)</f>
        <v>5780</v>
      </c>
      <c r="P12" s="129" t="s">
        <v>969</v>
      </c>
      <c r="Q12" s="142">
        <f>FLOOR((_xll.qb_SPT2025($D$10,$D$12,$D$13,$EL$1,$EL$1,$EM$3:$EN$16,$EM$19:$EN$108)*D19-_xll.flu_SPT2025($D$10,$D$12,$D$13,$D$20,$D$15,$EL$1,$EM$3:$EN$16,$EM$19:$EN$108,TRUE,FALSE,"",0,$D$17)+_xll.flu_SPT2025($D$10,$D$12,$D$13,$D$20,$D$15,$EL$1,$EM$3:$EN$16,$EM$19:$EN$108,FALSE,TRUE,"",0,$D$17))/($D$27*$D$26)-$D$29*$D$26,10)</f>
        <v>5780</v>
      </c>
      <c r="R12" s="136"/>
      <c r="S12" s="136"/>
      <c r="T12" s="136"/>
      <c r="U12" s="138"/>
      <c r="V12" s="138"/>
      <c r="W12" s="138"/>
      <c r="X12" s="138"/>
      <c r="Z12" s="138"/>
      <c r="AA12" s="138"/>
      <c r="AB12" s="138"/>
      <c r="AC12" s="138"/>
      <c r="AE12" s="138"/>
      <c r="AF12" s="138"/>
      <c r="AG12" s="138"/>
      <c r="AH12" s="138"/>
      <c r="AJ12" s="138"/>
      <c r="AK12" s="138"/>
      <c r="AL12" s="138"/>
      <c r="AM12" s="138"/>
      <c r="AO12" s="138"/>
      <c r="AP12" s="138"/>
      <c r="AQ12" s="138"/>
      <c r="AR12" s="138"/>
      <c r="AT12" s="138"/>
      <c r="AU12" s="138"/>
      <c r="AV12" s="138"/>
      <c r="AW12" s="138"/>
      <c r="AY12" s="138"/>
      <c r="AZ12" s="138"/>
      <c r="BA12" s="138"/>
      <c r="BB12" s="138"/>
      <c r="BD12" s="138"/>
      <c r="BE12" s="138"/>
      <c r="BF12" s="138"/>
      <c r="BG12" s="138"/>
      <c r="BI12" s="138"/>
      <c r="BJ12" s="138"/>
      <c r="BK12" s="138"/>
      <c r="BL12" s="138"/>
      <c r="BN12" s="138"/>
      <c r="BO12" s="138"/>
      <c r="BP12" s="138"/>
      <c r="BQ12" s="138"/>
      <c r="BS12" s="138"/>
      <c r="BT12" s="138"/>
      <c r="BU12" s="138"/>
      <c r="BV12" s="138"/>
      <c r="BX12" s="138"/>
      <c r="BY12" s="138"/>
      <c r="BZ12" s="138"/>
      <c r="CA12" s="138"/>
      <c r="CC12" s="138"/>
      <c r="CD12" s="138"/>
      <c r="CE12" s="138"/>
      <c r="CF12" s="138"/>
      <c r="CH12" s="138"/>
      <c r="CI12" s="138"/>
      <c r="CJ12" s="138"/>
      <c r="CK12" s="138"/>
      <c r="CM12" s="138"/>
      <c r="CN12" s="138"/>
      <c r="CO12" s="138"/>
      <c r="CP12" s="138"/>
      <c r="CR12" s="138"/>
      <c r="CS12" s="138"/>
      <c r="CT12" s="138"/>
      <c r="CU12" s="138"/>
      <c r="CW12" s="138"/>
      <c r="CX12" s="138"/>
      <c r="CY12" s="138"/>
      <c r="CZ12" s="138"/>
      <c r="DB12" s="138"/>
      <c r="DC12" s="138"/>
      <c r="DD12" s="138"/>
      <c r="DE12" s="138"/>
      <c r="DG12" s="138"/>
      <c r="DH12" s="138"/>
      <c r="DI12" s="138"/>
      <c r="DJ12" s="138"/>
      <c r="DL12" s="138"/>
      <c r="DM12" s="138"/>
      <c r="DN12" s="138"/>
      <c r="DO12" s="138"/>
      <c r="DQ12" s="138"/>
      <c r="DR12" s="138"/>
      <c r="DS12" s="138"/>
      <c r="DT12" s="138"/>
      <c r="DV12" s="138"/>
      <c r="DW12" s="138"/>
      <c r="DX12" s="138"/>
      <c r="DY12" s="138"/>
      <c r="EA12" s="138"/>
      <c r="EB12" s="138"/>
      <c r="EC12" s="138"/>
      <c r="ED12" s="138"/>
      <c r="EF12" s="138"/>
      <c r="EG12" s="138"/>
      <c r="EH12" s="138"/>
      <c r="EI12" s="138"/>
      <c r="EK12" s="138"/>
      <c r="EL12" s="138"/>
      <c r="EM12" s="138"/>
      <c r="EN12" s="138"/>
      <c r="EP12" s="138"/>
      <c r="EQ12" s="138"/>
      <c r="ER12" s="138"/>
      <c r="ES12" s="138"/>
      <c r="EU12" s="138"/>
      <c r="EV12" s="138"/>
      <c r="EW12" s="138"/>
      <c r="EX12" s="138"/>
      <c r="EZ12" s="138"/>
      <c r="FA12" s="138"/>
      <c r="FB12" s="138"/>
      <c r="FC12" s="138"/>
    </row>
    <row r="13" spans="1:159" ht="15.6" customHeight="1">
      <c r="A13" s="545" t="s">
        <v>982</v>
      </c>
      <c r="B13" s="545"/>
      <c r="C13" s="545"/>
      <c r="D13" s="19">
        <v>0</v>
      </c>
      <c r="E13" s="55"/>
      <c r="F13" s="13" t="s">
        <v>270</v>
      </c>
      <c r="G13" s="8" t="s">
        <v>269</v>
      </c>
      <c r="H13" s="50">
        <v>7</v>
      </c>
      <c r="I13" s="50" t="s">
        <v>975</v>
      </c>
      <c r="J13" s="116"/>
      <c r="K13" s="116"/>
      <c r="L13" s="65"/>
      <c r="M13" s="65"/>
      <c r="N13" s="129" t="s">
        <v>957</v>
      </c>
      <c r="O13" s="152">
        <f>FLOOR((_xll.qb_SPT2025($D$10,$D$12,$D$13,$BY$1,$BY$1,$BZ$3:$CA$16,$BZ$19:$CA$108)*D19-_xll.flu_SPT2025($D$10,$D$12,$D$13,$D$20,$D$15,$BY$1,$BZ$3:$CA$16,$BZ$19:$CA$108,TRUE,FALSE,"",0,$D$17)+_xll.flu_SPT2025($D$10,$D$12,$D$13,$D$20,$D$15,$BY$1,$BZ$3:$CA$16,$BZ$19:$CA$108,FALSE,TRUE,"",0,$D$17))/($D$27*$D$26)-$D$29*$D$26,10)</f>
        <v>5780</v>
      </c>
      <c r="P13" s="129" t="s">
        <v>970</v>
      </c>
      <c r="Q13" s="142">
        <f>FLOOR((_xll.qb_SPT2025($D$10,$D$12,$D$13,$EQ$1,$EQ$1,$ER$3:$ES$16,$ER$19:$ES$108)*D19-_xll.flu_SPT2025($D$10,$D$12,$D$13,$D$20,$D$15,$EQ$1,$ER$3:$ES$16,$ER$19:$ES$108,TRUE,FALSE,"",0,$D$17)+_xll.flu_SPT2025($D$10,$D$12,$D$13,$D$20,$D$15,$EQ$1,$ER$3:$ES$16,$ER$19:$ES$108,FALSE,TRUE,"",0,$D$17))/($D$27*$D$26)-$D$29*$D$26,10)</f>
        <v>5780</v>
      </c>
      <c r="R13" s="136"/>
      <c r="S13" s="136"/>
      <c r="T13" s="136"/>
      <c r="U13" s="138"/>
      <c r="V13" s="138"/>
      <c r="W13" s="138"/>
      <c r="X13" s="138"/>
      <c r="Z13" s="138"/>
      <c r="AA13" s="138"/>
      <c r="AB13" s="138"/>
      <c r="AC13" s="138"/>
      <c r="AE13" s="138"/>
      <c r="AF13" s="138"/>
      <c r="AG13" s="138"/>
      <c r="AH13" s="138"/>
      <c r="AJ13" s="138"/>
      <c r="AK13" s="138"/>
      <c r="AL13" s="138"/>
      <c r="AM13" s="138"/>
      <c r="AO13" s="138"/>
      <c r="AP13" s="138"/>
      <c r="AQ13" s="138"/>
      <c r="AR13" s="138"/>
      <c r="AT13" s="138"/>
      <c r="AU13" s="138"/>
      <c r="AV13" s="138"/>
      <c r="AW13" s="138"/>
      <c r="AY13" s="138"/>
      <c r="AZ13" s="138"/>
      <c r="BA13" s="138"/>
      <c r="BB13" s="138"/>
      <c r="BD13" s="138"/>
      <c r="BE13" s="138"/>
      <c r="BF13" s="138"/>
      <c r="BG13" s="138"/>
      <c r="BI13" s="138"/>
      <c r="BJ13" s="138"/>
      <c r="BK13" s="138"/>
      <c r="BL13" s="138"/>
      <c r="BN13" s="138"/>
      <c r="BO13" s="138"/>
      <c r="BP13" s="138"/>
      <c r="BQ13" s="138"/>
      <c r="BS13" s="138"/>
      <c r="BT13" s="138"/>
      <c r="BU13" s="138"/>
      <c r="BV13" s="138"/>
      <c r="BX13" s="138"/>
      <c r="BY13" s="138"/>
      <c r="BZ13" s="138"/>
      <c r="CA13" s="138"/>
      <c r="CC13" s="138"/>
      <c r="CD13" s="138"/>
      <c r="CE13" s="138"/>
      <c r="CF13" s="138"/>
      <c r="CH13" s="138"/>
      <c r="CI13" s="138"/>
      <c r="CJ13" s="138"/>
      <c r="CK13" s="138"/>
      <c r="CM13" s="138"/>
      <c r="CN13" s="138"/>
      <c r="CO13" s="138"/>
      <c r="CP13" s="138"/>
      <c r="CR13" s="138"/>
      <c r="CS13" s="138"/>
      <c r="CT13" s="138"/>
      <c r="CU13" s="138"/>
      <c r="CW13" s="138"/>
      <c r="CX13" s="138"/>
      <c r="CY13" s="138"/>
      <c r="CZ13" s="138"/>
      <c r="DB13" s="138"/>
      <c r="DC13" s="138"/>
      <c r="DD13" s="138"/>
      <c r="DE13" s="138"/>
      <c r="DG13" s="138"/>
      <c r="DH13" s="138"/>
      <c r="DI13" s="138"/>
      <c r="DJ13" s="138"/>
      <c r="DL13" s="138"/>
      <c r="DM13" s="138"/>
      <c r="DN13" s="138"/>
      <c r="DO13" s="138"/>
      <c r="DQ13" s="138"/>
      <c r="DR13" s="138"/>
      <c r="DS13" s="138"/>
      <c r="DT13" s="138"/>
      <c r="DV13" s="138"/>
      <c r="DW13" s="138"/>
      <c r="DX13" s="138"/>
      <c r="DY13" s="138"/>
      <c r="EA13" s="138"/>
      <c r="EB13" s="138"/>
      <c r="EC13" s="138"/>
      <c r="ED13" s="138"/>
      <c r="EF13" s="138"/>
      <c r="EG13" s="138"/>
      <c r="EH13" s="138"/>
      <c r="EI13" s="138"/>
      <c r="EK13" s="138"/>
      <c r="EL13" s="138"/>
      <c r="EM13" s="138"/>
      <c r="EN13" s="138"/>
      <c r="EP13" s="138"/>
      <c r="EQ13" s="138"/>
      <c r="ER13" s="138"/>
      <c r="ES13" s="138"/>
      <c r="EU13" s="138"/>
      <c r="EV13" s="138"/>
      <c r="EW13" s="138"/>
      <c r="EX13" s="138"/>
      <c r="EZ13" s="138"/>
      <c r="FA13" s="138"/>
      <c r="FB13" s="138"/>
      <c r="FC13" s="138"/>
    </row>
    <row r="14" spans="1:159">
      <c r="A14" s="545" t="s">
        <v>983</v>
      </c>
      <c r="B14" s="545"/>
      <c r="C14" s="545"/>
      <c r="D14" s="19">
        <v>0</v>
      </c>
      <c r="E14" s="48"/>
      <c r="F14" s="13" t="s">
        <v>274</v>
      </c>
      <c r="G14" s="8" t="s">
        <v>269</v>
      </c>
      <c r="H14" s="50">
        <v>10.5</v>
      </c>
      <c r="I14" s="50" t="s">
        <v>975</v>
      </c>
      <c r="J14" s="116"/>
      <c r="K14" s="116"/>
      <c r="L14" s="65"/>
      <c r="M14" s="65"/>
      <c r="N14" s="129" t="s">
        <v>958</v>
      </c>
      <c r="O14" s="152">
        <f>FLOOR((_xll.qb_SPT2025($D$10,$D$12,$D$13,$CD$1,$CD$1,$CE$3:$CF$16,$CE$19:$CF$108)*D19-_xll.flu_SPT2025($D$10,$D$12,$D$13,$D$20,$D$15,$CD$1,$CE$3:$CF$16,$CE$19:$CF$108,TRUE,FALSE,"",0,$D$17)+_xll.flu_SPT2025($D$10,$D$12,$D$13,$D$20,$D$15,$CD$1,$CE$3:$CF$16,$CE$19:$CF$108,FALSE,TRUE,"",0,$D$17))/($D$27*$D$26)-$D$29*$D$26,10)</f>
        <v>5780</v>
      </c>
      <c r="P14" s="129" t="s">
        <v>971</v>
      </c>
      <c r="Q14" s="142">
        <f>FLOOR((_xll.qb_SPT2025($D$10,$D$12,$D$13,$EV$1,$EV$1,$EW$3:$EX$16,$EW$19:$EX$108)*D19-_xll.flu_SPT2025($D$10,$D$12,$D$13,$D$20,$D$15,$EV$1,$EW$3:$EX$16,$EW$19:$EX$108,TRUE,FALSE,"",0,$D$17)+_xll.flu_SPT2025($D$10,$D$12,$D$13,$D$20,$D$15,$EV$1,$EW$3:$EX$16,$EW$19:$EX$108,FALSE,TRUE,"",0,$D$17))/($D$27*$D$26)-$D$29*$D$26,10)</f>
        <v>5780</v>
      </c>
      <c r="R14" s="136"/>
      <c r="S14" s="136"/>
      <c r="T14" s="136"/>
      <c r="U14" s="138"/>
      <c r="V14" s="138"/>
      <c r="W14" s="138"/>
      <c r="X14" s="138"/>
      <c r="Z14" s="138"/>
      <c r="AA14" s="138"/>
      <c r="AB14" s="138"/>
      <c r="AC14" s="138"/>
      <c r="AE14" s="138"/>
      <c r="AF14" s="138"/>
      <c r="AG14" s="138"/>
      <c r="AH14" s="138"/>
      <c r="AJ14" s="138"/>
      <c r="AK14" s="138"/>
      <c r="AL14" s="138"/>
      <c r="AM14" s="138"/>
      <c r="AO14" s="138"/>
      <c r="AP14" s="138"/>
      <c r="AQ14" s="138"/>
      <c r="AR14" s="138"/>
      <c r="AT14" s="138"/>
      <c r="AU14" s="138"/>
      <c r="AV14" s="138"/>
      <c r="AW14" s="138"/>
      <c r="AY14" s="138"/>
      <c r="AZ14" s="138"/>
      <c r="BA14" s="138"/>
      <c r="BB14" s="138"/>
      <c r="BD14" s="138"/>
      <c r="BE14" s="138"/>
      <c r="BF14" s="138"/>
      <c r="BG14" s="138"/>
      <c r="BI14" s="138"/>
      <c r="BJ14" s="138"/>
      <c r="BK14" s="138"/>
      <c r="BL14" s="138"/>
      <c r="BN14" s="138"/>
      <c r="BO14" s="138"/>
      <c r="BP14" s="138"/>
      <c r="BQ14" s="138"/>
      <c r="BS14" s="138"/>
      <c r="BT14" s="138"/>
      <c r="BU14" s="138"/>
      <c r="BV14" s="138"/>
      <c r="BX14" s="138"/>
      <c r="BY14" s="138"/>
      <c r="BZ14" s="138"/>
      <c r="CA14" s="138"/>
      <c r="CC14" s="138"/>
      <c r="CD14" s="138"/>
      <c r="CE14" s="138"/>
      <c r="CF14" s="138"/>
      <c r="CH14" s="138"/>
      <c r="CI14" s="138"/>
      <c r="CJ14" s="138"/>
      <c r="CK14" s="138"/>
      <c r="CM14" s="138"/>
      <c r="CN14" s="138"/>
      <c r="CO14" s="138"/>
      <c r="CP14" s="138"/>
      <c r="CR14" s="138"/>
      <c r="CS14" s="138"/>
      <c r="CT14" s="138"/>
      <c r="CU14" s="138"/>
      <c r="CW14" s="138"/>
      <c r="CX14" s="138"/>
      <c r="CY14" s="138"/>
      <c r="CZ14" s="138"/>
      <c r="DB14" s="138"/>
      <c r="DC14" s="138"/>
      <c r="DD14" s="138"/>
      <c r="DE14" s="138"/>
      <c r="DG14" s="138"/>
      <c r="DH14" s="138"/>
      <c r="DI14" s="138"/>
      <c r="DJ14" s="138"/>
      <c r="DL14" s="138"/>
      <c r="DM14" s="138"/>
      <c r="DN14" s="138"/>
      <c r="DO14" s="138"/>
      <c r="DQ14" s="138"/>
      <c r="DR14" s="138"/>
      <c r="DS14" s="138"/>
      <c r="DT14" s="138"/>
      <c r="DV14" s="138"/>
      <c r="DW14" s="138"/>
      <c r="DX14" s="138"/>
      <c r="DY14" s="138"/>
      <c r="EA14" s="138"/>
      <c r="EB14" s="138"/>
      <c r="EC14" s="138"/>
      <c r="ED14" s="138"/>
      <c r="EF14" s="138"/>
      <c r="EG14" s="138"/>
      <c r="EH14" s="138"/>
      <c r="EI14" s="138"/>
      <c r="EK14" s="138"/>
      <c r="EL14" s="138"/>
      <c r="EM14" s="138"/>
      <c r="EN14" s="138"/>
      <c r="EP14" s="138"/>
      <c r="EQ14" s="138"/>
      <c r="ER14" s="138"/>
      <c r="ES14" s="138"/>
      <c r="EU14" s="138"/>
      <c r="EV14" s="138"/>
      <c r="EW14" s="138"/>
      <c r="EX14" s="138"/>
      <c r="EZ14" s="138"/>
      <c r="FA14" s="138"/>
      <c r="FB14" s="138"/>
      <c r="FC14" s="138"/>
    </row>
    <row r="15" spans="1:159" ht="15.6" customHeight="1">
      <c r="A15" s="434" t="s">
        <v>307</v>
      </c>
      <c r="B15" s="434"/>
      <c r="C15" s="434"/>
      <c r="D15" s="13">
        <v>15</v>
      </c>
      <c r="E15" s="56"/>
      <c r="F15" s="13" t="s">
        <v>277</v>
      </c>
      <c r="G15" s="8" t="s">
        <v>278</v>
      </c>
      <c r="H15" s="50">
        <v>12.2</v>
      </c>
      <c r="I15" s="50" t="s">
        <v>978</v>
      </c>
      <c r="J15" s="116"/>
      <c r="K15" s="116"/>
      <c r="L15" s="65"/>
      <c r="M15" s="65"/>
      <c r="N15" s="129" t="s">
        <v>959</v>
      </c>
      <c r="O15" s="152">
        <f>FLOOR((_xll.qb_SPT2025($D$10,$D$12,$D$13,$CI$1,$CI$1,$CJ$3:$CK$16,$CJ$19:$CK$108)*D19-_xll.flu_SPT2025($D$10,$D$12,$D$13,$D$20,$D$15,$CI$1,$CJ$3:$CK$16,$CJ$19:$CK$108,TRUE,FALSE,"",0,$D$17)+_xll.flu_SPT2025($D$10,$D$12,$D$13,$D$20,$D$15,$CI$1,$CJ$3:$CK$16,$CJ$19:$CK$108,FALSE,TRUE,"",0,$D$17))/($D$27*$D$26)-$D$29*$D$26,10)</f>
        <v>5780</v>
      </c>
      <c r="P15" s="129" t="s">
        <v>972</v>
      </c>
      <c r="Q15" s="142">
        <f>FLOOR((_xll.qb_SPT2025($D$10,$D$12,$D$13,$FA$1,$FA$1,$FB$3:$FC$16,$FB$19:$FC$108)*D19-_xll.flu_SPT2025($D$10,$D$12,$D$13,$D$20,$D$15,$FA$1,$FB$3:$FC$16,$FB$19:$FC$108,TRUE,FALSE,"",0,$D$17)+_xll.flu_SPT2025($D$10,$D$12,$D$13,$D$20,$D$15,$FA$1,$FB$3:$FC$16,$FB$19:$FC$108,FALSE,TRUE,"",0,$D$17))/($D$27*$D$26)-$D$29*$D$26,10)</f>
        <v>5780</v>
      </c>
      <c r="R15" s="136"/>
      <c r="S15" s="136"/>
      <c r="T15" s="136"/>
      <c r="U15" s="138"/>
      <c r="V15" s="138"/>
      <c r="W15" s="138"/>
      <c r="X15" s="138"/>
      <c r="Z15" s="138"/>
      <c r="AA15" s="138"/>
      <c r="AB15" s="138"/>
      <c r="AC15" s="138"/>
      <c r="AE15" s="138"/>
      <c r="AF15" s="138"/>
      <c r="AG15" s="138"/>
      <c r="AH15" s="138"/>
      <c r="AJ15" s="138"/>
      <c r="AK15" s="138"/>
      <c r="AL15" s="138"/>
      <c r="AM15" s="138"/>
      <c r="AO15" s="138"/>
      <c r="AP15" s="138"/>
      <c r="AQ15" s="138"/>
      <c r="AR15" s="138"/>
      <c r="AT15" s="138"/>
      <c r="AU15" s="138"/>
      <c r="AV15" s="138"/>
      <c r="AW15" s="138"/>
      <c r="AY15" s="138"/>
      <c r="AZ15" s="138"/>
      <c r="BA15" s="138"/>
      <c r="BB15" s="138"/>
      <c r="BD15" s="138"/>
      <c r="BE15" s="138"/>
      <c r="BF15" s="138"/>
      <c r="BG15" s="138"/>
      <c r="BI15" s="138"/>
      <c r="BJ15" s="138"/>
      <c r="BK15" s="138"/>
      <c r="BL15" s="138"/>
      <c r="BN15" s="138"/>
      <c r="BO15" s="138"/>
      <c r="BP15" s="138"/>
      <c r="BQ15" s="138"/>
      <c r="BS15" s="138"/>
      <c r="BT15" s="138"/>
      <c r="BU15" s="138"/>
      <c r="BV15" s="138"/>
      <c r="BX15" s="138"/>
      <c r="BY15" s="138"/>
      <c r="BZ15" s="138"/>
      <c r="CA15" s="138"/>
      <c r="CC15" s="138"/>
      <c r="CD15" s="138"/>
      <c r="CE15" s="138"/>
      <c r="CF15" s="138"/>
      <c r="CH15" s="138"/>
      <c r="CI15" s="138"/>
      <c r="CJ15" s="138"/>
      <c r="CK15" s="138"/>
      <c r="CM15" s="138"/>
      <c r="CN15" s="138"/>
      <c r="CO15" s="138"/>
      <c r="CP15" s="138"/>
      <c r="CR15" s="138"/>
      <c r="CS15" s="138"/>
      <c r="CT15" s="138"/>
      <c r="CU15" s="138"/>
      <c r="CW15" s="138"/>
      <c r="CX15" s="138"/>
      <c r="CY15" s="138"/>
      <c r="CZ15" s="138"/>
      <c r="DB15" s="138"/>
      <c r="DC15" s="138"/>
      <c r="DD15" s="138"/>
      <c r="DE15" s="138"/>
      <c r="DG15" s="138"/>
      <c r="DH15" s="138"/>
      <c r="DI15" s="138"/>
      <c r="DJ15" s="138"/>
      <c r="DL15" s="138"/>
      <c r="DM15" s="138"/>
      <c r="DN15" s="138"/>
      <c r="DO15" s="138"/>
      <c r="DQ15" s="138"/>
      <c r="DR15" s="138"/>
      <c r="DS15" s="138"/>
      <c r="DT15" s="138"/>
      <c r="DV15" s="138"/>
      <c r="DW15" s="138"/>
      <c r="DX15" s="138"/>
      <c r="DY15" s="138"/>
      <c r="EA15" s="138"/>
      <c r="EB15" s="138"/>
      <c r="EC15" s="138"/>
      <c r="ED15" s="138"/>
      <c r="EF15" s="138"/>
      <c r="EG15" s="138"/>
      <c r="EH15" s="138"/>
      <c r="EI15" s="138"/>
      <c r="EK15" s="138"/>
      <c r="EL15" s="138"/>
      <c r="EM15" s="138"/>
      <c r="EN15" s="138"/>
      <c r="EP15" s="138"/>
      <c r="EQ15" s="138"/>
      <c r="ER15" s="138"/>
      <c r="ES15" s="138"/>
      <c r="EU15" s="138"/>
      <c r="EV15" s="138"/>
      <c r="EW15" s="138"/>
      <c r="EX15" s="138"/>
      <c r="EZ15" s="138"/>
      <c r="FA15" s="138"/>
      <c r="FB15" s="138"/>
      <c r="FC15" s="138"/>
    </row>
    <row r="16" spans="1:159" ht="15.6" customHeight="1">
      <c r="A16" s="434" t="s">
        <v>305</v>
      </c>
      <c r="B16" s="434"/>
      <c r="C16" s="434"/>
      <c r="D16" s="13">
        <v>43.2</v>
      </c>
      <c r="E16" s="56">
        <f>D16</f>
        <v>43.2</v>
      </c>
      <c r="F16" s="13" t="s">
        <v>282</v>
      </c>
      <c r="G16" s="8" t="s">
        <v>278</v>
      </c>
      <c r="H16" s="50">
        <v>27</v>
      </c>
      <c r="I16" s="50" t="s">
        <v>978</v>
      </c>
      <c r="J16" s="116"/>
      <c r="K16" s="116"/>
      <c r="L16" s="65"/>
      <c r="M16" s="65"/>
      <c r="P16" s="37"/>
    </row>
    <row r="17" spans="1:159">
      <c r="A17" s="546" t="s">
        <v>984</v>
      </c>
      <c r="B17" s="547"/>
      <c r="C17" s="548"/>
      <c r="D17" s="57">
        <v>1</v>
      </c>
      <c r="E17" s="58"/>
      <c r="F17" s="13" t="s">
        <v>289</v>
      </c>
      <c r="G17" s="8" t="s">
        <v>278</v>
      </c>
      <c r="H17" s="50">
        <v>38.200000000000003</v>
      </c>
      <c r="I17" s="50" t="s">
        <v>978</v>
      </c>
      <c r="J17" s="116"/>
      <c r="K17" s="116"/>
      <c r="L17" s="65"/>
      <c r="M17" s="65"/>
      <c r="O17" s="132" t="s">
        <v>287</v>
      </c>
      <c r="P17" s="132" t="s">
        <v>985</v>
      </c>
      <c r="W17" s="132" t="s">
        <v>287</v>
      </c>
      <c r="X17" s="132" t="s">
        <v>985</v>
      </c>
      <c r="AB17" s="132" t="s">
        <v>287</v>
      </c>
      <c r="AC17" s="132" t="s">
        <v>985</v>
      </c>
      <c r="AG17" s="132" t="s">
        <v>287</v>
      </c>
      <c r="AH17" s="132" t="s">
        <v>985</v>
      </c>
      <c r="AL17" s="132" t="s">
        <v>287</v>
      </c>
      <c r="AM17" s="132" t="s">
        <v>985</v>
      </c>
      <c r="AQ17" s="132" t="s">
        <v>287</v>
      </c>
      <c r="AR17" s="132" t="s">
        <v>985</v>
      </c>
      <c r="AV17" s="132" t="s">
        <v>287</v>
      </c>
      <c r="AW17" s="132" t="s">
        <v>985</v>
      </c>
      <c r="BA17" s="132" t="s">
        <v>287</v>
      </c>
      <c r="BB17" s="132" t="s">
        <v>985</v>
      </c>
      <c r="BF17" s="132" t="s">
        <v>287</v>
      </c>
      <c r="BG17" s="132" t="s">
        <v>985</v>
      </c>
      <c r="BK17" s="132" t="s">
        <v>287</v>
      </c>
      <c r="BL17" s="132" t="s">
        <v>985</v>
      </c>
      <c r="BP17" s="132" t="s">
        <v>287</v>
      </c>
      <c r="BQ17" s="132" t="s">
        <v>985</v>
      </c>
      <c r="BU17" s="132" t="s">
        <v>287</v>
      </c>
      <c r="BV17" s="132" t="s">
        <v>985</v>
      </c>
      <c r="BZ17" s="132" t="s">
        <v>287</v>
      </c>
      <c r="CA17" s="132" t="s">
        <v>985</v>
      </c>
      <c r="CE17" s="132" t="s">
        <v>287</v>
      </c>
      <c r="CF17" s="132" t="s">
        <v>985</v>
      </c>
      <c r="CJ17" s="132" t="s">
        <v>287</v>
      </c>
      <c r="CK17" s="132" t="s">
        <v>985</v>
      </c>
      <c r="CO17" s="132" t="s">
        <v>287</v>
      </c>
      <c r="CP17" s="132" t="s">
        <v>985</v>
      </c>
      <c r="CT17" s="132" t="s">
        <v>287</v>
      </c>
      <c r="CU17" s="132" t="s">
        <v>985</v>
      </c>
      <c r="CY17" s="132" t="s">
        <v>287</v>
      </c>
      <c r="CZ17" s="132" t="s">
        <v>985</v>
      </c>
      <c r="DD17" s="132" t="s">
        <v>287</v>
      </c>
      <c r="DE17" s="132" t="s">
        <v>985</v>
      </c>
      <c r="DI17" s="132" t="s">
        <v>287</v>
      </c>
      <c r="DJ17" s="132" t="s">
        <v>985</v>
      </c>
      <c r="DN17" s="132" t="s">
        <v>287</v>
      </c>
      <c r="DO17" s="132" t="s">
        <v>985</v>
      </c>
      <c r="DS17" s="132" t="s">
        <v>287</v>
      </c>
      <c r="DT17" s="132" t="s">
        <v>985</v>
      </c>
      <c r="DX17" s="132" t="s">
        <v>287</v>
      </c>
      <c r="DY17" s="132" t="s">
        <v>985</v>
      </c>
      <c r="EC17" s="132" t="s">
        <v>287</v>
      </c>
      <c r="ED17" s="132" t="s">
        <v>985</v>
      </c>
      <c r="EH17" s="132" t="s">
        <v>287</v>
      </c>
      <c r="EI17" s="132" t="s">
        <v>985</v>
      </c>
      <c r="EM17" s="132" t="s">
        <v>287</v>
      </c>
      <c r="EN17" s="132" t="s">
        <v>985</v>
      </c>
      <c r="ER17" s="132" t="s">
        <v>287</v>
      </c>
      <c r="ES17" s="132" t="s">
        <v>985</v>
      </c>
      <c r="EW17" s="132" t="s">
        <v>287</v>
      </c>
      <c r="EX17" s="132" t="s">
        <v>985</v>
      </c>
      <c r="FB17" s="132" t="s">
        <v>287</v>
      </c>
      <c r="FC17" s="132" t="s">
        <v>985</v>
      </c>
    </row>
    <row r="18" spans="1:159" ht="15.6" customHeight="1">
      <c r="A18" s="434" t="s">
        <v>316</v>
      </c>
      <c r="B18" s="434"/>
      <c r="C18" s="434"/>
      <c r="D18" s="11">
        <f>ABS(D16-D15)</f>
        <v>28.2</v>
      </c>
      <c r="E18" s="58"/>
      <c r="F18" s="13"/>
      <c r="G18" s="8"/>
      <c r="H18" s="50"/>
      <c r="I18" s="50"/>
      <c r="J18" s="116"/>
      <c r="K18" s="116"/>
      <c r="L18" s="65"/>
      <c r="M18" s="65"/>
      <c r="O18" s="129" t="s">
        <v>275</v>
      </c>
      <c r="P18" s="132" t="s">
        <v>254</v>
      </c>
      <c r="W18" s="129" t="s">
        <v>275</v>
      </c>
      <c r="X18" s="132" t="s">
        <v>254</v>
      </c>
      <c r="AB18" s="129" t="s">
        <v>275</v>
      </c>
      <c r="AC18" s="132" t="s">
        <v>254</v>
      </c>
      <c r="AG18" s="129" t="s">
        <v>275</v>
      </c>
      <c r="AH18" s="132" t="s">
        <v>254</v>
      </c>
      <c r="AL18" s="129" t="s">
        <v>275</v>
      </c>
      <c r="AM18" s="132" t="s">
        <v>254</v>
      </c>
      <c r="AQ18" s="129" t="s">
        <v>275</v>
      </c>
      <c r="AR18" s="132" t="s">
        <v>254</v>
      </c>
      <c r="AV18" s="129" t="s">
        <v>275</v>
      </c>
      <c r="AW18" s="132" t="s">
        <v>254</v>
      </c>
      <c r="BA18" s="129" t="s">
        <v>275</v>
      </c>
      <c r="BB18" s="132" t="s">
        <v>254</v>
      </c>
      <c r="BF18" s="129" t="s">
        <v>275</v>
      </c>
      <c r="BG18" s="132" t="s">
        <v>254</v>
      </c>
      <c r="BK18" s="129" t="s">
        <v>275</v>
      </c>
      <c r="BL18" s="132" t="s">
        <v>254</v>
      </c>
      <c r="BP18" s="129" t="s">
        <v>275</v>
      </c>
      <c r="BQ18" s="132" t="s">
        <v>254</v>
      </c>
      <c r="BU18" s="129" t="s">
        <v>275</v>
      </c>
      <c r="BV18" s="132" t="s">
        <v>254</v>
      </c>
      <c r="BZ18" s="129" t="s">
        <v>275</v>
      </c>
      <c r="CA18" s="132" t="s">
        <v>254</v>
      </c>
      <c r="CE18" s="129" t="s">
        <v>275</v>
      </c>
      <c r="CF18" s="132" t="s">
        <v>254</v>
      </c>
      <c r="CJ18" s="129" t="s">
        <v>275</v>
      </c>
      <c r="CK18" s="132" t="s">
        <v>254</v>
      </c>
      <c r="CO18" s="129" t="s">
        <v>275</v>
      </c>
      <c r="CP18" s="132" t="s">
        <v>254</v>
      </c>
      <c r="CT18" s="129" t="s">
        <v>275</v>
      </c>
      <c r="CU18" s="132" t="s">
        <v>254</v>
      </c>
      <c r="CY18" s="129" t="s">
        <v>275</v>
      </c>
      <c r="CZ18" s="132" t="s">
        <v>254</v>
      </c>
      <c r="DD18" s="129" t="s">
        <v>275</v>
      </c>
      <c r="DE18" s="132" t="s">
        <v>254</v>
      </c>
      <c r="DI18" s="129" t="s">
        <v>275</v>
      </c>
      <c r="DJ18" s="132" t="s">
        <v>254</v>
      </c>
      <c r="DN18" s="129" t="s">
        <v>275</v>
      </c>
      <c r="DO18" s="132" t="s">
        <v>254</v>
      </c>
      <c r="DS18" s="129" t="s">
        <v>275</v>
      </c>
      <c r="DT18" s="132" t="s">
        <v>254</v>
      </c>
      <c r="DX18" s="129" t="s">
        <v>275</v>
      </c>
      <c r="DY18" s="132" t="s">
        <v>254</v>
      </c>
      <c r="EC18" s="129" t="s">
        <v>275</v>
      </c>
      <c r="ED18" s="132" t="s">
        <v>254</v>
      </c>
      <c r="EH18" s="129" t="s">
        <v>275</v>
      </c>
      <c r="EI18" s="132" t="s">
        <v>254</v>
      </c>
      <c r="EM18" s="129" t="s">
        <v>275</v>
      </c>
      <c r="EN18" s="132" t="s">
        <v>254</v>
      </c>
      <c r="ER18" s="129" t="s">
        <v>275</v>
      </c>
      <c r="ES18" s="132" t="s">
        <v>254</v>
      </c>
      <c r="EW18" s="129" t="s">
        <v>275</v>
      </c>
      <c r="EX18" s="132" t="s">
        <v>254</v>
      </c>
      <c r="FB18" s="129" t="s">
        <v>275</v>
      </c>
      <c r="FC18" s="132" t="s">
        <v>254</v>
      </c>
    </row>
    <row r="19" spans="1:159" ht="15.75">
      <c r="A19" s="434" t="s">
        <v>986</v>
      </c>
      <c r="B19" s="434"/>
      <c r="C19" s="434"/>
      <c r="D19" s="20">
        <f>IF(D11="Cọc tròn",PI()*(D12^2-D13^2)/4,D12^2)</f>
        <v>0.78539816339744795</v>
      </c>
      <c r="E19" s="60"/>
      <c r="F19" s="13"/>
      <c r="G19" s="8"/>
      <c r="H19" s="50"/>
      <c r="I19" s="50"/>
      <c r="J19" s="116"/>
      <c r="K19" s="116"/>
      <c r="L19" s="65"/>
      <c r="M19" s="65"/>
      <c r="O19" s="138">
        <v>0</v>
      </c>
      <c r="P19" s="138">
        <v>0</v>
      </c>
      <c r="R19" s="144">
        <v>1</v>
      </c>
      <c r="S19" s="138" t="s">
        <v>946</v>
      </c>
      <c r="W19" s="138">
        <v>0</v>
      </c>
      <c r="X19" s="138">
        <v>0</v>
      </c>
      <c r="AB19" s="138">
        <v>0</v>
      </c>
      <c r="AC19" s="138">
        <v>1</v>
      </c>
      <c r="AG19" s="138">
        <v>0</v>
      </c>
      <c r="AH19" s="138">
        <v>5</v>
      </c>
      <c r="AL19" s="138">
        <v>0</v>
      </c>
      <c r="AM19" s="138">
        <v>0</v>
      </c>
      <c r="AQ19" s="138">
        <v>0</v>
      </c>
      <c r="AR19" s="138">
        <v>0</v>
      </c>
      <c r="AV19" s="138">
        <v>0</v>
      </c>
      <c r="AW19" s="138">
        <v>0</v>
      </c>
      <c r="BA19" s="138">
        <v>0</v>
      </c>
      <c r="BB19" s="138">
        <v>0</v>
      </c>
      <c r="BF19" s="138">
        <v>0</v>
      </c>
      <c r="BG19" s="138">
        <v>0</v>
      </c>
      <c r="BK19" s="138">
        <v>0</v>
      </c>
      <c r="BL19" s="138">
        <v>0</v>
      </c>
      <c r="BP19" s="138">
        <v>0</v>
      </c>
      <c r="BQ19" s="138">
        <v>0</v>
      </c>
      <c r="BU19" s="138">
        <v>0</v>
      </c>
      <c r="BV19" s="138">
        <v>0</v>
      </c>
      <c r="BZ19" s="138">
        <v>0</v>
      </c>
      <c r="CA19" s="138">
        <v>0</v>
      </c>
      <c r="CE19" s="138">
        <v>0</v>
      </c>
      <c r="CF19" s="138">
        <v>0</v>
      </c>
      <c r="CJ19" s="138">
        <v>0</v>
      </c>
      <c r="CK19" s="138">
        <v>0</v>
      </c>
      <c r="CO19" s="138">
        <v>0</v>
      </c>
      <c r="CP19" s="138">
        <v>0</v>
      </c>
      <c r="CT19" s="138">
        <v>0</v>
      </c>
      <c r="CU19" s="138">
        <v>0</v>
      </c>
      <c r="CY19" s="138">
        <v>0</v>
      </c>
      <c r="CZ19" s="138">
        <v>0</v>
      </c>
      <c r="DD19" s="138">
        <v>0</v>
      </c>
      <c r="DE19" s="138">
        <v>0</v>
      </c>
      <c r="DI19" s="138">
        <v>0</v>
      </c>
      <c r="DJ19" s="138">
        <v>0</v>
      </c>
      <c r="DN19" s="138">
        <v>0</v>
      </c>
      <c r="DO19" s="138">
        <v>0</v>
      </c>
      <c r="DS19" s="138">
        <v>0</v>
      </c>
      <c r="DT19" s="138">
        <v>0</v>
      </c>
      <c r="DX19" s="138">
        <v>0</v>
      </c>
      <c r="DY19" s="138">
        <v>0</v>
      </c>
      <c r="EC19" s="138">
        <v>0</v>
      </c>
      <c r="ED19" s="138">
        <v>0</v>
      </c>
      <c r="EH19" s="138">
        <v>0</v>
      </c>
      <c r="EI19" s="138">
        <v>0</v>
      </c>
      <c r="EM19" s="138">
        <v>0</v>
      </c>
      <c r="EN19" s="138">
        <v>0</v>
      </c>
      <c r="ER19" s="138">
        <v>0</v>
      </c>
      <c r="ES19" s="138">
        <v>0</v>
      </c>
      <c r="EW19" s="138">
        <v>0</v>
      </c>
      <c r="EX19" s="138">
        <v>0</v>
      </c>
      <c r="FB19" s="138">
        <v>0</v>
      </c>
      <c r="FC19" s="138">
        <v>0</v>
      </c>
    </row>
    <row r="20" spans="1:159">
      <c r="A20" s="434" t="s">
        <v>313</v>
      </c>
      <c r="B20" s="434"/>
      <c r="C20" s="434"/>
      <c r="D20" s="20">
        <f>IF(D11="Cọc tròn",PI()*D12,4*D12)</f>
        <v>3.14159265358979</v>
      </c>
      <c r="E20" s="61"/>
      <c r="F20" s="13"/>
      <c r="G20" s="8"/>
      <c r="H20" s="50"/>
      <c r="I20" s="50"/>
      <c r="J20" s="119"/>
      <c r="K20" s="119"/>
      <c r="L20" s="65"/>
      <c r="M20" s="65"/>
      <c r="O20" s="138">
        <v>1.5</v>
      </c>
      <c r="P20" s="138">
        <v>4</v>
      </c>
      <c r="R20" s="144">
        <v>2</v>
      </c>
      <c r="S20" s="138" t="s">
        <v>947</v>
      </c>
      <c r="W20" s="138">
        <v>1.5</v>
      </c>
      <c r="X20" s="138">
        <v>4</v>
      </c>
      <c r="AB20" s="138">
        <v>1.5</v>
      </c>
      <c r="AC20" s="138">
        <v>2</v>
      </c>
      <c r="AG20" s="138">
        <v>1.5</v>
      </c>
      <c r="AH20" s="138">
        <v>10</v>
      </c>
      <c r="AL20" s="138">
        <v>1.5</v>
      </c>
      <c r="AM20" s="138">
        <v>4</v>
      </c>
      <c r="AQ20" s="138">
        <v>1.5</v>
      </c>
      <c r="AR20" s="138">
        <v>4</v>
      </c>
      <c r="AV20" s="138">
        <v>1.5</v>
      </c>
      <c r="AW20" s="138">
        <v>4</v>
      </c>
      <c r="BA20" s="138">
        <v>1.5</v>
      </c>
      <c r="BB20" s="138">
        <v>4</v>
      </c>
      <c r="BF20" s="138">
        <v>1.5</v>
      </c>
      <c r="BG20" s="138">
        <v>4</v>
      </c>
      <c r="BK20" s="138">
        <v>1.5</v>
      </c>
      <c r="BL20" s="138">
        <v>4</v>
      </c>
      <c r="BP20" s="138">
        <v>1.5</v>
      </c>
      <c r="BQ20" s="138">
        <v>4</v>
      </c>
      <c r="BU20" s="138">
        <v>1.5</v>
      </c>
      <c r="BV20" s="138">
        <v>4</v>
      </c>
      <c r="BZ20" s="138">
        <v>1.5</v>
      </c>
      <c r="CA20" s="138">
        <v>4</v>
      </c>
      <c r="CE20" s="138">
        <v>1.5</v>
      </c>
      <c r="CF20" s="138">
        <v>4</v>
      </c>
      <c r="CJ20" s="138">
        <v>1.5</v>
      </c>
      <c r="CK20" s="138">
        <v>4</v>
      </c>
      <c r="CO20" s="138">
        <v>1.5</v>
      </c>
      <c r="CP20" s="138">
        <v>4</v>
      </c>
      <c r="CT20" s="138">
        <v>1.5</v>
      </c>
      <c r="CU20" s="138">
        <v>4</v>
      </c>
      <c r="CY20" s="138">
        <v>1.5</v>
      </c>
      <c r="CZ20" s="138">
        <v>4</v>
      </c>
      <c r="DD20" s="138">
        <v>1.5</v>
      </c>
      <c r="DE20" s="138">
        <v>4</v>
      </c>
      <c r="DI20" s="138">
        <v>1.5</v>
      </c>
      <c r="DJ20" s="138">
        <v>4</v>
      </c>
      <c r="DN20" s="138">
        <v>1.5</v>
      </c>
      <c r="DO20" s="138">
        <v>4</v>
      </c>
      <c r="DS20" s="138">
        <v>1.5</v>
      </c>
      <c r="DT20" s="138">
        <v>4</v>
      </c>
      <c r="DX20" s="138">
        <v>1.5</v>
      </c>
      <c r="DY20" s="138">
        <v>4</v>
      </c>
      <c r="EC20" s="138">
        <v>1.5</v>
      </c>
      <c r="ED20" s="138">
        <v>4</v>
      </c>
      <c r="EH20" s="138">
        <v>1.5</v>
      </c>
      <c r="EI20" s="138">
        <v>4</v>
      </c>
      <c r="EM20" s="138">
        <v>1.5</v>
      </c>
      <c r="EN20" s="138">
        <v>4</v>
      </c>
      <c r="ER20" s="138">
        <v>1.5</v>
      </c>
      <c r="ES20" s="138">
        <v>4</v>
      </c>
      <c r="EW20" s="138">
        <v>1.5</v>
      </c>
      <c r="EX20" s="138">
        <v>4</v>
      </c>
      <c r="FB20" s="138">
        <v>1.5</v>
      </c>
      <c r="FC20" s="138">
        <v>4</v>
      </c>
    </row>
    <row r="21" spans="1:159">
      <c r="A21" s="434" t="s">
        <v>987</v>
      </c>
      <c r="B21" s="434"/>
      <c r="C21" s="434"/>
      <c r="D21" s="21">
        <f>_xll.qb_SPT2025($D$10,$D$12,$D$13,$D$16,$D$16,$H$11:$I$27,$O$19:$P$108)*D19</f>
        <v>4712.3889803846896</v>
      </c>
      <c r="E21" s="61"/>
      <c r="F21" s="13"/>
      <c r="G21" s="8"/>
      <c r="H21" s="50"/>
      <c r="I21" s="50"/>
      <c r="J21" s="119"/>
      <c r="K21" s="119"/>
      <c r="L21" s="65"/>
      <c r="M21" s="65"/>
      <c r="O21" s="138">
        <v>3.5</v>
      </c>
      <c r="P21" s="138">
        <v>3</v>
      </c>
      <c r="R21" s="144">
        <v>3</v>
      </c>
      <c r="S21" s="138" t="s">
        <v>948</v>
      </c>
      <c r="W21" s="138">
        <v>3.5</v>
      </c>
      <c r="X21" s="138">
        <v>3</v>
      </c>
      <c r="AB21" s="138">
        <v>3.5</v>
      </c>
      <c r="AC21" s="138">
        <v>3</v>
      </c>
      <c r="AG21" s="138">
        <v>3.5</v>
      </c>
      <c r="AH21" s="138">
        <v>15</v>
      </c>
      <c r="AL21" s="138">
        <v>3.5</v>
      </c>
      <c r="AM21" s="138">
        <v>3</v>
      </c>
      <c r="AQ21" s="138">
        <v>3.5</v>
      </c>
      <c r="AR21" s="138">
        <v>3</v>
      </c>
      <c r="AV21" s="138">
        <v>3.5</v>
      </c>
      <c r="AW21" s="138">
        <v>3</v>
      </c>
      <c r="BA21" s="138">
        <v>3.5</v>
      </c>
      <c r="BB21" s="138">
        <v>3</v>
      </c>
      <c r="BF21" s="138">
        <v>3.5</v>
      </c>
      <c r="BG21" s="138">
        <v>3</v>
      </c>
      <c r="BK21" s="138">
        <v>3.5</v>
      </c>
      <c r="BL21" s="138">
        <v>3</v>
      </c>
      <c r="BP21" s="138">
        <v>3.5</v>
      </c>
      <c r="BQ21" s="138">
        <v>3</v>
      </c>
      <c r="BU21" s="138">
        <v>3.5</v>
      </c>
      <c r="BV21" s="138">
        <v>3</v>
      </c>
      <c r="BZ21" s="138">
        <v>3.5</v>
      </c>
      <c r="CA21" s="138">
        <v>3</v>
      </c>
      <c r="CE21" s="138">
        <v>3.5</v>
      </c>
      <c r="CF21" s="138">
        <v>3</v>
      </c>
      <c r="CJ21" s="138">
        <v>3.5</v>
      </c>
      <c r="CK21" s="138">
        <v>3</v>
      </c>
      <c r="CO21" s="138">
        <v>3.5</v>
      </c>
      <c r="CP21" s="138">
        <v>3</v>
      </c>
      <c r="CT21" s="138">
        <v>3.5</v>
      </c>
      <c r="CU21" s="138">
        <v>3</v>
      </c>
      <c r="CY21" s="138">
        <v>3.5</v>
      </c>
      <c r="CZ21" s="138">
        <v>3</v>
      </c>
      <c r="DD21" s="138">
        <v>3.5</v>
      </c>
      <c r="DE21" s="138">
        <v>3</v>
      </c>
      <c r="DI21" s="138">
        <v>3.5</v>
      </c>
      <c r="DJ21" s="138">
        <v>3</v>
      </c>
      <c r="DN21" s="138">
        <v>3.5</v>
      </c>
      <c r="DO21" s="138">
        <v>3</v>
      </c>
      <c r="DS21" s="138">
        <v>3.5</v>
      </c>
      <c r="DT21" s="138">
        <v>3</v>
      </c>
      <c r="DX21" s="138">
        <v>3.5</v>
      </c>
      <c r="DY21" s="138">
        <v>3</v>
      </c>
      <c r="EC21" s="138">
        <v>3.5</v>
      </c>
      <c r="ED21" s="138">
        <v>3</v>
      </c>
      <c r="EH21" s="138">
        <v>3.5</v>
      </c>
      <c r="EI21" s="138">
        <v>3</v>
      </c>
      <c r="EM21" s="138">
        <v>3.5</v>
      </c>
      <c r="EN21" s="138">
        <v>3</v>
      </c>
      <c r="ER21" s="138">
        <v>3.5</v>
      </c>
      <c r="ES21" s="138">
        <v>3</v>
      </c>
      <c r="EW21" s="138">
        <v>3.5</v>
      </c>
      <c r="EX21" s="138">
        <v>3</v>
      </c>
      <c r="FB21" s="138">
        <v>3.5</v>
      </c>
      <c r="FC21" s="138">
        <v>3</v>
      </c>
    </row>
    <row r="22" spans="1:159">
      <c r="A22" s="434" t="s">
        <v>988</v>
      </c>
      <c r="B22" s="434"/>
      <c r="C22" s="434"/>
      <c r="D22" s="21">
        <f>_xll.flu_SPT2025($D$10,$D$12,$D$13,$D$20,$D$15,$D$16,$H$11:$I$27,$O$19:$P$108,TRUE,FALSE,"",0,$D$17)</f>
        <v>1481.2652481575001</v>
      </c>
      <c r="E22" s="61"/>
      <c r="F22" s="13"/>
      <c r="G22" s="8"/>
      <c r="H22" s="50"/>
      <c r="I22" s="50"/>
      <c r="J22" s="119"/>
      <c r="K22" s="119"/>
      <c r="L22" s="65"/>
      <c r="M22" s="65"/>
      <c r="O22" s="138">
        <v>5.5</v>
      </c>
      <c r="P22" s="138">
        <v>3</v>
      </c>
      <c r="R22" s="144">
        <v>4</v>
      </c>
      <c r="S22" s="138" t="s">
        <v>949</v>
      </c>
      <c r="W22" s="138">
        <v>5.5</v>
      </c>
      <c r="X22" s="138">
        <v>3</v>
      </c>
      <c r="AB22" s="138">
        <v>5.5</v>
      </c>
      <c r="AC22" s="138">
        <v>4</v>
      </c>
      <c r="AG22" s="138">
        <v>5.5</v>
      </c>
      <c r="AH22" s="138">
        <v>20</v>
      </c>
      <c r="AL22" s="138">
        <v>5.5</v>
      </c>
      <c r="AM22" s="138">
        <v>3</v>
      </c>
      <c r="AQ22" s="138">
        <v>5.5</v>
      </c>
      <c r="AR22" s="138">
        <v>3</v>
      </c>
      <c r="AV22" s="138">
        <v>5.5</v>
      </c>
      <c r="AW22" s="138">
        <v>3</v>
      </c>
      <c r="BA22" s="138">
        <v>5.5</v>
      </c>
      <c r="BB22" s="138">
        <v>3</v>
      </c>
      <c r="BF22" s="138">
        <v>5.5</v>
      </c>
      <c r="BG22" s="138">
        <v>3</v>
      </c>
      <c r="BK22" s="138">
        <v>5.5</v>
      </c>
      <c r="BL22" s="138">
        <v>3</v>
      </c>
      <c r="BP22" s="138">
        <v>5.5</v>
      </c>
      <c r="BQ22" s="138">
        <v>3</v>
      </c>
      <c r="BU22" s="138">
        <v>5.5</v>
      </c>
      <c r="BV22" s="138">
        <v>3</v>
      </c>
      <c r="BZ22" s="138">
        <v>5.5</v>
      </c>
      <c r="CA22" s="138">
        <v>3</v>
      </c>
      <c r="CE22" s="138">
        <v>5.5</v>
      </c>
      <c r="CF22" s="138">
        <v>3</v>
      </c>
      <c r="CJ22" s="138">
        <v>5.5</v>
      </c>
      <c r="CK22" s="138">
        <v>3</v>
      </c>
      <c r="CO22" s="138">
        <v>5.5</v>
      </c>
      <c r="CP22" s="138">
        <v>3</v>
      </c>
      <c r="CT22" s="138">
        <v>5.5</v>
      </c>
      <c r="CU22" s="138">
        <v>3</v>
      </c>
      <c r="CY22" s="138">
        <v>5.5</v>
      </c>
      <c r="CZ22" s="138">
        <v>3</v>
      </c>
      <c r="DD22" s="138">
        <v>5.5</v>
      </c>
      <c r="DE22" s="138">
        <v>3</v>
      </c>
      <c r="DI22" s="138">
        <v>5.5</v>
      </c>
      <c r="DJ22" s="138">
        <v>3</v>
      </c>
      <c r="DN22" s="138">
        <v>5.5</v>
      </c>
      <c r="DO22" s="138">
        <v>3</v>
      </c>
      <c r="DS22" s="138">
        <v>5.5</v>
      </c>
      <c r="DT22" s="138">
        <v>3</v>
      </c>
      <c r="DX22" s="138">
        <v>5.5</v>
      </c>
      <c r="DY22" s="138">
        <v>3</v>
      </c>
      <c r="EC22" s="138">
        <v>5.5</v>
      </c>
      <c r="ED22" s="138">
        <v>3</v>
      </c>
      <c r="EH22" s="138">
        <v>5.5</v>
      </c>
      <c r="EI22" s="138">
        <v>3</v>
      </c>
      <c r="EM22" s="138">
        <v>5.5</v>
      </c>
      <c r="EN22" s="138">
        <v>3</v>
      </c>
      <c r="ER22" s="138">
        <v>5.5</v>
      </c>
      <c r="ES22" s="138">
        <v>3</v>
      </c>
      <c r="EW22" s="138">
        <v>5.5</v>
      </c>
      <c r="EX22" s="138">
        <v>3</v>
      </c>
      <c r="FB22" s="138">
        <v>5.5</v>
      </c>
      <c r="FC22" s="138">
        <v>3</v>
      </c>
    </row>
    <row r="23" spans="1:159">
      <c r="A23" s="438" t="s">
        <v>989</v>
      </c>
      <c r="B23" s="438"/>
      <c r="C23" s="438"/>
      <c r="D23" s="21">
        <f>_xll.flu_SPT2025($D$10,$D$12,$D$13,$D$20,$D$15,$D$16,$H$11:$I$27,$O$19:$P$108,FALSE,TRUE,"",0,$D$17)</f>
        <v>7951.4695660052903</v>
      </c>
      <c r="E23" s="61"/>
      <c r="F23" s="13"/>
      <c r="G23" s="8"/>
      <c r="H23" s="50"/>
      <c r="I23" s="50"/>
      <c r="J23" s="119"/>
      <c r="K23" s="119"/>
      <c r="L23" s="65"/>
      <c r="M23" s="65"/>
      <c r="O23" s="138">
        <v>7</v>
      </c>
      <c r="P23" s="138">
        <v>2</v>
      </c>
      <c r="R23" s="144">
        <v>5</v>
      </c>
      <c r="S23" s="138" t="s">
        <v>950</v>
      </c>
      <c r="W23" s="138">
        <v>7</v>
      </c>
      <c r="X23" s="138">
        <v>2</v>
      </c>
      <c r="AB23" s="138">
        <v>7</v>
      </c>
      <c r="AC23" s="138">
        <v>5</v>
      </c>
      <c r="AG23" s="138">
        <v>7</v>
      </c>
      <c r="AH23" s="138">
        <v>25</v>
      </c>
      <c r="AL23" s="138">
        <v>7</v>
      </c>
      <c r="AM23" s="138">
        <v>2</v>
      </c>
      <c r="AQ23" s="138">
        <v>7</v>
      </c>
      <c r="AR23" s="138">
        <v>2</v>
      </c>
      <c r="AV23" s="138">
        <v>7</v>
      </c>
      <c r="AW23" s="138">
        <v>2</v>
      </c>
      <c r="BA23" s="138">
        <v>7</v>
      </c>
      <c r="BB23" s="138">
        <v>2</v>
      </c>
      <c r="BF23" s="138">
        <v>7</v>
      </c>
      <c r="BG23" s="138">
        <v>2</v>
      </c>
      <c r="BK23" s="138">
        <v>7</v>
      </c>
      <c r="BL23" s="138">
        <v>2</v>
      </c>
      <c r="BP23" s="138">
        <v>7</v>
      </c>
      <c r="BQ23" s="138">
        <v>2</v>
      </c>
      <c r="BU23" s="138">
        <v>7</v>
      </c>
      <c r="BV23" s="138">
        <v>2</v>
      </c>
      <c r="BZ23" s="138">
        <v>7</v>
      </c>
      <c r="CA23" s="138">
        <v>2</v>
      </c>
      <c r="CE23" s="138">
        <v>7</v>
      </c>
      <c r="CF23" s="138">
        <v>2</v>
      </c>
      <c r="CJ23" s="138">
        <v>7</v>
      </c>
      <c r="CK23" s="138">
        <v>2</v>
      </c>
      <c r="CO23" s="138">
        <v>7</v>
      </c>
      <c r="CP23" s="138">
        <v>2</v>
      </c>
      <c r="CT23" s="138">
        <v>7</v>
      </c>
      <c r="CU23" s="138">
        <v>2</v>
      </c>
      <c r="CY23" s="138">
        <v>7</v>
      </c>
      <c r="CZ23" s="138">
        <v>2</v>
      </c>
      <c r="DD23" s="138">
        <v>7</v>
      </c>
      <c r="DE23" s="138">
        <v>2</v>
      </c>
      <c r="DI23" s="138">
        <v>7</v>
      </c>
      <c r="DJ23" s="138">
        <v>2</v>
      </c>
      <c r="DN23" s="138">
        <v>7</v>
      </c>
      <c r="DO23" s="138">
        <v>2</v>
      </c>
      <c r="DS23" s="138">
        <v>7</v>
      </c>
      <c r="DT23" s="138">
        <v>2</v>
      </c>
      <c r="DX23" s="138">
        <v>7</v>
      </c>
      <c r="DY23" s="138">
        <v>2</v>
      </c>
      <c r="EC23" s="138">
        <v>7</v>
      </c>
      <c r="ED23" s="138">
        <v>2</v>
      </c>
      <c r="EH23" s="138">
        <v>7</v>
      </c>
      <c r="EI23" s="138">
        <v>2</v>
      </c>
      <c r="EM23" s="138">
        <v>7</v>
      </c>
      <c r="EN23" s="138">
        <v>2</v>
      </c>
      <c r="ER23" s="138">
        <v>7</v>
      </c>
      <c r="ES23" s="138">
        <v>2</v>
      </c>
      <c r="EW23" s="138">
        <v>7</v>
      </c>
      <c r="EX23" s="138">
        <v>2</v>
      </c>
      <c r="FB23" s="138">
        <v>7</v>
      </c>
      <c r="FC23" s="138">
        <v>2</v>
      </c>
    </row>
    <row r="24" spans="1:159" ht="15.75">
      <c r="A24" s="17" t="s">
        <v>990</v>
      </c>
      <c r="B24" s="73">
        <v>0</v>
      </c>
      <c r="C24" s="74">
        <f>+D23+D21</f>
        <v>12663.85854639</v>
      </c>
      <c r="D24" s="75">
        <f>$D$21+$D$23-D22</f>
        <v>11182.593298232499</v>
      </c>
      <c r="E24" s="61"/>
      <c r="F24" s="13"/>
      <c r="G24" s="8"/>
      <c r="H24" s="50"/>
      <c r="I24" s="50"/>
      <c r="J24" s="119"/>
      <c r="K24" s="119"/>
      <c r="L24" s="65"/>
      <c r="M24" s="65"/>
      <c r="O24" s="138">
        <v>9</v>
      </c>
      <c r="P24" s="138">
        <v>6</v>
      </c>
      <c r="R24" s="144">
        <v>6</v>
      </c>
      <c r="S24" s="138" t="s">
        <v>951</v>
      </c>
      <c r="W24" s="138">
        <v>9</v>
      </c>
      <c r="X24" s="138">
        <v>6</v>
      </c>
      <c r="AB24" s="138">
        <v>9</v>
      </c>
      <c r="AC24" s="138">
        <v>6</v>
      </c>
      <c r="AG24" s="138">
        <v>9</v>
      </c>
      <c r="AH24" s="138">
        <v>30</v>
      </c>
      <c r="AL24" s="138">
        <v>9</v>
      </c>
      <c r="AM24" s="138">
        <v>6</v>
      </c>
      <c r="AQ24" s="138">
        <v>9</v>
      </c>
      <c r="AR24" s="138">
        <v>6</v>
      </c>
      <c r="AV24" s="138">
        <v>9</v>
      </c>
      <c r="AW24" s="138">
        <v>6</v>
      </c>
      <c r="BA24" s="138">
        <v>9</v>
      </c>
      <c r="BB24" s="138">
        <v>6</v>
      </c>
      <c r="BF24" s="138">
        <v>9</v>
      </c>
      <c r="BG24" s="138">
        <v>6</v>
      </c>
      <c r="BK24" s="138">
        <v>9</v>
      </c>
      <c r="BL24" s="138">
        <v>6</v>
      </c>
      <c r="BP24" s="138">
        <v>9</v>
      </c>
      <c r="BQ24" s="138">
        <v>6</v>
      </c>
      <c r="BU24" s="138">
        <v>9</v>
      </c>
      <c r="BV24" s="138">
        <v>6</v>
      </c>
      <c r="BZ24" s="138">
        <v>9</v>
      </c>
      <c r="CA24" s="138">
        <v>6</v>
      </c>
      <c r="CE24" s="138">
        <v>9</v>
      </c>
      <c r="CF24" s="138">
        <v>6</v>
      </c>
      <c r="CJ24" s="138">
        <v>9</v>
      </c>
      <c r="CK24" s="138">
        <v>6</v>
      </c>
      <c r="CO24" s="138">
        <v>9</v>
      </c>
      <c r="CP24" s="138">
        <v>6</v>
      </c>
      <c r="CT24" s="138">
        <v>9</v>
      </c>
      <c r="CU24" s="138">
        <v>6</v>
      </c>
      <c r="CY24" s="138">
        <v>9</v>
      </c>
      <c r="CZ24" s="138">
        <v>6</v>
      </c>
      <c r="DD24" s="138">
        <v>9</v>
      </c>
      <c r="DE24" s="138">
        <v>6</v>
      </c>
      <c r="DI24" s="138">
        <v>9</v>
      </c>
      <c r="DJ24" s="138">
        <v>6</v>
      </c>
      <c r="DN24" s="138">
        <v>9</v>
      </c>
      <c r="DO24" s="138">
        <v>6</v>
      </c>
      <c r="DS24" s="138">
        <v>9</v>
      </c>
      <c r="DT24" s="138">
        <v>6</v>
      </c>
      <c r="DX24" s="138">
        <v>9</v>
      </c>
      <c r="DY24" s="138">
        <v>6</v>
      </c>
      <c r="EC24" s="138">
        <v>9</v>
      </c>
      <c r="ED24" s="138">
        <v>6</v>
      </c>
      <c r="EH24" s="138">
        <v>9</v>
      </c>
      <c r="EI24" s="138">
        <v>6</v>
      </c>
      <c r="EM24" s="138">
        <v>9</v>
      </c>
      <c r="EN24" s="138">
        <v>6</v>
      </c>
      <c r="ER24" s="138">
        <v>9</v>
      </c>
      <c r="ES24" s="138">
        <v>6</v>
      </c>
      <c r="EW24" s="138">
        <v>9</v>
      </c>
      <c r="EX24" s="138">
        <v>6</v>
      </c>
      <c r="FB24" s="138">
        <v>9</v>
      </c>
      <c r="FC24" s="138">
        <v>6</v>
      </c>
    </row>
    <row r="25" spans="1:159">
      <c r="A25" s="549" t="str">
        <f>"Cấp hậu quả của công trình:"</f>
        <v>Cấp hậu quả của công trình:</v>
      </c>
      <c r="B25" s="549"/>
      <c r="C25" s="549"/>
      <c r="D25" s="78" t="s">
        <v>174</v>
      </c>
      <c r="E25" s="61"/>
      <c r="F25" s="13" t="str">
        <f>IF(G25&lt;&gt;"","Lớp 15","")</f>
        <v/>
      </c>
      <c r="G25" s="8" t="str">
        <f t="shared" ref="G25:G27" si="0">IF(H25&lt;&gt;"",IF(I25="Đất dính","Sét","Cát"),"")</f>
        <v/>
      </c>
      <c r="H25" s="50"/>
      <c r="I25" s="50"/>
      <c r="J25" s="119"/>
      <c r="K25" s="119"/>
      <c r="L25" s="65"/>
      <c r="M25" s="65"/>
      <c r="O25" s="138">
        <v>10.5</v>
      </c>
      <c r="P25" s="138">
        <v>8</v>
      </c>
      <c r="R25" s="144">
        <v>7</v>
      </c>
      <c r="S25" s="138" t="s">
        <v>952</v>
      </c>
      <c r="W25" s="138">
        <v>10.5</v>
      </c>
      <c r="X25" s="138">
        <v>8</v>
      </c>
      <c r="AB25" s="138">
        <v>10.5</v>
      </c>
      <c r="AC25" s="138">
        <v>7</v>
      </c>
      <c r="AG25" s="138">
        <v>10.5</v>
      </c>
      <c r="AH25" s="138">
        <v>35</v>
      </c>
      <c r="AL25" s="138">
        <v>10.5</v>
      </c>
      <c r="AM25" s="138">
        <v>8</v>
      </c>
      <c r="AQ25" s="138">
        <v>10.5</v>
      </c>
      <c r="AR25" s="138">
        <v>8</v>
      </c>
      <c r="AV25" s="138">
        <v>10.5</v>
      </c>
      <c r="AW25" s="138">
        <v>8</v>
      </c>
      <c r="BA25" s="138">
        <v>10.5</v>
      </c>
      <c r="BB25" s="138">
        <v>8</v>
      </c>
      <c r="BF25" s="138">
        <v>10.5</v>
      </c>
      <c r="BG25" s="138">
        <v>8</v>
      </c>
      <c r="BK25" s="138">
        <v>10.5</v>
      </c>
      <c r="BL25" s="138">
        <v>8</v>
      </c>
      <c r="BP25" s="138">
        <v>10.5</v>
      </c>
      <c r="BQ25" s="138">
        <v>8</v>
      </c>
      <c r="BU25" s="138">
        <v>10.5</v>
      </c>
      <c r="BV25" s="138">
        <v>8</v>
      </c>
      <c r="BZ25" s="138">
        <v>10.5</v>
      </c>
      <c r="CA25" s="138">
        <v>8</v>
      </c>
      <c r="CE25" s="138">
        <v>10.5</v>
      </c>
      <c r="CF25" s="138">
        <v>8</v>
      </c>
      <c r="CJ25" s="138">
        <v>10.5</v>
      </c>
      <c r="CK25" s="138">
        <v>8</v>
      </c>
      <c r="CO25" s="138">
        <v>10.5</v>
      </c>
      <c r="CP25" s="138">
        <v>8</v>
      </c>
      <c r="CT25" s="138">
        <v>10.5</v>
      </c>
      <c r="CU25" s="138">
        <v>8</v>
      </c>
      <c r="CY25" s="138">
        <v>10.5</v>
      </c>
      <c r="CZ25" s="138">
        <v>8</v>
      </c>
      <c r="DD25" s="138">
        <v>10.5</v>
      </c>
      <c r="DE25" s="138">
        <v>8</v>
      </c>
      <c r="DI25" s="138">
        <v>10.5</v>
      </c>
      <c r="DJ25" s="138">
        <v>8</v>
      </c>
      <c r="DN25" s="138">
        <v>10.5</v>
      </c>
      <c r="DO25" s="138">
        <v>8</v>
      </c>
      <c r="DS25" s="138">
        <v>10.5</v>
      </c>
      <c r="DT25" s="138">
        <v>8</v>
      </c>
      <c r="DX25" s="138">
        <v>10.5</v>
      </c>
      <c r="DY25" s="138">
        <v>8</v>
      </c>
      <c r="EC25" s="138">
        <v>10.5</v>
      </c>
      <c r="ED25" s="138">
        <v>8</v>
      </c>
      <c r="EH25" s="138">
        <v>10.5</v>
      </c>
      <c r="EI25" s="138">
        <v>8</v>
      </c>
      <c r="EM25" s="138">
        <v>10.5</v>
      </c>
      <c r="EN25" s="138">
        <v>8</v>
      </c>
      <c r="ER25" s="138">
        <v>10.5</v>
      </c>
      <c r="ES25" s="138">
        <v>8</v>
      </c>
      <c r="EW25" s="138">
        <v>10.5</v>
      </c>
      <c r="EX25" s="138">
        <v>8</v>
      </c>
      <c r="FB25" s="138">
        <v>10.5</v>
      </c>
      <c r="FC25" s="138">
        <v>8</v>
      </c>
    </row>
    <row r="26" spans="1:159">
      <c r="A26" s="550" t="s">
        <v>894</v>
      </c>
      <c r="B26" s="550"/>
      <c r="C26" s="550"/>
      <c r="D26" s="83">
        <f>IF(D25="C1",1,IF(D25="C2",1.15,1.2))</f>
        <v>1.1499999999999999</v>
      </c>
      <c r="E26" s="61"/>
      <c r="F26" s="13" t="str">
        <f>IF(G26&lt;&gt;"","Lớp 16","")</f>
        <v/>
      </c>
      <c r="G26" s="8" t="str">
        <f t="shared" si="0"/>
        <v/>
      </c>
      <c r="H26" s="50"/>
      <c r="I26" s="50"/>
      <c r="J26" s="119"/>
      <c r="K26" s="119"/>
      <c r="L26" s="65"/>
      <c r="M26" s="65"/>
      <c r="O26" s="138">
        <v>12.2</v>
      </c>
      <c r="P26" s="138">
        <v>12</v>
      </c>
      <c r="R26" s="144">
        <v>8</v>
      </c>
      <c r="S26" s="138" t="s">
        <v>953</v>
      </c>
      <c r="W26" s="138">
        <v>12.2</v>
      </c>
      <c r="X26" s="138">
        <v>12</v>
      </c>
      <c r="AB26" s="138">
        <v>12.2</v>
      </c>
      <c r="AC26" s="138">
        <v>8</v>
      </c>
      <c r="AG26" s="138">
        <v>12.2</v>
      </c>
      <c r="AH26" s="138">
        <v>40</v>
      </c>
      <c r="AL26" s="138">
        <v>12.2</v>
      </c>
      <c r="AM26" s="138">
        <v>12</v>
      </c>
      <c r="AQ26" s="138">
        <v>12.2</v>
      </c>
      <c r="AR26" s="138">
        <v>12</v>
      </c>
      <c r="AV26" s="138">
        <v>12.2</v>
      </c>
      <c r="AW26" s="138">
        <v>12</v>
      </c>
      <c r="BA26" s="138">
        <v>12.2</v>
      </c>
      <c r="BB26" s="138">
        <v>12</v>
      </c>
      <c r="BF26" s="138">
        <v>12.2</v>
      </c>
      <c r="BG26" s="138">
        <v>12</v>
      </c>
      <c r="BK26" s="138">
        <v>12.2</v>
      </c>
      <c r="BL26" s="138">
        <v>12</v>
      </c>
      <c r="BP26" s="138">
        <v>12.2</v>
      </c>
      <c r="BQ26" s="138">
        <v>12</v>
      </c>
      <c r="BU26" s="138">
        <v>12.2</v>
      </c>
      <c r="BV26" s="138">
        <v>12</v>
      </c>
      <c r="BZ26" s="138">
        <v>12.2</v>
      </c>
      <c r="CA26" s="138">
        <v>12</v>
      </c>
      <c r="CE26" s="138">
        <v>12.2</v>
      </c>
      <c r="CF26" s="138">
        <v>12</v>
      </c>
      <c r="CJ26" s="138">
        <v>12.2</v>
      </c>
      <c r="CK26" s="138">
        <v>12</v>
      </c>
      <c r="CO26" s="138">
        <v>12.2</v>
      </c>
      <c r="CP26" s="138">
        <v>12</v>
      </c>
      <c r="CT26" s="138">
        <v>12.2</v>
      </c>
      <c r="CU26" s="138">
        <v>12</v>
      </c>
      <c r="CY26" s="138">
        <v>12.2</v>
      </c>
      <c r="CZ26" s="138">
        <v>12</v>
      </c>
      <c r="DD26" s="138">
        <v>12.2</v>
      </c>
      <c r="DE26" s="138">
        <v>12</v>
      </c>
      <c r="DI26" s="138">
        <v>12.2</v>
      </c>
      <c r="DJ26" s="138">
        <v>12</v>
      </c>
      <c r="DN26" s="138">
        <v>12.2</v>
      </c>
      <c r="DO26" s="138">
        <v>12</v>
      </c>
      <c r="DS26" s="138">
        <v>12.2</v>
      </c>
      <c r="DT26" s="138">
        <v>12</v>
      </c>
      <c r="DX26" s="138">
        <v>12.2</v>
      </c>
      <c r="DY26" s="138">
        <v>12</v>
      </c>
      <c r="EC26" s="138">
        <v>12.2</v>
      </c>
      <c r="ED26" s="138">
        <v>12</v>
      </c>
      <c r="EH26" s="138">
        <v>12.2</v>
      </c>
      <c r="EI26" s="138">
        <v>12</v>
      </c>
      <c r="EM26" s="138">
        <v>12.2</v>
      </c>
      <c r="EN26" s="138">
        <v>12</v>
      </c>
      <c r="ER26" s="138">
        <v>12.2</v>
      </c>
      <c r="ES26" s="138">
        <v>12</v>
      </c>
      <c r="EW26" s="138">
        <v>12.2</v>
      </c>
      <c r="EX26" s="138">
        <v>12</v>
      </c>
      <c r="FB26" s="138">
        <v>12.2</v>
      </c>
      <c r="FC26" s="138">
        <v>12</v>
      </c>
    </row>
    <row r="27" spans="1:159" ht="15">
      <c r="A27" s="550" t="s">
        <v>991</v>
      </c>
      <c r="B27" s="525"/>
      <c r="C27" s="525"/>
      <c r="D27" s="84">
        <v>1.5</v>
      </c>
      <c r="E27" s="61"/>
      <c r="F27" s="13" t="str">
        <f>IF(G27&lt;&gt;"","Lớp 17","")</f>
        <v/>
      </c>
      <c r="G27" s="8" t="str">
        <f t="shared" si="0"/>
        <v/>
      </c>
      <c r="H27" s="50"/>
      <c r="I27" s="50"/>
      <c r="J27" s="119"/>
      <c r="K27" s="119"/>
      <c r="L27" s="65"/>
      <c r="M27" s="65"/>
      <c r="O27" s="138">
        <v>14.2</v>
      </c>
      <c r="P27" s="138">
        <v>13</v>
      </c>
      <c r="R27" s="144">
        <v>9</v>
      </c>
      <c r="S27" s="138" t="s">
        <v>954</v>
      </c>
      <c r="W27" s="138">
        <v>14.2</v>
      </c>
      <c r="X27" s="138">
        <v>13</v>
      </c>
      <c r="AB27" s="138">
        <v>14.2</v>
      </c>
      <c r="AC27" s="138">
        <v>9</v>
      </c>
      <c r="AG27" s="138">
        <v>14.2</v>
      </c>
      <c r="AH27" s="138">
        <v>45</v>
      </c>
      <c r="AL27" s="138">
        <v>14.2</v>
      </c>
      <c r="AM27" s="138">
        <v>13</v>
      </c>
      <c r="AQ27" s="138">
        <v>14.2</v>
      </c>
      <c r="AR27" s="138">
        <v>13</v>
      </c>
      <c r="AV27" s="138">
        <v>14.2</v>
      </c>
      <c r="AW27" s="138">
        <v>13</v>
      </c>
      <c r="BA27" s="138">
        <v>14.2</v>
      </c>
      <c r="BB27" s="138">
        <v>13</v>
      </c>
      <c r="BF27" s="138">
        <v>14.2</v>
      </c>
      <c r="BG27" s="138">
        <v>13</v>
      </c>
      <c r="BK27" s="138">
        <v>14.2</v>
      </c>
      <c r="BL27" s="138">
        <v>13</v>
      </c>
      <c r="BP27" s="138">
        <v>14.2</v>
      </c>
      <c r="BQ27" s="138">
        <v>13</v>
      </c>
      <c r="BU27" s="138">
        <v>14.2</v>
      </c>
      <c r="BV27" s="138">
        <v>13</v>
      </c>
      <c r="BZ27" s="138">
        <v>14.2</v>
      </c>
      <c r="CA27" s="138">
        <v>13</v>
      </c>
      <c r="CE27" s="138">
        <v>14.2</v>
      </c>
      <c r="CF27" s="138">
        <v>13</v>
      </c>
      <c r="CJ27" s="138">
        <v>14.2</v>
      </c>
      <c r="CK27" s="138">
        <v>13</v>
      </c>
      <c r="CO27" s="138">
        <v>14.2</v>
      </c>
      <c r="CP27" s="138">
        <v>13</v>
      </c>
      <c r="CT27" s="138">
        <v>14.2</v>
      </c>
      <c r="CU27" s="138">
        <v>13</v>
      </c>
      <c r="CY27" s="138">
        <v>14.2</v>
      </c>
      <c r="CZ27" s="138">
        <v>13</v>
      </c>
      <c r="DD27" s="138">
        <v>14.2</v>
      </c>
      <c r="DE27" s="138">
        <v>13</v>
      </c>
      <c r="DI27" s="138">
        <v>14.2</v>
      </c>
      <c r="DJ27" s="138">
        <v>13</v>
      </c>
      <c r="DN27" s="138">
        <v>14.2</v>
      </c>
      <c r="DO27" s="138">
        <v>13</v>
      </c>
      <c r="DS27" s="138">
        <v>14.2</v>
      </c>
      <c r="DT27" s="138">
        <v>13</v>
      </c>
      <c r="DX27" s="138">
        <v>14.2</v>
      </c>
      <c r="DY27" s="138">
        <v>13</v>
      </c>
      <c r="EC27" s="138">
        <v>14.2</v>
      </c>
      <c r="ED27" s="138">
        <v>13</v>
      </c>
      <c r="EH27" s="138">
        <v>14.2</v>
      </c>
      <c r="EI27" s="138">
        <v>13</v>
      </c>
      <c r="EM27" s="138">
        <v>14.2</v>
      </c>
      <c r="EN27" s="138">
        <v>13</v>
      </c>
      <c r="ER27" s="138">
        <v>14.2</v>
      </c>
      <c r="ES27" s="138">
        <v>13</v>
      </c>
      <c r="EW27" s="138">
        <v>14.2</v>
      </c>
      <c r="EX27" s="138">
        <v>13</v>
      </c>
      <c r="FB27" s="138">
        <v>14.2</v>
      </c>
      <c r="FC27" s="138">
        <v>13</v>
      </c>
    </row>
    <row r="28" spans="1:159">
      <c r="A28" s="546" t="s">
        <v>992</v>
      </c>
      <c r="B28" s="547"/>
      <c r="C28" s="548"/>
      <c r="D28" s="57" t="s">
        <v>993</v>
      </c>
      <c r="E28" s="61"/>
      <c r="F28" s="553" t="s">
        <v>994</v>
      </c>
      <c r="G28" s="553"/>
      <c r="H28" s="553"/>
      <c r="I28" s="553"/>
      <c r="J28" s="553"/>
      <c r="K28" s="553"/>
      <c r="L28" s="553"/>
      <c r="M28" s="553"/>
      <c r="O28" s="138">
        <v>16.2</v>
      </c>
      <c r="P28" s="138">
        <v>13</v>
      </c>
      <c r="R28" s="144">
        <v>10</v>
      </c>
      <c r="S28" s="138" t="s">
        <v>955</v>
      </c>
      <c r="W28" s="138">
        <v>16.2</v>
      </c>
      <c r="X28" s="138">
        <v>13</v>
      </c>
      <c r="AB28" s="138">
        <v>16.2</v>
      </c>
      <c r="AC28" s="138">
        <v>10</v>
      </c>
      <c r="AG28" s="138">
        <v>16.2</v>
      </c>
      <c r="AH28" s="138">
        <v>50</v>
      </c>
      <c r="AL28" s="138">
        <v>16.2</v>
      </c>
      <c r="AM28" s="138">
        <v>13</v>
      </c>
      <c r="AQ28" s="138">
        <v>16.2</v>
      </c>
      <c r="AR28" s="138">
        <v>13</v>
      </c>
      <c r="AV28" s="138">
        <v>16.2</v>
      </c>
      <c r="AW28" s="138">
        <v>13</v>
      </c>
      <c r="BA28" s="138">
        <v>16.2</v>
      </c>
      <c r="BB28" s="138">
        <v>13</v>
      </c>
      <c r="BF28" s="138">
        <v>16.2</v>
      </c>
      <c r="BG28" s="138">
        <v>13</v>
      </c>
      <c r="BK28" s="138">
        <v>16.2</v>
      </c>
      <c r="BL28" s="138">
        <v>13</v>
      </c>
      <c r="BP28" s="138">
        <v>16.2</v>
      </c>
      <c r="BQ28" s="138">
        <v>13</v>
      </c>
      <c r="BU28" s="138">
        <v>16.2</v>
      </c>
      <c r="BV28" s="138">
        <v>13</v>
      </c>
      <c r="BZ28" s="138">
        <v>16.2</v>
      </c>
      <c r="CA28" s="138">
        <v>13</v>
      </c>
      <c r="CE28" s="138">
        <v>16.2</v>
      </c>
      <c r="CF28" s="138">
        <v>13</v>
      </c>
      <c r="CJ28" s="138">
        <v>16.2</v>
      </c>
      <c r="CK28" s="138">
        <v>13</v>
      </c>
      <c r="CO28" s="138">
        <v>16.2</v>
      </c>
      <c r="CP28" s="138">
        <v>13</v>
      </c>
      <c r="CT28" s="138">
        <v>16.2</v>
      </c>
      <c r="CU28" s="138">
        <v>13</v>
      </c>
      <c r="CY28" s="138">
        <v>16.2</v>
      </c>
      <c r="CZ28" s="138">
        <v>13</v>
      </c>
      <c r="DD28" s="138">
        <v>16.2</v>
      </c>
      <c r="DE28" s="138">
        <v>13</v>
      </c>
      <c r="DI28" s="138">
        <v>16.2</v>
      </c>
      <c r="DJ28" s="138">
        <v>13</v>
      </c>
      <c r="DN28" s="138">
        <v>16.2</v>
      </c>
      <c r="DO28" s="138">
        <v>13</v>
      </c>
      <c r="DS28" s="138">
        <v>16.2</v>
      </c>
      <c r="DT28" s="138">
        <v>13</v>
      </c>
      <c r="DX28" s="138">
        <v>16.2</v>
      </c>
      <c r="DY28" s="138">
        <v>13</v>
      </c>
      <c r="EC28" s="138">
        <v>16.2</v>
      </c>
      <c r="ED28" s="138">
        <v>13</v>
      </c>
      <c r="EH28" s="138">
        <v>16.2</v>
      </c>
      <c r="EI28" s="138">
        <v>13</v>
      </c>
      <c r="EM28" s="138">
        <v>16.2</v>
      </c>
      <c r="EN28" s="138">
        <v>13</v>
      </c>
      <c r="ER28" s="138">
        <v>16.2</v>
      </c>
      <c r="ES28" s="138">
        <v>13</v>
      </c>
      <c r="EW28" s="138">
        <v>16.2</v>
      </c>
      <c r="EX28" s="138">
        <v>13</v>
      </c>
      <c r="FB28" s="138">
        <v>16.2</v>
      </c>
      <c r="FC28" s="138">
        <v>13</v>
      </c>
    </row>
    <row r="29" spans="1:159" ht="15" customHeight="1">
      <c r="A29" s="550" t="s">
        <v>995</v>
      </c>
      <c r="B29" s="550"/>
      <c r="C29" s="550"/>
      <c r="D29" s="75">
        <f>IF(D28="Yes",IF(D11="Cọc tròn",PI()*(D12^2-D14^2)/4,D12^2)*D18*2.5*10*IF($D$25="C1",1.1,IF(D25="C2",1.1,1.1)),0)</f>
        <v>609.07627571472096</v>
      </c>
      <c r="E29" s="61"/>
      <c r="F29" s="553"/>
      <c r="G29" s="553"/>
      <c r="H29" s="553"/>
      <c r="I29" s="553"/>
      <c r="J29" s="553"/>
      <c r="K29" s="553"/>
      <c r="L29" s="553"/>
      <c r="M29" s="553"/>
      <c r="O29" s="138">
        <v>18.2</v>
      </c>
      <c r="P29" s="138">
        <v>13</v>
      </c>
      <c r="R29" s="144">
        <v>11</v>
      </c>
      <c r="S29" s="138" t="s">
        <v>956</v>
      </c>
      <c r="W29" s="138">
        <v>18.2</v>
      </c>
      <c r="X29" s="138">
        <v>13</v>
      </c>
      <c r="AB29" s="138">
        <v>18.2</v>
      </c>
      <c r="AC29" s="138">
        <v>11</v>
      </c>
      <c r="AG29" s="138">
        <v>18.2</v>
      </c>
      <c r="AH29" s="138">
        <v>55</v>
      </c>
      <c r="AL29" s="138">
        <v>18.2</v>
      </c>
      <c r="AM29" s="138">
        <v>13</v>
      </c>
      <c r="AQ29" s="138">
        <v>18.2</v>
      </c>
      <c r="AR29" s="138">
        <v>13</v>
      </c>
      <c r="AV29" s="138">
        <v>18.2</v>
      </c>
      <c r="AW29" s="138">
        <v>13</v>
      </c>
      <c r="BA29" s="138">
        <v>18.2</v>
      </c>
      <c r="BB29" s="138">
        <v>13</v>
      </c>
      <c r="BF29" s="138">
        <v>18.2</v>
      </c>
      <c r="BG29" s="138">
        <v>13</v>
      </c>
      <c r="BK29" s="138">
        <v>18.2</v>
      </c>
      <c r="BL29" s="138">
        <v>13</v>
      </c>
      <c r="BP29" s="138">
        <v>18.2</v>
      </c>
      <c r="BQ29" s="138">
        <v>13</v>
      </c>
      <c r="BU29" s="138">
        <v>18.2</v>
      </c>
      <c r="BV29" s="138">
        <v>13</v>
      </c>
      <c r="BZ29" s="138">
        <v>18.2</v>
      </c>
      <c r="CA29" s="138">
        <v>13</v>
      </c>
      <c r="CE29" s="138">
        <v>18.2</v>
      </c>
      <c r="CF29" s="138">
        <v>13</v>
      </c>
      <c r="CJ29" s="138">
        <v>18.2</v>
      </c>
      <c r="CK29" s="138">
        <v>13</v>
      </c>
      <c r="CO29" s="138">
        <v>18.2</v>
      </c>
      <c r="CP29" s="138">
        <v>13</v>
      </c>
      <c r="CT29" s="138">
        <v>18.2</v>
      </c>
      <c r="CU29" s="138">
        <v>13</v>
      </c>
      <c r="CY29" s="138">
        <v>18.2</v>
      </c>
      <c r="CZ29" s="138">
        <v>13</v>
      </c>
      <c r="DD29" s="138">
        <v>18.2</v>
      </c>
      <c r="DE29" s="138">
        <v>13</v>
      </c>
      <c r="DI29" s="138">
        <v>18.2</v>
      </c>
      <c r="DJ29" s="138">
        <v>13</v>
      </c>
      <c r="DN29" s="138">
        <v>18.2</v>
      </c>
      <c r="DO29" s="138">
        <v>13</v>
      </c>
      <c r="DS29" s="138">
        <v>18.2</v>
      </c>
      <c r="DT29" s="138">
        <v>13</v>
      </c>
      <c r="DX29" s="138">
        <v>18.2</v>
      </c>
      <c r="DY29" s="138">
        <v>13</v>
      </c>
      <c r="EC29" s="138">
        <v>18.2</v>
      </c>
      <c r="ED29" s="138">
        <v>13</v>
      </c>
      <c r="EH29" s="138">
        <v>18.2</v>
      </c>
      <c r="EI29" s="138">
        <v>13</v>
      </c>
      <c r="EM29" s="138">
        <v>18.2</v>
      </c>
      <c r="EN29" s="138">
        <v>13</v>
      </c>
      <c r="ER29" s="138">
        <v>18.2</v>
      </c>
      <c r="ES29" s="138">
        <v>13</v>
      </c>
      <c r="EW29" s="138">
        <v>18.2</v>
      </c>
      <c r="EX29" s="138">
        <v>13</v>
      </c>
      <c r="FB29" s="138">
        <v>18.2</v>
      </c>
      <c r="FC29" s="138">
        <v>13</v>
      </c>
    </row>
    <row r="30" spans="1:159" ht="15.75">
      <c r="A30" s="550" t="s">
        <v>996</v>
      </c>
      <c r="B30" s="525"/>
      <c r="C30" s="525"/>
      <c r="D30" s="85">
        <f>FLOOR(D24/(D27)-D29,10)</f>
        <v>6840</v>
      </c>
      <c r="E30" s="61"/>
      <c r="F30" s="552" t="s">
        <v>991</v>
      </c>
      <c r="G30" s="552"/>
      <c r="H30" s="556">
        <v>1.6</v>
      </c>
      <c r="I30" s="550" t="s">
        <v>996</v>
      </c>
      <c r="J30" s="525"/>
      <c r="K30" s="525"/>
      <c r="L30" s="88">
        <f>FLOOR(D24/H30-D29,10)</f>
        <v>6380</v>
      </c>
      <c r="M30" s="81"/>
      <c r="O30" s="138">
        <v>20.2</v>
      </c>
      <c r="P30" s="138">
        <v>14</v>
      </c>
      <c r="R30" s="144">
        <v>12</v>
      </c>
      <c r="S30" s="138" t="s">
        <v>957</v>
      </c>
      <c r="W30" s="138">
        <v>20.2</v>
      </c>
      <c r="X30" s="138">
        <v>14</v>
      </c>
      <c r="AB30" s="138">
        <v>20.2</v>
      </c>
      <c r="AC30" s="138">
        <v>12</v>
      </c>
      <c r="AG30" s="138">
        <v>20.2</v>
      </c>
      <c r="AH30" s="138">
        <v>60</v>
      </c>
      <c r="AL30" s="138">
        <v>20.2</v>
      </c>
      <c r="AM30" s="138">
        <v>14</v>
      </c>
      <c r="AQ30" s="138">
        <v>20.2</v>
      </c>
      <c r="AR30" s="138">
        <v>14</v>
      </c>
      <c r="AV30" s="138">
        <v>20.2</v>
      </c>
      <c r="AW30" s="138">
        <v>14</v>
      </c>
      <c r="BA30" s="138">
        <v>20.2</v>
      </c>
      <c r="BB30" s="138">
        <v>14</v>
      </c>
      <c r="BF30" s="138">
        <v>20.2</v>
      </c>
      <c r="BG30" s="138">
        <v>14</v>
      </c>
      <c r="BK30" s="138">
        <v>20.2</v>
      </c>
      <c r="BL30" s="138">
        <v>14</v>
      </c>
      <c r="BP30" s="138">
        <v>20.2</v>
      </c>
      <c r="BQ30" s="138">
        <v>14</v>
      </c>
      <c r="BU30" s="138">
        <v>20.2</v>
      </c>
      <c r="BV30" s="138">
        <v>14</v>
      </c>
      <c r="BZ30" s="138">
        <v>20.2</v>
      </c>
      <c r="CA30" s="138">
        <v>14</v>
      </c>
      <c r="CE30" s="138">
        <v>20.2</v>
      </c>
      <c r="CF30" s="138">
        <v>14</v>
      </c>
      <c r="CJ30" s="138">
        <v>20.2</v>
      </c>
      <c r="CK30" s="138">
        <v>14</v>
      </c>
      <c r="CO30" s="138">
        <v>20.2</v>
      </c>
      <c r="CP30" s="138">
        <v>14</v>
      </c>
      <c r="CT30" s="138">
        <v>20.2</v>
      </c>
      <c r="CU30" s="138">
        <v>14</v>
      </c>
      <c r="CY30" s="138">
        <v>20.2</v>
      </c>
      <c r="CZ30" s="138">
        <v>14</v>
      </c>
      <c r="DD30" s="138">
        <v>20.2</v>
      </c>
      <c r="DE30" s="138">
        <v>14</v>
      </c>
      <c r="DI30" s="138">
        <v>20.2</v>
      </c>
      <c r="DJ30" s="138">
        <v>14</v>
      </c>
      <c r="DN30" s="138">
        <v>20.2</v>
      </c>
      <c r="DO30" s="138">
        <v>14</v>
      </c>
      <c r="DS30" s="138">
        <v>20.2</v>
      </c>
      <c r="DT30" s="138">
        <v>14</v>
      </c>
      <c r="DX30" s="138">
        <v>20.2</v>
      </c>
      <c r="DY30" s="138">
        <v>14</v>
      </c>
      <c r="EC30" s="138">
        <v>20.2</v>
      </c>
      <c r="ED30" s="138">
        <v>14</v>
      </c>
      <c r="EH30" s="138">
        <v>20.2</v>
      </c>
      <c r="EI30" s="138">
        <v>14</v>
      </c>
      <c r="EM30" s="138">
        <v>20.2</v>
      </c>
      <c r="EN30" s="138">
        <v>14</v>
      </c>
      <c r="ER30" s="138">
        <v>20.2</v>
      </c>
      <c r="ES30" s="138">
        <v>14</v>
      </c>
      <c r="EW30" s="138">
        <v>20.2</v>
      </c>
      <c r="EX30" s="138">
        <v>14</v>
      </c>
      <c r="FB30" s="138">
        <v>20.2</v>
      </c>
      <c r="FC30" s="138">
        <v>14</v>
      </c>
    </row>
    <row r="31" spans="1:159" ht="15.75">
      <c r="A31" s="550" t="s">
        <v>997</v>
      </c>
      <c r="B31" s="525"/>
      <c r="C31" s="525"/>
      <c r="D31" s="86">
        <f>FLOOR(D24/(D26*D27)-D29*D26,10)</f>
        <v>5780</v>
      </c>
      <c r="E31" s="61"/>
      <c r="F31" s="552"/>
      <c r="G31" s="552"/>
      <c r="H31" s="556"/>
      <c r="I31" s="550" t="s">
        <v>997</v>
      </c>
      <c r="J31" s="525"/>
      <c r="K31" s="525"/>
      <c r="L31" s="89">
        <f>FLOOR(D24/D26/H30-D29,10)</f>
        <v>5460</v>
      </c>
      <c r="M31" s="81"/>
      <c r="O31" s="138">
        <v>22.2</v>
      </c>
      <c r="P31" s="138">
        <v>14</v>
      </c>
      <c r="R31" s="144">
        <v>13</v>
      </c>
      <c r="S31" s="138" t="s">
        <v>958</v>
      </c>
      <c r="W31" s="138">
        <v>22.2</v>
      </c>
      <c r="X31" s="138">
        <v>14</v>
      </c>
      <c r="AB31" s="138">
        <v>22.2</v>
      </c>
      <c r="AC31" s="138">
        <v>13</v>
      </c>
      <c r="AG31" s="138">
        <v>22.2</v>
      </c>
      <c r="AH31" s="138">
        <v>65</v>
      </c>
      <c r="AL31" s="138">
        <v>22.2</v>
      </c>
      <c r="AM31" s="138">
        <v>14</v>
      </c>
      <c r="AQ31" s="138">
        <v>22.2</v>
      </c>
      <c r="AR31" s="138">
        <v>14</v>
      </c>
      <c r="AV31" s="138">
        <v>22.2</v>
      </c>
      <c r="AW31" s="138">
        <v>14</v>
      </c>
      <c r="BA31" s="138">
        <v>22.2</v>
      </c>
      <c r="BB31" s="138">
        <v>14</v>
      </c>
      <c r="BF31" s="138">
        <v>22.2</v>
      </c>
      <c r="BG31" s="138">
        <v>14</v>
      </c>
      <c r="BK31" s="138">
        <v>22.2</v>
      </c>
      <c r="BL31" s="138">
        <v>14</v>
      </c>
      <c r="BP31" s="138">
        <v>22.2</v>
      </c>
      <c r="BQ31" s="138">
        <v>14</v>
      </c>
      <c r="BU31" s="138">
        <v>22.2</v>
      </c>
      <c r="BV31" s="138">
        <v>14</v>
      </c>
      <c r="BZ31" s="138">
        <v>22.2</v>
      </c>
      <c r="CA31" s="138">
        <v>14</v>
      </c>
      <c r="CE31" s="138">
        <v>22.2</v>
      </c>
      <c r="CF31" s="138">
        <v>14</v>
      </c>
      <c r="CJ31" s="138">
        <v>22.2</v>
      </c>
      <c r="CK31" s="138">
        <v>14</v>
      </c>
      <c r="CO31" s="138">
        <v>22.2</v>
      </c>
      <c r="CP31" s="138">
        <v>14</v>
      </c>
      <c r="CT31" s="138">
        <v>22.2</v>
      </c>
      <c r="CU31" s="138">
        <v>14</v>
      </c>
      <c r="CY31" s="138">
        <v>22.2</v>
      </c>
      <c r="CZ31" s="138">
        <v>14</v>
      </c>
      <c r="DD31" s="138">
        <v>22.2</v>
      </c>
      <c r="DE31" s="138">
        <v>14</v>
      </c>
      <c r="DI31" s="138">
        <v>22.2</v>
      </c>
      <c r="DJ31" s="138">
        <v>14</v>
      </c>
      <c r="DN31" s="138">
        <v>22.2</v>
      </c>
      <c r="DO31" s="138">
        <v>14</v>
      </c>
      <c r="DS31" s="138">
        <v>22.2</v>
      </c>
      <c r="DT31" s="138">
        <v>14</v>
      </c>
      <c r="DX31" s="138">
        <v>22.2</v>
      </c>
      <c r="DY31" s="138">
        <v>14</v>
      </c>
      <c r="EC31" s="138">
        <v>22.2</v>
      </c>
      <c r="ED31" s="138">
        <v>14</v>
      </c>
      <c r="EH31" s="138">
        <v>22.2</v>
      </c>
      <c r="EI31" s="138">
        <v>14</v>
      </c>
      <c r="EM31" s="138">
        <v>22.2</v>
      </c>
      <c r="EN31" s="138">
        <v>14</v>
      </c>
      <c r="ER31" s="138">
        <v>22.2</v>
      </c>
      <c r="ES31" s="138">
        <v>14</v>
      </c>
      <c r="EW31" s="138">
        <v>22.2</v>
      </c>
      <c r="EX31" s="138">
        <v>14</v>
      </c>
      <c r="FB31" s="138">
        <v>22.2</v>
      </c>
      <c r="FC31" s="138">
        <v>14</v>
      </c>
    </row>
    <row r="32" spans="1:159" ht="15">
      <c r="A32" s="79"/>
      <c r="B32" s="90"/>
      <c r="C32" s="90"/>
      <c r="D32" s="72"/>
      <c r="E32" s="61"/>
      <c r="F32" s="120"/>
      <c r="G32" s="121"/>
      <c r="H32" s="121"/>
      <c r="I32" s="121"/>
      <c r="J32" s="121"/>
      <c r="K32" s="121"/>
      <c r="L32" s="153"/>
      <c r="M32" s="153"/>
      <c r="O32" s="138">
        <v>24.2</v>
      </c>
      <c r="P32" s="138">
        <v>15</v>
      </c>
      <c r="R32" s="144">
        <v>14</v>
      </c>
      <c r="S32" s="138" t="s">
        <v>959</v>
      </c>
      <c r="W32" s="138">
        <v>24.2</v>
      </c>
      <c r="X32" s="138">
        <v>15</v>
      </c>
      <c r="AB32" s="138">
        <v>24.2</v>
      </c>
      <c r="AC32" s="138">
        <v>14</v>
      </c>
      <c r="AG32" s="138">
        <v>24.2</v>
      </c>
      <c r="AH32" s="138">
        <v>70</v>
      </c>
      <c r="AL32" s="138">
        <v>24.2</v>
      </c>
      <c r="AM32" s="138">
        <v>15</v>
      </c>
      <c r="AQ32" s="138">
        <v>24.2</v>
      </c>
      <c r="AR32" s="138">
        <v>15</v>
      </c>
      <c r="AV32" s="138">
        <v>24.2</v>
      </c>
      <c r="AW32" s="138">
        <v>15</v>
      </c>
      <c r="BA32" s="138">
        <v>24.2</v>
      </c>
      <c r="BB32" s="138">
        <v>15</v>
      </c>
      <c r="BF32" s="138">
        <v>24.2</v>
      </c>
      <c r="BG32" s="138">
        <v>15</v>
      </c>
      <c r="BK32" s="138">
        <v>24.2</v>
      </c>
      <c r="BL32" s="138">
        <v>15</v>
      </c>
      <c r="BP32" s="138">
        <v>24.2</v>
      </c>
      <c r="BQ32" s="138">
        <v>15</v>
      </c>
      <c r="BU32" s="138">
        <v>24.2</v>
      </c>
      <c r="BV32" s="138">
        <v>15</v>
      </c>
      <c r="BZ32" s="138">
        <v>24.2</v>
      </c>
      <c r="CA32" s="138">
        <v>15</v>
      </c>
      <c r="CE32" s="138">
        <v>24.2</v>
      </c>
      <c r="CF32" s="138">
        <v>15</v>
      </c>
      <c r="CJ32" s="138">
        <v>24.2</v>
      </c>
      <c r="CK32" s="138">
        <v>15</v>
      </c>
      <c r="CO32" s="138">
        <v>24.2</v>
      </c>
      <c r="CP32" s="138">
        <v>15</v>
      </c>
      <c r="CT32" s="138">
        <v>24.2</v>
      </c>
      <c r="CU32" s="138">
        <v>15</v>
      </c>
      <c r="CY32" s="138">
        <v>24.2</v>
      </c>
      <c r="CZ32" s="138">
        <v>15</v>
      </c>
      <c r="DD32" s="138">
        <v>24.2</v>
      </c>
      <c r="DE32" s="138">
        <v>15</v>
      </c>
      <c r="DI32" s="138">
        <v>24.2</v>
      </c>
      <c r="DJ32" s="138">
        <v>15</v>
      </c>
      <c r="DN32" s="138">
        <v>24.2</v>
      </c>
      <c r="DO32" s="138">
        <v>15</v>
      </c>
      <c r="DS32" s="138">
        <v>24.2</v>
      </c>
      <c r="DT32" s="138">
        <v>15</v>
      </c>
      <c r="DX32" s="138">
        <v>24.2</v>
      </c>
      <c r="DY32" s="138">
        <v>15</v>
      </c>
      <c r="EC32" s="138">
        <v>24.2</v>
      </c>
      <c r="ED32" s="138">
        <v>15</v>
      </c>
      <c r="EH32" s="138">
        <v>24.2</v>
      </c>
      <c r="EI32" s="138">
        <v>15</v>
      </c>
      <c r="EM32" s="138">
        <v>24.2</v>
      </c>
      <c r="EN32" s="138">
        <v>15</v>
      </c>
      <c r="ER32" s="138">
        <v>24.2</v>
      </c>
      <c r="ES32" s="138">
        <v>15</v>
      </c>
      <c r="EW32" s="138">
        <v>24.2</v>
      </c>
      <c r="EX32" s="138">
        <v>15</v>
      </c>
      <c r="FB32" s="138">
        <v>24.2</v>
      </c>
      <c r="FC32" s="138">
        <v>15</v>
      </c>
    </row>
    <row r="33" spans="1:159">
      <c r="A33" s="554" t="s">
        <v>394</v>
      </c>
      <c r="B33" s="551" t="s">
        <v>998</v>
      </c>
      <c r="C33" s="555" t="s">
        <v>973</v>
      </c>
      <c r="D33" s="551" t="s">
        <v>999</v>
      </c>
      <c r="E33" s="551" t="s">
        <v>288</v>
      </c>
      <c r="F33" s="551" t="s">
        <v>1000</v>
      </c>
      <c r="G33" s="551"/>
      <c r="H33" s="551" t="s">
        <v>1001</v>
      </c>
      <c r="I33" s="551" t="s">
        <v>1002</v>
      </c>
      <c r="J33" s="551" t="s">
        <v>1003</v>
      </c>
      <c r="K33" s="551"/>
      <c r="L33" s="551" t="s">
        <v>1004</v>
      </c>
      <c r="M33" s="551" t="s">
        <v>1005</v>
      </c>
      <c r="O33" s="138">
        <v>26.2</v>
      </c>
      <c r="P33" s="138">
        <v>15</v>
      </c>
      <c r="R33" s="144">
        <v>15</v>
      </c>
      <c r="S33" s="138" t="s">
        <v>960</v>
      </c>
      <c r="W33" s="138">
        <v>26.2</v>
      </c>
      <c r="X33" s="138">
        <v>15</v>
      </c>
      <c r="AB33" s="138">
        <v>26.2</v>
      </c>
      <c r="AC33" s="138">
        <v>15</v>
      </c>
      <c r="AG33" s="138">
        <v>26.2</v>
      </c>
      <c r="AH33" s="138">
        <v>75</v>
      </c>
      <c r="AL33" s="138">
        <v>26.2</v>
      </c>
      <c r="AM33" s="138">
        <v>15</v>
      </c>
      <c r="AQ33" s="138">
        <v>26.2</v>
      </c>
      <c r="AR33" s="138">
        <v>15</v>
      </c>
      <c r="AV33" s="138">
        <v>26.2</v>
      </c>
      <c r="AW33" s="138">
        <v>15</v>
      </c>
      <c r="BA33" s="138">
        <v>26.2</v>
      </c>
      <c r="BB33" s="138">
        <v>15</v>
      </c>
      <c r="BF33" s="138">
        <v>26.2</v>
      </c>
      <c r="BG33" s="138">
        <v>15</v>
      </c>
      <c r="BK33" s="138">
        <v>26.2</v>
      </c>
      <c r="BL33" s="138">
        <v>15</v>
      </c>
      <c r="BP33" s="138">
        <v>26.2</v>
      </c>
      <c r="BQ33" s="138">
        <v>15</v>
      </c>
      <c r="BU33" s="138">
        <v>26.2</v>
      </c>
      <c r="BV33" s="138">
        <v>15</v>
      </c>
      <c r="BZ33" s="138">
        <v>26.2</v>
      </c>
      <c r="CA33" s="138">
        <v>15</v>
      </c>
      <c r="CE33" s="138">
        <v>26.2</v>
      </c>
      <c r="CF33" s="138">
        <v>15</v>
      </c>
      <c r="CJ33" s="138">
        <v>26.2</v>
      </c>
      <c r="CK33" s="138">
        <v>15</v>
      </c>
      <c r="CO33" s="138">
        <v>26.2</v>
      </c>
      <c r="CP33" s="138">
        <v>15</v>
      </c>
      <c r="CT33" s="138">
        <v>26.2</v>
      </c>
      <c r="CU33" s="138">
        <v>15</v>
      </c>
      <c r="CY33" s="138">
        <v>26.2</v>
      </c>
      <c r="CZ33" s="138">
        <v>15</v>
      </c>
      <c r="DD33" s="138">
        <v>26.2</v>
      </c>
      <c r="DE33" s="138">
        <v>15</v>
      </c>
      <c r="DI33" s="138">
        <v>26.2</v>
      </c>
      <c r="DJ33" s="138">
        <v>15</v>
      </c>
      <c r="DN33" s="138">
        <v>26.2</v>
      </c>
      <c r="DO33" s="138">
        <v>15</v>
      </c>
      <c r="DS33" s="138">
        <v>26.2</v>
      </c>
      <c r="DT33" s="138">
        <v>15</v>
      </c>
      <c r="DX33" s="138">
        <v>26.2</v>
      </c>
      <c r="DY33" s="138">
        <v>15</v>
      </c>
      <c r="EC33" s="138">
        <v>26.2</v>
      </c>
      <c r="ED33" s="138">
        <v>15</v>
      </c>
      <c r="EH33" s="138">
        <v>26.2</v>
      </c>
      <c r="EI33" s="138">
        <v>15</v>
      </c>
      <c r="EM33" s="138">
        <v>26.2</v>
      </c>
      <c r="EN33" s="138">
        <v>15</v>
      </c>
      <c r="ER33" s="138">
        <v>26.2</v>
      </c>
      <c r="ES33" s="138">
        <v>15</v>
      </c>
      <c r="EW33" s="138">
        <v>26.2</v>
      </c>
      <c r="EX33" s="138">
        <v>15</v>
      </c>
      <c r="FB33" s="138">
        <v>26.2</v>
      </c>
      <c r="FC33" s="138">
        <v>15</v>
      </c>
    </row>
    <row r="34" spans="1:159">
      <c r="A34" s="554"/>
      <c r="B34" s="551"/>
      <c r="C34" s="555"/>
      <c r="D34" s="551"/>
      <c r="E34" s="551"/>
      <c r="F34" s="94" t="s">
        <v>978</v>
      </c>
      <c r="G34" s="94" t="s">
        <v>975</v>
      </c>
      <c r="H34" s="551"/>
      <c r="I34" s="551"/>
      <c r="J34" s="94" t="s">
        <v>978</v>
      </c>
      <c r="K34" s="94" t="s">
        <v>975</v>
      </c>
      <c r="L34" s="551"/>
      <c r="M34" s="551"/>
      <c r="O34" s="138">
        <v>27</v>
      </c>
      <c r="P34" s="138">
        <v>17</v>
      </c>
      <c r="R34" s="144">
        <v>16</v>
      </c>
      <c r="S34" s="138" t="s">
        <v>961</v>
      </c>
      <c r="W34" s="138">
        <v>27</v>
      </c>
      <c r="X34" s="138">
        <v>17</v>
      </c>
      <c r="AB34" s="138">
        <v>27</v>
      </c>
      <c r="AC34" s="138">
        <v>16</v>
      </c>
      <c r="AG34" s="138">
        <v>27</v>
      </c>
      <c r="AH34" s="138">
        <v>80</v>
      </c>
      <c r="AL34" s="138">
        <v>27</v>
      </c>
      <c r="AM34" s="138">
        <v>17</v>
      </c>
      <c r="AQ34" s="138">
        <v>27</v>
      </c>
      <c r="AR34" s="138">
        <v>17</v>
      </c>
      <c r="AV34" s="138">
        <v>27</v>
      </c>
      <c r="AW34" s="138">
        <v>17</v>
      </c>
      <c r="BA34" s="138">
        <v>27</v>
      </c>
      <c r="BB34" s="138">
        <v>17</v>
      </c>
      <c r="BF34" s="138">
        <v>27</v>
      </c>
      <c r="BG34" s="138">
        <v>17</v>
      </c>
      <c r="BK34" s="138">
        <v>27</v>
      </c>
      <c r="BL34" s="138">
        <v>17</v>
      </c>
      <c r="BP34" s="138">
        <v>27</v>
      </c>
      <c r="BQ34" s="138">
        <v>17</v>
      </c>
      <c r="BU34" s="138">
        <v>27</v>
      </c>
      <c r="BV34" s="138">
        <v>17</v>
      </c>
      <c r="BZ34" s="138">
        <v>27</v>
      </c>
      <c r="CA34" s="138">
        <v>17</v>
      </c>
      <c r="CE34" s="138">
        <v>27</v>
      </c>
      <c r="CF34" s="138">
        <v>17</v>
      </c>
      <c r="CJ34" s="138">
        <v>27</v>
      </c>
      <c r="CK34" s="138">
        <v>17</v>
      </c>
      <c r="CO34" s="138">
        <v>27</v>
      </c>
      <c r="CP34" s="138">
        <v>17</v>
      </c>
      <c r="CT34" s="138">
        <v>27</v>
      </c>
      <c r="CU34" s="138">
        <v>17</v>
      </c>
      <c r="CY34" s="138">
        <v>27</v>
      </c>
      <c r="CZ34" s="138">
        <v>17</v>
      </c>
      <c r="DD34" s="138">
        <v>27</v>
      </c>
      <c r="DE34" s="138">
        <v>17</v>
      </c>
      <c r="DI34" s="138">
        <v>27</v>
      </c>
      <c r="DJ34" s="138">
        <v>17</v>
      </c>
      <c r="DN34" s="138">
        <v>27</v>
      </c>
      <c r="DO34" s="138">
        <v>17</v>
      </c>
      <c r="DS34" s="138">
        <v>27</v>
      </c>
      <c r="DT34" s="138">
        <v>17</v>
      </c>
      <c r="DX34" s="138">
        <v>27</v>
      </c>
      <c r="DY34" s="138">
        <v>17</v>
      </c>
      <c r="EC34" s="138">
        <v>27</v>
      </c>
      <c r="ED34" s="138">
        <v>17</v>
      </c>
      <c r="EH34" s="138">
        <v>27</v>
      </c>
      <c r="EI34" s="138">
        <v>17</v>
      </c>
      <c r="EM34" s="138">
        <v>27</v>
      </c>
      <c r="EN34" s="138">
        <v>17</v>
      </c>
      <c r="ER34" s="138">
        <v>27</v>
      </c>
      <c r="ES34" s="138">
        <v>17</v>
      </c>
      <c r="EW34" s="138">
        <v>27</v>
      </c>
      <c r="EX34" s="138">
        <v>17</v>
      </c>
      <c r="FB34" s="138">
        <v>27</v>
      </c>
      <c r="FC34" s="138">
        <v>17</v>
      </c>
    </row>
    <row r="35" spans="1:159">
      <c r="A35" s="87">
        <v>0</v>
      </c>
      <c r="B35" s="83">
        <f>_xll.flu_SPT2025($D$10,$D$12,$D$13,$D$20,$D$15,$D$16,$H$11:$I$27,$O$19:$P$108,FALSE,FALSE,"Cao độ",A35,$D$17)</f>
        <v>0</v>
      </c>
      <c r="C35" s="87" t="str">
        <f>IF(B35="","",_xll.TimTenLoaiDat(B35,$F$11:$H$27))</f>
        <v>Lớp 1</v>
      </c>
      <c r="D35" s="87" t="str">
        <f>IF(B35="","",_xll.TimTinhChatDat(B35,$H$11:$I$27))</f>
        <v>Đất dính</v>
      </c>
      <c r="E35" s="95">
        <f>IF(B35="","",_xll.NoiSuySPT(B35,$O$19:$P$108,$D$16,$D$12,0,0))</f>
        <v>0</v>
      </c>
      <c r="F35" s="95" t="str">
        <f>IF(B35="","",IF(D35="Đất dính","-",_xll.qb_SPT2025($D$10,$D$12,$D$13,B35,$D$16,$H$11:$I$27,$O$19:$P$108)))</f>
        <v>-</v>
      </c>
      <c r="G35" s="95">
        <f>IF(B35="","",IF(D35="Đất dính",_xll.qb_SPT2025($D$10,$D$12,$D$13,B35,$D$16,$H$11:$I$27,$O$19:$P$108),"-"))</f>
        <v>0</v>
      </c>
      <c r="H35" s="95">
        <f t="shared" ref="H35:H66" si="1">IF(B35="","",MAX(F35,G35)*$D$19)</f>
        <v>0</v>
      </c>
      <c r="I35" s="96">
        <f>_xll.flu_SPT2025($D$10,$D$12,$D$13,$D$20,$D$15,$D$16,$H$11:$I$27,$O$19:$P$108,FALSE,FALSE,"Li",A35,$D$17)</f>
        <v>1</v>
      </c>
      <c r="J35" s="95" t="str">
        <f>IF(D35="Đất dính","-",_xll.flu_SPT2025($D$10,$D$12,$D$13,$D$20,$D$15,$D$16,$H$11:$I$27,$O$19:$P$108,FALSE,FALSE,"f",A35,$D$17))</f>
        <v>-</v>
      </c>
      <c r="K35" s="95">
        <f>IF(B35="","",IF(D35="Đất dính",_xll.flu_SPT2025($D$10,$D$12,$D$13,$D$20,$D$15,$D$16,$H$11:$I$27,$O$19:$P$108,FALSE,FALSE,"f",A35,$D$17),"-"))</f>
        <v>0</v>
      </c>
      <c r="L35" s="95">
        <f>_xll.flu_SPT2025($D$10,$D$12,$D$13,$D$20,$D$15,$D$16,$H$11:$I$27,$O$19:$P$108,FALSE,FALSE,"flu",A35,$D$17)</f>
        <v>0</v>
      </c>
      <c r="M35" s="87">
        <f t="shared" ref="M35:M66" si="2">IF(B35="",NA(),L35+H35)</f>
        <v>0</v>
      </c>
      <c r="O35" s="138">
        <v>29</v>
      </c>
      <c r="P35" s="138">
        <v>20</v>
      </c>
      <c r="R35" s="144">
        <v>17</v>
      </c>
      <c r="S35" s="138" t="s">
        <v>962</v>
      </c>
      <c r="W35" s="138">
        <v>29</v>
      </c>
      <c r="X35" s="138">
        <v>20</v>
      </c>
      <c r="AB35" s="138">
        <v>29</v>
      </c>
      <c r="AC35" s="138">
        <v>17</v>
      </c>
      <c r="AG35" s="138">
        <v>29</v>
      </c>
      <c r="AH35" s="138">
        <v>85</v>
      </c>
      <c r="AL35" s="138">
        <v>29</v>
      </c>
      <c r="AM35" s="138">
        <v>20</v>
      </c>
      <c r="AQ35" s="138">
        <v>29</v>
      </c>
      <c r="AR35" s="138">
        <v>20</v>
      </c>
      <c r="AV35" s="138">
        <v>29</v>
      </c>
      <c r="AW35" s="138">
        <v>20</v>
      </c>
      <c r="BA35" s="138">
        <v>29</v>
      </c>
      <c r="BB35" s="138">
        <v>20</v>
      </c>
      <c r="BF35" s="138">
        <v>29</v>
      </c>
      <c r="BG35" s="138">
        <v>20</v>
      </c>
      <c r="BK35" s="138">
        <v>29</v>
      </c>
      <c r="BL35" s="138">
        <v>20</v>
      </c>
      <c r="BP35" s="138">
        <v>29</v>
      </c>
      <c r="BQ35" s="138">
        <v>20</v>
      </c>
      <c r="BU35" s="138">
        <v>29</v>
      </c>
      <c r="BV35" s="138">
        <v>20</v>
      </c>
      <c r="BZ35" s="138">
        <v>29</v>
      </c>
      <c r="CA35" s="138">
        <v>20</v>
      </c>
      <c r="CE35" s="138">
        <v>29</v>
      </c>
      <c r="CF35" s="138">
        <v>20</v>
      </c>
      <c r="CJ35" s="138">
        <v>29</v>
      </c>
      <c r="CK35" s="138">
        <v>20</v>
      </c>
      <c r="CO35" s="138">
        <v>29</v>
      </c>
      <c r="CP35" s="138">
        <v>20</v>
      </c>
      <c r="CT35" s="138">
        <v>29</v>
      </c>
      <c r="CU35" s="138">
        <v>20</v>
      </c>
      <c r="CY35" s="138">
        <v>29</v>
      </c>
      <c r="CZ35" s="138">
        <v>20</v>
      </c>
      <c r="DD35" s="138">
        <v>29</v>
      </c>
      <c r="DE35" s="138">
        <v>20</v>
      </c>
      <c r="DI35" s="138">
        <v>29</v>
      </c>
      <c r="DJ35" s="138">
        <v>20</v>
      </c>
      <c r="DN35" s="138">
        <v>29</v>
      </c>
      <c r="DO35" s="138">
        <v>20</v>
      </c>
      <c r="DS35" s="138">
        <v>29</v>
      </c>
      <c r="DT35" s="138">
        <v>20</v>
      </c>
      <c r="DX35" s="138">
        <v>29</v>
      </c>
      <c r="DY35" s="138">
        <v>20</v>
      </c>
      <c r="EC35" s="138">
        <v>29</v>
      </c>
      <c r="ED35" s="138">
        <v>20</v>
      </c>
      <c r="EH35" s="138">
        <v>29</v>
      </c>
      <c r="EI35" s="138">
        <v>20</v>
      </c>
      <c r="EM35" s="138">
        <v>29</v>
      </c>
      <c r="EN35" s="138">
        <v>20</v>
      </c>
      <c r="ER35" s="138">
        <v>29</v>
      </c>
      <c r="ES35" s="138">
        <v>20</v>
      </c>
      <c r="EW35" s="138">
        <v>29</v>
      </c>
      <c r="EX35" s="138">
        <v>20</v>
      </c>
      <c r="FB35" s="138">
        <v>29</v>
      </c>
      <c r="FC35" s="138">
        <v>20</v>
      </c>
    </row>
    <row r="36" spans="1:159">
      <c r="A36" s="87">
        <f t="shared" ref="A36:A67" si="3">+A35+1</f>
        <v>1</v>
      </c>
      <c r="B36" s="83">
        <f>_xll.flu_SPT2025($D$10,$D$12,$D$13,$D$20,$D$15,$D$16,$H$11:$I$27,$O$19:$P$108,FALSE,FALSE,"Cao độ",A36,$D$17)</f>
        <v>1</v>
      </c>
      <c r="C36" s="87" t="str">
        <f>IF(B36="","",_xll.TimTenLoaiDat(B36,$F$11:$H$27))</f>
        <v>Lớp 1</v>
      </c>
      <c r="D36" s="87" t="str">
        <f>IF(B36="","",_xll.TimTinhChatDat(B36,$H$11:$I$27))</f>
        <v>Đất dính</v>
      </c>
      <c r="E36" s="95">
        <f>IF(B36="","",_xll.NoiSuySPT(B36,$O$19:$P$108,$D$16,$D$12,0,0))</f>
        <v>2.6666666666666701</v>
      </c>
      <c r="F36" s="95" t="str">
        <f>IF(B36="","",IF(D36="Đất dính","-",_xll.qb_SPT2025($D$10,$D$12,$D$13,B36,$D$16,$H$11:$I$27,$O$19:$P$108)))</f>
        <v>-</v>
      </c>
      <c r="G36" s="95">
        <f>IF(B36="","",IF(D36="Đất dính",_xll.qb_SPT2025($D$10,$D$12,$D$13,B36,$D$16,$H$11:$I$27,$O$19:$P$108),"-"))</f>
        <v>100</v>
      </c>
      <c r="H36" s="95">
        <f t="shared" si="1"/>
        <v>78.539816339744803</v>
      </c>
      <c r="I36" s="96">
        <f>_xll.flu_SPT2025($D$10,$D$12,$D$13,$D$20,$D$15,$D$16,$H$11:$I$27,$O$19:$P$108,FALSE,FALSE,"Li",A36,$D$17)</f>
        <v>0.5</v>
      </c>
      <c r="J36" s="95" t="str">
        <f>IF(D36="Đất dính","-",_xll.flu_SPT2025($D$10,$D$12,$D$13,$D$20,$D$15,$D$16,$H$11:$I$27,$O$19:$P$108,FALSE,FALSE,"f",A36,$D$17))</f>
        <v>-</v>
      </c>
      <c r="K36" s="95">
        <f>IF(B36="","",IF(D36="Đất dính",_xll.flu_SPT2025($D$10,$D$12,$D$13,$D$20,$D$15,$D$16,$H$11:$I$27,$O$19:$P$108,FALSE,FALSE,"f",A36,$D$17),"-"))</f>
        <v>16.6666666666667</v>
      </c>
      <c r="L36" s="95">
        <f>_xll.flu_SPT2025($D$10,$D$12,$D$13,$D$20,$D$15,$D$16,$H$11:$I$27,$O$19:$P$108,FALSE,FALSE,"flu",A36,$D$17)</f>
        <v>26.179938779914899</v>
      </c>
      <c r="M36" s="87">
        <f t="shared" si="2"/>
        <v>104.71975511965999</v>
      </c>
      <c r="O36" s="138">
        <v>31</v>
      </c>
      <c r="P36" s="138">
        <v>25</v>
      </c>
      <c r="R36" s="144">
        <v>18</v>
      </c>
      <c r="S36" s="138" t="s">
        <v>963</v>
      </c>
      <c r="W36" s="138">
        <v>31</v>
      </c>
      <c r="X36" s="138">
        <v>25</v>
      </c>
      <c r="AB36" s="138">
        <v>31</v>
      </c>
      <c r="AC36" s="138">
        <v>18</v>
      </c>
      <c r="AG36" s="138">
        <v>31</v>
      </c>
      <c r="AH36" s="138">
        <v>90</v>
      </c>
      <c r="AL36" s="138">
        <v>31</v>
      </c>
      <c r="AM36" s="138">
        <v>25</v>
      </c>
      <c r="AQ36" s="138">
        <v>31</v>
      </c>
      <c r="AR36" s="138">
        <v>25</v>
      </c>
      <c r="AV36" s="138">
        <v>31</v>
      </c>
      <c r="AW36" s="138">
        <v>25</v>
      </c>
      <c r="BA36" s="138">
        <v>31</v>
      </c>
      <c r="BB36" s="138">
        <v>25</v>
      </c>
      <c r="BF36" s="138">
        <v>31</v>
      </c>
      <c r="BG36" s="138">
        <v>25</v>
      </c>
      <c r="BK36" s="138">
        <v>31</v>
      </c>
      <c r="BL36" s="138">
        <v>25</v>
      </c>
      <c r="BP36" s="138">
        <v>31</v>
      </c>
      <c r="BQ36" s="138">
        <v>25</v>
      </c>
      <c r="BU36" s="138">
        <v>31</v>
      </c>
      <c r="BV36" s="138">
        <v>25</v>
      </c>
      <c r="BZ36" s="138">
        <v>31</v>
      </c>
      <c r="CA36" s="138">
        <v>25</v>
      </c>
      <c r="CE36" s="138">
        <v>31</v>
      </c>
      <c r="CF36" s="138">
        <v>25</v>
      </c>
      <c r="CJ36" s="138">
        <v>31</v>
      </c>
      <c r="CK36" s="138">
        <v>25</v>
      </c>
      <c r="CO36" s="138">
        <v>31</v>
      </c>
      <c r="CP36" s="138">
        <v>25</v>
      </c>
      <c r="CT36" s="138">
        <v>31</v>
      </c>
      <c r="CU36" s="138">
        <v>25</v>
      </c>
      <c r="CY36" s="138">
        <v>31</v>
      </c>
      <c r="CZ36" s="138">
        <v>25</v>
      </c>
      <c r="DD36" s="138">
        <v>31</v>
      </c>
      <c r="DE36" s="138">
        <v>25</v>
      </c>
      <c r="DI36" s="138">
        <v>31</v>
      </c>
      <c r="DJ36" s="138">
        <v>25</v>
      </c>
      <c r="DN36" s="138">
        <v>31</v>
      </c>
      <c r="DO36" s="138">
        <v>25</v>
      </c>
      <c r="DS36" s="138">
        <v>31</v>
      </c>
      <c r="DT36" s="138">
        <v>25</v>
      </c>
      <c r="DX36" s="138">
        <v>31</v>
      </c>
      <c r="DY36" s="138">
        <v>25</v>
      </c>
      <c r="EC36" s="138">
        <v>31</v>
      </c>
      <c r="ED36" s="138">
        <v>25</v>
      </c>
      <c r="EH36" s="138">
        <v>31</v>
      </c>
      <c r="EI36" s="138">
        <v>25</v>
      </c>
      <c r="EM36" s="138">
        <v>31</v>
      </c>
      <c r="EN36" s="138">
        <v>25</v>
      </c>
      <c r="ER36" s="138">
        <v>31</v>
      </c>
      <c r="ES36" s="138">
        <v>25</v>
      </c>
      <c r="EW36" s="138">
        <v>31</v>
      </c>
      <c r="EX36" s="138">
        <v>25</v>
      </c>
      <c r="FB36" s="138">
        <v>31</v>
      </c>
      <c r="FC36" s="138">
        <v>25</v>
      </c>
    </row>
    <row r="37" spans="1:159">
      <c r="A37" s="87">
        <f t="shared" si="3"/>
        <v>2</v>
      </c>
      <c r="B37" s="83">
        <f>_xll.flu_SPT2025($D$10,$D$12,$D$13,$D$20,$D$15,$D$16,$H$11:$I$27,$O$19:$P$108,FALSE,FALSE,"Cao độ",A37,$D$17)</f>
        <v>1.5</v>
      </c>
      <c r="C37" s="87" t="str">
        <f>IF(B37="","",_xll.TimTenLoaiDat(B37,$F$11:$H$27))</f>
        <v>Lớp 2</v>
      </c>
      <c r="D37" s="87" t="str">
        <f>IF(B37="","",_xll.TimTinhChatDat(B37,$H$11:$I$27))</f>
        <v>Đất dính</v>
      </c>
      <c r="E37" s="95">
        <f>IF(B37="","",_xll.NoiSuySPT(B37,$O$19:$P$108,$D$16,$D$12,0,0))</f>
        <v>4</v>
      </c>
      <c r="F37" s="95" t="str">
        <f>IF(B37="","",IF(D37="Đất dính","-",_xll.qb_SPT2025($D$10,$D$12,$D$13,B37,$D$16,$H$11:$I$27,$O$19:$P$108)))</f>
        <v>-</v>
      </c>
      <c r="G37" s="95">
        <f>IF(B37="","",IF(D37="Đất dính",_xll.qb_SPT2025($D$10,$D$12,$D$13,B37,$D$16,$H$11:$I$27,$O$19:$P$108),"-"))</f>
        <v>150</v>
      </c>
      <c r="H37" s="95">
        <f t="shared" si="1"/>
        <v>117.809724509617</v>
      </c>
      <c r="I37" s="96">
        <f>_xll.flu_SPT2025($D$10,$D$12,$D$13,$D$20,$D$15,$D$16,$H$11:$I$27,$O$19:$P$108,FALSE,FALSE,"Li",A37,$D$17)</f>
        <v>0.5</v>
      </c>
      <c r="J37" s="95" t="str">
        <f>IF(D37="Đất dính","-",_xll.flu_SPT2025($D$10,$D$12,$D$13,$D$20,$D$15,$D$16,$H$11:$I$27,$O$19:$P$108,FALSE,FALSE,"f",A37,$D$17))</f>
        <v>-</v>
      </c>
      <c r="K37" s="95">
        <f>IF(B37="","",IF(D37="Đất dính",_xll.flu_SPT2025($D$10,$D$12,$D$13,$D$20,$D$15,$D$16,$H$11:$I$27,$O$19:$P$108,FALSE,FALSE,"f",A37,$D$17),"-"))</f>
        <v>25</v>
      </c>
      <c r="L37" s="95">
        <f>_xll.flu_SPT2025($D$10,$D$12,$D$13,$D$20,$D$15,$D$16,$H$11:$I$27,$O$19:$P$108,FALSE,FALSE,"flu",A37,$D$17)</f>
        <v>65.4498469497874</v>
      </c>
      <c r="M37" s="87">
        <f t="shared" si="2"/>
        <v>183.25957145940501</v>
      </c>
      <c r="O37" s="138">
        <v>33</v>
      </c>
      <c r="P37" s="138">
        <v>20</v>
      </c>
      <c r="R37" s="144">
        <v>19</v>
      </c>
      <c r="S37" s="138" t="s">
        <v>284</v>
      </c>
      <c r="W37" s="138">
        <v>33</v>
      </c>
      <c r="X37" s="138">
        <v>20</v>
      </c>
      <c r="AB37" s="138">
        <v>33</v>
      </c>
      <c r="AC37" s="138">
        <v>19</v>
      </c>
      <c r="AG37" s="138">
        <v>33</v>
      </c>
      <c r="AH37" s="138">
        <v>95</v>
      </c>
      <c r="AL37" s="138">
        <v>33</v>
      </c>
      <c r="AM37" s="138">
        <v>20</v>
      </c>
      <c r="AQ37" s="138">
        <v>33</v>
      </c>
      <c r="AR37" s="138">
        <v>20</v>
      </c>
      <c r="AV37" s="138">
        <v>33</v>
      </c>
      <c r="AW37" s="138">
        <v>20</v>
      </c>
      <c r="BA37" s="138">
        <v>33</v>
      </c>
      <c r="BB37" s="138">
        <v>20</v>
      </c>
      <c r="BF37" s="138">
        <v>33</v>
      </c>
      <c r="BG37" s="138">
        <v>20</v>
      </c>
      <c r="BK37" s="138">
        <v>33</v>
      </c>
      <c r="BL37" s="138">
        <v>20</v>
      </c>
      <c r="BP37" s="138">
        <v>33</v>
      </c>
      <c r="BQ37" s="138">
        <v>20</v>
      </c>
      <c r="BU37" s="138">
        <v>33</v>
      </c>
      <c r="BV37" s="138">
        <v>20</v>
      </c>
      <c r="BZ37" s="138">
        <v>33</v>
      </c>
      <c r="CA37" s="138">
        <v>20</v>
      </c>
      <c r="CE37" s="138">
        <v>33</v>
      </c>
      <c r="CF37" s="138">
        <v>20</v>
      </c>
      <c r="CJ37" s="138">
        <v>33</v>
      </c>
      <c r="CK37" s="138">
        <v>20</v>
      </c>
      <c r="CO37" s="138">
        <v>33</v>
      </c>
      <c r="CP37" s="138">
        <v>20</v>
      </c>
      <c r="CT37" s="138">
        <v>33</v>
      </c>
      <c r="CU37" s="138">
        <v>20</v>
      </c>
      <c r="CY37" s="138">
        <v>33</v>
      </c>
      <c r="CZ37" s="138">
        <v>20</v>
      </c>
      <c r="DD37" s="138">
        <v>33</v>
      </c>
      <c r="DE37" s="138">
        <v>20</v>
      </c>
      <c r="DI37" s="138">
        <v>33</v>
      </c>
      <c r="DJ37" s="138">
        <v>20</v>
      </c>
      <c r="DN37" s="138">
        <v>33</v>
      </c>
      <c r="DO37" s="138">
        <v>20</v>
      </c>
      <c r="DS37" s="138">
        <v>33</v>
      </c>
      <c r="DT37" s="138">
        <v>20</v>
      </c>
      <c r="DX37" s="138">
        <v>33</v>
      </c>
      <c r="DY37" s="138">
        <v>20</v>
      </c>
      <c r="EC37" s="138">
        <v>33</v>
      </c>
      <c r="ED37" s="138">
        <v>20</v>
      </c>
      <c r="EH37" s="138">
        <v>33</v>
      </c>
      <c r="EI37" s="138">
        <v>20</v>
      </c>
      <c r="EM37" s="138">
        <v>33</v>
      </c>
      <c r="EN37" s="138">
        <v>20</v>
      </c>
      <c r="ER37" s="138">
        <v>33</v>
      </c>
      <c r="ES37" s="138">
        <v>20</v>
      </c>
      <c r="EW37" s="138">
        <v>33</v>
      </c>
      <c r="EX37" s="138">
        <v>20</v>
      </c>
      <c r="FB37" s="138">
        <v>33</v>
      </c>
      <c r="FC37" s="138">
        <v>20</v>
      </c>
    </row>
    <row r="38" spans="1:159">
      <c r="A38" s="87">
        <f t="shared" si="3"/>
        <v>3</v>
      </c>
      <c r="B38" s="83">
        <f>_xll.flu_SPT2025($D$10,$D$12,$D$13,$D$20,$D$15,$D$16,$H$11:$I$27,$O$19:$P$108,FALSE,FALSE,"Cao độ",A38,$D$17)</f>
        <v>2</v>
      </c>
      <c r="C38" s="87" t="str">
        <f>IF(B38="","",_xll.TimTenLoaiDat(B38,$F$11:$H$27))</f>
        <v>Lớp 2</v>
      </c>
      <c r="D38" s="87" t="str">
        <f>IF(B38="","",_xll.TimTinhChatDat(B38,$H$11:$I$27))</f>
        <v>Đất dính</v>
      </c>
      <c r="E38" s="95">
        <f>IF(B38="","",_xll.NoiSuySPT(B38,$O$19:$P$108,$D$16,$D$12,0,0))</f>
        <v>3.75</v>
      </c>
      <c r="F38" s="95" t="str">
        <f>IF(B38="","",IF(D38="Đất dính","-",_xll.qb_SPT2025($D$10,$D$12,$D$13,B38,$D$16,$H$11:$I$27,$O$19:$P$108)))</f>
        <v>-</v>
      </c>
      <c r="G38" s="95">
        <f>IF(B38="","",IF(D38="Đất dính",_xll.qb_SPT2025($D$10,$D$12,$D$13,B38,$D$16,$H$11:$I$27,$O$19:$P$108),"-"))</f>
        <v>140.625</v>
      </c>
      <c r="H38" s="95">
        <f t="shared" si="1"/>
        <v>110.446616727766</v>
      </c>
      <c r="I38" s="96">
        <f>_xll.flu_SPT2025($D$10,$D$12,$D$13,$D$20,$D$15,$D$16,$H$11:$I$27,$O$19:$P$108,FALSE,FALSE,"Li",A38,$D$17)</f>
        <v>1</v>
      </c>
      <c r="J38" s="95" t="str">
        <f>IF(D38="Đất dính","-",_xll.flu_SPT2025($D$10,$D$12,$D$13,$D$20,$D$15,$D$16,$H$11:$I$27,$O$19:$P$108,FALSE,FALSE,"f",A38,$D$17))</f>
        <v>-</v>
      </c>
      <c r="K38" s="95">
        <f>IF(B38="","",IF(D38="Đất dính",_xll.flu_SPT2025($D$10,$D$12,$D$13,$D$20,$D$15,$D$16,$H$11:$I$27,$O$19:$P$108,FALSE,FALSE,"f",A38,$D$17),"-"))</f>
        <v>23.4375</v>
      </c>
      <c r="L38" s="95">
        <f>_xll.flu_SPT2025($D$10,$D$12,$D$13,$D$20,$D$15,$D$16,$H$11:$I$27,$O$19:$P$108,FALSE,FALSE,"flu",A38,$D$17)</f>
        <v>139.08092476829799</v>
      </c>
      <c r="M38" s="87">
        <f t="shared" si="2"/>
        <v>249.527541496064</v>
      </c>
      <c r="O38" s="138">
        <v>35</v>
      </c>
      <c r="P38" s="138">
        <v>27</v>
      </c>
      <c r="R38" s="144">
        <v>20</v>
      </c>
      <c r="S38" s="138" t="s">
        <v>964</v>
      </c>
      <c r="W38" s="138">
        <v>35</v>
      </c>
      <c r="X38" s="138">
        <v>27</v>
      </c>
      <c r="AB38" s="138">
        <v>35</v>
      </c>
      <c r="AC38" s="138">
        <v>20</v>
      </c>
      <c r="AG38" s="138">
        <v>35</v>
      </c>
      <c r="AH38" s="138">
        <v>100</v>
      </c>
      <c r="AL38" s="138">
        <v>35</v>
      </c>
      <c r="AM38" s="138">
        <v>27</v>
      </c>
      <c r="AQ38" s="138">
        <v>35</v>
      </c>
      <c r="AR38" s="138">
        <v>27</v>
      </c>
      <c r="AV38" s="138">
        <v>35</v>
      </c>
      <c r="AW38" s="138">
        <v>27</v>
      </c>
      <c r="BA38" s="138">
        <v>35</v>
      </c>
      <c r="BB38" s="138">
        <v>27</v>
      </c>
      <c r="BF38" s="138">
        <v>35</v>
      </c>
      <c r="BG38" s="138">
        <v>27</v>
      </c>
      <c r="BK38" s="138">
        <v>35</v>
      </c>
      <c r="BL38" s="138">
        <v>27</v>
      </c>
      <c r="BP38" s="138">
        <v>35</v>
      </c>
      <c r="BQ38" s="138">
        <v>27</v>
      </c>
      <c r="BU38" s="138">
        <v>35</v>
      </c>
      <c r="BV38" s="138">
        <v>27</v>
      </c>
      <c r="BZ38" s="138">
        <v>35</v>
      </c>
      <c r="CA38" s="138">
        <v>27</v>
      </c>
      <c r="CE38" s="138">
        <v>35</v>
      </c>
      <c r="CF38" s="138">
        <v>27</v>
      </c>
      <c r="CJ38" s="138">
        <v>35</v>
      </c>
      <c r="CK38" s="138">
        <v>27</v>
      </c>
      <c r="CO38" s="138">
        <v>35</v>
      </c>
      <c r="CP38" s="138">
        <v>27</v>
      </c>
      <c r="CT38" s="138">
        <v>35</v>
      </c>
      <c r="CU38" s="138">
        <v>27</v>
      </c>
      <c r="CY38" s="138">
        <v>35</v>
      </c>
      <c r="CZ38" s="138">
        <v>27</v>
      </c>
      <c r="DD38" s="138">
        <v>35</v>
      </c>
      <c r="DE38" s="138">
        <v>27</v>
      </c>
      <c r="DI38" s="138">
        <v>35</v>
      </c>
      <c r="DJ38" s="138">
        <v>27</v>
      </c>
      <c r="DN38" s="138">
        <v>35</v>
      </c>
      <c r="DO38" s="138">
        <v>27</v>
      </c>
      <c r="DS38" s="138">
        <v>35</v>
      </c>
      <c r="DT38" s="138">
        <v>27</v>
      </c>
      <c r="DX38" s="138">
        <v>35</v>
      </c>
      <c r="DY38" s="138">
        <v>27</v>
      </c>
      <c r="EC38" s="138">
        <v>35</v>
      </c>
      <c r="ED38" s="138">
        <v>27</v>
      </c>
      <c r="EH38" s="138">
        <v>35</v>
      </c>
      <c r="EI38" s="138">
        <v>27</v>
      </c>
      <c r="EM38" s="138">
        <v>35</v>
      </c>
      <c r="EN38" s="138">
        <v>27</v>
      </c>
      <c r="ER38" s="138">
        <v>35</v>
      </c>
      <c r="ES38" s="138">
        <v>27</v>
      </c>
      <c r="EW38" s="138">
        <v>35</v>
      </c>
      <c r="EX38" s="138">
        <v>27</v>
      </c>
      <c r="FB38" s="138">
        <v>35</v>
      </c>
      <c r="FC38" s="138">
        <v>27</v>
      </c>
    </row>
    <row r="39" spans="1:159" s="35" customFormat="1">
      <c r="A39" s="87">
        <f t="shared" si="3"/>
        <v>4</v>
      </c>
      <c r="B39" s="83">
        <f>_xll.flu_SPT2025($D$10,$D$12,$D$13,$D$20,$D$15,$D$16,$H$11:$I$27,$O$19:$P$108,FALSE,FALSE,"Cao độ",A39,$D$17)</f>
        <v>3</v>
      </c>
      <c r="C39" s="87" t="str">
        <f>IF(B39="","",_xll.TimTenLoaiDat(B39,$F$11:$H$27))</f>
        <v>Lớp 2</v>
      </c>
      <c r="D39" s="87" t="str">
        <f>IF(B39="","",_xll.TimTinhChatDat(B39,$H$11:$I$27))</f>
        <v>Đất dính</v>
      </c>
      <c r="E39" s="95">
        <f>IF(B39="","",_xll.NoiSuySPT(B39,$O$19:$P$108,$D$16,$D$12,0,0))</f>
        <v>3.25</v>
      </c>
      <c r="F39" s="95" t="str">
        <f>IF(B39="","",IF(D39="Đất dính","-",_xll.qb_SPT2025($D$10,$D$12,$D$13,B39,$D$16,$H$11:$I$27,$O$19:$P$108)))</f>
        <v>-</v>
      </c>
      <c r="G39" s="95">
        <f>IF(B39="","",IF(D39="Đất dính",_xll.qb_SPT2025($D$10,$D$12,$D$13,B39,$D$16,$H$11:$I$27,$O$19:$P$108),"-"))</f>
        <v>121.875</v>
      </c>
      <c r="H39" s="95">
        <f t="shared" si="1"/>
        <v>95.720401164064</v>
      </c>
      <c r="I39" s="96">
        <f>_xll.flu_SPT2025($D$10,$D$12,$D$13,$D$20,$D$15,$D$16,$H$11:$I$27,$O$19:$P$108,FALSE,FALSE,"Li",A39,$D$17)</f>
        <v>1</v>
      </c>
      <c r="J39" s="95" t="str">
        <f>IF(D39="Đất dính","-",_xll.flu_SPT2025($D$10,$D$12,$D$13,$D$20,$D$15,$D$16,$H$11:$I$27,$O$19:$P$108,FALSE,FALSE,"f",A39,$D$17))</f>
        <v>-</v>
      </c>
      <c r="K39" s="95">
        <f>IF(B39="","",IF(D39="Đất dính",_xll.flu_SPT2025($D$10,$D$12,$D$13,$D$20,$D$15,$D$16,$H$11:$I$27,$O$19:$P$108,FALSE,FALSE,"f",A39,$D$17),"-"))</f>
        <v>20.3125</v>
      </c>
      <c r="L39" s="95">
        <f>_xll.flu_SPT2025($D$10,$D$12,$D$13,$D$20,$D$15,$D$16,$H$11:$I$27,$O$19:$P$108,FALSE,FALSE,"flu",A39,$D$17)</f>
        <v>202.89452554434101</v>
      </c>
      <c r="M39" s="87">
        <f t="shared" si="2"/>
        <v>298.61492670840499</v>
      </c>
      <c r="N39" s="151"/>
      <c r="O39" s="138">
        <v>37</v>
      </c>
      <c r="P39" s="138">
        <v>30</v>
      </c>
      <c r="R39" s="144">
        <v>21</v>
      </c>
      <c r="S39" s="138" t="s">
        <v>965</v>
      </c>
      <c r="T39" s="136"/>
      <c r="U39" s="136"/>
      <c r="V39" s="136"/>
      <c r="W39" s="138">
        <v>37</v>
      </c>
      <c r="X39" s="138">
        <v>30</v>
      </c>
      <c r="AB39" s="138">
        <v>37</v>
      </c>
      <c r="AC39" s="138">
        <v>21</v>
      </c>
      <c r="AG39" s="138">
        <v>37</v>
      </c>
      <c r="AH39" s="138">
        <v>105</v>
      </c>
      <c r="AL39" s="138">
        <v>37</v>
      </c>
      <c r="AM39" s="138">
        <v>30</v>
      </c>
      <c r="AQ39" s="138">
        <v>37</v>
      </c>
      <c r="AR39" s="138">
        <v>30</v>
      </c>
      <c r="AV39" s="138">
        <v>37</v>
      </c>
      <c r="AW39" s="138">
        <v>30</v>
      </c>
      <c r="BA39" s="138">
        <v>37</v>
      </c>
      <c r="BB39" s="138">
        <v>30</v>
      </c>
      <c r="BF39" s="138">
        <v>37</v>
      </c>
      <c r="BG39" s="138">
        <v>30</v>
      </c>
      <c r="BK39" s="138">
        <v>37</v>
      </c>
      <c r="BL39" s="138">
        <v>30</v>
      </c>
      <c r="BP39" s="138">
        <v>37</v>
      </c>
      <c r="BQ39" s="138">
        <v>30</v>
      </c>
      <c r="BU39" s="138">
        <v>37</v>
      </c>
      <c r="BV39" s="138">
        <v>30</v>
      </c>
      <c r="BZ39" s="138">
        <v>37</v>
      </c>
      <c r="CA39" s="138">
        <v>30</v>
      </c>
      <c r="CE39" s="138">
        <v>37</v>
      </c>
      <c r="CF39" s="138">
        <v>30</v>
      </c>
      <c r="CJ39" s="138">
        <v>37</v>
      </c>
      <c r="CK39" s="138">
        <v>30</v>
      </c>
      <c r="CO39" s="138">
        <v>37</v>
      </c>
      <c r="CP39" s="138">
        <v>30</v>
      </c>
      <c r="CT39" s="138">
        <v>37</v>
      </c>
      <c r="CU39" s="138">
        <v>30</v>
      </c>
      <c r="CY39" s="138">
        <v>37</v>
      </c>
      <c r="CZ39" s="138">
        <v>30</v>
      </c>
      <c r="DD39" s="138">
        <v>37</v>
      </c>
      <c r="DE39" s="138">
        <v>30</v>
      </c>
      <c r="DI39" s="138">
        <v>37</v>
      </c>
      <c r="DJ39" s="138">
        <v>30</v>
      </c>
      <c r="DN39" s="138">
        <v>37</v>
      </c>
      <c r="DO39" s="138">
        <v>30</v>
      </c>
      <c r="DS39" s="138">
        <v>37</v>
      </c>
      <c r="DT39" s="138">
        <v>30</v>
      </c>
      <c r="DX39" s="138">
        <v>37</v>
      </c>
      <c r="DY39" s="138">
        <v>30</v>
      </c>
      <c r="EC39" s="138">
        <v>37</v>
      </c>
      <c r="ED39" s="138">
        <v>30</v>
      </c>
      <c r="EH39" s="138">
        <v>37</v>
      </c>
      <c r="EI39" s="138">
        <v>30</v>
      </c>
      <c r="EM39" s="138">
        <v>37</v>
      </c>
      <c r="EN39" s="138">
        <v>30</v>
      </c>
      <c r="ER39" s="138">
        <v>37</v>
      </c>
      <c r="ES39" s="138">
        <v>30</v>
      </c>
      <c r="EW39" s="138">
        <v>37</v>
      </c>
      <c r="EX39" s="138">
        <v>30</v>
      </c>
      <c r="FB39" s="138">
        <v>37</v>
      </c>
      <c r="FC39" s="138">
        <v>30</v>
      </c>
    </row>
    <row r="40" spans="1:159" s="35" customFormat="1">
      <c r="A40" s="87">
        <f t="shared" si="3"/>
        <v>5</v>
      </c>
      <c r="B40" s="83">
        <f>_xll.flu_SPT2025($D$10,$D$12,$D$13,$D$20,$D$15,$D$16,$H$11:$I$27,$O$19:$P$108,FALSE,FALSE,"Cao độ",A40,$D$17)</f>
        <v>4</v>
      </c>
      <c r="C40" s="87" t="str">
        <f>IF(B40="","",_xll.TimTenLoaiDat(B40,$F$11:$H$27))</f>
        <v>Lớp 2</v>
      </c>
      <c r="D40" s="87" t="str">
        <f>IF(B40="","",_xll.TimTinhChatDat(B40,$H$11:$I$27))</f>
        <v>Đất dính</v>
      </c>
      <c r="E40" s="95">
        <f>IF(B40="","",_xll.NoiSuySPT(B40,$O$19:$P$108,$D$16,$D$12,0,0))</f>
        <v>3</v>
      </c>
      <c r="F40" s="95" t="str">
        <f>IF(B40="","",IF(D40="Đất dính","-",_xll.qb_SPT2025($D$10,$D$12,$D$13,B40,$D$16,$H$11:$I$27,$O$19:$P$108)))</f>
        <v>-</v>
      </c>
      <c r="G40" s="95">
        <f>IF(B40="","",IF(D40="Đất dính",_xll.qb_SPT2025($D$10,$D$12,$D$13,B40,$D$16,$H$11:$I$27,$O$19:$P$108),"-"))</f>
        <v>112.5</v>
      </c>
      <c r="H40" s="95">
        <f t="shared" si="1"/>
        <v>88.357293382212902</v>
      </c>
      <c r="I40" s="96">
        <f>_xll.flu_SPT2025($D$10,$D$12,$D$13,$D$20,$D$15,$D$16,$H$11:$I$27,$O$19:$P$108,FALSE,FALSE,"Li",A40,$D$17)</f>
        <v>1</v>
      </c>
      <c r="J40" s="95" t="str">
        <f>IF(D40="Đất dính","-",_xll.flu_SPT2025($D$10,$D$12,$D$13,$D$20,$D$15,$D$16,$H$11:$I$27,$O$19:$P$108,FALSE,FALSE,"f",A40,$D$17))</f>
        <v>-</v>
      </c>
      <c r="K40" s="95">
        <f>IF(B40="","",IF(D40="Đất dính",_xll.flu_SPT2025($D$10,$D$12,$D$13,$D$20,$D$15,$D$16,$H$11:$I$27,$O$19:$P$108,FALSE,FALSE,"f",A40,$D$17),"-"))</f>
        <v>18.75</v>
      </c>
      <c r="L40" s="95">
        <f>_xll.flu_SPT2025($D$10,$D$12,$D$13,$D$20,$D$15,$D$16,$H$11:$I$27,$O$19:$P$108,FALSE,FALSE,"flu",A40,$D$17)</f>
        <v>261.79938779914897</v>
      </c>
      <c r="M40" s="87">
        <f t="shared" si="2"/>
        <v>350.15668118136199</v>
      </c>
      <c r="N40" s="151"/>
      <c r="O40" s="138">
        <v>38.200000000000003</v>
      </c>
      <c r="P40" s="138">
        <v>24</v>
      </c>
      <c r="R40" s="144">
        <v>22</v>
      </c>
      <c r="S40" s="138" t="s">
        <v>966</v>
      </c>
      <c r="T40" s="136"/>
      <c r="U40" s="136"/>
      <c r="V40" s="136"/>
      <c r="W40" s="138">
        <v>38.200000000000003</v>
      </c>
      <c r="X40" s="138">
        <v>24</v>
      </c>
      <c r="AB40" s="138">
        <v>38.200000000000003</v>
      </c>
      <c r="AC40" s="138">
        <v>22</v>
      </c>
      <c r="AG40" s="138">
        <v>38.200000000000003</v>
      </c>
      <c r="AH40" s="138">
        <v>110</v>
      </c>
      <c r="AL40" s="138">
        <v>38.200000000000003</v>
      </c>
      <c r="AM40" s="138">
        <v>24</v>
      </c>
      <c r="AQ40" s="138">
        <v>38.200000000000003</v>
      </c>
      <c r="AR40" s="138">
        <v>24</v>
      </c>
      <c r="AV40" s="138">
        <v>38.200000000000003</v>
      </c>
      <c r="AW40" s="138">
        <v>24</v>
      </c>
      <c r="BA40" s="138">
        <v>38.200000000000003</v>
      </c>
      <c r="BB40" s="138">
        <v>24</v>
      </c>
      <c r="BF40" s="138">
        <v>38.200000000000003</v>
      </c>
      <c r="BG40" s="138">
        <v>24</v>
      </c>
      <c r="BK40" s="138">
        <v>38.200000000000003</v>
      </c>
      <c r="BL40" s="138">
        <v>24</v>
      </c>
      <c r="BP40" s="138">
        <v>38.200000000000003</v>
      </c>
      <c r="BQ40" s="138">
        <v>24</v>
      </c>
      <c r="BU40" s="138">
        <v>38.200000000000003</v>
      </c>
      <c r="BV40" s="138">
        <v>24</v>
      </c>
      <c r="BZ40" s="138">
        <v>38.200000000000003</v>
      </c>
      <c r="CA40" s="138">
        <v>24</v>
      </c>
      <c r="CE40" s="138">
        <v>38.200000000000003</v>
      </c>
      <c r="CF40" s="138">
        <v>24</v>
      </c>
      <c r="CJ40" s="138">
        <v>38.200000000000003</v>
      </c>
      <c r="CK40" s="138">
        <v>24</v>
      </c>
      <c r="CO40" s="138">
        <v>38.200000000000003</v>
      </c>
      <c r="CP40" s="138">
        <v>24</v>
      </c>
      <c r="CT40" s="138">
        <v>38.200000000000003</v>
      </c>
      <c r="CU40" s="138">
        <v>24</v>
      </c>
      <c r="CY40" s="138">
        <v>38.200000000000003</v>
      </c>
      <c r="CZ40" s="138">
        <v>24</v>
      </c>
      <c r="DD40" s="138">
        <v>38.200000000000003</v>
      </c>
      <c r="DE40" s="138">
        <v>24</v>
      </c>
      <c r="DI40" s="138">
        <v>38.200000000000003</v>
      </c>
      <c r="DJ40" s="138">
        <v>24</v>
      </c>
      <c r="DN40" s="138">
        <v>38.200000000000003</v>
      </c>
      <c r="DO40" s="138">
        <v>24</v>
      </c>
      <c r="DS40" s="138">
        <v>38.200000000000003</v>
      </c>
      <c r="DT40" s="138">
        <v>24</v>
      </c>
      <c r="DX40" s="138">
        <v>38.200000000000003</v>
      </c>
      <c r="DY40" s="138">
        <v>24</v>
      </c>
      <c r="EC40" s="138">
        <v>38.200000000000003</v>
      </c>
      <c r="ED40" s="138">
        <v>24</v>
      </c>
      <c r="EH40" s="138">
        <v>38.200000000000003</v>
      </c>
      <c r="EI40" s="138">
        <v>24</v>
      </c>
      <c r="EM40" s="138">
        <v>38.200000000000003</v>
      </c>
      <c r="EN40" s="138">
        <v>24</v>
      </c>
      <c r="ER40" s="138">
        <v>38.200000000000003</v>
      </c>
      <c r="ES40" s="138">
        <v>24</v>
      </c>
      <c r="EW40" s="138">
        <v>38.200000000000003</v>
      </c>
      <c r="EX40" s="138">
        <v>24</v>
      </c>
      <c r="FB40" s="138">
        <v>38.200000000000003</v>
      </c>
      <c r="FC40" s="138">
        <v>24</v>
      </c>
    </row>
    <row r="41" spans="1:159">
      <c r="A41" s="87">
        <f t="shared" si="3"/>
        <v>6</v>
      </c>
      <c r="B41" s="83">
        <f>_xll.flu_SPT2025($D$10,$D$12,$D$13,$D$20,$D$15,$D$16,$H$11:$I$27,$O$19:$P$108,FALSE,FALSE,"Cao độ",A41,$D$17)</f>
        <v>5</v>
      </c>
      <c r="C41" s="87" t="str">
        <f>IF(B41="","",_xll.TimTenLoaiDat(B41,$F$11:$H$27))</f>
        <v>Lớp 2</v>
      </c>
      <c r="D41" s="87" t="str">
        <f>IF(B41="","",_xll.TimTinhChatDat(B41,$H$11:$I$27))</f>
        <v>Đất dính</v>
      </c>
      <c r="E41" s="95">
        <f>IF(B41="","",_xll.NoiSuySPT(B41,$O$19:$P$108,$D$16,$D$12,0,0))</f>
        <v>3</v>
      </c>
      <c r="F41" s="95" t="str">
        <f>IF(B41="","",IF(D41="Đất dính","-",_xll.qb_SPT2025($D$10,$D$12,$D$13,B41,$D$16,$H$11:$I$27,$O$19:$P$108)))</f>
        <v>-</v>
      </c>
      <c r="G41" s="95">
        <f>IF(B41="","",IF(D41="Đất dính",_xll.qb_SPT2025($D$10,$D$12,$D$13,B41,$D$16,$H$11:$I$27,$O$19:$P$108),"-"))</f>
        <v>112.5</v>
      </c>
      <c r="H41" s="95">
        <f t="shared" si="1"/>
        <v>88.357293382212902</v>
      </c>
      <c r="I41" s="96">
        <f>_xll.flu_SPT2025($D$10,$D$12,$D$13,$D$20,$D$15,$D$16,$H$11:$I$27,$O$19:$P$108,FALSE,FALSE,"Li",A41,$D$17)</f>
        <v>1</v>
      </c>
      <c r="J41" s="95" t="str">
        <f>IF(D41="Đất dính","-",_xll.flu_SPT2025($D$10,$D$12,$D$13,$D$20,$D$15,$D$16,$H$11:$I$27,$O$19:$P$108,FALSE,FALSE,"f",A41,$D$17))</f>
        <v>-</v>
      </c>
      <c r="K41" s="95">
        <f>IF(B41="","",IF(D41="Đất dính",_xll.flu_SPT2025($D$10,$D$12,$D$13,$D$20,$D$15,$D$16,$H$11:$I$27,$O$19:$P$108,FALSE,FALSE,"f",A41,$D$17),"-"))</f>
        <v>18.75</v>
      </c>
      <c r="L41" s="95">
        <f>_xll.flu_SPT2025($D$10,$D$12,$D$13,$D$20,$D$15,$D$16,$H$11:$I$27,$O$19:$P$108,FALSE,FALSE,"flu",A41,$D$17)</f>
        <v>320.70425005395799</v>
      </c>
      <c r="M41" s="87">
        <f t="shared" si="2"/>
        <v>409.06154343617101</v>
      </c>
      <c r="O41" s="138">
        <v>40.200000000000003</v>
      </c>
      <c r="P41" s="138">
        <v>50</v>
      </c>
      <c r="R41" s="144">
        <v>23</v>
      </c>
      <c r="S41" s="138" t="s">
        <v>967</v>
      </c>
      <c r="W41" s="138">
        <v>40.200000000000003</v>
      </c>
      <c r="X41" s="138">
        <v>50</v>
      </c>
      <c r="AB41" s="138">
        <v>40.200000000000003</v>
      </c>
      <c r="AC41" s="138">
        <v>23</v>
      </c>
      <c r="AG41" s="138">
        <v>40.200000000000003</v>
      </c>
      <c r="AH41" s="138">
        <v>115</v>
      </c>
      <c r="AL41" s="138">
        <v>40.200000000000003</v>
      </c>
      <c r="AM41" s="138">
        <v>50</v>
      </c>
      <c r="AQ41" s="138">
        <v>40.200000000000003</v>
      </c>
      <c r="AR41" s="138">
        <v>50</v>
      </c>
      <c r="AV41" s="138">
        <v>40.200000000000003</v>
      </c>
      <c r="AW41" s="138">
        <v>50</v>
      </c>
      <c r="BA41" s="138">
        <v>40.200000000000003</v>
      </c>
      <c r="BB41" s="138">
        <v>50</v>
      </c>
      <c r="BF41" s="138">
        <v>40.200000000000003</v>
      </c>
      <c r="BG41" s="138">
        <v>50</v>
      </c>
      <c r="BK41" s="138">
        <v>40.200000000000003</v>
      </c>
      <c r="BL41" s="138">
        <v>50</v>
      </c>
      <c r="BP41" s="138">
        <v>40.200000000000003</v>
      </c>
      <c r="BQ41" s="138">
        <v>50</v>
      </c>
      <c r="BU41" s="138">
        <v>40.200000000000003</v>
      </c>
      <c r="BV41" s="138">
        <v>50</v>
      </c>
      <c r="BZ41" s="138">
        <v>40.200000000000003</v>
      </c>
      <c r="CA41" s="138">
        <v>50</v>
      </c>
      <c r="CE41" s="138">
        <v>40.200000000000003</v>
      </c>
      <c r="CF41" s="138">
        <v>50</v>
      </c>
      <c r="CJ41" s="138">
        <v>40.200000000000003</v>
      </c>
      <c r="CK41" s="138">
        <v>50</v>
      </c>
      <c r="CO41" s="138">
        <v>40.200000000000003</v>
      </c>
      <c r="CP41" s="138">
        <v>50</v>
      </c>
      <c r="CT41" s="138">
        <v>40.200000000000003</v>
      </c>
      <c r="CU41" s="138">
        <v>50</v>
      </c>
      <c r="CY41" s="138">
        <v>40.200000000000003</v>
      </c>
      <c r="CZ41" s="138">
        <v>50</v>
      </c>
      <c r="DD41" s="138">
        <v>40.200000000000003</v>
      </c>
      <c r="DE41" s="138">
        <v>50</v>
      </c>
      <c r="DI41" s="138">
        <v>40.200000000000003</v>
      </c>
      <c r="DJ41" s="138">
        <v>50</v>
      </c>
      <c r="DN41" s="138">
        <v>40.200000000000003</v>
      </c>
      <c r="DO41" s="138">
        <v>50</v>
      </c>
      <c r="DS41" s="138">
        <v>40.200000000000003</v>
      </c>
      <c r="DT41" s="138">
        <v>50</v>
      </c>
      <c r="DX41" s="138">
        <v>40.200000000000003</v>
      </c>
      <c r="DY41" s="138">
        <v>50</v>
      </c>
      <c r="EC41" s="138">
        <v>40.200000000000003</v>
      </c>
      <c r="ED41" s="138">
        <v>50</v>
      </c>
      <c r="EH41" s="138">
        <v>40.200000000000003</v>
      </c>
      <c r="EI41" s="138">
        <v>50</v>
      </c>
      <c r="EM41" s="138">
        <v>40.200000000000003</v>
      </c>
      <c r="EN41" s="138">
        <v>50</v>
      </c>
      <c r="ER41" s="138">
        <v>40.200000000000003</v>
      </c>
      <c r="ES41" s="138">
        <v>50</v>
      </c>
      <c r="EW41" s="138">
        <v>40.200000000000003</v>
      </c>
      <c r="EX41" s="138">
        <v>50</v>
      </c>
      <c r="FB41" s="138">
        <v>40.200000000000003</v>
      </c>
      <c r="FC41" s="138">
        <v>50</v>
      </c>
    </row>
    <row r="42" spans="1:159">
      <c r="A42" s="87">
        <f t="shared" si="3"/>
        <v>7</v>
      </c>
      <c r="B42" s="83">
        <f>_xll.flu_SPT2025($D$10,$D$12,$D$13,$D$20,$D$15,$D$16,$H$11:$I$27,$O$19:$P$108,FALSE,FALSE,"Cao độ",A42,$D$17)</f>
        <v>6</v>
      </c>
      <c r="C42" s="87" t="str">
        <f>IF(B42="","",_xll.TimTenLoaiDat(B42,$F$11:$H$27))</f>
        <v>Lớp 2</v>
      </c>
      <c r="D42" s="87" t="str">
        <f>IF(B42="","",_xll.TimTinhChatDat(B42,$H$11:$I$27))</f>
        <v>Đất dính</v>
      </c>
      <c r="E42" s="95">
        <f>IF(B42="","",_xll.NoiSuySPT(B42,$O$19:$P$108,$D$16,$D$12,0,0))</f>
        <v>2.6666666666666701</v>
      </c>
      <c r="F42" s="95" t="str">
        <f>IF(B42="","",IF(D42="Đất dính","-",_xll.qb_SPT2025($D$10,$D$12,$D$13,B42,$D$16,$H$11:$I$27,$O$19:$P$108)))</f>
        <v>-</v>
      </c>
      <c r="G42" s="95">
        <f>IF(B42="","",IF(D42="Đất dính",_xll.qb_SPT2025($D$10,$D$12,$D$13,B42,$D$16,$H$11:$I$27,$O$19:$P$108),"-"))</f>
        <v>100</v>
      </c>
      <c r="H42" s="95">
        <f t="shared" si="1"/>
        <v>78.539816339744803</v>
      </c>
      <c r="I42" s="96">
        <f>_xll.flu_SPT2025($D$10,$D$12,$D$13,$D$20,$D$15,$D$16,$H$11:$I$27,$O$19:$P$108,FALSE,FALSE,"Li",A42,$D$17)</f>
        <v>1</v>
      </c>
      <c r="J42" s="95" t="str">
        <f>IF(D42="Đất dính","-",_xll.flu_SPT2025($D$10,$D$12,$D$13,$D$20,$D$15,$D$16,$H$11:$I$27,$O$19:$P$108,FALSE,FALSE,"f",A42,$D$17))</f>
        <v>-</v>
      </c>
      <c r="K42" s="95">
        <f>IF(B42="","",IF(D42="Đất dính",_xll.flu_SPT2025($D$10,$D$12,$D$13,$D$20,$D$15,$D$16,$H$11:$I$27,$O$19:$P$108,FALSE,FALSE,"f",A42,$D$17),"-"))</f>
        <v>16.6666666666667</v>
      </c>
      <c r="L42" s="95">
        <f>_xll.flu_SPT2025($D$10,$D$12,$D$13,$D$20,$D$15,$D$16,$H$11:$I$27,$O$19:$P$108,FALSE,FALSE,"flu",A42,$D$17)</f>
        <v>373.064127613788</v>
      </c>
      <c r="M42" s="87">
        <f t="shared" si="2"/>
        <v>451.60394395353302</v>
      </c>
      <c r="O42" s="138">
        <v>42.2</v>
      </c>
      <c r="P42" s="138">
        <v>50</v>
      </c>
      <c r="R42" s="144">
        <v>24</v>
      </c>
      <c r="S42" s="138" t="s">
        <v>968</v>
      </c>
      <c r="W42" s="138">
        <v>42.2</v>
      </c>
      <c r="X42" s="138">
        <v>50</v>
      </c>
      <c r="AB42" s="138">
        <v>42.2</v>
      </c>
      <c r="AC42" s="138">
        <v>24</v>
      </c>
      <c r="AG42" s="138">
        <v>42.2</v>
      </c>
      <c r="AH42" s="138">
        <v>120</v>
      </c>
      <c r="AL42" s="138">
        <v>42.2</v>
      </c>
      <c r="AM42" s="138">
        <v>50</v>
      </c>
      <c r="AQ42" s="138">
        <v>42.2</v>
      </c>
      <c r="AR42" s="138">
        <v>50</v>
      </c>
      <c r="AV42" s="138">
        <v>42.2</v>
      </c>
      <c r="AW42" s="138">
        <v>50</v>
      </c>
      <c r="BA42" s="138">
        <v>42.2</v>
      </c>
      <c r="BB42" s="138">
        <v>50</v>
      </c>
      <c r="BF42" s="138">
        <v>42.2</v>
      </c>
      <c r="BG42" s="138">
        <v>50</v>
      </c>
      <c r="BK42" s="138">
        <v>42.2</v>
      </c>
      <c r="BL42" s="138">
        <v>50</v>
      </c>
      <c r="BP42" s="138">
        <v>42.2</v>
      </c>
      <c r="BQ42" s="138">
        <v>50</v>
      </c>
      <c r="BU42" s="138">
        <v>42.2</v>
      </c>
      <c r="BV42" s="138">
        <v>50</v>
      </c>
      <c r="BZ42" s="138">
        <v>42.2</v>
      </c>
      <c r="CA42" s="138">
        <v>50</v>
      </c>
      <c r="CE42" s="138">
        <v>42.2</v>
      </c>
      <c r="CF42" s="138">
        <v>50</v>
      </c>
      <c r="CJ42" s="138">
        <v>42.2</v>
      </c>
      <c r="CK42" s="138">
        <v>50</v>
      </c>
      <c r="CO42" s="138">
        <v>42.2</v>
      </c>
      <c r="CP42" s="138">
        <v>50</v>
      </c>
      <c r="CT42" s="138">
        <v>42.2</v>
      </c>
      <c r="CU42" s="138">
        <v>50</v>
      </c>
      <c r="CY42" s="138">
        <v>42.2</v>
      </c>
      <c r="CZ42" s="138">
        <v>50</v>
      </c>
      <c r="DD42" s="138">
        <v>42.2</v>
      </c>
      <c r="DE42" s="138">
        <v>50</v>
      </c>
      <c r="DI42" s="138">
        <v>42.2</v>
      </c>
      <c r="DJ42" s="138">
        <v>50</v>
      </c>
      <c r="DN42" s="138">
        <v>42.2</v>
      </c>
      <c r="DO42" s="138">
        <v>50</v>
      </c>
      <c r="DS42" s="138">
        <v>42.2</v>
      </c>
      <c r="DT42" s="138">
        <v>50</v>
      </c>
      <c r="DX42" s="138">
        <v>42.2</v>
      </c>
      <c r="DY42" s="138">
        <v>50</v>
      </c>
      <c r="EC42" s="138">
        <v>42.2</v>
      </c>
      <c r="ED42" s="138">
        <v>50</v>
      </c>
      <c r="EH42" s="138">
        <v>42.2</v>
      </c>
      <c r="EI42" s="138">
        <v>50</v>
      </c>
      <c r="EM42" s="138">
        <v>42.2</v>
      </c>
      <c r="EN42" s="138">
        <v>50</v>
      </c>
      <c r="ER42" s="138">
        <v>42.2</v>
      </c>
      <c r="ES42" s="138">
        <v>50</v>
      </c>
      <c r="EW42" s="138">
        <v>42.2</v>
      </c>
      <c r="EX42" s="138">
        <v>50</v>
      </c>
      <c r="FB42" s="138">
        <v>42.2</v>
      </c>
      <c r="FC42" s="138">
        <v>50</v>
      </c>
    </row>
    <row r="43" spans="1:159">
      <c r="A43" s="87">
        <f t="shared" si="3"/>
        <v>8</v>
      </c>
      <c r="B43" s="83">
        <f>_xll.flu_SPT2025($D$10,$D$12,$D$13,$D$20,$D$15,$D$16,$H$11:$I$27,$O$19:$P$108,FALSE,FALSE,"Cao độ",A43,$D$17)</f>
        <v>7</v>
      </c>
      <c r="C43" s="87" t="str">
        <f>IF(B43="","",_xll.TimTenLoaiDat(B43,$F$11:$H$27))</f>
        <v>Lớp 3</v>
      </c>
      <c r="D43" s="87" t="str">
        <f>IF(B43="","",_xll.TimTinhChatDat(B43,$H$11:$I$27))</f>
        <v>Đất dính</v>
      </c>
      <c r="E43" s="95">
        <f>IF(B43="","",_xll.NoiSuySPT(B43,$O$19:$P$108,$D$16,$D$12,0,0))</f>
        <v>2</v>
      </c>
      <c r="F43" s="95" t="str">
        <f>IF(B43="","",IF(D43="Đất dính","-",_xll.qb_SPT2025($D$10,$D$12,$D$13,B43,$D$16,$H$11:$I$27,$O$19:$P$108)))</f>
        <v>-</v>
      </c>
      <c r="G43" s="95">
        <f>IF(B43="","",IF(D43="Đất dính",_xll.qb_SPT2025($D$10,$D$12,$D$13,B43,$D$16,$H$11:$I$27,$O$19:$P$108),"-"))</f>
        <v>75</v>
      </c>
      <c r="H43" s="95">
        <f t="shared" si="1"/>
        <v>58.904862254808599</v>
      </c>
      <c r="I43" s="96">
        <f>_xll.flu_SPT2025($D$10,$D$12,$D$13,$D$20,$D$15,$D$16,$H$11:$I$27,$O$19:$P$108,FALSE,FALSE,"Li",A43,$D$17)</f>
        <v>1</v>
      </c>
      <c r="J43" s="95" t="str">
        <f>IF(D43="Đất dính","-",_xll.flu_SPT2025($D$10,$D$12,$D$13,$D$20,$D$15,$D$16,$H$11:$I$27,$O$19:$P$108,FALSE,FALSE,"f",A43,$D$17))</f>
        <v>-</v>
      </c>
      <c r="K43" s="95">
        <f>IF(B43="","",IF(D43="Đất dính",_xll.flu_SPT2025($D$10,$D$12,$D$13,$D$20,$D$15,$D$16,$H$11:$I$27,$O$19:$P$108,FALSE,FALSE,"f",A43,$D$17),"-"))</f>
        <v>12.5</v>
      </c>
      <c r="L43" s="95">
        <f>_xll.flu_SPT2025($D$10,$D$12,$D$13,$D$20,$D$15,$D$16,$H$11:$I$27,$O$19:$P$108,FALSE,FALSE,"flu",A43,$D$17)</f>
        <v>412.33403578366</v>
      </c>
      <c r="M43" s="87">
        <f t="shared" si="2"/>
        <v>471.23889803846902</v>
      </c>
      <c r="O43" s="138">
        <v>43.2</v>
      </c>
      <c r="P43" s="138">
        <v>50</v>
      </c>
      <c r="R43" s="144">
        <v>25</v>
      </c>
      <c r="S43" s="138" t="s">
        <v>969</v>
      </c>
      <c r="W43" s="138">
        <v>43.2</v>
      </c>
      <c r="X43" s="138">
        <v>50</v>
      </c>
      <c r="AB43" s="138">
        <v>43.2</v>
      </c>
      <c r="AC43" s="138">
        <v>25</v>
      </c>
      <c r="AG43" s="138">
        <v>43.2</v>
      </c>
      <c r="AH43" s="138">
        <v>125</v>
      </c>
      <c r="AL43" s="138">
        <v>43.2</v>
      </c>
      <c r="AM43" s="138">
        <v>50</v>
      </c>
      <c r="AQ43" s="138">
        <v>43.2</v>
      </c>
      <c r="AR43" s="138">
        <v>50</v>
      </c>
      <c r="AV43" s="138">
        <v>43.2</v>
      </c>
      <c r="AW43" s="138">
        <v>50</v>
      </c>
      <c r="BA43" s="138">
        <v>43.2</v>
      </c>
      <c r="BB43" s="138">
        <v>50</v>
      </c>
      <c r="BF43" s="138">
        <v>43.2</v>
      </c>
      <c r="BG43" s="138">
        <v>50</v>
      </c>
      <c r="BK43" s="138">
        <v>43.2</v>
      </c>
      <c r="BL43" s="138">
        <v>50</v>
      </c>
      <c r="BP43" s="138">
        <v>43.2</v>
      </c>
      <c r="BQ43" s="138">
        <v>50</v>
      </c>
      <c r="BU43" s="138">
        <v>43.2</v>
      </c>
      <c r="BV43" s="138">
        <v>50</v>
      </c>
      <c r="BZ43" s="138">
        <v>43.2</v>
      </c>
      <c r="CA43" s="138">
        <v>50</v>
      </c>
      <c r="CE43" s="138">
        <v>43.2</v>
      </c>
      <c r="CF43" s="138">
        <v>50</v>
      </c>
      <c r="CJ43" s="138">
        <v>43.2</v>
      </c>
      <c r="CK43" s="138">
        <v>50</v>
      </c>
      <c r="CO43" s="138">
        <v>43.2</v>
      </c>
      <c r="CP43" s="138">
        <v>50</v>
      </c>
      <c r="CT43" s="138">
        <v>43.2</v>
      </c>
      <c r="CU43" s="138">
        <v>50</v>
      </c>
      <c r="CY43" s="138">
        <v>43.2</v>
      </c>
      <c r="CZ43" s="138">
        <v>50</v>
      </c>
      <c r="DD43" s="138">
        <v>43.2</v>
      </c>
      <c r="DE43" s="138">
        <v>50</v>
      </c>
      <c r="DI43" s="138">
        <v>43.2</v>
      </c>
      <c r="DJ43" s="138">
        <v>50</v>
      </c>
      <c r="DN43" s="138">
        <v>43.2</v>
      </c>
      <c r="DO43" s="138">
        <v>50</v>
      </c>
      <c r="DS43" s="138">
        <v>43.2</v>
      </c>
      <c r="DT43" s="138">
        <v>50</v>
      </c>
      <c r="DX43" s="138">
        <v>43.2</v>
      </c>
      <c r="DY43" s="138">
        <v>50</v>
      </c>
      <c r="EC43" s="138">
        <v>43.2</v>
      </c>
      <c r="ED43" s="138">
        <v>50</v>
      </c>
      <c r="EH43" s="138">
        <v>43.2</v>
      </c>
      <c r="EI43" s="138">
        <v>50</v>
      </c>
      <c r="EM43" s="138">
        <v>43.2</v>
      </c>
      <c r="EN43" s="138">
        <v>50</v>
      </c>
      <c r="ER43" s="138">
        <v>43.2</v>
      </c>
      <c r="ES43" s="138">
        <v>50</v>
      </c>
      <c r="EW43" s="138">
        <v>43.2</v>
      </c>
      <c r="EX43" s="138">
        <v>50</v>
      </c>
      <c r="FB43" s="138">
        <v>43.2</v>
      </c>
      <c r="FC43" s="138">
        <v>50</v>
      </c>
    </row>
    <row r="44" spans="1:159">
      <c r="A44" s="87">
        <f t="shared" si="3"/>
        <v>9</v>
      </c>
      <c r="B44" s="83">
        <f>_xll.flu_SPT2025($D$10,$D$12,$D$13,$D$20,$D$15,$D$16,$H$11:$I$27,$O$19:$P$108,FALSE,FALSE,"Cao độ",A44,$D$17)</f>
        <v>8</v>
      </c>
      <c r="C44" s="87" t="str">
        <f>IF(B44="","",_xll.TimTenLoaiDat(B44,$F$11:$H$27))</f>
        <v>Lớp 3</v>
      </c>
      <c r="D44" s="87" t="str">
        <f>IF(B44="","",_xll.TimTinhChatDat(B44,$H$11:$I$27))</f>
        <v>Đất dính</v>
      </c>
      <c r="E44" s="95">
        <f>IF(B44="","",_xll.NoiSuySPT(B44,$O$19:$P$108,$D$16,$D$12,0,0))</f>
        <v>4</v>
      </c>
      <c r="F44" s="95" t="str">
        <f>IF(B44="","",IF(D44="Đất dính","-",_xll.qb_SPT2025($D$10,$D$12,$D$13,B44,$D$16,$H$11:$I$27,$O$19:$P$108)))</f>
        <v>-</v>
      </c>
      <c r="G44" s="95">
        <f>IF(B44="","",IF(D44="Đất dính",_xll.qb_SPT2025($D$10,$D$12,$D$13,B44,$D$16,$H$11:$I$27,$O$19:$P$108),"-"))</f>
        <v>150</v>
      </c>
      <c r="H44" s="95">
        <f t="shared" si="1"/>
        <v>117.809724509617</v>
      </c>
      <c r="I44" s="96">
        <f>_xll.flu_SPT2025($D$10,$D$12,$D$13,$D$20,$D$15,$D$16,$H$11:$I$27,$O$19:$P$108,FALSE,FALSE,"Li",A44,$D$17)</f>
        <v>1</v>
      </c>
      <c r="J44" s="95" t="str">
        <f>IF(D44="Đất dính","-",_xll.flu_SPT2025($D$10,$D$12,$D$13,$D$20,$D$15,$D$16,$H$11:$I$27,$O$19:$P$108,FALSE,FALSE,"f",A44,$D$17))</f>
        <v>-</v>
      </c>
      <c r="K44" s="95">
        <f>IF(B44="","",IF(D44="Đất dính",_xll.flu_SPT2025($D$10,$D$12,$D$13,$D$20,$D$15,$D$16,$H$11:$I$27,$O$19:$P$108,FALSE,FALSE,"f",A44,$D$17),"-"))</f>
        <v>25</v>
      </c>
      <c r="L44" s="95">
        <f>_xll.flu_SPT2025($D$10,$D$12,$D$13,$D$20,$D$15,$D$16,$H$11:$I$27,$O$19:$P$108,FALSE,FALSE,"flu",A44,$D$17)</f>
        <v>490.87385212340502</v>
      </c>
      <c r="M44" s="87">
        <f t="shared" si="2"/>
        <v>608.68357663302197</v>
      </c>
      <c r="O44" s="138">
        <v>45.2</v>
      </c>
      <c r="P44" s="138">
        <v>50</v>
      </c>
      <c r="R44" s="144">
        <v>26</v>
      </c>
      <c r="S44" s="138" t="s">
        <v>970</v>
      </c>
      <c r="W44" s="138">
        <v>45.2</v>
      </c>
      <c r="X44" s="138">
        <v>50</v>
      </c>
      <c r="AB44" s="138">
        <v>45.2</v>
      </c>
      <c r="AC44" s="138">
        <v>26</v>
      </c>
      <c r="AG44" s="138">
        <v>45.2</v>
      </c>
      <c r="AH44" s="138">
        <v>130</v>
      </c>
      <c r="AL44" s="138">
        <v>45.2</v>
      </c>
      <c r="AM44" s="138">
        <v>50</v>
      </c>
      <c r="AQ44" s="138">
        <v>45.2</v>
      </c>
      <c r="AR44" s="138">
        <v>50</v>
      </c>
      <c r="AV44" s="138">
        <v>45.2</v>
      </c>
      <c r="AW44" s="138">
        <v>50</v>
      </c>
      <c r="BA44" s="138">
        <v>45.2</v>
      </c>
      <c r="BB44" s="138">
        <v>50</v>
      </c>
      <c r="BF44" s="138">
        <v>45.2</v>
      </c>
      <c r="BG44" s="138">
        <v>50</v>
      </c>
      <c r="BK44" s="138">
        <v>45.2</v>
      </c>
      <c r="BL44" s="138">
        <v>50</v>
      </c>
      <c r="BP44" s="138">
        <v>45.2</v>
      </c>
      <c r="BQ44" s="138">
        <v>50</v>
      </c>
      <c r="BU44" s="138">
        <v>45.2</v>
      </c>
      <c r="BV44" s="138">
        <v>50</v>
      </c>
      <c r="BZ44" s="138">
        <v>45.2</v>
      </c>
      <c r="CA44" s="138">
        <v>50</v>
      </c>
      <c r="CE44" s="138">
        <v>45.2</v>
      </c>
      <c r="CF44" s="138">
        <v>50</v>
      </c>
      <c r="CJ44" s="138">
        <v>45.2</v>
      </c>
      <c r="CK44" s="138">
        <v>50</v>
      </c>
      <c r="CO44" s="138">
        <v>45.2</v>
      </c>
      <c r="CP44" s="138">
        <v>50</v>
      </c>
      <c r="CT44" s="138">
        <v>45.2</v>
      </c>
      <c r="CU44" s="138">
        <v>50</v>
      </c>
      <c r="CY44" s="138">
        <v>45.2</v>
      </c>
      <c r="CZ44" s="138">
        <v>50</v>
      </c>
      <c r="DD44" s="138">
        <v>45.2</v>
      </c>
      <c r="DE44" s="138">
        <v>50</v>
      </c>
      <c r="DI44" s="138">
        <v>45.2</v>
      </c>
      <c r="DJ44" s="138">
        <v>50</v>
      </c>
      <c r="DN44" s="138">
        <v>45.2</v>
      </c>
      <c r="DO44" s="138">
        <v>50</v>
      </c>
      <c r="DS44" s="138">
        <v>45.2</v>
      </c>
      <c r="DT44" s="138">
        <v>50</v>
      </c>
      <c r="DX44" s="138">
        <v>45.2</v>
      </c>
      <c r="DY44" s="138">
        <v>50</v>
      </c>
      <c r="EC44" s="138">
        <v>45.2</v>
      </c>
      <c r="ED44" s="138">
        <v>50</v>
      </c>
      <c r="EH44" s="138">
        <v>45.2</v>
      </c>
      <c r="EI44" s="138">
        <v>50</v>
      </c>
      <c r="EM44" s="138">
        <v>45.2</v>
      </c>
      <c r="EN44" s="138">
        <v>50</v>
      </c>
      <c r="ER44" s="138">
        <v>45.2</v>
      </c>
      <c r="ES44" s="138">
        <v>50</v>
      </c>
      <c r="EW44" s="138">
        <v>45.2</v>
      </c>
      <c r="EX44" s="138">
        <v>50</v>
      </c>
      <c r="FB44" s="138">
        <v>45.2</v>
      </c>
      <c r="FC44" s="138">
        <v>50</v>
      </c>
    </row>
    <row r="45" spans="1:159">
      <c r="A45" s="87">
        <f t="shared" si="3"/>
        <v>10</v>
      </c>
      <c r="B45" s="83">
        <f>_xll.flu_SPT2025($D$10,$D$12,$D$13,$D$20,$D$15,$D$16,$H$11:$I$27,$O$19:$P$108,FALSE,FALSE,"Cao độ",A45,$D$17)</f>
        <v>9</v>
      </c>
      <c r="C45" s="87" t="str">
        <f>IF(B45="","",_xll.TimTenLoaiDat(B45,$F$11:$H$27))</f>
        <v>Lớp 3</v>
      </c>
      <c r="D45" s="87" t="str">
        <f>IF(B45="","",_xll.TimTinhChatDat(B45,$H$11:$I$27))</f>
        <v>Đất dính</v>
      </c>
      <c r="E45" s="95">
        <f>IF(B45="","",_xll.NoiSuySPT(B45,$O$19:$P$108,$D$16,$D$12,0,0))</f>
        <v>6</v>
      </c>
      <c r="F45" s="95" t="str">
        <f>IF(B45="","",IF(D45="Đất dính","-",_xll.qb_SPT2025($D$10,$D$12,$D$13,B45,$D$16,$H$11:$I$27,$O$19:$P$108)))</f>
        <v>-</v>
      </c>
      <c r="G45" s="95">
        <f>IF(B45="","",IF(D45="Đất dính",_xll.qb_SPT2025($D$10,$D$12,$D$13,B45,$D$16,$H$11:$I$27,$O$19:$P$108),"-"))</f>
        <v>225</v>
      </c>
      <c r="H45" s="95">
        <f t="shared" si="1"/>
        <v>176.714586764426</v>
      </c>
      <c r="I45" s="96">
        <f>_xll.flu_SPT2025($D$10,$D$12,$D$13,$D$20,$D$15,$D$16,$H$11:$I$27,$O$19:$P$108,FALSE,FALSE,"Li",A45,$D$17)</f>
        <v>1</v>
      </c>
      <c r="J45" s="95" t="str">
        <f>IF(D45="Đất dính","-",_xll.flu_SPT2025($D$10,$D$12,$D$13,$D$20,$D$15,$D$16,$H$11:$I$27,$O$19:$P$108,FALSE,FALSE,"f",A45,$D$17))</f>
        <v>-</v>
      </c>
      <c r="K45" s="95">
        <f>IF(B45="","",IF(D45="Đất dính",_xll.flu_SPT2025($D$10,$D$12,$D$13,$D$20,$D$15,$D$16,$H$11:$I$27,$O$19:$P$108,FALSE,FALSE,"f",A45,$D$17),"-"))</f>
        <v>37.5</v>
      </c>
      <c r="L45" s="95">
        <f>_xll.flu_SPT2025($D$10,$D$12,$D$13,$D$20,$D$15,$D$16,$H$11:$I$27,$O$19:$P$108,FALSE,FALSE,"flu",A45,$D$17)</f>
        <v>608.68357663302197</v>
      </c>
      <c r="M45" s="87">
        <f t="shared" si="2"/>
        <v>785.398163397448</v>
      </c>
      <c r="O45" s="138">
        <v>45.2</v>
      </c>
      <c r="P45" s="138">
        <v>50</v>
      </c>
      <c r="R45" s="144">
        <v>27</v>
      </c>
      <c r="S45" s="138" t="s">
        <v>971</v>
      </c>
      <c r="W45" s="138">
        <v>45.2</v>
      </c>
      <c r="X45" s="138">
        <v>50</v>
      </c>
      <c r="AB45" s="138">
        <v>45.2</v>
      </c>
      <c r="AC45" s="138">
        <v>27</v>
      </c>
      <c r="AG45" s="138">
        <v>45.2</v>
      </c>
      <c r="AH45" s="138">
        <v>135</v>
      </c>
      <c r="AL45" s="138">
        <v>45.2</v>
      </c>
      <c r="AM45" s="138">
        <v>50</v>
      </c>
      <c r="AQ45" s="138">
        <v>45.2</v>
      </c>
      <c r="AR45" s="138">
        <v>50</v>
      </c>
      <c r="AV45" s="138">
        <v>45.2</v>
      </c>
      <c r="AW45" s="138">
        <v>50</v>
      </c>
      <c r="BA45" s="138">
        <v>45.2</v>
      </c>
      <c r="BB45" s="138">
        <v>50</v>
      </c>
      <c r="BF45" s="138">
        <v>45.2</v>
      </c>
      <c r="BG45" s="138">
        <v>50</v>
      </c>
      <c r="BK45" s="138">
        <v>45.2</v>
      </c>
      <c r="BL45" s="138">
        <v>50</v>
      </c>
      <c r="BP45" s="138">
        <v>45.2</v>
      </c>
      <c r="BQ45" s="138">
        <v>50</v>
      </c>
      <c r="BU45" s="138">
        <v>45.2</v>
      </c>
      <c r="BV45" s="138">
        <v>50</v>
      </c>
      <c r="BZ45" s="138">
        <v>45.2</v>
      </c>
      <c r="CA45" s="138">
        <v>50</v>
      </c>
      <c r="CE45" s="138">
        <v>45.2</v>
      </c>
      <c r="CF45" s="138">
        <v>50</v>
      </c>
      <c r="CJ45" s="138">
        <v>45.2</v>
      </c>
      <c r="CK45" s="138">
        <v>50</v>
      </c>
      <c r="CO45" s="138">
        <v>45.2</v>
      </c>
      <c r="CP45" s="138">
        <v>50</v>
      </c>
      <c r="CT45" s="138">
        <v>45.2</v>
      </c>
      <c r="CU45" s="138">
        <v>50</v>
      </c>
      <c r="CY45" s="138">
        <v>45.2</v>
      </c>
      <c r="CZ45" s="138">
        <v>50</v>
      </c>
      <c r="DD45" s="138">
        <v>45.2</v>
      </c>
      <c r="DE45" s="138">
        <v>50</v>
      </c>
      <c r="DI45" s="138">
        <v>45.2</v>
      </c>
      <c r="DJ45" s="138">
        <v>50</v>
      </c>
      <c r="DN45" s="138">
        <v>45.2</v>
      </c>
      <c r="DO45" s="138">
        <v>50</v>
      </c>
      <c r="DS45" s="138">
        <v>45.2</v>
      </c>
      <c r="DT45" s="138">
        <v>50</v>
      </c>
      <c r="DX45" s="138">
        <v>45.2</v>
      </c>
      <c r="DY45" s="138">
        <v>50</v>
      </c>
      <c r="EC45" s="138">
        <v>45.2</v>
      </c>
      <c r="ED45" s="138">
        <v>50</v>
      </c>
      <c r="EH45" s="138">
        <v>45.2</v>
      </c>
      <c r="EI45" s="138">
        <v>50</v>
      </c>
      <c r="EM45" s="138">
        <v>45.2</v>
      </c>
      <c r="EN45" s="138">
        <v>50</v>
      </c>
      <c r="ER45" s="138">
        <v>45.2</v>
      </c>
      <c r="ES45" s="138">
        <v>50</v>
      </c>
      <c r="EW45" s="138">
        <v>45.2</v>
      </c>
      <c r="EX45" s="138">
        <v>50</v>
      </c>
      <c r="FB45" s="138">
        <v>45.2</v>
      </c>
      <c r="FC45" s="138">
        <v>50</v>
      </c>
    </row>
    <row r="46" spans="1:159">
      <c r="A46" s="87">
        <f t="shared" si="3"/>
        <v>11</v>
      </c>
      <c r="B46" s="83">
        <f>_xll.flu_SPT2025($D$10,$D$12,$D$13,$D$20,$D$15,$D$16,$H$11:$I$27,$O$19:$P$108,FALSE,FALSE,"Cao độ",A46,$D$17)</f>
        <v>10</v>
      </c>
      <c r="C46" s="87" t="str">
        <f>IF(B46="","",_xll.TimTenLoaiDat(B46,$F$11:$H$27))</f>
        <v>Lớp 3</v>
      </c>
      <c r="D46" s="87" t="str">
        <f>IF(B46="","",_xll.TimTinhChatDat(B46,$H$11:$I$27))</f>
        <v>Đất dính</v>
      </c>
      <c r="E46" s="95">
        <f>IF(B46="","",_xll.NoiSuySPT(B46,$O$19:$P$108,$D$16,$D$12,0,0))</f>
        <v>7.3333333333333304</v>
      </c>
      <c r="F46" s="95" t="str">
        <f>IF(B46="","",IF(D46="Đất dính","-",_xll.qb_SPT2025($D$10,$D$12,$D$13,B46,$D$16,$H$11:$I$27,$O$19:$P$108)))</f>
        <v>-</v>
      </c>
      <c r="G46" s="95">
        <f>IF(B46="","",IF(D46="Đất dính",_xll.qb_SPT2025($D$10,$D$12,$D$13,B46,$D$16,$H$11:$I$27,$O$19:$P$108),"-"))</f>
        <v>275</v>
      </c>
      <c r="H46" s="95">
        <f t="shared" si="1"/>
        <v>215.984494934298</v>
      </c>
      <c r="I46" s="96">
        <f>_xll.flu_SPT2025($D$10,$D$12,$D$13,$D$20,$D$15,$D$16,$H$11:$I$27,$O$19:$P$108,FALSE,FALSE,"Li",A46,$D$17)</f>
        <v>0.5</v>
      </c>
      <c r="J46" s="95" t="str">
        <f>IF(D46="Đất dính","-",_xll.flu_SPT2025($D$10,$D$12,$D$13,$D$20,$D$15,$D$16,$H$11:$I$27,$O$19:$P$108,FALSE,FALSE,"f",A46,$D$17))</f>
        <v>-</v>
      </c>
      <c r="K46" s="95">
        <f>IF(B46="","",IF(D46="Đất dính",_xll.flu_SPT2025($D$10,$D$12,$D$13,$D$20,$D$15,$D$16,$H$11:$I$27,$O$19:$P$108,FALSE,FALSE,"f",A46,$D$17),"-"))</f>
        <v>45.8333333333333</v>
      </c>
      <c r="L46" s="95">
        <f>_xll.flu_SPT2025($D$10,$D$12,$D$13,$D$20,$D$15,$D$16,$H$11:$I$27,$O$19:$P$108,FALSE,FALSE,"flu",A46,$D$17)</f>
        <v>680.678408277789</v>
      </c>
      <c r="M46" s="87">
        <f t="shared" si="2"/>
        <v>896.66290321208703</v>
      </c>
      <c r="O46" s="138">
        <v>45.2</v>
      </c>
      <c r="P46" s="138">
        <v>50</v>
      </c>
      <c r="R46" s="144">
        <v>28</v>
      </c>
      <c r="S46" s="138" t="s">
        <v>972</v>
      </c>
      <c r="W46" s="138">
        <v>45.2</v>
      </c>
      <c r="X46" s="138">
        <v>50</v>
      </c>
      <c r="AB46" s="138">
        <v>45.2</v>
      </c>
      <c r="AC46" s="138">
        <v>28</v>
      </c>
      <c r="AG46" s="138">
        <v>45.2</v>
      </c>
      <c r="AH46" s="138">
        <v>140</v>
      </c>
      <c r="AL46" s="138">
        <v>45.2</v>
      </c>
      <c r="AM46" s="138">
        <v>50</v>
      </c>
      <c r="AQ46" s="138">
        <v>45.2</v>
      </c>
      <c r="AR46" s="138">
        <v>50</v>
      </c>
      <c r="AV46" s="138">
        <v>45.2</v>
      </c>
      <c r="AW46" s="138">
        <v>50</v>
      </c>
      <c r="BA46" s="138">
        <v>45.2</v>
      </c>
      <c r="BB46" s="138">
        <v>50</v>
      </c>
      <c r="BF46" s="138">
        <v>45.2</v>
      </c>
      <c r="BG46" s="138">
        <v>50</v>
      </c>
      <c r="BK46" s="138">
        <v>45.2</v>
      </c>
      <c r="BL46" s="138">
        <v>50</v>
      </c>
      <c r="BP46" s="138">
        <v>45.2</v>
      </c>
      <c r="BQ46" s="138">
        <v>50</v>
      </c>
      <c r="BU46" s="138">
        <v>45.2</v>
      </c>
      <c r="BV46" s="138">
        <v>50</v>
      </c>
      <c r="BZ46" s="138">
        <v>45.2</v>
      </c>
      <c r="CA46" s="138">
        <v>50</v>
      </c>
      <c r="CE46" s="138">
        <v>45.2</v>
      </c>
      <c r="CF46" s="138">
        <v>50</v>
      </c>
      <c r="CJ46" s="138">
        <v>45.2</v>
      </c>
      <c r="CK46" s="138">
        <v>50</v>
      </c>
      <c r="CO46" s="138">
        <v>45.2</v>
      </c>
      <c r="CP46" s="138">
        <v>50</v>
      </c>
      <c r="CT46" s="138">
        <v>45.2</v>
      </c>
      <c r="CU46" s="138">
        <v>50</v>
      </c>
      <c r="CY46" s="138">
        <v>45.2</v>
      </c>
      <c r="CZ46" s="138">
        <v>50</v>
      </c>
      <c r="DD46" s="138">
        <v>45.2</v>
      </c>
      <c r="DE46" s="138">
        <v>50</v>
      </c>
      <c r="DI46" s="138">
        <v>45.2</v>
      </c>
      <c r="DJ46" s="138">
        <v>50</v>
      </c>
      <c r="DN46" s="138">
        <v>45.2</v>
      </c>
      <c r="DO46" s="138">
        <v>50</v>
      </c>
      <c r="DS46" s="138">
        <v>45.2</v>
      </c>
      <c r="DT46" s="138">
        <v>50</v>
      </c>
      <c r="DX46" s="138">
        <v>45.2</v>
      </c>
      <c r="DY46" s="138">
        <v>50</v>
      </c>
      <c r="EC46" s="138">
        <v>45.2</v>
      </c>
      <c r="ED46" s="138">
        <v>50</v>
      </c>
      <c r="EH46" s="138">
        <v>45.2</v>
      </c>
      <c r="EI46" s="138">
        <v>50</v>
      </c>
      <c r="EM46" s="138">
        <v>45.2</v>
      </c>
      <c r="EN46" s="138">
        <v>50</v>
      </c>
      <c r="ER46" s="138">
        <v>45.2</v>
      </c>
      <c r="ES46" s="138">
        <v>50</v>
      </c>
      <c r="EW46" s="138">
        <v>45.2</v>
      </c>
      <c r="EX46" s="138">
        <v>50</v>
      </c>
      <c r="FB46" s="138">
        <v>45.2</v>
      </c>
      <c r="FC46" s="138">
        <v>50</v>
      </c>
    </row>
    <row r="47" spans="1:159">
      <c r="A47" s="87">
        <f t="shared" si="3"/>
        <v>12</v>
      </c>
      <c r="B47" s="83">
        <f>_xll.flu_SPT2025($D$10,$D$12,$D$13,$D$20,$D$15,$D$16,$H$11:$I$27,$O$19:$P$108,FALSE,FALSE,"Cao độ",A47,$D$17)</f>
        <v>10.5</v>
      </c>
      <c r="C47" s="87" t="str">
        <f>IF(B47="","",_xll.TimTenLoaiDat(B47,$F$11:$H$27))</f>
        <v>Lớp 4</v>
      </c>
      <c r="D47" s="87" t="str">
        <f>IF(B47="","",_xll.TimTinhChatDat(B47,$H$11:$I$27))</f>
        <v>Đất dính</v>
      </c>
      <c r="E47" s="95">
        <f>IF(B47="","",_xll.NoiSuySPT(B47,$O$19:$P$108,$D$16,$D$12,0,0))</f>
        <v>8</v>
      </c>
      <c r="F47" s="95" t="str">
        <f>IF(B47="","",IF(D47="Đất dính","-",_xll.qb_SPT2025($D$10,$D$12,$D$13,B47,$D$16,$H$11:$I$27,$O$19:$P$108)))</f>
        <v>-</v>
      </c>
      <c r="G47" s="95">
        <f>IF(B47="","",IF(D47="Đất dính",_xll.qb_SPT2025($D$10,$D$12,$D$13,B47,$D$16,$H$11:$I$27,$O$19:$P$108),"-"))</f>
        <v>300</v>
      </c>
      <c r="H47" s="95">
        <f t="shared" si="1"/>
        <v>235.619449019234</v>
      </c>
      <c r="I47" s="96">
        <f>_xll.flu_SPT2025($D$10,$D$12,$D$13,$D$20,$D$15,$D$16,$H$11:$I$27,$O$19:$P$108,FALSE,FALSE,"Li",A47,$D$17)</f>
        <v>0.5</v>
      </c>
      <c r="J47" s="95" t="str">
        <f>IF(D47="Đất dính","-",_xll.flu_SPT2025($D$10,$D$12,$D$13,$D$20,$D$15,$D$16,$H$11:$I$27,$O$19:$P$108,FALSE,FALSE,"f",A47,$D$17))</f>
        <v>-</v>
      </c>
      <c r="K47" s="95">
        <f>IF(B47="","",IF(D47="Đất dính",_xll.flu_SPT2025($D$10,$D$12,$D$13,$D$20,$D$15,$D$16,$H$11:$I$27,$O$19:$P$108,FALSE,FALSE,"f",A47,$D$17),"-"))</f>
        <v>50</v>
      </c>
      <c r="L47" s="95">
        <f>_xll.flu_SPT2025($D$10,$D$12,$D$13,$D$20,$D$15,$D$16,$H$11:$I$27,$O$19:$P$108,FALSE,FALSE,"flu",A47,$D$17)</f>
        <v>759.218224617533</v>
      </c>
      <c r="M47" s="87">
        <f t="shared" si="2"/>
        <v>994.83767363676805</v>
      </c>
      <c r="O47" s="142">
        <v>100</v>
      </c>
      <c r="P47" s="142">
        <v>50</v>
      </c>
      <c r="W47" s="142">
        <v>100</v>
      </c>
      <c r="X47" s="142">
        <v>50</v>
      </c>
      <c r="AB47" s="142">
        <v>100</v>
      </c>
      <c r="AC47" s="138">
        <v>29</v>
      </c>
      <c r="AG47" s="142">
        <v>100</v>
      </c>
      <c r="AH47" s="138">
        <v>145</v>
      </c>
      <c r="AL47" s="142">
        <v>100</v>
      </c>
      <c r="AM47" s="142">
        <v>50</v>
      </c>
      <c r="AQ47" s="142">
        <v>100</v>
      </c>
      <c r="AR47" s="142">
        <v>50</v>
      </c>
      <c r="AV47" s="142">
        <v>100</v>
      </c>
      <c r="AW47" s="142">
        <v>50</v>
      </c>
      <c r="BA47" s="142">
        <v>100</v>
      </c>
      <c r="BB47" s="142">
        <v>50</v>
      </c>
      <c r="BF47" s="142">
        <v>100</v>
      </c>
      <c r="BG47" s="142">
        <v>50</v>
      </c>
      <c r="BK47" s="142">
        <v>100</v>
      </c>
      <c r="BL47" s="142">
        <v>50</v>
      </c>
      <c r="BP47" s="142">
        <v>100</v>
      </c>
      <c r="BQ47" s="142">
        <v>50</v>
      </c>
      <c r="BU47" s="142">
        <v>100</v>
      </c>
      <c r="BV47" s="142">
        <v>50</v>
      </c>
      <c r="BZ47" s="142">
        <v>100</v>
      </c>
      <c r="CA47" s="142">
        <v>50</v>
      </c>
      <c r="CE47" s="142">
        <v>100</v>
      </c>
      <c r="CF47" s="142">
        <v>50</v>
      </c>
      <c r="CJ47" s="142">
        <v>100</v>
      </c>
      <c r="CK47" s="142">
        <v>50</v>
      </c>
      <c r="CO47" s="142">
        <v>100</v>
      </c>
      <c r="CP47" s="142">
        <v>50</v>
      </c>
      <c r="CT47" s="142">
        <v>100</v>
      </c>
      <c r="CU47" s="142">
        <v>50</v>
      </c>
      <c r="CY47" s="142">
        <v>100</v>
      </c>
      <c r="CZ47" s="142">
        <v>50</v>
      </c>
      <c r="DD47" s="142">
        <v>100</v>
      </c>
      <c r="DE47" s="142">
        <v>50</v>
      </c>
      <c r="DI47" s="142">
        <v>100</v>
      </c>
      <c r="DJ47" s="142">
        <v>50</v>
      </c>
      <c r="DN47" s="142">
        <v>100</v>
      </c>
      <c r="DO47" s="142">
        <v>50</v>
      </c>
      <c r="DS47" s="142">
        <v>100</v>
      </c>
      <c r="DT47" s="142">
        <v>50</v>
      </c>
      <c r="DX47" s="142">
        <v>100</v>
      </c>
      <c r="DY47" s="142">
        <v>50</v>
      </c>
      <c r="EC47" s="142">
        <v>100</v>
      </c>
      <c r="ED47" s="142">
        <v>50</v>
      </c>
      <c r="EH47" s="142">
        <v>100</v>
      </c>
      <c r="EI47" s="142">
        <v>50</v>
      </c>
      <c r="EM47" s="142">
        <v>100</v>
      </c>
      <c r="EN47" s="142">
        <v>50</v>
      </c>
      <c r="ER47" s="142">
        <v>100</v>
      </c>
      <c r="ES47" s="142">
        <v>50</v>
      </c>
      <c r="EW47" s="142">
        <v>100</v>
      </c>
      <c r="EX47" s="142">
        <v>50</v>
      </c>
      <c r="FB47" s="142">
        <v>100</v>
      </c>
      <c r="FC47" s="142">
        <v>50</v>
      </c>
    </row>
    <row r="48" spans="1:159">
      <c r="A48" s="87">
        <f t="shared" si="3"/>
        <v>13</v>
      </c>
      <c r="B48" s="83">
        <f>_xll.flu_SPT2025($D$10,$D$12,$D$13,$D$20,$D$15,$D$16,$H$11:$I$27,$O$19:$P$108,FALSE,FALSE,"Cao độ",A48,$D$17)</f>
        <v>11</v>
      </c>
      <c r="C48" s="87" t="str">
        <f>IF(B48="","",_xll.TimTenLoaiDat(B48,$F$11:$H$27))</f>
        <v>Lớp 4</v>
      </c>
      <c r="D48" s="87" t="str">
        <f>IF(B48="","",_xll.TimTinhChatDat(B48,$H$11:$I$27))</f>
        <v>Đất dính</v>
      </c>
      <c r="E48" s="95">
        <f>IF(B48="","",_xll.NoiSuySPT(B48,$O$19:$P$108,$D$16,$D$12,0,0))</f>
        <v>9.1764705882353006</v>
      </c>
      <c r="F48" s="95" t="str">
        <f>IF(B48="","",IF(D48="Đất dính","-",_xll.qb_SPT2025($D$10,$D$12,$D$13,B48,$D$16,$H$11:$I$27,$O$19:$P$108)))</f>
        <v>-</v>
      </c>
      <c r="G48" s="95">
        <f>IF(B48="","",IF(D48="Đất dính",_xll.qb_SPT2025($D$10,$D$12,$D$13,B48,$D$16,$H$11:$I$27,$O$19:$P$108),"-"))</f>
        <v>344.11764705882399</v>
      </c>
      <c r="H48" s="95">
        <f t="shared" si="1"/>
        <v>270.26936799265098</v>
      </c>
      <c r="I48" s="96">
        <f>_xll.flu_SPT2025($D$10,$D$12,$D$13,$D$20,$D$15,$D$16,$H$11:$I$27,$O$19:$P$108,FALSE,FALSE,"Li",A48,$D$17)</f>
        <v>1</v>
      </c>
      <c r="J48" s="95" t="str">
        <f>IF(D48="Đất dính","-",_xll.flu_SPT2025($D$10,$D$12,$D$13,$D$20,$D$15,$D$16,$H$11:$I$27,$O$19:$P$108,FALSE,FALSE,"f",A48,$D$17))</f>
        <v>-</v>
      </c>
      <c r="K48" s="95">
        <f>IF(B48="","",IF(D48="Đất dính",_xll.flu_SPT2025($D$10,$D$12,$D$13,$D$20,$D$15,$D$16,$H$11:$I$27,$O$19:$P$108,FALSE,FALSE,"f",A48,$D$17),"-"))</f>
        <v>57.352941176470601</v>
      </c>
      <c r="L48" s="95">
        <f>_xll.flu_SPT2025($D$10,$D$12,$D$13,$D$20,$D$15,$D$16,$H$11:$I$27,$O$19:$P$108,FALSE,FALSE,"flu",A48,$D$17)</f>
        <v>939.397803279301</v>
      </c>
      <c r="M48" s="87">
        <f t="shared" si="2"/>
        <v>1209.6671712719501</v>
      </c>
      <c r="O48" s="142"/>
      <c r="P48" s="142"/>
      <c r="W48" s="142"/>
      <c r="X48" s="142"/>
      <c r="AB48" s="142"/>
      <c r="AC48" s="142"/>
      <c r="AG48" s="142"/>
      <c r="AH48" s="142"/>
      <c r="AL48" s="142"/>
      <c r="AM48" s="142"/>
      <c r="AQ48" s="142"/>
      <c r="AR48" s="142"/>
      <c r="AV48" s="142"/>
      <c r="AW48" s="142"/>
      <c r="BA48" s="142"/>
      <c r="BB48" s="142"/>
      <c r="BF48" s="142"/>
      <c r="BG48" s="142"/>
      <c r="BK48" s="142"/>
      <c r="BL48" s="142"/>
      <c r="BP48" s="142"/>
      <c r="BQ48" s="142"/>
      <c r="BU48" s="142"/>
      <c r="BV48" s="142"/>
      <c r="BZ48" s="142"/>
      <c r="CA48" s="142"/>
      <c r="CE48" s="142"/>
      <c r="CF48" s="142"/>
      <c r="CJ48" s="142"/>
      <c r="CK48" s="142"/>
      <c r="CO48" s="142"/>
      <c r="CP48" s="142"/>
      <c r="CT48" s="142"/>
      <c r="CU48" s="142"/>
      <c r="CY48" s="142"/>
      <c r="CZ48" s="142"/>
      <c r="DD48" s="142"/>
      <c r="DE48" s="142"/>
      <c r="DI48" s="142"/>
      <c r="DJ48" s="142"/>
      <c r="DN48" s="142"/>
      <c r="DO48" s="142"/>
      <c r="DS48" s="142"/>
      <c r="DT48" s="142"/>
      <c r="DX48" s="142"/>
      <c r="DY48" s="142"/>
      <c r="EC48" s="142"/>
      <c r="ED48" s="142"/>
      <c r="EH48" s="142"/>
      <c r="EI48" s="142"/>
      <c r="EM48" s="142"/>
      <c r="EN48" s="142"/>
      <c r="ER48" s="142"/>
      <c r="ES48" s="142"/>
      <c r="EW48" s="142"/>
      <c r="EX48" s="142"/>
      <c r="FB48" s="142"/>
      <c r="FC48" s="142"/>
    </row>
    <row r="49" spans="1:159">
      <c r="A49" s="87">
        <f t="shared" si="3"/>
        <v>14</v>
      </c>
      <c r="B49" s="83">
        <f>_xll.flu_SPT2025($D$10,$D$12,$D$13,$D$20,$D$15,$D$16,$H$11:$I$27,$O$19:$P$108,FALSE,FALSE,"Cao độ",A49,$D$17)</f>
        <v>12</v>
      </c>
      <c r="C49" s="87" t="str">
        <f>IF(B49="","",_xll.TimTenLoaiDat(B49,$F$11:$H$27))</f>
        <v>Lớp 4</v>
      </c>
      <c r="D49" s="87" t="str">
        <f>IF(B49="","",_xll.TimTinhChatDat(B49,$H$11:$I$27))</f>
        <v>Đất dính</v>
      </c>
      <c r="E49" s="95">
        <f>IF(B49="","",_xll.NoiSuySPT(B49,$O$19:$P$108,$D$16,$D$12,0,0))</f>
        <v>11.5294117647059</v>
      </c>
      <c r="F49" s="95" t="str">
        <f>IF(B49="","",IF(D49="Đất dính","-",_xll.qb_SPT2025($D$10,$D$12,$D$13,B49,$D$16,$H$11:$I$27,$O$19:$P$108)))</f>
        <v>-</v>
      </c>
      <c r="G49" s="95">
        <f>IF(B49="","",IF(D49="Đất dính",_xll.qb_SPT2025($D$10,$D$12,$D$13,B49,$D$16,$H$11:$I$27,$O$19:$P$108),"-"))</f>
        <v>432.35294117647101</v>
      </c>
      <c r="H49" s="95">
        <f t="shared" si="1"/>
        <v>339.56920593948502</v>
      </c>
      <c r="I49" s="96">
        <f>_xll.flu_SPT2025($D$10,$D$12,$D$13,$D$20,$D$15,$D$16,$H$11:$I$27,$O$19:$P$108,FALSE,FALSE,"Li",A49,$D$17)</f>
        <v>0.19999999999999901</v>
      </c>
      <c r="J49" s="95" t="str">
        <f>IF(D49="Đất dính","-",_xll.flu_SPT2025($D$10,$D$12,$D$13,$D$20,$D$15,$D$16,$H$11:$I$27,$O$19:$P$108,FALSE,FALSE,"f",A49,$D$17))</f>
        <v>-</v>
      </c>
      <c r="K49" s="95">
        <f>IF(B49="","",IF(D49="Đất dính",_xll.flu_SPT2025($D$10,$D$12,$D$13,$D$20,$D$15,$D$16,$H$11:$I$27,$O$19:$P$108,FALSE,FALSE,"f",A49,$D$17),"-"))</f>
        <v>72.058823529411796</v>
      </c>
      <c r="L49" s="95">
        <f>_xll.flu_SPT2025($D$10,$D$12,$D$13,$D$20,$D$15,$D$16,$H$11:$I$27,$O$19:$P$108,FALSE,FALSE,"flu",A49,$D$17)</f>
        <v>984.67369740456502</v>
      </c>
      <c r="M49" s="87">
        <f t="shared" si="2"/>
        <v>1324.2429033440501</v>
      </c>
      <c r="O49" s="138"/>
      <c r="P49" s="138"/>
      <c r="W49" s="138"/>
      <c r="X49" s="138"/>
      <c r="AB49" s="138"/>
      <c r="AC49" s="138"/>
      <c r="AG49" s="138"/>
      <c r="AH49" s="138"/>
      <c r="AL49" s="138"/>
      <c r="AM49" s="138"/>
      <c r="AQ49" s="138"/>
      <c r="AR49" s="138"/>
      <c r="AV49" s="138"/>
      <c r="AW49" s="138"/>
      <c r="BA49" s="138"/>
      <c r="BB49" s="138"/>
      <c r="BF49" s="138"/>
      <c r="BG49" s="138"/>
      <c r="BK49" s="138"/>
      <c r="BL49" s="138"/>
      <c r="BP49" s="138"/>
      <c r="BQ49" s="138"/>
      <c r="BU49" s="138"/>
      <c r="BV49" s="138"/>
      <c r="BZ49" s="138"/>
      <c r="CA49" s="138"/>
      <c r="CE49" s="138"/>
      <c r="CF49" s="138"/>
      <c r="CJ49" s="138"/>
      <c r="CK49" s="138"/>
      <c r="CO49" s="138"/>
      <c r="CP49" s="138"/>
      <c r="CT49" s="138"/>
      <c r="CU49" s="138"/>
      <c r="CY49" s="138"/>
      <c r="CZ49" s="138"/>
      <c r="DD49" s="138"/>
      <c r="DE49" s="138"/>
      <c r="DI49" s="138"/>
      <c r="DJ49" s="138"/>
      <c r="DN49" s="138"/>
      <c r="DO49" s="138"/>
      <c r="DS49" s="138"/>
      <c r="DT49" s="138"/>
      <c r="DX49" s="138"/>
      <c r="DY49" s="138"/>
      <c r="EC49" s="138"/>
      <c r="ED49" s="138"/>
      <c r="EH49" s="138"/>
      <c r="EI49" s="138"/>
      <c r="EM49" s="138"/>
      <c r="EN49" s="138"/>
      <c r="ER49" s="138"/>
      <c r="ES49" s="138"/>
      <c r="EW49" s="138"/>
      <c r="EX49" s="138"/>
      <c r="FB49" s="138"/>
      <c r="FC49" s="138"/>
    </row>
    <row r="50" spans="1:159">
      <c r="A50" s="87">
        <f t="shared" si="3"/>
        <v>15</v>
      </c>
      <c r="B50" s="83">
        <f>_xll.flu_SPT2025($D$10,$D$12,$D$13,$D$20,$D$15,$D$16,$H$11:$I$27,$O$19:$P$108,FALSE,FALSE,"Cao độ",A50,$D$17)</f>
        <v>12.2</v>
      </c>
      <c r="C50" s="87" t="str">
        <f>IF(B50="","",_xll.TimTenLoaiDat(B50,$F$11:$H$27))</f>
        <v>Lớp 5</v>
      </c>
      <c r="D50" s="87" t="str">
        <f>IF(B50="","",_xll.TimTinhChatDat(B50,$H$11:$I$27))</f>
        <v>Đất rời</v>
      </c>
      <c r="E50" s="95">
        <f>IF(B50="","",_xll.NoiSuySPT(B50,$O$19:$P$108,$D$16,$D$12,0,0))</f>
        <v>12</v>
      </c>
      <c r="F50" s="95">
        <f>IF(B50="","",IF(D50="Đất dính","-",_xll.qb_SPT2025($D$10,$D$12,$D$13,B50,$D$16,$H$11:$I$27,$O$19:$P$108)))</f>
        <v>1440</v>
      </c>
      <c r="G50" s="95" t="str">
        <f>IF(B50="","",IF(D50="Đất dính",_xll.qb_SPT2025($D$10,$D$12,$D$13,B50,$D$16,$H$11:$I$27,$O$19:$P$108),"-"))</f>
        <v>-</v>
      </c>
      <c r="H50" s="95">
        <f t="shared" si="1"/>
        <v>1130.9733552923301</v>
      </c>
      <c r="I50" s="96">
        <f>_xll.flu_SPT2025($D$10,$D$12,$D$13,$D$20,$D$15,$D$16,$H$11:$I$27,$O$19:$P$108,FALSE,FALSE,"Li",A50,$D$17)</f>
        <v>0.80000000000000104</v>
      </c>
      <c r="J50" s="95">
        <f>IF(D50="Đất dính","-",_xll.flu_SPT2025($D$10,$D$12,$D$13,$D$20,$D$15,$D$16,$H$11:$I$27,$O$19:$P$108,FALSE,FALSE,"f",A50,$D$17))</f>
        <v>39.6</v>
      </c>
      <c r="K50" s="95" t="str">
        <f>IF(B50="","",IF(D50="Đất dính",_xll.flu_SPT2025($D$10,$D$12,$D$13,$D$20,$D$15,$D$16,$H$11:$I$27,$O$19:$P$108,FALSE,FALSE,"f",A50,$D$17),"-"))</f>
        <v>-</v>
      </c>
      <c r="L50" s="95">
        <f>_xll.flu_SPT2025($D$10,$D$12,$D$13,$D$20,$D$15,$D$16,$H$11:$I$27,$O$19:$P$108,FALSE,FALSE,"flu",A50,$D$17)</f>
        <v>1084.19935267029</v>
      </c>
      <c r="M50" s="87">
        <f t="shared" si="2"/>
        <v>2215.1727079626198</v>
      </c>
      <c r="O50" s="138"/>
      <c r="P50" s="138"/>
      <c r="W50" s="138"/>
      <c r="X50" s="138"/>
      <c r="AB50" s="138"/>
      <c r="AC50" s="138"/>
      <c r="AG50" s="138"/>
      <c r="AH50" s="138"/>
      <c r="AL50" s="138"/>
      <c r="AM50" s="138"/>
      <c r="AQ50" s="138"/>
      <c r="AR50" s="138"/>
      <c r="AV50" s="138"/>
      <c r="AW50" s="138"/>
      <c r="BA50" s="138"/>
      <c r="BB50" s="138"/>
      <c r="BF50" s="138"/>
      <c r="BG50" s="138"/>
      <c r="BK50" s="138"/>
      <c r="BL50" s="138"/>
      <c r="BP50" s="138"/>
      <c r="BQ50" s="138"/>
      <c r="BU50" s="138"/>
      <c r="BV50" s="138"/>
      <c r="BZ50" s="138"/>
      <c r="CA50" s="138"/>
      <c r="CE50" s="138"/>
      <c r="CF50" s="138"/>
      <c r="CJ50" s="138"/>
      <c r="CK50" s="138"/>
      <c r="CO50" s="138"/>
      <c r="CP50" s="138"/>
      <c r="CT50" s="138"/>
      <c r="CU50" s="138"/>
      <c r="CY50" s="138"/>
      <c r="CZ50" s="138"/>
      <c r="DD50" s="138"/>
      <c r="DE50" s="138"/>
      <c r="DI50" s="138"/>
      <c r="DJ50" s="138"/>
      <c r="DN50" s="138"/>
      <c r="DO50" s="138"/>
      <c r="DS50" s="138"/>
      <c r="DT50" s="138"/>
      <c r="DX50" s="138"/>
      <c r="DY50" s="138"/>
      <c r="EC50" s="138"/>
      <c r="ED50" s="138"/>
      <c r="EH50" s="138"/>
      <c r="EI50" s="138"/>
      <c r="EM50" s="138"/>
      <c r="EN50" s="138"/>
      <c r="ER50" s="138"/>
      <c r="ES50" s="138"/>
      <c r="EW50" s="138"/>
      <c r="EX50" s="138"/>
      <c r="FB50" s="138"/>
      <c r="FC50" s="138"/>
    </row>
    <row r="51" spans="1:159">
      <c r="A51" s="87">
        <f t="shared" si="3"/>
        <v>16</v>
      </c>
      <c r="B51" s="83">
        <f>_xll.flu_SPT2025($D$10,$D$12,$D$13,$D$20,$D$15,$D$16,$H$11:$I$27,$O$19:$P$108,FALSE,FALSE,"Cao độ",A51,$D$17)</f>
        <v>13</v>
      </c>
      <c r="C51" s="87" t="str">
        <f>IF(B51="","",_xll.TimTenLoaiDat(B51,$F$11:$H$27))</f>
        <v>Lớp 5</v>
      </c>
      <c r="D51" s="87" t="str">
        <f>IF(B51="","",_xll.TimTinhChatDat(B51,$H$11:$I$27))</f>
        <v>Đất rời</v>
      </c>
      <c r="E51" s="95">
        <f>IF(B51="","",_xll.NoiSuySPT(B51,$O$19:$P$108,$D$16,$D$12,0,0))</f>
        <v>12.4</v>
      </c>
      <c r="F51" s="95">
        <f>IF(B51="","",IF(D51="Đất dính","-",_xll.qb_SPT2025($D$10,$D$12,$D$13,B51,$D$16,$H$11:$I$27,$O$19:$P$108)))</f>
        <v>1488</v>
      </c>
      <c r="G51" s="95" t="str">
        <f>IF(B51="","",IF(D51="Đất dính",_xll.qb_SPT2025($D$10,$D$12,$D$13,B51,$D$16,$H$11:$I$27,$O$19:$P$108),"-"))</f>
        <v>-</v>
      </c>
      <c r="H51" s="95">
        <f t="shared" si="1"/>
        <v>1168.6724671354</v>
      </c>
      <c r="I51" s="96">
        <f>_xll.flu_SPT2025($D$10,$D$12,$D$13,$D$20,$D$15,$D$16,$H$11:$I$27,$O$19:$P$108,FALSE,FALSE,"Li",A51,$D$17)</f>
        <v>1</v>
      </c>
      <c r="J51" s="95">
        <f>IF(D51="Đất dính","-",_xll.flu_SPT2025($D$10,$D$12,$D$13,$D$20,$D$15,$D$16,$H$11:$I$27,$O$19:$P$108,FALSE,FALSE,"f",A51,$D$17))</f>
        <v>40.92</v>
      </c>
      <c r="K51" s="95" t="str">
        <f>IF(B51="","",IF(D51="Đất dính",_xll.flu_SPT2025($D$10,$D$12,$D$13,$D$20,$D$15,$D$16,$H$11:$I$27,$O$19:$P$108,FALSE,FALSE,"f",A51,$D$17),"-"))</f>
        <v>-</v>
      </c>
      <c r="L51" s="95">
        <f>_xll.flu_SPT2025($D$10,$D$12,$D$13,$D$20,$D$15,$D$16,$H$11:$I$27,$O$19:$P$108,FALSE,FALSE,"flu",A51,$D$17)</f>
        <v>1212.75332405518</v>
      </c>
      <c r="M51" s="87">
        <f t="shared" si="2"/>
        <v>2381.4257911905902</v>
      </c>
      <c r="O51" s="138"/>
      <c r="P51" s="138"/>
      <c r="W51" s="138"/>
      <c r="X51" s="138"/>
      <c r="AB51" s="138"/>
      <c r="AC51" s="138"/>
      <c r="AG51" s="138"/>
      <c r="AH51" s="138"/>
      <c r="AL51" s="138"/>
      <c r="AM51" s="138"/>
      <c r="AQ51" s="138"/>
      <c r="AR51" s="138"/>
      <c r="AV51" s="138"/>
      <c r="AW51" s="138"/>
      <c r="BA51" s="138"/>
      <c r="BB51" s="138"/>
      <c r="BF51" s="138"/>
      <c r="BG51" s="138"/>
      <c r="BK51" s="138"/>
      <c r="BL51" s="138"/>
      <c r="BP51" s="138"/>
      <c r="BQ51" s="138"/>
      <c r="BU51" s="138"/>
      <c r="BV51" s="138"/>
      <c r="BZ51" s="138"/>
      <c r="CA51" s="138"/>
      <c r="CE51" s="138"/>
      <c r="CF51" s="138"/>
      <c r="CJ51" s="138"/>
      <c r="CK51" s="138"/>
      <c r="CO51" s="138"/>
      <c r="CP51" s="138"/>
      <c r="CT51" s="138"/>
      <c r="CU51" s="138"/>
      <c r="CY51" s="138"/>
      <c r="CZ51" s="138"/>
      <c r="DD51" s="138"/>
      <c r="DE51" s="138"/>
      <c r="DI51" s="138"/>
      <c r="DJ51" s="138"/>
      <c r="DN51" s="138"/>
      <c r="DO51" s="138"/>
      <c r="DS51" s="138"/>
      <c r="DT51" s="138"/>
      <c r="DX51" s="138"/>
      <c r="DY51" s="138"/>
      <c r="EC51" s="138"/>
      <c r="ED51" s="138"/>
      <c r="EH51" s="138"/>
      <c r="EI51" s="138"/>
      <c r="EM51" s="138"/>
      <c r="EN51" s="138"/>
      <c r="ER51" s="138"/>
      <c r="ES51" s="138"/>
      <c r="EW51" s="138"/>
      <c r="EX51" s="138"/>
      <c r="FB51" s="138"/>
      <c r="FC51" s="138"/>
    </row>
    <row r="52" spans="1:159">
      <c r="A52" s="87">
        <f t="shared" si="3"/>
        <v>17</v>
      </c>
      <c r="B52" s="83">
        <f>_xll.flu_SPT2025($D$10,$D$12,$D$13,$D$20,$D$15,$D$16,$H$11:$I$27,$O$19:$P$108,FALSE,FALSE,"Cao độ",A52,$D$17)</f>
        <v>14</v>
      </c>
      <c r="C52" s="87" t="str">
        <f>IF(B52="","",_xll.TimTenLoaiDat(B52,$F$11:$H$27))</f>
        <v>Lớp 5</v>
      </c>
      <c r="D52" s="87" t="str">
        <f>IF(B52="","",_xll.TimTinhChatDat(B52,$H$11:$I$27))</f>
        <v>Đất rời</v>
      </c>
      <c r="E52" s="95">
        <f>IF(B52="","",_xll.NoiSuySPT(B52,$O$19:$P$108,$D$16,$D$12,0,0))</f>
        <v>12.9</v>
      </c>
      <c r="F52" s="95">
        <f>IF(B52="","",IF(D52="Đất dính","-",_xll.qb_SPT2025($D$10,$D$12,$D$13,B52,$D$16,$H$11:$I$27,$O$19:$P$108)))</f>
        <v>1548</v>
      </c>
      <c r="G52" s="95" t="str">
        <f>IF(B52="","",IF(D52="Đất dính",_xll.qb_SPT2025($D$10,$D$12,$D$13,B52,$D$16,$H$11:$I$27,$O$19:$P$108),"-"))</f>
        <v>-</v>
      </c>
      <c r="H52" s="95">
        <f t="shared" si="1"/>
        <v>1215.79635693925</v>
      </c>
      <c r="I52" s="96">
        <f>_xll.flu_SPT2025($D$10,$D$12,$D$13,$D$20,$D$15,$D$16,$H$11:$I$27,$O$19:$P$108,FALSE,FALSE,"Li",A52,$D$17)</f>
        <v>1</v>
      </c>
      <c r="J52" s="95">
        <f>IF(D52="Đất dính","-",_xll.flu_SPT2025($D$10,$D$12,$D$13,$D$20,$D$15,$D$16,$H$11:$I$27,$O$19:$P$108,FALSE,FALSE,"f",A52,$D$17))</f>
        <v>42.57</v>
      </c>
      <c r="K52" s="95" t="str">
        <f>IF(B52="","",IF(D52="Đất dính",_xll.flu_SPT2025($D$10,$D$12,$D$13,$D$20,$D$15,$D$16,$H$11:$I$27,$O$19:$P$108,FALSE,FALSE,"f",A52,$D$17),"-"))</f>
        <v>-</v>
      </c>
      <c r="L52" s="95">
        <f>_xll.flu_SPT2025($D$10,$D$12,$D$13,$D$20,$D$15,$D$16,$H$11:$I$27,$O$19:$P$108,FALSE,FALSE,"flu",A52,$D$17)</f>
        <v>1346.4909233185001</v>
      </c>
      <c r="M52" s="87">
        <f t="shared" si="2"/>
        <v>2562.2872802577499</v>
      </c>
      <c r="O52" s="138"/>
      <c r="P52" s="138"/>
      <c r="W52" s="138"/>
      <c r="X52" s="138"/>
      <c r="AB52" s="138"/>
      <c r="AC52" s="138"/>
      <c r="AG52" s="138"/>
      <c r="AH52" s="138"/>
      <c r="AL52" s="138"/>
      <c r="AM52" s="138"/>
      <c r="AQ52" s="138"/>
      <c r="AR52" s="138"/>
      <c r="AV52" s="138"/>
      <c r="AW52" s="138"/>
      <c r="BA52" s="138"/>
      <c r="BB52" s="138"/>
      <c r="BF52" s="138"/>
      <c r="BG52" s="138"/>
      <c r="BK52" s="138"/>
      <c r="BL52" s="138"/>
      <c r="BP52" s="138"/>
      <c r="BQ52" s="138"/>
      <c r="BU52" s="138"/>
      <c r="BV52" s="138"/>
      <c r="BZ52" s="138"/>
      <c r="CA52" s="138"/>
      <c r="CE52" s="138"/>
      <c r="CF52" s="138"/>
      <c r="CJ52" s="138"/>
      <c r="CK52" s="138"/>
      <c r="CO52" s="138"/>
      <c r="CP52" s="138"/>
      <c r="CT52" s="138"/>
      <c r="CU52" s="138"/>
      <c r="CY52" s="138"/>
      <c r="CZ52" s="138"/>
      <c r="DD52" s="138"/>
      <c r="DE52" s="138"/>
      <c r="DI52" s="138"/>
      <c r="DJ52" s="138"/>
      <c r="DN52" s="138"/>
      <c r="DO52" s="138"/>
      <c r="DS52" s="138"/>
      <c r="DT52" s="138"/>
      <c r="DX52" s="138"/>
      <c r="DY52" s="138"/>
      <c r="EC52" s="138"/>
      <c r="ED52" s="138"/>
      <c r="EH52" s="138"/>
      <c r="EI52" s="138"/>
      <c r="EM52" s="138"/>
      <c r="EN52" s="138"/>
      <c r="ER52" s="138"/>
      <c r="ES52" s="138"/>
      <c r="EW52" s="138"/>
      <c r="EX52" s="138"/>
      <c r="FB52" s="138"/>
      <c r="FC52" s="138"/>
    </row>
    <row r="53" spans="1:159">
      <c r="A53" s="87">
        <f t="shared" si="3"/>
        <v>18</v>
      </c>
      <c r="B53" s="83">
        <f>_xll.flu_SPT2025($D$10,$D$12,$D$13,$D$20,$D$15,$D$16,$H$11:$I$27,$O$19:$P$108,FALSE,FALSE,"Cao độ",A53,$D$17)</f>
        <v>15</v>
      </c>
      <c r="C53" s="87" t="str">
        <f>IF(B53="","",_xll.TimTenLoaiDat(B53,$F$11:$H$27))</f>
        <v>Lớp 5</v>
      </c>
      <c r="D53" s="87" t="str">
        <f>IF(B53="","",_xll.TimTinhChatDat(B53,$H$11:$I$27))</f>
        <v>Đất rời</v>
      </c>
      <c r="E53" s="95">
        <f>IF(B53="","",_xll.NoiSuySPT(B53,$O$19:$P$108,$D$16,$D$12,0,0))</f>
        <v>13</v>
      </c>
      <c r="F53" s="95">
        <f>IF(B53="","",IF(D53="Đất dính","-",_xll.qb_SPT2025($D$10,$D$12,$D$13,B53,$D$16,$H$11:$I$27,$O$19:$P$108)))</f>
        <v>1560</v>
      </c>
      <c r="G53" s="95" t="str">
        <f>IF(B53="","",IF(D53="Đất dính",_xll.qb_SPT2025($D$10,$D$12,$D$13,B53,$D$16,$H$11:$I$27,$O$19:$P$108),"-"))</f>
        <v>-</v>
      </c>
      <c r="H53" s="95">
        <f t="shared" si="1"/>
        <v>1225.2211349000199</v>
      </c>
      <c r="I53" s="96">
        <f>_xll.flu_SPT2025($D$10,$D$12,$D$13,$D$20,$D$15,$D$16,$H$11:$I$27,$O$19:$P$108,FALSE,FALSE,"Li",A53,$D$17)</f>
        <v>1</v>
      </c>
      <c r="J53" s="95">
        <f>IF(D53="Đất dính","-",_xll.flu_SPT2025($D$10,$D$12,$D$13,$D$20,$D$15,$D$16,$H$11:$I$27,$O$19:$P$108,FALSE,FALSE,"f",A53,$D$17))</f>
        <v>42.9</v>
      </c>
      <c r="K53" s="95" t="str">
        <f>IF(B53="","",IF(D53="Đất dính",_xll.flu_SPT2025($D$10,$D$12,$D$13,$D$20,$D$15,$D$16,$H$11:$I$27,$O$19:$P$108,FALSE,FALSE,"f",A53,$D$17),"-"))</f>
        <v>-</v>
      </c>
      <c r="L53" s="95">
        <f>_xll.flu_SPT2025($D$10,$D$12,$D$13,$D$20,$D$15,$D$16,$H$11:$I$27,$O$19:$P$108,FALSE,FALSE,"flu",A53,$D$17)</f>
        <v>1481.2652481575001</v>
      </c>
      <c r="M53" s="87">
        <f t="shared" si="2"/>
        <v>2706.48638305752</v>
      </c>
      <c r="O53" s="138"/>
      <c r="P53" s="138"/>
      <c r="W53" s="138"/>
      <c r="X53" s="138"/>
      <c r="AB53" s="138"/>
      <c r="AC53" s="138"/>
      <c r="AG53" s="138"/>
      <c r="AH53" s="138"/>
      <c r="AL53" s="138"/>
      <c r="AM53" s="138"/>
      <c r="AQ53" s="138"/>
      <c r="AR53" s="138"/>
      <c r="AV53" s="138"/>
      <c r="AW53" s="138"/>
      <c r="BA53" s="138"/>
      <c r="BB53" s="138"/>
      <c r="BF53" s="138"/>
      <c r="BG53" s="138"/>
      <c r="BK53" s="138"/>
      <c r="BL53" s="138"/>
      <c r="BP53" s="138"/>
      <c r="BQ53" s="138"/>
      <c r="BU53" s="138"/>
      <c r="BV53" s="138"/>
      <c r="BZ53" s="138"/>
      <c r="CA53" s="138"/>
      <c r="CE53" s="138"/>
      <c r="CF53" s="138"/>
      <c r="CJ53" s="138"/>
      <c r="CK53" s="138"/>
      <c r="CO53" s="138"/>
      <c r="CP53" s="138"/>
      <c r="CT53" s="138"/>
      <c r="CU53" s="138"/>
      <c r="CY53" s="138"/>
      <c r="CZ53" s="138"/>
      <c r="DD53" s="138"/>
      <c r="DE53" s="138"/>
      <c r="DI53" s="138"/>
      <c r="DJ53" s="138"/>
      <c r="DN53" s="138"/>
      <c r="DO53" s="138"/>
      <c r="DS53" s="138"/>
      <c r="DT53" s="138"/>
      <c r="DX53" s="138"/>
      <c r="DY53" s="138"/>
      <c r="EC53" s="138"/>
      <c r="ED53" s="138"/>
      <c r="EH53" s="138"/>
      <c r="EI53" s="138"/>
      <c r="EM53" s="138"/>
      <c r="EN53" s="138"/>
      <c r="ER53" s="138"/>
      <c r="ES53" s="138"/>
      <c r="EW53" s="138"/>
      <c r="EX53" s="138"/>
      <c r="FB53" s="138"/>
      <c r="FC53" s="138"/>
    </row>
    <row r="54" spans="1:159">
      <c r="A54" s="87">
        <f t="shared" si="3"/>
        <v>19</v>
      </c>
      <c r="B54" s="83">
        <f>_xll.flu_SPT2025($D$10,$D$12,$D$13,$D$20,$D$15,$D$16,$H$11:$I$27,$O$19:$P$108,FALSE,FALSE,"Cao độ",A54,$D$17)</f>
        <v>16</v>
      </c>
      <c r="C54" s="87" t="str">
        <f>IF(B54="","",_xll.TimTenLoaiDat(B54,$F$11:$H$27))</f>
        <v>Lớp 5</v>
      </c>
      <c r="D54" s="87" t="str">
        <f>IF(B54="","",_xll.TimTinhChatDat(B54,$H$11:$I$27))</f>
        <v>Đất rời</v>
      </c>
      <c r="E54" s="95">
        <f>IF(B54="","",_xll.NoiSuySPT(B54,$O$19:$P$108,$D$16,$D$12,0,0))</f>
        <v>13</v>
      </c>
      <c r="F54" s="95">
        <f>IF(B54="","",IF(D54="Đất dính","-",_xll.qb_SPT2025($D$10,$D$12,$D$13,B54,$D$16,$H$11:$I$27,$O$19:$P$108)))</f>
        <v>1560</v>
      </c>
      <c r="G54" s="95" t="str">
        <f>IF(B54="","",IF(D54="Đất dính",_xll.qb_SPT2025($D$10,$D$12,$D$13,B54,$D$16,$H$11:$I$27,$O$19:$P$108),"-"))</f>
        <v>-</v>
      </c>
      <c r="H54" s="95">
        <f t="shared" si="1"/>
        <v>1225.2211349000199</v>
      </c>
      <c r="I54" s="96">
        <f>_xll.flu_SPT2025($D$10,$D$12,$D$13,$D$20,$D$15,$D$16,$H$11:$I$27,$O$19:$P$108,FALSE,FALSE,"Li",A54,$D$17)</f>
        <v>1</v>
      </c>
      <c r="J54" s="95">
        <f>IF(D54="Đất dính","-",_xll.flu_SPT2025($D$10,$D$12,$D$13,$D$20,$D$15,$D$16,$H$11:$I$27,$O$19:$P$108,FALSE,FALSE,"f",A54,$D$17))</f>
        <v>42.9</v>
      </c>
      <c r="K54" s="95" t="str">
        <f>IF(B54="","",IF(D54="Đất dính",_xll.flu_SPT2025($D$10,$D$12,$D$13,$D$20,$D$15,$D$16,$H$11:$I$27,$O$19:$P$108,FALSE,FALSE,"f",A54,$D$17),"-"))</f>
        <v>-</v>
      </c>
      <c r="L54" s="95">
        <f>_xll.flu_SPT2025($D$10,$D$12,$D$13,$D$20,$D$15,$D$16,$H$11:$I$27,$O$19:$P$108,FALSE,FALSE,"flu",A54,$D$17)</f>
        <v>1616.0395729965101</v>
      </c>
      <c r="M54" s="87">
        <f t="shared" si="2"/>
        <v>2841.2607078965302</v>
      </c>
      <c r="O54" s="138"/>
      <c r="P54" s="138"/>
      <c r="W54" s="138"/>
      <c r="X54" s="138"/>
      <c r="AB54" s="138"/>
      <c r="AC54" s="138"/>
      <c r="AG54" s="138"/>
      <c r="AH54" s="138"/>
      <c r="AL54" s="138"/>
      <c r="AM54" s="138"/>
      <c r="AQ54" s="138"/>
      <c r="AR54" s="138"/>
      <c r="AV54" s="138"/>
      <c r="AW54" s="138"/>
      <c r="BA54" s="138"/>
      <c r="BB54" s="138"/>
      <c r="BF54" s="138"/>
      <c r="BG54" s="138"/>
      <c r="BK54" s="138"/>
      <c r="BL54" s="138"/>
      <c r="BP54" s="138"/>
      <c r="BQ54" s="138"/>
      <c r="BU54" s="138"/>
      <c r="BV54" s="138"/>
      <c r="BZ54" s="138"/>
      <c r="CA54" s="138"/>
      <c r="CE54" s="138"/>
      <c r="CF54" s="138"/>
      <c r="CJ54" s="138"/>
      <c r="CK54" s="138"/>
      <c r="CO54" s="138"/>
      <c r="CP54" s="138"/>
      <c r="CT54" s="138"/>
      <c r="CU54" s="138"/>
      <c r="CY54" s="138"/>
      <c r="CZ54" s="138"/>
      <c r="DD54" s="138"/>
      <c r="DE54" s="138"/>
      <c r="DI54" s="138"/>
      <c r="DJ54" s="138"/>
      <c r="DN54" s="138"/>
      <c r="DO54" s="138"/>
      <c r="DS54" s="138"/>
      <c r="DT54" s="138"/>
      <c r="DX54" s="138"/>
      <c r="DY54" s="138"/>
      <c r="EC54" s="138"/>
      <c r="ED54" s="138"/>
      <c r="EH54" s="138"/>
      <c r="EI54" s="138"/>
      <c r="EM54" s="138"/>
      <c r="EN54" s="138"/>
      <c r="ER54" s="138"/>
      <c r="ES54" s="138"/>
      <c r="EW54" s="138"/>
      <c r="EX54" s="138"/>
      <c r="FB54" s="138"/>
      <c r="FC54" s="138"/>
    </row>
    <row r="55" spans="1:159">
      <c r="A55" s="87">
        <f t="shared" si="3"/>
        <v>20</v>
      </c>
      <c r="B55" s="83">
        <f>_xll.flu_SPT2025($D$10,$D$12,$D$13,$D$20,$D$15,$D$16,$H$11:$I$27,$O$19:$P$108,FALSE,FALSE,"Cao độ",A55,$D$17)</f>
        <v>17</v>
      </c>
      <c r="C55" s="87" t="str">
        <f>IF(B55="","",_xll.TimTenLoaiDat(B55,$F$11:$H$27))</f>
        <v>Lớp 5</v>
      </c>
      <c r="D55" s="87" t="str">
        <f>IF(B55="","",_xll.TimTinhChatDat(B55,$H$11:$I$27))</f>
        <v>Đất rời</v>
      </c>
      <c r="E55" s="95">
        <f>IF(B55="","",_xll.NoiSuySPT(B55,$O$19:$P$108,$D$16,$D$12,0,0))</f>
        <v>13</v>
      </c>
      <c r="F55" s="95">
        <f>IF(B55="","",IF(D55="Đất dính","-",_xll.qb_SPT2025($D$10,$D$12,$D$13,B55,$D$16,$H$11:$I$27,$O$19:$P$108)))</f>
        <v>1560</v>
      </c>
      <c r="G55" s="95" t="str">
        <f>IF(B55="","",IF(D55="Đất dính",_xll.qb_SPT2025($D$10,$D$12,$D$13,B55,$D$16,$H$11:$I$27,$O$19:$P$108),"-"))</f>
        <v>-</v>
      </c>
      <c r="H55" s="95">
        <f t="shared" si="1"/>
        <v>1225.2211349000199</v>
      </c>
      <c r="I55" s="96">
        <f>_xll.flu_SPT2025($D$10,$D$12,$D$13,$D$20,$D$15,$D$16,$H$11:$I$27,$O$19:$P$108,FALSE,FALSE,"Li",A55,$D$17)</f>
        <v>1</v>
      </c>
      <c r="J55" s="95">
        <f>IF(D55="Đất dính","-",_xll.flu_SPT2025($D$10,$D$12,$D$13,$D$20,$D$15,$D$16,$H$11:$I$27,$O$19:$P$108,FALSE,FALSE,"f",A55,$D$17))</f>
        <v>42.9</v>
      </c>
      <c r="K55" s="95" t="str">
        <f>IF(B55="","",IF(D55="Đất dính",_xll.flu_SPT2025($D$10,$D$12,$D$13,$D$20,$D$15,$D$16,$H$11:$I$27,$O$19:$P$108,FALSE,FALSE,"f",A55,$D$17),"-"))</f>
        <v>-</v>
      </c>
      <c r="L55" s="95">
        <f>_xll.flu_SPT2025($D$10,$D$12,$D$13,$D$20,$D$15,$D$16,$H$11:$I$27,$O$19:$P$108,FALSE,FALSE,"flu",A55,$D$17)</f>
        <v>1750.81389783551</v>
      </c>
      <c r="M55" s="87">
        <f t="shared" si="2"/>
        <v>2976.03503273553</v>
      </c>
      <c r="O55" s="138"/>
      <c r="P55" s="138"/>
      <c r="W55" s="138"/>
      <c r="X55" s="138"/>
      <c r="AB55" s="138"/>
      <c r="AC55" s="138"/>
      <c r="AG55" s="138"/>
      <c r="AH55" s="138"/>
      <c r="AL55" s="138"/>
      <c r="AM55" s="138"/>
      <c r="AQ55" s="138"/>
      <c r="AR55" s="138"/>
      <c r="AV55" s="138"/>
      <c r="AW55" s="138"/>
      <c r="BA55" s="138"/>
      <c r="BB55" s="138"/>
      <c r="BF55" s="138"/>
      <c r="BG55" s="138"/>
      <c r="BK55" s="138"/>
      <c r="BL55" s="138"/>
      <c r="BP55" s="138"/>
      <c r="BQ55" s="138"/>
      <c r="BU55" s="138"/>
      <c r="BV55" s="138"/>
      <c r="BZ55" s="138"/>
      <c r="CA55" s="138"/>
      <c r="CE55" s="138"/>
      <c r="CF55" s="138"/>
      <c r="CJ55" s="138"/>
      <c r="CK55" s="138"/>
      <c r="CO55" s="138"/>
      <c r="CP55" s="138"/>
      <c r="CT55" s="138"/>
      <c r="CU55" s="138"/>
      <c r="CY55" s="138"/>
      <c r="CZ55" s="138"/>
      <c r="DD55" s="138"/>
      <c r="DE55" s="138"/>
      <c r="DI55" s="138"/>
      <c r="DJ55" s="138"/>
      <c r="DN55" s="138"/>
      <c r="DO55" s="138"/>
      <c r="DS55" s="138"/>
      <c r="DT55" s="138"/>
      <c r="DX55" s="138"/>
      <c r="DY55" s="138"/>
      <c r="EC55" s="138"/>
      <c r="ED55" s="138"/>
      <c r="EH55" s="138"/>
      <c r="EI55" s="138"/>
      <c r="EM55" s="138"/>
      <c r="EN55" s="138"/>
      <c r="ER55" s="138"/>
      <c r="ES55" s="138"/>
      <c r="EW55" s="138"/>
      <c r="EX55" s="138"/>
      <c r="FB55" s="138"/>
      <c r="FC55" s="138"/>
    </row>
    <row r="56" spans="1:159">
      <c r="A56" s="87">
        <f t="shared" si="3"/>
        <v>21</v>
      </c>
      <c r="B56" s="83">
        <f>_xll.flu_SPT2025($D$10,$D$12,$D$13,$D$20,$D$15,$D$16,$H$11:$I$27,$O$19:$P$108,FALSE,FALSE,"Cao độ",A56,$D$17)</f>
        <v>18</v>
      </c>
      <c r="C56" s="87" t="str">
        <f>IF(B56="","",_xll.TimTenLoaiDat(B56,$F$11:$H$27))</f>
        <v>Lớp 5</v>
      </c>
      <c r="D56" s="87" t="str">
        <f>IF(B56="","",_xll.TimTinhChatDat(B56,$H$11:$I$27))</f>
        <v>Đất rời</v>
      </c>
      <c r="E56" s="95">
        <f>IF(B56="","",_xll.NoiSuySPT(B56,$O$19:$P$108,$D$16,$D$12,0,0))</f>
        <v>13</v>
      </c>
      <c r="F56" s="95">
        <f>IF(B56="","",IF(D56="Đất dính","-",_xll.qb_SPT2025($D$10,$D$12,$D$13,B56,$D$16,$H$11:$I$27,$O$19:$P$108)))</f>
        <v>1560</v>
      </c>
      <c r="G56" s="95" t="str">
        <f>IF(B56="","",IF(D56="Đất dính",_xll.qb_SPT2025($D$10,$D$12,$D$13,B56,$D$16,$H$11:$I$27,$O$19:$P$108),"-"))</f>
        <v>-</v>
      </c>
      <c r="H56" s="95">
        <f t="shared" si="1"/>
        <v>1225.2211349000199</v>
      </c>
      <c r="I56" s="96">
        <f>_xll.flu_SPT2025($D$10,$D$12,$D$13,$D$20,$D$15,$D$16,$H$11:$I$27,$O$19:$P$108,FALSE,FALSE,"Li",A56,$D$17)</f>
        <v>1</v>
      </c>
      <c r="J56" s="95">
        <f>IF(D56="Đất dính","-",_xll.flu_SPT2025($D$10,$D$12,$D$13,$D$20,$D$15,$D$16,$H$11:$I$27,$O$19:$P$108,FALSE,FALSE,"f",A56,$D$17))</f>
        <v>42.9</v>
      </c>
      <c r="K56" s="95" t="str">
        <f>IF(B56="","",IF(D56="Đất dính",_xll.flu_SPT2025($D$10,$D$12,$D$13,$D$20,$D$15,$D$16,$H$11:$I$27,$O$19:$P$108,FALSE,FALSE,"f",A56,$D$17),"-"))</f>
        <v>-</v>
      </c>
      <c r="L56" s="95">
        <f>_xll.flu_SPT2025($D$10,$D$12,$D$13,$D$20,$D$15,$D$16,$H$11:$I$27,$O$19:$P$108,FALSE,FALSE,"flu",A56,$D$17)</f>
        <v>1885.58822267451</v>
      </c>
      <c r="M56" s="87">
        <f t="shared" si="2"/>
        <v>3110.8093575745302</v>
      </c>
      <c r="O56" s="138"/>
      <c r="P56" s="138"/>
      <c r="W56" s="138"/>
      <c r="X56" s="138"/>
      <c r="AB56" s="138"/>
      <c r="AC56" s="138"/>
      <c r="AG56" s="138"/>
      <c r="AH56" s="138"/>
      <c r="AL56" s="138"/>
      <c r="AM56" s="138"/>
      <c r="AQ56" s="138"/>
      <c r="AR56" s="138"/>
      <c r="AV56" s="138"/>
      <c r="AW56" s="138"/>
      <c r="BA56" s="138"/>
      <c r="BB56" s="138"/>
      <c r="BF56" s="138"/>
      <c r="BG56" s="138"/>
      <c r="BK56" s="138"/>
      <c r="BL56" s="138"/>
      <c r="BP56" s="138"/>
      <c r="BQ56" s="138"/>
      <c r="BU56" s="138"/>
      <c r="BV56" s="138"/>
      <c r="BZ56" s="138"/>
      <c r="CA56" s="138"/>
      <c r="CE56" s="138"/>
      <c r="CF56" s="138"/>
      <c r="CJ56" s="138"/>
      <c r="CK56" s="138"/>
      <c r="CO56" s="138"/>
      <c r="CP56" s="138"/>
      <c r="CT56" s="138"/>
      <c r="CU56" s="138"/>
      <c r="CY56" s="138"/>
      <c r="CZ56" s="138"/>
      <c r="DD56" s="138"/>
      <c r="DE56" s="138"/>
      <c r="DI56" s="138"/>
      <c r="DJ56" s="138"/>
      <c r="DN56" s="138"/>
      <c r="DO56" s="138"/>
      <c r="DS56" s="138"/>
      <c r="DT56" s="138"/>
      <c r="DX56" s="138"/>
      <c r="DY56" s="138"/>
      <c r="EC56" s="138"/>
      <c r="ED56" s="138"/>
      <c r="EH56" s="138"/>
      <c r="EI56" s="138"/>
      <c r="EM56" s="138"/>
      <c r="EN56" s="138"/>
      <c r="ER56" s="138"/>
      <c r="ES56" s="138"/>
      <c r="EW56" s="138"/>
      <c r="EX56" s="138"/>
      <c r="FB56" s="138"/>
      <c r="FC56" s="138"/>
    </row>
    <row r="57" spans="1:159">
      <c r="A57" s="87">
        <f t="shared" si="3"/>
        <v>22</v>
      </c>
      <c r="B57" s="83">
        <f>_xll.flu_SPT2025($D$10,$D$12,$D$13,$D$20,$D$15,$D$16,$H$11:$I$27,$O$19:$P$108,FALSE,FALSE,"Cao độ",A57,$D$17)</f>
        <v>19</v>
      </c>
      <c r="C57" s="87" t="str">
        <f>IF(B57="","",_xll.TimTenLoaiDat(B57,$F$11:$H$27))</f>
        <v>Lớp 5</v>
      </c>
      <c r="D57" s="87" t="str">
        <f>IF(B57="","",_xll.TimTinhChatDat(B57,$H$11:$I$27))</f>
        <v>Đất rời</v>
      </c>
      <c r="E57" s="95">
        <f>IF(B57="","",_xll.NoiSuySPT(B57,$O$19:$P$108,$D$16,$D$12,0,0))</f>
        <v>13.4</v>
      </c>
      <c r="F57" s="95">
        <f>IF(B57="","",IF(D57="Đất dính","-",_xll.qb_SPT2025($D$10,$D$12,$D$13,B57,$D$16,$H$11:$I$27,$O$19:$P$108)))</f>
        <v>1608</v>
      </c>
      <c r="G57" s="95" t="str">
        <f>IF(B57="","",IF(D57="Đất dính",_xll.qb_SPT2025($D$10,$D$12,$D$13,B57,$D$16,$H$11:$I$27,$O$19:$P$108),"-"))</f>
        <v>-</v>
      </c>
      <c r="H57" s="95">
        <f t="shared" si="1"/>
        <v>1262.9202467431001</v>
      </c>
      <c r="I57" s="96">
        <f>_xll.flu_SPT2025($D$10,$D$12,$D$13,$D$20,$D$15,$D$16,$H$11:$I$27,$O$19:$P$108,FALSE,FALSE,"Li",A57,$D$17)</f>
        <v>1</v>
      </c>
      <c r="J57" s="95">
        <f>IF(D57="Đất dính","-",_xll.flu_SPT2025($D$10,$D$12,$D$13,$D$20,$D$15,$D$16,$H$11:$I$27,$O$19:$P$108,FALSE,FALSE,"f",A57,$D$17))</f>
        <v>44.22</v>
      </c>
      <c r="K57" s="95" t="str">
        <f>IF(B57="","",IF(D57="Đất dính",_xll.flu_SPT2025($D$10,$D$12,$D$13,$D$20,$D$15,$D$16,$H$11:$I$27,$O$19:$P$108,FALSE,FALSE,"f",A57,$D$17),"-"))</f>
        <v>-</v>
      </c>
      <c r="L57" s="95">
        <f>_xll.flu_SPT2025($D$10,$D$12,$D$13,$D$20,$D$15,$D$16,$H$11:$I$27,$O$19:$P$108,FALSE,FALSE,"flu",A57,$D$17)</f>
        <v>2024.50944981625</v>
      </c>
      <c r="M57" s="87">
        <f t="shared" si="2"/>
        <v>3287.4296965593498</v>
      </c>
      <c r="O57" s="138"/>
      <c r="P57" s="138"/>
      <c r="W57" s="138"/>
      <c r="X57" s="138"/>
      <c r="AB57" s="138"/>
      <c r="AC57" s="138"/>
      <c r="AG57" s="138"/>
      <c r="AH57" s="138"/>
      <c r="AL57" s="138"/>
      <c r="AM57" s="138"/>
      <c r="AQ57" s="138"/>
      <c r="AR57" s="138"/>
      <c r="AV57" s="138"/>
      <c r="AW57" s="138"/>
      <c r="BA57" s="138"/>
      <c r="BB57" s="138"/>
      <c r="BF57" s="138"/>
      <c r="BG57" s="138"/>
      <c r="BK57" s="138"/>
      <c r="BL57" s="138"/>
      <c r="BP57" s="138"/>
      <c r="BQ57" s="138"/>
      <c r="BU57" s="138"/>
      <c r="BV57" s="138"/>
      <c r="BZ57" s="138"/>
      <c r="CA57" s="138"/>
      <c r="CE57" s="138"/>
      <c r="CF57" s="138"/>
      <c r="CJ57" s="138"/>
      <c r="CK57" s="138"/>
      <c r="CO57" s="138"/>
      <c r="CP57" s="138"/>
      <c r="CT57" s="138"/>
      <c r="CU57" s="138"/>
      <c r="CY57" s="138"/>
      <c r="CZ57" s="138"/>
      <c r="DD57" s="138"/>
      <c r="DE57" s="138"/>
      <c r="DI57" s="138"/>
      <c r="DJ57" s="138"/>
      <c r="DN57" s="138"/>
      <c r="DO57" s="138"/>
      <c r="DS57" s="138"/>
      <c r="DT57" s="138"/>
      <c r="DX57" s="138"/>
      <c r="DY57" s="138"/>
      <c r="EC57" s="138"/>
      <c r="ED57" s="138"/>
      <c r="EH57" s="138"/>
      <c r="EI57" s="138"/>
      <c r="EM57" s="138"/>
      <c r="EN57" s="138"/>
      <c r="ER57" s="138"/>
      <c r="ES57" s="138"/>
      <c r="EW57" s="138"/>
      <c r="EX57" s="138"/>
      <c r="FB57" s="138"/>
      <c r="FC57" s="138"/>
    </row>
    <row r="58" spans="1:159">
      <c r="A58" s="87">
        <f t="shared" si="3"/>
        <v>23</v>
      </c>
      <c r="B58" s="83">
        <f>_xll.flu_SPT2025($D$10,$D$12,$D$13,$D$20,$D$15,$D$16,$H$11:$I$27,$O$19:$P$108,FALSE,FALSE,"Cao độ",A58,$D$17)</f>
        <v>20</v>
      </c>
      <c r="C58" s="87" t="str">
        <f>IF(B58="","",_xll.TimTenLoaiDat(B58,$F$11:$H$27))</f>
        <v>Lớp 5</v>
      </c>
      <c r="D58" s="87" t="str">
        <f>IF(B58="","",_xll.TimTinhChatDat(B58,$H$11:$I$27))</f>
        <v>Đất rời</v>
      </c>
      <c r="E58" s="95">
        <f>IF(B58="","",_xll.NoiSuySPT(B58,$O$19:$P$108,$D$16,$D$12,0,0))</f>
        <v>13.9</v>
      </c>
      <c r="F58" s="95">
        <f>IF(B58="","",IF(D58="Đất dính","-",_xll.qb_SPT2025($D$10,$D$12,$D$13,B58,$D$16,$H$11:$I$27,$O$19:$P$108)))</f>
        <v>1668</v>
      </c>
      <c r="G58" s="95" t="str">
        <f>IF(B58="","",IF(D58="Đất dính",_xll.qb_SPT2025($D$10,$D$12,$D$13,B58,$D$16,$H$11:$I$27,$O$19:$P$108),"-"))</f>
        <v>-</v>
      </c>
      <c r="H58" s="95">
        <f t="shared" si="1"/>
        <v>1310.0441365469401</v>
      </c>
      <c r="I58" s="96">
        <f>_xll.flu_SPT2025($D$10,$D$12,$D$13,$D$20,$D$15,$D$16,$H$11:$I$27,$O$19:$P$108,FALSE,FALSE,"Li",A58,$D$17)</f>
        <v>1</v>
      </c>
      <c r="J58" s="95">
        <f>IF(D58="Đất dính","-",_xll.flu_SPT2025($D$10,$D$12,$D$13,$D$20,$D$15,$D$16,$H$11:$I$27,$O$19:$P$108,FALSE,FALSE,"f",A58,$D$17))</f>
        <v>45.87</v>
      </c>
      <c r="K58" s="95" t="str">
        <f>IF(B58="","",IF(D58="Đất dính",_xll.flu_SPT2025($D$10,$D$12,$D$13,$D$20,$D$15,$D$16,$H$11:$I$27,$O$19:$P$108,FALSE,FALSE,"f",A58,$D$17),"-"))</f>
        <v>-</v>
      </c>
      <c r="L58" s="95">
        <f>_xll.flu_SPT2025($D$10,$D$12,$D$13,$D$20,$D$15,$D$16,$H$11:$I$27,$O$19:$P$108,FALSE,FALSE,"flu",A58,$D$17)</f>
        <v>2168.6143048364102</v>
      </c>
      <c r="M58" s="87">
        <f t="shared" si="2"/>
        <v>3478.6584413833598</v>
      </c>
      <c r="O58" s="138"/>
      <c r="P58" s="138"/>
      <c r="W58" s="138"/>
      <c r="X58" s="138"/>
      <c r="AB58" s="138"/>
      <c r="AC58" s="138"/>
      <c r="AG58" s="138"/>
      <c r="AH58" s="138"/>
      <c r="AL58" s="138"/>
      <c r="AM58" s="138"/>
      <c r="AQ58" s="138"/>
      <c r="AR58" s="138"/>
      <c r="AV58" s="138"/>
      <c r="AW58" s="138"/>
      <c r="BA58" s="138"/>
      <c r="BB58" s="138"/>
      <c r="BF58" s="138"/>
      <c r="BG58" s="138"/>
      <c r="BK58" s="138"/>
      <c r="BL58" s="138"/>
      <c r="BP58" s="138"/>
      <c r="BQ58" s="138"/>
      <c r="BU58" s="138"/>
      <c r="BV58" s="138"/>
      <c r="BZ58" s="138"/>
      <c r="CA58" s="138"/>
      <c r="CE58" s="138"/>
      <c r="CF58" s="138"/>
      <c r="CJ58" s="138"/>
      <c r="CK58" s="138"/>
      <c r="CO58" s="138"/>
      <c r="CP58" s="138"/>
      <c r="CT58" s="138"/>
      <c r="CU58" s="138"/>
      <c r="CY58" s="138"/>
      <c r="CZ58" s="138"/>
      <c r="DD58" s="138"/>
      <c r="DE58" s="138"/>
      <c r="DI58" s="138"/>
      <c r="DJ58" s="138"/>
      <c r="DN58" s="138"/>
      <c r="DO58" s="138"/>
      <c r="DS58" s="138"/>
      <c r="DT58" s="138"/>
      <c r="DX58" s="138"/>
      <c r="DY58" s="138"/>
      <c r="EC58" s="138"/>
      <c r="ED58" s="138"/>
      <c r="EH58" s="138"/>
      <c r="EI58" s="138"/>
      <c r="EM58" s="138"/>
      <c r="EN58" s="138"/>
      <c r="ER58" s="138"/>
      <c r="ES58" s="138"/>
      <c r="EW58" s="138"/>
      <c r="EX58" s="138"/>
      <c r="FB58" s="138"/>
      <c r="FC58" s="138"/>
    </row>
    <row r="59" spans="1:159">
      <c r="A59" s="87">
        <f t="shared" si="3"/>
        <v>24</v>
      </c>
      <c r="B59" s="83">
        <f>_xll.flu_SPT2025($D$10,$D$12,$D$13,$D$20,$D$15,$D$16,$H$11:$I$27,$O$19:$P$108,FALSE,FALSE,"Cao độ",A59,$D$17)</f>
        <v>21</v>
      </c>
      <c r="C59" s="87" t="str">
        <f>IF(B59="","",_xll.TimTenLoaiDat(B59,$F$11:$H$27))</f>
        <v>Lớp 5</v>
      </c>
      <c r="D59" s="87" t="str">
        <f>IF(B59="","",_xll.TimTinhChatDat(B59,$H$11:$I$27))</f>
        <v>Đất rời</v>
      </c>
      <c r="E59" s="95">
        <f>IF(B59="","",_xll.NoiSuySPT(B59,$O$19:$P$108,$D$16,$D$12,0,0))</f>
        <v>14</v>
      </c>
      <c r="F59" s="95">
        <f>IF(B59="","",IF(D59="Đất dính","-",_xll.qb_SPT2025($D$10,$D$12,$D$13,B59,$D$16,$H$11:$I$27,$O$19:$P$108)))</f>
        <v>1680</v>
      </c>
      <c r="G59" s="95" t="str">
        <f>IF(B59="","",IF(D59="Đất dính",_xll.qb_SPT2025($D$10,$D$12,$D$13,B59,$D$16,$H$11:$I$27,$O$19:$P$108),"-"))</f>
        <v>-</v>
      </c>
      <c r="H59" s="95">
        <f t="shared" si="1"/>
        <v>1319.46891450771</v>
      </c>
      <c r="I59" s="96">
        <f>_xll.flu_SPT2025($D$10,$D$12,$D$13,$D$20,$D$15,$D$16,$H$11:$I$27,$O$19:$P$108,FALSE,FALSE,"Li",A59,$D$17)</f>
        <v>1</v>
      </c>
      <c r="J59" s="95">
        <f>IF(D59="Đất dính","-",_xll.flu_SPT2025($D$10,$D$12,$D$13,$D$20,$D$15,$D$16,$H$11:$I$27,$O$19:$P$108,FALSE,FALSE,"f",A59,$D$17))</f>
        <v>46.2</v>
      </c>
      <c r="K59" s="95" t="str">
        <f>IF(B59="","",IF(D59="Đất dính",_xll.flu_SPT2025($D$10,$D$12,$D$13,$D$20,$D$15,$D$16,$H$11:$I$27,$O$19:$P$108,FALSE,FALSE,"f",A59,$D$17),"-"))</f>
        <v>-</v>
      </c>
      <c r="L59" s="95">
        <f>_xll.flu_SPT2025($D$10,$D$12,$D$13,$D$20,$D$15,$D$16,$H$11:$I$27,$O$19:$P$108,FALSE,FALSE,"flu",A59,$D$17)</f>
        <v>2313.7558854322601</v>
      </c>
      <c r="M59" s="87">
        <f t="shared" si="2"/>
        <v>3633.2247999399801</v>
      </c>
      <c r="O59" s="138"/>
      <c r="P59" s="138"/>
      <c r="W59" s="138"/>
      <c r="X59" s="138"/>
      <c r="AB59" s="138"/>
      <c r="AC59" s="138"/>
      <c r="AG59" s="138"/>
      <c r="AH59" s="138"/>
      <c r="AL59" s="138"/>
      <c r="AM59" s="138"/>
      <c r="AQ59" s="138"/>
      <c r="AR59" s="138"/>
      <c r="AV59" s="138"/>
      <c r="AW59" s="138"/>
      <c r="BA59" s="138"/>
      <c r="BB59" s="138"/>
      <c r="BF59" s="138"/>
      <c r="BG59" s="138"/>
      <c r="BK59" s="138"/>
      <c r="BL59" s="138"/>
      <c r="BP59" s="138"/>
      <c r="BQ59" s="138"/>
      <c r="BU59" s="138"/>
      <c r="BV59" s="138"/>
      <c r="BZ59" s="138"/>
      <c r="CA59" s="138"/>
      <c r="CE59" s="138"/>
      <c r="CF59" s="138"/>
      <c r="CJ59" s="138"/>
      <c r="CK59" s="138"/>
      <c r="CO59" s="138"/>
      <c r="CP59" s="138"/>
      <c r="CT59" s="138"/>
      <c r="CU59" s="138"/>
      <c r="CY59" s="138"/>
      <c r="CZ59" s="138"/>
      <c r="DD59" s="138"/>
      <c r="DE59" s="138"/>
      <c r="DI59" s="138"/>
      <c r="DJ59" s="138"/>
      <c r="DN59" s="138"/>
      <c r="DO59" s="138"/>
      <c r="DS59" s="138"/>
      <c r="DT59" s="138"/>
      <c r="DX59" s="138"/>
      <c r="DY59" s="138"/>
      <c r="EC59" s="138"/>
      <c r="ED59" s="138"/>
      <c r="EH59" s="138"/>
      <c r="EI59" s="138"/>
      <c r="EM59" s="138"/>
      <c r="EN59" s="138"/>
      <c r="ER59" s="138"/>
      <c r="ES59" s="138"/>
      <c r="EW59" s="138"/>
      <c r="EX59" s="138"/>
      <c r="FB59" s="138"/>
      <c r="FC59" s="138"/>
    </row>
    <row r="60" spans="1:159">
      <c r="A60" s="87">
        <f t="shared" si="3"/>
        <v>25</v>
      </c>
      <c r="B60" s="83">
        <f>_xll.flu_SPT2025($D$10,$D$12,$D$13,$D$20,$D$15,$D$16,$H$11:$I$27,$O$19:$P$108,FALSE,FALSE,"Cao độ",A60,$D$17)</f>
        <v>22</v>
      </c>
      <c r="C60" s="87" t="str">
        <f>IF(B60="","",_xll.TimTenLoaiDat(B60,$F$11:$H$27))</f>
        <v>Lớp 5</v>
      </c>
      <c r="D60" s="87" t="str">
        <f>IF(B60="","",_xll.TimTinhChatDat(B60,$H$11:$I$27))</f>
        <v>Đất rời</v>
      </c>
      <c r="E60" s="95">
        <f>IF(B60="","",_xll.NoiSuySPT(B60,$O$19:$P$108,$D$16,$D$12,0,0))</f>
        <v>14</v>
      </c>
      <c r="F60" s="95">
        <f>IF(B60="","",IF(D60="Đất dính","-",_xll.qb_SPT2025($D$10,$D$12,$D$13,B60,$D$16,$H$11:$I$27,$O$19:$P$108)))</f>
        <v>1680</v>
      </c>
      <c r="G60" s="95" t="str">
        <f>IF(B60="","",IF(D60="Đất dính",_xll.qb_SPT2025($D$10,$D$12,$D$13,B60,$D$16,$H$11:$I$27,$O$19:$P$108),"-"))</f>
        <v>-</v>
      </c>
      <c r="H60" s="95">
        <f t="shared" si="1"/>
        <v>1319.46891450771</v>
      </c>
      <c r="I60" s="96">
        <f>_xll.flu_SPT2025($D$10,$D$12,$D$13,$D$20,$D$15,$D$16,$H$11:$I$27,$O$19:$P$108,FALSE,FALSE,"Li",A60,$D$17)</f>
        <v>1</v>
      </c>
      <c r="J60" s="95">
        <f>IF(D60="Đất dính","-",_xll.flu_SPT2025($D$10,$D$12,$D$13,$D$20,$D$15,$D$16,$H$11:$I$27,$O$19:$P$108,FALSE,FALSE,"f",A60,$D$17))</f>
        <v>46.2</v>
      </c>
      <c r="K60" s="95" t="str">
        <f>IF(B60="","",IF(D60="Đất dính",_xll.flu_SPT2025($D$10,$D$12,$D$13,$D$20,$D$15,$D$16,$H$11:$I$27,$O$19:$P$108,FALSE,FALSE,"f",A60,$D$17),"-"))</f>
        <v>-</v>
      </c>
      <c r="L60" s="95">
        <f>_xll.flu_SPT2025($D$10,$D$12,$D$13,$D$20,$D$15,$D$16,$H$11:$I$27,$O$19:$P$108,FALSE,FALSE,"flu",A60,$D$17)</f>
        <v>2458.8974660281101</v>
      </c>
      <c r="M60" s="87">
        <f t="shared" si="2"/>
        <v>3778.3663805358301</v>
      </c>
      <c r="O60" s="138"/>
      <c r="P60" s="138"/>
      <c r="W60" s="138"/>
      <c r="X60" s="138"/>
      <c r="AB60" s="138"/>
      <c r="AC60" s="138"/>
      <c r="AG60" s="138"/>
      <c r="AH60" s="138"/>
      <c r="AL60" s="138"/>
      <c r="AM60" s="138"/>
      <c r="AQ60" s="138"/>
      <c r="AR60" s="138"/>
      <c r="AV60" s="138"/>
      <c r="AW60" s="138"/>
      <c r="BA60" s="138"/>
      <c r="BB60" s="138"/>
      <c r="BF60" s="138"/>
      <c r="BG60" s="138"/>
      <c r="BK60" s="138"/>
      <c r="BL60" s="138"/>
      <c r="BP60" s="138"/>
      <c r="BQ60" s="138"/>
      <c r="BU60" s="138"/>
      <c r="BV60" s="138"/>
      <c r="BZ60" s="138"/>
      <c r="CA60" s="138"/>
      <c r="CE60" s="138"/>
      <c r="CF60" s="138"/>
      <c r="CJ60" s="138"/>
      <c r="CK60" s="138"/>
      <c r="CO60" s="138"/>
      <c r="CP60" s="138"/>
      <c r="CT60" s="138"/>
      <c r="CU60" s="138"/>
      <c r="CY60" s="138"/>
      <c r="CZ60" s="138"/>
      <c r="DD60" s="138"/>
      <c r="DE60" s="138"/>
      <c r="DI60" s="138"/>
      <c r="DJ60" s="138"/>
      <c r="DN60" s="138"/>
      <c r="DO60" s="138"/>
      <c r="DS60" s="138"/>
      <c r="DT60" s="138"/>
      <c r="DX60" s="138"/>
      <c r="DY60" s="138"/>
      <c r="EC60" s="138"/>
      <c r="ED60" s="138"/>
      <c r="EH60" s="138"/>
      <c r="EI60" s="138"/>
      <c r="EM60" s="138"/>
      <c r="EN60" s="138"/>
      <c r="ER60" s="138"/>
      <c r="ES60" s="138"/>
      <c r="EW60" s="138"/>
      <c r="EX60" s="138"/>
      <c r="FB60" s="138"/>
      <c r="FC60" s="138"/>
    </row>
    <row r="61" spans="1:159">
      <c r="A61" s="87">
        <f t="shared" si="3"/>
        <v>26</v>
      </c>
      <c r="B61" s="83">
        <f>_xll.flu_SPT2025($D$10,$D$12,$D$13,$D$20,$D$15,$D$16,$H$11:$I$27,$O$19:$P$108,FALSE,FALSE,"Cao độ",A61,$D$17)</f>
        <v>23</v>
      </c>
      <c r="C61" s="87" t="str">
        <f>IF(B61="","",_xll.TimTenLoaiDat(B61,$F$11:$H$27))</f>
        <v>Lớp 5</v>
      </c>
      <c r="D61" s="87" t="str">
        <f>IF(B61="","",_xll.TimTinhChatDat(B61,$H$11:$I$27))</f>
        <v>Đất rời</v>
      </c>
      <c r="E61" s="95">
        <f>IF(B61="","",_xll.NoiSuySPT(B61,$O$19:$P$108,$D$16,$D$12,0,0))</f>
        <v>14.4</v>
      </c>
      <c r="F61" s="95">
        <f>IF(B61="","",IF(D61="Đất dính","-",_xll.qb_SPT2025($D$10,$D$12,$D$13,B61,$D$16,$H$11:$I$27,$O$19:$P$108)))</f>
        <v>1728</v>
      </c>
      <c r="G61" s="95" t="str">
        <f>IF(B61="","",IF(D61="Đất dính",_xll.qb_SPT2025($D$10,$D$12,$D$13,B61,$D$16,$H$11:$I$27,$O$19:$P$108),"-"))</f>
        <v>-</v>
      </c>
      <c r="H61" s="95">
        <f t="shared" si="1"/>
        <v>1357.1680263507899</v>
      </c>
      <c r="I61" s="96">
        <f>_xll.flu_SPT2025($D$10,$D$12,$D$13,$D$20,$D$15,$D$16,$H$11:$I$27,$O$19:$P$108,FALSE,FALSE,"Li",A61,$D$17)</f>
        <v>1</v>
      </c>
      <c r="J61" s="95">
        <f>IF(D61="Đất dính","-",_xll.flu_SPT2025($D$10,$D$12,$D$13,$D$20,$D$15,$D$16,$H$11:$I$27,$O$19:$P$108,FALSE,FALSE,"f",A61,$D$17))</f>
        <v>47.52</v>
      </c>
      <c r="K61" s="95" t="str">
        <f>IF(B61="","",IF(D61="Đất dính",_xll.flu_SPT2025($D$10,$D$12,$D$13,$D$20,$D$15,$D$16,$H$11:$I$27,$O$19:$P$108,FALSE,FALSE,"f",A61,$D$17),"-"))</f>
        <v>-</v>
      </c>
      <c r="L61" s="95">
        <f>_xll.flu_SPT2025($D$10,$D$12,$D$13,$D$20,$D$15,$D$16,$H$11:$I$27,$O$19:$P$108,FALSE,FALSE,"flu",A61,$D$17)</f>
        <v>2608.1859489266999</v>
      </c>
      <c r="M61" s="87">
        <f t="shared" si="2"/>
        <v>3965.35397527749</v>
      </c>
      <c r="O61" s="138"/>
      <c r="P61" s="138"/>
      <c r="W61" s="138"/>
      <c r="X61" s="138"/>
      <c r="AB61" s="138"/>
      <c r="AC61" s="138"/>
      <c r="AG61" s="138"/>
      <c r="AH61" s="138"/>
      <c r="AL61" s="138"/>
      <c r="AM61" s="138"/>
      <c r="AQ61" s="138"/>
      <c r="AR61" s="138"/>
      <c r="AV61" s="138"/>
      <c r="AW61" s="138"/>
      <c r="BA61" s="138"/>
      <c r="BB61" s="138"/>
      <c r="BF61" s="138"/>
      <c r="BG61" s="138"/>
      <c r="BK61" s="138"/>
      <c r="BL61" s="138"/>
      <c r="BP61" s="138"/>
      <c r="BQ61" s="138"/>
      <c r="BU61" s="138"/>
      <c r="BV61" s="138"/>
      <c r="BZ61" s="138"/>
      <c r="CA61" s="138"/>
      <c r="CE61" s="138"/>
      <c r="CF61" s="138"/>
      <c r="CJ61" s="138"/>
      <c r="CK61" s="138"/>
      <c r="CO61" s="138"/>
      <c r="CP61" s="138"/>
      <c r="CT61" s="138"/>
      <c r="CU61" s="138"/>
      <c r="CY61" s="138"/>
      <c r="CZ61" s="138"/>
      <c r="DD61" s="138"/>
      <c r="DE61" s="138"/>
      <c r="DI61" s="138"/>
      <c r="DJ61" s="138"/>
      <c r="DN61" s="138"/>
      <c r="DO61" s="138"/>
      <c r="DS61" s="138"/>
      <c r="DT61" s="138"/>
      <c r="DX61" s="138"/>
      <c r="DY61" s="138"/>
      <c r="EC61" s="138"/>
      <c r="ED61" s="138"/>
      <c r="EH61" s="138"/>
      <c r="EI61" s="138"/>
      <c r="EM61" s="138"/>
      <c r="EN61" s="138"/>
      <c r="ER61" s="138"/>
      <c r="ES61" s="138"/>
      <c r="EW61" s="138"/>
      <c r="EX61" s="138"/>
      <c r="FB61" s="138"/>
      <c r="FC61" s="138"/>
    </row>
    <row r="62" spans="1:159">
      <c r="A62" s="87">
        <f t="shared" si="3"/>
        <v>27</v>
      </c>
      <c r="B62" s="83">
        <f>_xll.flu_SPT2025($D$10,$D$12,$D$13,$D$20,$D$15,$D$16,$H$11:$I$27,$O$19:$P$108,FALSE,FALSE,"Cao độ",A62,$D$17)</f>
        <v>24</v>
      </c>
      <c r="C62" s="87" t="str">
        <f>IF(B62="","",_xll.TimTenLoaiDat(B62,$F$11:$H$27))</f>
        <v>Lớp 5</v>
      </c>
      <c r="D62" s="87" t="str">
        <f>IF(B62="","",_xll.TimTinhChatDat(B62,$H$11:$I$27))</f>
        <v>Đất rời</v>
      </c>
      <c r="E62" s="95">
        <f>IF(B62="","",_xll.NoiSuySPT(B62,$O$19:$P$108,$D$16,$D$12,0,0))</f>
        <v>14.9</v>
      </c>
      <c r="F62" s="95">
        <f>IF(B62="","",IF(D62="Đất dính","-",_xll.qb_SPT2025($D$10,$D$12,$D$13,B62,$D$16,$H$11:$I$27,$O$19:$P$108)))</f>
        <v>1788</v>
      </c>
      <c r="G62" s="95" t="str">
        <f>IF(B62="","",IF(D62="Đất dính",_xll.qb_SPT2025($D$10,$D$12,$D$13,B62,$D$16,$H$11:$I$27,$O$19:$P$108),"-"))</f>
        <v>-</v>
      </c>
      <c r="H62" s="95">
        <f t="shared" si="1"/>
        <v>1404.2919161546399</v>
      </c>
      <c r="I62" s="96">
        <f>_xll.flu_SPT2025($D$10,$D$12,$D$13,$D$20,$D$15,$D$16,$H$11:$I$27,$O$19:$P$108,FALSE,FALSE,"Li",A62,$D$17)</f>
        <v>1</v>
      </c>
      <c r="J62" s="95">
        <f>IF(D62="Đất dính","-",_xll.flu_SPT2025($D$10,$D$12,$D$13,$D$20,$D$15,$D$16,$H$11:$I$27,$O$19:$P$108,FALSE,FALSE,"f",A62,$D$17))</f>
        <v>49.17</v>
      </c>
      <c r="K62" s="95" t="str">
        <f>IF(B62="","",IF(D62="Đất dính",_xll.flu_SPT2025($D$10,$D$12,$D$13,$D$20,$D$15,$D$16,$H$11:$I$27,$O$19:$P$108,FALSE,FALSE,"f",A62,$D$17),"-"))</f>
        <v>-</v>
      </c>
      <c r="L62" s="95">
        <f>_xll.flu_SPT2025($D$10,$D$12,$D$13,$D$20,$D$15,$D$16,$H$11:$I$27,$O$19:$P$108,FALSE,FALSE,"flu",A62,$D$17)</f>
        <v>2762.65805970371</v>
      </c>
      <c r="M62" s="87">
        <f t="shared" si="2"/>
        <v>4166.9499758583497</v>
      </c>
      <c r="O62" s="138"/>
      <c r="P62" s="138"/>
      <c r="W62" s="138"/>
      <c r="X62" s="138"/>
      <c r="AB62" s="138"/>
      <c r="AC62" s="138"/>
      <c r="AG62" s="138"/>
      <c r="AH62" s="138"/>
      <c r="AL62" s="138"/>
      <c r="AM62" s="138"/>
      <c r="AQ62" s="138"/>
      <c r="AR62" s="138"/>
      <c r="AV62" s="138"/>
      <c r="AW62" s="138"/>
      <c r="BA62" s="138"/>
      <c r="BB62" s="138"/>
      <c r="BF62" s="138"/>
      <c r="BG62" s="138"/>
      <c r="BK62" s="138"/>
      <c r="BL62" s="138"/>
      <c r="BP62" s="138"/>
      <c r="BQ62" s="138"/>
      <c r="BU62" s="138"/>
      <c r="BV62" s="138"/>
      <c r="BZ62" s="138"/>
      <c r="CA62" s="138"/>
      <c r="CE62" s="138"/>
      <c r="CF62" s="138"/>
      <c r="CJ62" s="138"/>
      <c r="CK62" s="138"/>
      <c r="CO62" s="138"/>
      <c r="CP62" s="138"/>
      <c r="CT62" s="138"/>
      <c r="CU62" s="138"/>
      <c r="CY62" s="138"/>
      <c r="CZ62" s="138"/>
      <c r="DD62" s="138"/>
      <c r="DE62" s="138"/>
      <c r="DI62" s="138"/>
      <c r="DJ62" s="138"/>
      <c r="DN62" s="138"/>
      <c r="DO62" s="138"/>
      <c r="DS62" s="138"/>
      <c r="DT62" s="138"/>
      <c r="DX62" s="138"/>
      <c r="DY62" s="138"/>
      <c r="EC62" s="138"/>
      <c r="ED62" s="138"/>
      <c r="EH62" s="138"/>
      <c r="EI62" s="138"/>
      <c r="EM62" s="138"/>
      <c r="EN62" s="138"/>
      <c r="ER62" s="138"/>
      <c r="ES62" s="138"/>
      <c r="EW62" s="138"/>
      <c r="EX62" s="138"/>
      <c r="FB62" s="138"/>
      <c r="FC62" s="138"/>
    </row>
    <row r="63" spans="1:159">
      <c r="A63" s="87">
        <f t="shared" si="3"/>
        <v>28</v>
      </c>
      <c r="B63" s="83">
        <f>_xll.flu_SPT2025($D$10,$D$12,$D$13,$D$20,$D$15,$D$16,$H$11:$I$27,$O$19:$P$108,FALSE,FALSE,"Cao độ",A63,$D$17)</f>
        <v>25</v>
      </c>
      <c r="C63" s="87" t="str">
        <f>IF(B63="","",_xll.TimTenLoaiDat(B63,$F$11:$H$27))</f>
        <v>Lớp 5</v>
      </c>
      <c r="D63" s="87" t="str">
        <f>IF(B63="","",_xll.TimTinhChatDat(B63,$H$11:$I$27))</f>
        <v>Đất rời</v>
      </c>
      <c r="E63" s="95">
        <f>IF(B63="","",_xll.NoiSuySPT(B63,$O$19:$P$108,$D$16,$D$12,0,0))</f>
        <v>15</v>
      </c>
      <c r="F63" s="95">
        <f>IF(B63="","",IF(D63="Đất dính","-",_xll.qb_SPT2025($D$10,$D$12,$D$13,B63,$D$16,$H$11:$I$27,$O$19:$P$108)))</f>
        <v>1800</v>
      </c>
      <c r="G63" s="95" t="str">
        <f>IF(B63="","",IF(D63="Đất dính",_xll.qb_SPT2025($D$10,$D$12,$D$13,B63,$D$16,$H$11:$I$27,$O$19:$P$108),"-"))</f>
        <v>-</v>
      </c>
      <c r="H63" s="95">
        <f t="shared" si="1"/>
        <v>1413.7166941154101</v>
      </c>
      <c r="I63" s="96">
        <f>_xll.flu_SPT2025($D$10,$D$12,$D$13,$D$20,$D$15,$D$16,$H$11:$I$27,$O$19:$P$108,FALSE,FALSE,"Li",A63,$D$17)</f>
        <v>1</v>
      </c>
      <c r="J63" s="95">
        <f>IF(D63="Đất dính","-",_xll.flu_SPT2025($D$10,$D$12,$D$13,$D$20,$D$15,$D$16,$H$11:$I$27,$O$19:$P$108,FALSE,FALSE,"f",A63,$D$17))</f>
        <v>49.5</v>
      </c>
      <c r="K63" s="95" t="str">
        <f>IF(B63="","",IF(D63="Đất dính",_xll.flu_SPT2025($D$10,$D$12,$D$13,$D$20,$D$15,$D$16,$H$11:$I$27,$O$19:$P$108,FALSE,FALSE,"f",A63,$D$17),"-"))</f>
        <v>-</v>
      </c>
      <c r="L63" s="95">
        <f>_xll.flu_SPT2025($D$10,$D$12,$D$13,$D$20,$D$15,$D$16,$H$11:$I$27,$O$19:$P$108,FALSE,FALSE,"flu",A63,$D$17)</f>
        <v>2918.1668960564002</v>
      </c>
      <c r="M63" s="87">
        <f t="shared" si="2"/>
        <v>4331.8835901718103</v>
      </c>
      <c r="O63" s="138"/>
      <c r="P63" s="138"/>
      <c r="W63" s="138"/>
      <c r="X63" s="138"/>
      <c r="AB63" s="138"/>
      <c r="AC63" s="138"/>
      <c r="AG63" s="138"/>
      <c r="AH63" s="138"/>
      <c r="AL63" s="138"/>
      <c r="AM63" s="138"/>
      <c r="AQ63" s="138"/>
      <c r="AR63" s="138"/>
      <c r="AV63" s="138"/>
      <c r="AW63" s="138"/>
      <c r="BA63" s="138"/>
      <c r="BB63" s="138"/>
      <c r="BF63" s="138"/>
      <c r="BG63" s="138"/>
      <c r="BK63" s="138"/>
      <c r="BL63" s="138"/>
      <c r="BP63" s="138"/>
      <c r="BQ63" s="138"/>
      <c r="BU63" s="138"/>
      <c r="BV63" s="138"/>
      <c r="BZ63" s="138"/>
      <c r="CA63" s="138"/>
      <c r="CE63" s="138"/>
      <c r="CF63" s="138"/>
      <c r="CJ63" s="138"/>
      <c r="CK63" s="138"/>
      <c r="CO63" s="138"/>
      <c r="CP63" s="138"/>
      <c r="CT63" s="138"/>
      <c r="CU63" s="138"/>
      <c r="CY63" s="138"/>
      <c r="CZ63" s="138"/>
      <c r="DD63" s="138"/>
      <c r="DE63" s="138"/>
      <c r="DI63" s="138"/>
      <c r="DJ63" s="138"/>
      <c r="DN63" s="138"/>
      <c r="DO63" s="138"/>
      <c r="DS63" s="138"/>
      <c r="DT63" s="138"/>
      <c r="DX63" s="138"/>
      <c r="DY63" s="138"/>
      <c r="EC63" s="138"/>
      <c r="ED63" s="138"/>
      <c r="EH63" s="138"/>
      <c r="EI63" s="138"/>
      <c r="EM63" s="138"/>
      <c r="EN63" s="138"/>
      <c r="ER63" s="138"/>
      <c r="ES63" s="138"/>
      <c r="EW63" s="138"/>
      <c r="EX63" s="138"/>
      <c r="FB63" s="138"/>
      <c r="FC63" s="138"/>
    </row>
    <row r="64" spans="1:159">
      <c r="A64" s="87">
        <f t="shared" si="3"/>
        <v>29</v>
      </c>
      <c r="B64" s="83">
        <f>_xll.flu_SPT2025($D$10,$D$12,$D$13,$D$20,$D$15,$D$16,$H$11:$I$27,$O$19:$P$108,FALSE,FALSE,"Cao độ",A64,$D$17)</f>
        <v>26</v>
      </c>
      <c r="C64" s="87" t="str">
        <f>IF(B64="","",_xll.TimTenLoaiDat(B64,$F$11:$H$27))</f>
        <v>Lớp 5</v>
      </c>
      <c r="D64" s="87" t="str">
        <f>IF(B64="","",_xll.TimTinhChatDat(B64,$H$11:$I$27))</f>
        <v>Đất rời</v>
      </c>
      <c r="E64" s="95">
        <f>IF(B64="","",_xll.NoiSuySPT(B64,$O$19:$P$108,$D$16,$D$12,0,0))</f>
        <v>15</v>
      </c>
      <c r="F64" s="95">
        <f>IF(B64="","",IF(D64="Đất dính","-",_xll.qb_SPT2025($D$10,$D$12,$D$13,B64,$D$16,$H$11:$I$27,$O$19:$P$108)))</f>
        <v>1800</v>
      </c>
      <c r="G64" s="95" t="str">
        <f>IF(B64="","",IF(D64="Đất dính",_xll.qb_SPT2025($D$10,$D$12,$D$13,B64,$D$16,$H$11:$I$27,$O$19:$P$108),"-"))</f>
        <v>-</v>
      </c>
      <c r="H64" s="95">
        <f t="shared" si="1"/>
        <v>1413.7166941154101</v>
      </c>
      <c r="I64" s="96">
        <f>_xll.flu_SPT2025($D$10,$D$12,$D$13,$D$20,$D$15,$D$16,$H$11:$I$27,$O$19:$P$108,FALSE,FALSE,"Li",A64,$D$17)</f>
        <v>1</v>
      </c>
      <c r="J64" s="95">
        <f>IF(D64="Đất dính","-",_xll.flu_SPT2025($D$10,$D$12,$D$13,$D$20,$D$15,$D$16,$H$11:$I$27,$O$19:$P$108,FALSE,FALSE,"f",A64,$D$17))</f>
        <v>49.5</v>
      </c>
      <c r="K64" s="95" t="str">
        <f>IF(B64="","",IF(D64="Đất dính",_xll.flu_SPT2025($D$10,$D$12,$D$13,$D$20,$D$15,$D$16,$H$11:$I$27,$O$19:$P$108,FALSE,FALSE,"f",A64,$D$17),"-"))</f>
        <v>-</v>
      </c>
      <c r="L64" s="95">
        <f>_xll.flu_SPT2025($D$10,$D$12,$D$13,$D$20,$D$15,$D$16,$H$11:$I$27,$O$19:$P$108,FALSE,FALSE,"flu",A64,$D$17)</f>
        <v>3073.6757324091</v>
      </c>
      <c r="M64" s="87">
        <f t="shared" si="2"/>
        <v>4487.3924265245096</v>
      </c>
      <c r="O64" s="138"/>
      <c r="P64" s="138"/>
      <c r="W64" s="138"/>
      <c r="X64" s="138"/>
      <c r="AB64" s="138"/>
      <c r="AC64" s="138"/>
      <c r="AG64" s="138"/>
      <c r="AH64" s="138"/>
      <c r="AL64" s="138"/>
      <c r="AM64" s="138"/>
      <c r="AQ64" s="138"/>
      <c r="AR64" s="138"/>
      <c r="AV64" s="138"/>
      <c r="AW64" s="138"/>
      <c r="BA64" s="138"/>
      <c r="BB64" s="138"/>
      <c r="BF64" s="138"/>
      <c r="BG64" s="138"/>
      <c r="BK64" s="138"/>
      <c r="BL64" s="138"/>
      <c r="BP64" s="138"/>
      <c r="BQ64" s="138"/>
      <c r="BU64" s="138"/>
      <c r="BV64" s="138"/>
      <c r="BZ64" s="138"/>
      <c r="CA64" s="138"/>
      <c r="CE64" s="138"/>
      <c r="CF64" s="138"/>
      <c r="CJ64" s="138"/>
      <c r="CK64" s="138"/>
      <c r="CO64" s="138"/>
      <c r="CP64" s="138"/>
      <c r="CT64" s="138"/>
      <c r="CU64" s="138"/>
      <c r="CY64" s="138"/>
      <c r="CZ64" s="138"/>
      <c r="DD64" s="138"/>
      <c r="DE64" s="138"/>
      <c r="DI64" s="138"/>
      <c r="DJ64" s="138"/>
      <c r="DN64" s="138"/>
      <c r="DO64" s="138"/>
      <c r="DS64" s="138"/>
      <c r="DT64" s="138"/>
      <c r="DX64" s="138"/>
      <c r="DY64" s="138"/>
      <c r="EC64" s="138"/>
      <c r="ED64" s="138"/>
      <c r="EH64" s="138"/>
      <c r="EI64" s="138"/>
      <c r="EM64" s="138"/>
      <c r="EN64" s="138"/>
      <c r="ER64" s="138"/>
      <c r="ES64" s="138"/>
      <c r="EW64" s="138"/>
      <c r="EX64" s="138"/>
      <c r="FB64" s="138"/>
      <c r="FC64" s="138"/>
    </row>
    <row r="65" spans="1:159">
      <c r="A65" s="87">
        <f t="shared" si="3"/>
        <v>30</v>
      </c>
      <c r="B65" s="83">
        <f>_xll.flu_SPT2025($D$10,$D$12,$D$13,$D$20,$D$15,$D$16,$H$11:$I$27,$O$19:$P$108,FALSE,FALSE,"Cao độ",A65,$D$17)</f>
        <v>27</v>
      </c>
      <c r="C65" s="87" t="str">
        <f>IF(B65="","",_xll.TimTenLoaiDat(B65,$F$11:$H$27))</f>
        <v>Lớp 6</v>
      </c>
      <c r="D65" s="87" t="str">
        <f>IF(B65="","",_xll.TimTinhChatDat(B65,$H$11:$I$27))</f>
        <v>Đất rời</v>
      </c>
      <c r="E65" s="95">
        <f>IF(B65="","",_xll.NoiSuySPT(B65,$O$19:$P$108,$D$16,$D$12,0,0))</f>
        <v>17</v>
      </c>
      <c r="F65" s="95">
        <f>IF(B65="","",IF(D65="Đất dính","-",_xll.qb_SPT2025($D$10,$D$12,$D$13,B65,$D$16,$H$11:$I$27,$O$19:$P$108)))</f>
        <v>2040</v>
      </c>
      <c r="G65" s="95" t="str">
        <f>IF(B65="","",IF(D65="Đất dính",_xll.qb_SPT2025($D$10,$D$12,$D$13,B65,$D$16,$H$11:$I$27,$O$19:$P$108),"-"))</f>
        <v>-</v>
      </c>
      <c r="H65" s="95">
        <f t="shared" si="1"/>
        <v>1602.21225333079</v>
      </c>
      <c r="I65" s="96">
        <f>_xll.flu_SPT2025($D$10,$D$12,$D$13,$D$20,$D$15,$D$16,$H$11:$I$27,$O$19:$P$108,FALSE,FALSE,"Li",A65,$D$17)</f>
        <v>1</v>
      </c>
      <c r="J65" s="95">
        <f>IF(D65="Đất dính","-",_xll.flu_SPT2025($D$10,$D$12,$D$13,$D$20,$D$15,$D$16,$H$11:$I$27,$O$19:$P$108,FALSE,FALSE,"f",A65,$D$17))</f>
        <v>56.1</v>
      </c>
      <c r="K65" s="95" t="str">
        <f>IF(B65="","",IF(D65="Đất dính",_xll.flu_SPT2025($D$10,$D$12,$D$13,$D$20,$D$15,$D$16,$H$11:$I$27,$O$19:$P$108,FALSE,FALSE,"f",A65,$D$17),"-"))</f>
        <v>-</v>
      </c>
      <c r="L65" s="95">
        <f>_xll.flu_SPT2025($D$10,$D$12,$D$13,$D$20,$D$15,$D$16,$H$11:$I$27,$O$19:$P$108,FALSE,FALSE,"flu",A65,$D$17)</f>
        <v>3249.9190802754902</v>
      </c>
      <c r="M65" s="87">
        <f t="shared" si="2"/>
        <v>4852.1313336062804</v>
      </c>
      <c r="O65" s="138"/>
      <c r="P65" s="138"/>
      <c r="W65" s="138"/>
      <c r="X65" s="138"/>
      <c r="AB65" s="138"/>
      <c r="AC65" s="138"/>
      <c r="AG65" s="138"/>
      <c r="AH65" s="138"/>
      <c r="AL65" s="138"/>
      <c r="AM65" s="138"/>
      <c r="AQ65" s="138"/>
      <c r="AR65" s="138"/>
      <c r="AV65" s="138"/>
      <c r="AW65" s="138"/>
      <c r="BA65" s="138"/>
      <c r="BB65" s="138"/>
      <c r="BF65" s="138"/>
      <c r="BG65" s="138"/>
      <c r="BK65" s="138"/>
      <c r="BL65" s="138"/>
      <c r="BP65" s="138"/>
      <c r="BQ65" s="138"/>
      <c r="BU65" s="138"/>
      <c r="BV65" s="138"/>
      <c r="BZ65" s="138"/>
      <c r="CA65" s="138"/>
      <c r="CE65" s="138"/>
      <c r="CF65" s="138"/>
      <c r="CJ65" s="138"/>
      <c r="CK65" s="138"/>
      <c r="CO65" s="138"/>
      <c r="CP65" s="138"/>
      <c r="CT65" s="138"/>
      <c r="CU65" s="138"/>
      <c r="CY65" s="138"/>
      <c r="CZ65" s="138"/>
      <c r="DD65" s="138"/>
      <c r="DE65" s="138"/>
      <c r="DI65" s="138"/>
      <c r="DJ65" s="138"/>
      <c r="DN65" s="138"/>
      <c r="DO65" s="138"/>
      <c r="DS65" s="138"/>
      <c r="DT65" s="138"/>
      <c r="DX65" s="138"/>
      <c r="DY65" s="138"/>
      <c r="EC65" s="138"/>
      <c r="ED65" s="138"/>
      <c r="EH65" s="138"/>
      <c r="EI65" s="138"/>
      <c r="EM65" s="138"/>
      <c r="EN65" s="138"/>
      <c r="ER65" s="138"/>
      <c r="ES65" s="138"/>
      <c r="EW65" s="138"/>
      <c r="EX65" s="138"/>
      <c r="FB65" s="138"/>
      <c r="FC65" s="138"/>
    </row>
    <row r="66" spans="1:159">
      <c r="A66" s="87">
        <f t="shared" si="3"/>
        <v>31</v>
      </c>
      <c r="B66" s="83">
        <f>_xll.flu_SPT2025($D$10,$D$12,$D$13,$D$20,$D$15,$D$16,$H$11:$I$27,$O$19:$P$108,FALSE,FALSE,"Cao độ",A66,$D$17)</f>
        <v>28</v>
      </c>
      <c r="C66" s="87" t="str">
        <f>IF(B66="","",_xll.TimTenLoaiDat(B66,$F$11:$H$27))</f>
        <v>Lớp 6</v>
      </c>
      <c r="D66" s="87" t="str">
        <f>IF(B66="","",_xll.TimTinhChatDat(B66,$H$11:$I$27))</f>
        <v>Đất rời</v>
      </c>
      <c r="E66" s="95">
        <f>IF(B66="","",_xll.NoiSuySPT(B66,$O$19:$P$108,$D$16,$D$12,0,0))</f>
        <v>18.5</v>
      </c>
      <c r="F66" s="95">
        <f>IF(B66="","",IF(D66="Đất dính","-",_xll.qb_SPT2025($D$10,$D$12,$D$13,B66,$D$16,$H$11:$I$27,$O$19:$P$108)))</f>
        <v>2220</v>
      </c>
      <c r="G66" s="95" t="str">
        <f>IF(B66="","",IF(D66="Đất dính",_xll.qb_SPT2025($D$10,$D$12,$D$13,B66,$D$16,$H$11:$I$27,$O$19:$P$108),"-"))</f>
        <v>-</v>
      </c>
      <c r="H66" s="95">
        <f t="shared" si="1"/>
        <v>1743.5839227423401</v>
      </c>
      <c r="I66" s="96">
        <f>_xll.flu_SPT2025($D$10,$D$12,$D$13,$D$20,$D$15,$D$16,$H$11:$I$27,$O$19:$P$108,FALSE,FALSE,"Li",A66,$D$17)</f>
        <v>1</v>
      </c>
      <c r="J66" s="95">
        <f>IF(D66="Đất dính","-",_xll.flu_SPT2025($D$10,$D$12,$D$13,$D$20,$D$15,$D$16,$H$11:$I$27,$O$19:$P$108,FALSE,FALSE,"f",A66,$D$17))</f>
        <v>61.05</v>
      </c>
      <c r="K66" s="95" t="str">
        <f>IF(B66="","",IF(D66="Đất dính",_xll.flu_SPT2025($D$10,$D$12,$D$13,$D$20,$D$15,$D$16,$H$11:$I$27,$O$19:$P$108,FALSE,FALSE,"f",A66,$D$17),"-"))</f>
        <v>-</v>
      </c>
      <c r="L66" s="95">
        <f>_xll.flu_SPT2025($D$10,$D$12,$D$13,$D$20,$D$15,$D$16,$H$11:$I$27,$O$19:$P$108,FALSE,FALSE,"flu",A66,$D$17)</f>
        <v>3441.71331177714</v>
      </c>
      <c r="M66" s="87">
        <f t="shared" si="2"/>
        <v>5185.2972345194803</v>
      </c>
      <c r="O66" s="138"/>
      <c r="P66" s="138"/>
      <c r="W66" s="138"/>
      <c r="X66" s="138"/>
      <c r="AB66" s="138"/>
      <c r="AC66" s="138"/>
      <c r="AG66" s="138"/>
      <c r="AH66" s="138"/>
      <c r="AL66" s="138"/>
      <c r="AM66" s="138"/>
      <c r="AQ66" s="138"/>
      <c r="AR66" s="138"/>
      <c r="AV66" s="138"/>
      <c r="AW66" s="138"/>
      <c r="BA66" s="138"/>
      <c r="BB66" s="138"/>
      <c r="BF66" s="138"/>
      <c r="BG66" s="138"/>
      <c r="BK66" s="138"/>
      <c r="BL66" s="138"/>
      <c r="BP66" s="138"/>
      <c r="BQ66" s="138"/>
      <c r="BU66" s="138"/>
      <c r="BV66" s="138"/>
      <c r="BZ66" s="138"/>
      <c r="CA66" s="138"/>
      <c r="CE66" s="138"/>
      <c r="CF66" s="138"/>
      <c r="CJ66" s="138"/>
      <c r="CK66" s="138"/>
      <c r="CO66" s="138"/>
      <c r="CP66" s="138"/>
      <c r="CT66" s="138"/>
      <c r="CU66" s="138"/>
      <c r="CY66" s="138"/>
      <c r="CZ66" s="138"/>
      <c r="DD66" s="138"/>
      <c r="DE66" s="138"/>
      <c r="DI66" s="138"/>
      <c r="DJ66" s="138"/>
      <c r="DN66" s="138"/>
      <c r="DO66" s="138"/>
      <c r="DS66" s="138"/>
      <c r="DT66" s="138"/>
      <c r="DX66" s="138"/>
      <c r="DY66" s="138"/>
      <c r="EC66" s="138"/>
      <c r="ED66" s="138"/>
      <c r="EH66" s="138"/>
      <c r="EI66" s="138"/>
      <c r="EM66" s="138"/>
      <c r="EN66" s="138"/>
      <c r="ER66" s="138"/>
      <c r="ES66" s="138"/>
      <c r="EW66" s="138"/>
      <c r="EX66" s="138"/>
      <c r="FB66" s="138"/>
      <c r="FC66" s="138"/>
    </row>
    <row r="67" spans="1:159">
      <c r="A67" s="87">
        <f t="shared" si="3"/>
        <v>32</v>
      </c>
      <c r="B67" s="83">
        <f>_xll.flu_SPT2025($D$10,$D$12,$D$13,$D$20,$D$15,$D$16,$H$11:$I$27,$O$19:$P$108,FALSE,FALSE,"Cao độ",A67,$D$17)</f>
        <v>29</v>
      </c>
      <c r="C67" s="87" t="str">
        <f>IF(B67="","",_xll.TimTenLoaiDat(B67,$F$11:$H$27))</f>
        <v>Lớp 6</v>
      </c>
      <c r="D67" s="87" t="str">
        <f>IF(B67="","",_xll.TimTinhChatDat(B67,$H$11:$I$27))</f>
        <v>Đất rời</v>
      </c>
      <c r="E67" s="95">
        <f>IF(B67="","",_xll.NoiSuySPT(B67,$O$19:$P$108,$D$16,$D$12,0,0))</f>
        <v>20</v>
      </c>
      <c r="F67" s="95">
        <f>IF(B67="","",IF(D67="Đất dính","-",_xll.qb_SPT2025($D$10,$D$12,$D$13,B67,$D$16,$H$11:$I$27,$O$19:$P$108)))</f>
        <v>2400</v>
      </c>
      <c r="G67" s="95" t="str">
        <f>IF(B67="","",IF(D67="Đất dính",_xll.qb_SPT2025($D$10,$D$12,$D$13,B67,$D$16,$H$11:$I$27,$O$19:$P$108),"-"))</f>
        <v>-</v>
      </c>
      <c r="H67" s="95">
        <f t="shared" ref="H67:H98" si="4">IF(B67="","",MAX(F67,G67)*$D$19)</f>
        <v>1884.9555921538799</v>
      </c>
      <c r="I67" s="96">
        <f>_xll.flu_SPT2025($D$10,$D$12,$D$13,$D$20,$D$15,$D$16,$H$11:$I$27,$O$19:$P$108,FALSE,FALSE,"Li",A67,$D$17)</f>
        <v>1</v>
      </c>
      <c r="J67" s="95">
        <f>IF(D67="Đất dính","-",_xll.flu_SPT2025($D$10,$D$12,$D$13,$D$20,$D$15,$D$16,$H$11:$I$27,$O$19:$P$108,FALSE,FALSE,"f",A67,$D$17))</f>
        <v>66</v>
      </c>
      <c r="K67" s="95" t="str">
        <f>IF(B67="","",IF(D67="Đất dính",_xll.flu_SPT2025($D$10,$D$12,$D$13,$D$20,$D$15,$D$16,$H$11:$I$27,$O$19:$P$108,FALSE,FALSE,"f",A67,$D$17),"-"))</f>
        <v>-</v>
      </c>
      <c r="L67" s="95">
        <f>_xll.flu_SPT2025($D$10,$D$12,$D$13,$D$20,$D$15,$D$16,$H$11:$I$27,$O$19:$P$108,FALSE,FALSE,"flu",A67,$D$17)</f>
        <v>3649.05842691407</v>
      </c>
      <c r="M67" s="87">
        <f t="shared" ref="M67:M98" si="5">IF(B67="",NA(),L67+H67)</f>
        <v>5534.0140190679404</v>
      </c>
      <c r="O67" s="138"/>
      <c r="P67" s="138"/>
      <c r="W67" s="138"/>
      <c r="X67" s="138"/>
      <c r="AB67" s="138"/>
      <c r="AC67" s="138"/>
      <c r="AG67" s="138"/>
      <c r="AH67" s="138"/>
      <c r="AL67" s="138"/>
      <c r="AM67" s="138"/>
      <c r="AQ67" s="138"/>
      <c r="AR67" s="138"/>
      <c r="AV67" s="138"/>
      <c r="AW67" s="138"/>
      <c r="BA67" s="138"/>
      <c r="BB67" s="138"/>
      <c r="BF67" s="138"/>
      <c r="BG67" s="138"/>
      <c r="BK67" s="138"/>
      <c r="BL67" s="138"/>
      <c r="BP67" s="138"/>
      <c r="BQ67" s="138"/>
      <c r="BU67" s="138"/>
      <c r="BV67" s="138"/>
      <c r="BZ67" s="138"/>
      <c r="CA67" s="138"/>
      <c r="CE67" s="138"/>
      <c r="CF67" s="138"/>
      <c r="CJ67" s="138"/>
      <c r="CK67" s="138"/>
      <c r="CO67" s="138"/>
      <c r="CP67" s="138"/>
      <c r="CT67" s="138"/>
      <c r="CU67" s="138"/>
      <c r="CY67" s="138"/>
      <c r="CZ67" s="138"/>
      <c r="DD67" s="138"/>
      <c r="DE67" s="138"/>
      <c r="DI67" s="138"/>
      <c r="DJ67" s="138"/>
      <c r="DN67" s="138"/>
      <c r="DO67" s="138"/>
      <c r="DS67" s="138"/>
      <c r="DT67" s="138"/>
      <c r="DX67" s="138"/>
      <c r="DY67" s="138"/>
      <c r="EC67" s="138"/>
      <c r="ED67" s="138"/>
      <c r="EH67" s="138"/>
      <c r="EI67" s="138"/>
      <c r="EM67" s="138"/>
      <c r="EN67" s="138"/>
      <c r="ER67" s="138"/>
      <c r="ES67" s="138"/>
      <c r="EW67" s="138"/>
      <c r="EX67" s="138"/>
      <c r="FB67" s="138"/>
      <c r="FC67" s="138"/>
    </row>
    <row r="68" spans="1:159">
      <c r="A68" s="87">
        <f t="shared" ref="A68:A104" si="6">+A67+1</f>
        <v>33</v>
      </c>
      <c r="B68" s="83">
        <f>_xll.flu_SPT2025($D$10,$D$12,$D$13,$D$20,$D$15,$D$16,$H$11:$I$27,$O$19:$P$108,FALSE,FALSE,"Cao độ",A68,$D$17)</f>
        <v>30</v>
      </c>
      <c r="C68" s="87" t="str">
        <f>IF(B68="","",_xll.TimTenLoaiDat(B68,$F$11:$H$27))</f>
        <v>Lớp 6</v>
      </c>
      <c r="D68" s="87" t="str">
        <f>IF(B68="","",_xll.TimTinhChatDat(B68,$H$11:$I$27))</f>
        <v>Đất rời</v>
      </c>
      <c r="E68" s="95">
        <f>IF(B68="","",_xll.NoiSuySPT(B68,$O$19:$P$108,$D$16,$D$12,0,0))</f>
        <v>22.5</v>
      </c>
      <c r="F68" s="95">
        <f>IF(B68="","",IF(D68="Đất dính","-",_xll.qb_SPT2025($D$10,$D$12,$D$13,B68,$D$16,$H$11:$I$27,$O$19:$P$108)))</f>
        <v>2700</v>
      </c>
      <c r="G68" s="95" t="str">
        <f>IF(B68="","",IF(D68="Đất dính",_xll.qb_SPT2025($D$10,$D$12,$D$13,B68,$D$16,$H$11:$I$27,$O$19:$P$108),"-"))</f>
        <v>-</v>
      </c>
      <c r="H68" s="95">
        <f t="shared" si="4"/>
        <v>2120.5750411731101</v>
      </c>
      <c r="I68" s="96">
        <f>_xll.flu_SPT2025($D$10,$D$12,$D$13,$D$20,$D$15,$D$16,$H$11:$I$27,$O$19:$P$108,FALSE,FALSE,"Li",A68,$D$17)</f>
        <v>1</v>
      </c>
      <c r="J68" s="95">
        <f>IF(D68="Đất dính","-",_xll.flu_SPT2025($D$10,$D$12,$D$13,$D$20,$D$15,$D$16,$H$11:$I$27,$O$19:$P$108,FALSE,FALSE,"f",A68,$D$17))</f>
        <v>74.25</v>
      </c>
      <c r="K68" s="95" t="str">
        <f>IF(B68="","",IF(D68="Đất dính",_xll.flu_SPT2025($D$10,$D$12,$D$13,$D$20,$D$15,$D$16,$H$11:$I$27,$O$19:$P$108,FALSE,FALSE,"f",A68,$D$17),"-"))</f>
        <v>-</v>
      </c>
      <c r="L68" s="95">
        <f>_xll.flu_SPT2025($D$10,$D$12,$D$13,$D$20,$D$15,$D$16,$H$11:$I$27,$O$19:$P$108,FALSE,FALSE,"flu",A68,$D$17)</f>
        <v>3882.3216814431098</v>
      </c>
      <c r="M68" s="87">
        <f t="shared" si="5"/>
        <v>6002.8967226162204</v>
      </c>
      <c r="O68" s="138"/>
      <c r="P68" s="138"/>
      <c r="W68" s="138"/>
      <c r="X68" s="138"/>
      <c r="AB68" s="138"/>
      <c r="AC68" s="138"/>
      <c r="AG68" s="138"/>
      <c r="AH68" s="138"/>
      <c r="AL68" s="138"/>
      <c r="AM68" s="138"/>
      <c r="AQ68" s="138"/>
      <c r="AR68" s="138"/>
      <c r="AV68" s="138"/>
      <c r="AW68" s="138"/>
      <c r="BA68" s="138"/>
      <c r="BB68" s="138"/>
      <c r="BF68" s="138"/>
      <c r="BG68" s="138"/>
      <c r="BK68" s="138"/>
      <c r="BL68" s="138"/>
      <c r="BP68" s="138"/>
      <c r="BQ68" s="138"/>
      <c r="BU68" s="138"/>
      <c r="BV68" s="138"/>
      <c r="BZ68" s="138"/>
      <c r="CA68" s="138"/>
      <c r="CE68" s="138"/>
      <c r="CF68" s="138"/>
      <c r="CJ68" s="138"/>
      <c r="CK68" s="138"/>
      <c r="CO68" s="138"/>
      <c r="CP68" s="138"/>
      <c r="CT68" s="138"/>
      <c r="CU68" s="138"/>
      <c r="CY68" s="138"/>
      <c r="CZ68" s="138"/>
      <c r="DD68" s="138"/>
      <c r="DE68" s="138"/>
      <c r="DI68" s="138"/>
      <c r="DJ68" s="138"/>
      <c r="DN68" s="138"/>
      <c r="DO68" s="138"/>
      <c r="DS68" s="138"/>
      <c r="DT68" s="138"/>
      <c r="DX68" s="138"/>
      <c r="DY68" s="138"/>
      <c r="EC68" s="138"/>
      <c r="ED68" s="138"/>
      <c r="EH68" s="138"/>
      <c r="EI68" s="138"/>
      <c r="EM68" s="138"/>
      <c r="EN68" s="138"/>
      <c r="ER68" s="138"/>
      <c r="ES68" s="138"/>
      <c r="EW68" s="138"/>
      <c r="EX68" s="138"/>
      <c r="FB68" s="138"/>
      <c r="FC68" s="138"/>
    </row>
    <row r="69" spans="1:159">
      <c r="A69" s="87">
        <f t="shared" si="6"/>
        <v>34</v>
      </c>
      <c r="B69" s="83">
        <f>_xll.flu_SPT2025($D$10,$D$12,$D$13,$D$20,$D$15,$D$16,$H$11:$I$27,$O$19:$P$108,FALSE,FALSE,"Cao độ",A69,$D$17)</f>
        <v>31</v>
      </c>
      <c r="C69" s="87" t="str">
        <f>IF(B69="","",_xll.TimTenLoaiDat(B69,$F$11:$H$27))</f>
        <v>Lớp 6</v>
      </c>
      <c r="D69" s="87" t="str">
        <f>IF(B69="","",_xll.TimTinhChatDat(B69,$H$11:$I$27))</f>
        <v>Đất rời</v>
      </c>
      <c r="E69" s="95">
        <f>IF(B69="","",_xll.NoiSuySPT(B69,$O$19:$P$108,$D$16,$D$12,0,0))</f>
        <v>25</v>
      </c>
      <c r="F69" s="95">
        <f>IF(B69="","",IF(D69="Đất dính","-",_xll.qb_SPT2025($D$10,$D$12,$D$13,B69,$D$16,$H$11:$I$27,$O$19:$P$108)))</f>
        <v>3000</v>
      </c>
      <c r="G69" s="95" t="str">
        <f>IF(B69="","",IF(D69="Đất dính",_xll.qb_SPT2025($D$10,$D$12,$D$13,B69,$D$16,$H$11:$I$27,$O$19:$P$108),"-"))</f>
        <v>-</v>
      </c>
      <c r="H69" s="95">
        <f t="shared" si="4"/>
        <v>2356.1944901923398</v>
      </c>
      <c r="I69" s="96">
        <f>_xll.flu_SPT2025($D$10,$D$12,$D$13,$D$20,$D$15,$D$16,$H$11:$I$27,$O$19:$P$108,FALSE,FALSE,"Li",A69,$D$17)</f>
        <v>1</v>
      </c>
      <c r="J69" s="95">
        <f>IF(D69="Đất dính","-",_xll.flu_SPT2025($D$10,$D$12,$D$13,$D$20,$D$15,$D$16,$H$11:$I$27,$O$19:$P$108,FALSE,FALSE,"f",A69,$D$17))</f>
        <v>82.5</v>
      </c>
      <c r="K69" s="95" t="str">
        <f>IF(B69="","",IF(D69="Đất dính",_xll.flu_SPT2025($D$10,$D$12,$D$13,$D$20,$D$15,$D$16,$H$11:$I$27,$O$19:$P$108,FALSE,FALSE,"f",A69,$D$17),"-"))</f>
        <v>-</v>
      </c>
      <c r="L69" s="95">
        <f>_xll.flu_SPT2025($D$10,$D$12,$D$13,$D$20,$D$15,$D$16,$H$11:$I$27,$O$19:$P$108,FALSE,FALSE,"flu",A69,$D$17)</f>
        <v>4141.5030753642704</v>
      </c>
      <c r="M69" s="87">
        <f t="shared" si="5"/>
        <v>6497.6975655566102</v>
      </c>
      <c r="O69" s="138"/>
      <c r="P69" s="138"/>
      <c r="W69" s="138"/>
      <c r="X69" s="138"/>
      <c r="AB69" s="138"/>
      <c r="AC69" s="138"/>
      <c r="AG69" s="138"/>
      <c r="AH69" s="138"/>
      <c r="AL69" s="138"/>
      <c r="AM69" s="138"/>
      <c r="AQ69" s="138"/>
      <c r="AR69" s="138"/>
      <c r="AV69" s="138"/>
      <c r="AW69" s="138"/>
      <c r="BA69" s="138"/>
      <c r="BB69" s="138"/>
      <c r="BF69" s="138"/>
      <c r="BG69" s="138"/>
      <c r="BK69" s="138"/>
      <c r="BL69" s="138"/>
      <c r="BP69" s="138"/>
      <c r="BQ69" s="138"/>
      <c r="BU69" s="138"/>
      <c r="BV69" s="138"/>
      <c r="BZ69" s="138"/>
      <c r="CA69" s="138"/>
      <c r="CE69" s="138"/>
      <c r="CF69" s="138"/>
      <c r="CJ69" s="138"/>
      <c r="CK69" s="138"/>
      <c r="CO69" s="138"/>
      <c r="CP69" s="138"/>
      <c r="CT69" s="138"/>
      <c r="CU69" s="138"/>
      <c r="CY69" s="138"/>
      <c r="CZ69" s="138"/>
      <c r="DD69" s="138"/>
      <c r="DE69" s="138"/>
      <c r="DI69" s="138"/>
      <c r="DJ69" s="138"/>
      <c r="DN69" s="138"/>
      <c r="DO69" s="138"/>
      <c r="DS69" s="138"/>
      <c r="DT69" s="138"/>
      <c r="DX69" s="138"/>
      <c r="DY69" s="138"/>
      <c r="EC69" s="138"/>
      <c r="ED69" s="138"/>
      <c r="EH69" s="138"/>
      <c r="EI69" s="138"/>
      <c r="EM69" s="138"/>
      <c r="EN69" s="138"/>
      <c r="ER69" s="138"/>
      <c r="ES69" s="138"/>
      <c r="EW69" s="138"/>
      <c r="EX69" s="138"/>
      <c r="FB69" s="138"/>
      <c r="FC69" s="138"/>
    </row>
    <row r="70" spans="1:159">
      <c r="A70" s="87">
        <f t="shared" si="6"/>
        <v>35</v>
      </c>
      <c r="B70" s="83">
        <f>_xll.flu_SPT2025($D$10,$D$12,$D$13,$D$20,$D$15,$D$16,$H$11:$I$27,$O$19:$P$108,FALSE,FALSE,"Cao độ",A70,$D$17)</f>
        <v>32</v>
      </c>
      <c r="C70" s="87" t="str">
        <f>IF(B70="","",_xll.TimTenLoaiDat(B70,$F$11:$H$27))</f>
        <v>Lớp 6</v>
      </c>
      <c r="D70" s="87" t="str">
        <f>IF(B70="","",_xll.TimTinhChatDat(B70,$H$11:$I$27))</f>
        <v>Đất rời</v>
      </c>
      <c r="E70" s="95">
        <f>IF(B70="","",_xll.NoiSuySPT(B70,$O$19:$P$108,$D$16,$D$12,0,0))</f>
        <v>22.5</v>
      </c>
      <c r="F70" s="95">
        <f>IF(B70="","",IF(D70="Đất dính","-",_xll.qb_SPT2025($D$10,$D$12,$D$13,B70,$D$16,$H$11:$I$27,$O$19:$P$108)))</f>
        <v>2700</v>
      </c>
      <c r="G70" s="95" t="str">
        <f>IF(B70="","",IF(D70="Đất dính",_xll.qb_SPT2025($D$10,$D$12,$D$13,B70,$D$16,$H$11:$I$27,$O$19:$P$108),"-"))</f>
        <v>-</v>
      </c>
      <c r="H70" s="95">
        <f t="shared" si="4"/>
        <v>2120.5750411731101</v>
      </c>
      <c r="I70" s="96">
        <f>_xll.flu_SPT2025($D$10,$D$12,$D$13,$D$20,$D$15,$D$16,$H$11:$I$27,$O$19:$P$108,FALSE,FALSE,"Li",A70,$D$17)</f>
        <v>1</v>
      </c>
      <c r="J70" s="95">
        <f>IF(D70="Đất dính","-",_xll.flu_SPT2025($D$10,$D$12,$D$13,$D$20,$D$15,$D$16,$H$11:$I$27,$O$19:$P$108,FALSE,FALSE,"f",A70,$D$17))</f>
        <v>74.25</v>
      </c>
      <c r="K70" s="95" t="str">
        <f>IF(B70="","",IF(D70="Đất dính",_xll.flu_SPT2025($D$10,$D$12,$D$13,$D$20,$D$15,$D$16,$H$11:$I$27,$O$19:$P$108,FALSE,FALSE,"f",A70,$D$17),"-"))</f>
        <v>-</v>
      </c>
      <c r="L70" s="95">
        <f>_xll.flu_SPT2025($D$10,$D$12,$D$13,$D$20,$D$15,$D$16,$H$11:$I$27,$O$19:$P$108,FALSE,FALSE,"flu",A70,$D$17)</f>
        <v>4374.7663298933103</v>
      </c>
      <c r="M70" s="87">
        <f t="shared" si="5"/>
        <v>6495.3413710664199</v>
      </c>
      <c r="O70" s="138"/>
      <c r="P70" s="138"/>
      <c r="W70" s="138"/>
      <c r="X70" s="138"/>
      <c r="AB70" s="138"/>
      <c r="AC70" s="138"/>
      <c r="AG70" s="138"/>
      <c r="AH70" s="138"/>
      <c r="AL70" s="138"/>
      <c r="AM70" s="138"/>
      <c r="AQ70" s="138"/>
      <c r="AR70" s="138"/>
      <c r="AV70" s="138"/>
      <c r="AW70" s="138"/>
      <c r="BA70" s="138"/>
      <c r="BB70" s="138"/>
      <c r="BF70" s="138"/>
      <c r="BG70" s="138"/>
      <c r="BK70" s="138"/>
      <c r="BL70" s="138"/>
      <c r="BP70" s="138"/>
      <c r="BQ70" s="138"/>
      <c r="BU70" s="138"/>
      <c r="BV70" s="138"/>
      <c r="BZ70" s="138"/>
      <c r="CA70" s="138"/>
      <c r="CE70" s="138"/>
      <c r="CF70" s="138"/>
      <c r="CJ70" s="138"/>
      <c r="CK70" s="138"/>
      <c r="CO70" s="138"/>
      <c r="CP70" s="138"/>
      <c r="CT70" s="138"/>
      <c r="CU70" s="138"/>
      <c r="CY70" s="138"/>
      <c r="CZ70" s="138"/>
      <c r="DD70" s="138"/>
      <c r="DE70" s="138"/>
      <c r="DI70" s="138"/>
      <c r="DJ70" s="138"/>
      <c r="DN70" s="138"/>
      <c r="DO70" s="138"/>
      <c r="DS70" s="138"/>
      <c r="DT70" s="138"/>
      <c r="DX70" s="138"/>
      <c r="DY70" s="138"/>
      <c r="EC70" s="138"/>
      <c r="ED70" s="138"/>
      <c r="EH70" s="138"/>
      <c r="EI70" s="138"/>
      <c r="EM70" s="138"/>
      <c r="EN70" s="138"/>
      <c r="ER70" s="138"/>
      <c r="ES70" s="138"/>
      <c r="EW70" s="138"/>
      <c r="EX70" s="138"/>
      <c r="FB70" s="138"/>
      <c r="FC70" s="138"/>
    </row>
    <row r="71" spans="1:159">
      <c r="A71" s="87">
        <f t="shared" si="6"/>
        <v>36</v>
      </c>
      <c r="B71" s="83">
        <f>_xll.flu_SPT2025($D$10,$D$12,$D$13,$D$20,$D$15,$D$16,$H$11:$I$27,$O$19:$P$108,FALSE,FALSE,"Cao độ",A71,$D$17)</f>
        <v>33</v>
      </c>
      <c r="C71" s="87" t="str">
        <f>IF(B71="","",_xll.TimTenLoaiDat(B71,$F$11:$H$27))</f>
        <v>Lớp 6</v>
      </c>
      <c r="D71" s="87" t="str">
        <f>IF(B71="","",_xll.TimTinhChatDat(B71,$H$11:$I$27))</f>
        <v>Đất rời</v>
      </c>
      <c r="E71" s="95">
        <f>IF(B71="","",_xll.NoiSuySPT(B71,$O$19:$P$108,$D$16,$D$12,0,0))</f>
        <v>20</v>
      </c>
      <c r="F71" s="95">
        <f>IF(B71="","",IF(D71="Đất dính","-",_xll.qb_SPT2025($D$10,$D$12,$D$13,B71,$D$16,$H$11:$I$27,$O$19:$P$108)))</f>
        <v>2400</v>
      </c>
      <c r="G71" s="95" t="str">
        <f>IF(B71="","",IF(D71="Đất dính",_xll.qb_SPT2025($D$10,$D$12,$D$13,B71,$D$16,$H$11:$I$27,$O$19:$P$108),"-"))</f>
        <v>-</v>
      </c>
      <c r="H71" s="95">
        <f t="shared" si="4"/>
        <v>1884.9555921538799</v>
      </c>
      <c r="I71" s="96">
        <f>_xll.flu_SPT2025($D$10,$D$12,$D$13,$D$20,$D$15,$D$16,$H$11:$I$27,$O$19:$P$108,FALSE,FALSE,"Li",A71,$D$17)</f>
        <v>1</v>
      </c>
      <c r="J71" s="95">
        <f>IF(D71="Đất dính","-",_xll.flu_SPT2025($D$10,$D$12,$D$13,$D$20,$D$15,$D$16,$H$11:$I$27,$O$19:$P$108,FALSE,FALSE,"f",A71,$D$17))</f>
        <v>66</v>
      </c>
      <c r="K71" s="95" t="str">
        <f>IF(B71="","",IF(D71="Đất dính",_xll.flu_SPT2025($D$10,$D$12,$D$13,$D$20,$D$15,$D$16,$H$11:$I$27,$O$19:$P$108,FALSE,FALSE,"f",A71,$D$17),"-"))</f>
        <v>-</v>
      </c>
      <c r="L71" s="95">
        <f>_xll.flu_SPT2025($D$10,$D$12,$D$13,$D$20,$D$15,$D$16,$H$11:$I$27,$O$19:$P$108,FALSE,FALSE,"flu",A71,$D$17)</f>
        <v>4582.1114450302402</v>
      </c>
      <c r="M71" s="87">
        <f t="shared" si="5"/>
        <v>6467.0670371841097</v>
      </c>
      <c r="O71" s="138"/>
      <c r="P71" s="138"/>
      <c r="W71" s="138"/>
      <c r="X71" s="138"/>
      <c r="AB71" s="138"/>
      <c r="AC71" s="138"/>
      <c r="AG71" s="138"/>
      <c r="AH71" s="138"/>
      <c r="AL71" s="138"/>
      <c r="AM71" s="138"/>
      <c r="AQ71" s="138"/>
      <c r="AR71" s="138"/>
      <c r="AV71" s="138"/>
      <c r="AW71" s="138"/>
      <c r="BA71" s="138"/>
      <c r="BB71" s="138"/>
      <c r="BF71" s="138"/>
      <c r="BG71" s="138"/>
      <c r="BK71" s="138"/>
      <c r="BL71" s="138"/>
      <c r="BP71" s="138"/>
      <c r="BQ71" s="138"/>
      <c r="BU71" s="138"/>
      <c r="BV71" s="138"/>
      <c r="BZ71" s="138"/>
      <c r="CA71" s="138"/>
      <c r="CE71" s="138"/>
      <c r="CF71" s="138"/>
      <c r="CJ71" s="138"/>
      <c r="CK71" s="138"/>
      <c r="CO71" s="138"/>
      <c r="CP71" s="138"/>
      <c r="CT71" s="138"/>
      <c r="CU71" s="138"/>
      <c r="CY71" s="138"/>
      <c r="CZ71" s="138"/>
      <c r="DD71" s="138"/>
      <c r="DE71" s="138"/>
      <c r="DI71" s="138"/>
      <c r="DJ71" s="138"/>
      <c r="DN71" s="138"/>
      <c r="DO71" s="138"/>
      <c r="DS71" s="138"/>
      <c r="DT71" s="138"/>
      <c r="DX71" s="138"/>
      <c r="DY71" s="138"/>
      <c r="EC71" s="138"/>
      <c r="ED71" s="138"/>
      <c r="EH71" s="138"/>
      <c r="EI71" s="138"/>
      <c r="EM71" s="138"/>
      <c r="EN71" s="138"/>
      <c r="ER71" s="138"/>
      <c r="ES71" s="138"/>
      <c r="EW71" s="138"/>
      <c r="EX71" s="138"/>
      <c r="FB71" s="138"/>
      <c r="FC71" s="138"/>
    </row>
    <row r="72" spans="1:159">
      <c r="A72" s="87">
        <f t="shared" si="6"/>
        <v>37</v>
      </c>
      <c r="B72" s="83">
        <f>_xll.flu_SPT2025($D$10,$D$12,$D$13,$D$20,$D$15,$D$16,$H$11:$I$27,$O$19:$P$108,FALSE,FALSE,"Cao độ",A72,$D$17)</f>
        <v>34</v>
      </c>
      <c r="C72" s="87" t="str">
        <f>IF(B72="","",_xll.TimTenLoaiDat(B72,$F$11:$H$27))</f>
        <v>Lớp 6</v>
      </c>
      <c r="D72" s="87" t="str">
        <f>IF(B72="","",_xll.TimTinhChatDat(B72,$H$11:$I$27))</f>
        <v>Đất rời</v>
      </c>
      <c r="E72" s="95">
        <f>IF(B72="","",_xll.NoiSuySPT(B72,$O$19:$P$108,$D$16,$D$12,0,0))</f>
        <v>23.5</v>
      </c>
      <c r="F72" s="95">
        <f>IF(B72="","",IF(D72="Đất dính","-",_xll.qb_SPT2025($D$10,$D$12,$D$13,B72,$D$16,$H$11:$I$27,$O$19:$P$108)))</f>
        <v>2820</v>
      </c>
      <c r="G72" s="95" t="str">
        <f>IF(B72="","",IF(D72="Đất dính",_xll.qb_SPT2025($D$10,$D$12,$D$13,B72,$D$16,$H$11:$I$27,$O$19:$P$108),"-"))</f>
        <v>-</v>
      </c>
      <c r="H72" s="95">
        <f t="shared" si="4"/>
        <v>2214.8228207808002</v>
      </c>
      <c r="I72" s="96">
        <f>_xll.flu_SPT2025($D$10,$D$12,$D$13,$D$20,$D$15,$D$16,$H$11:$I$27,$O$19:$P$108,FALSE,FALSE,"Li",A72,$D$17)</f>
        <v>1</v>
      </c>
      <c r="J72" s="95">
        <f>IF(D72="Đất dính","-",_xll.flu_SPT2025($D$10,$D$12,$D$13,$D$20,$D$15,$D$16,$H$11:$I$27,$O$19:$P$108,FALSE,FALSE,"f",A72,$D$17))</f>
        <v>77.55</v>
      </c>
      <c r="K72" s="95" t="str">
        <f>IF(B72="","",IF(D72="Đất dính",_xll.flu_SPT2025($D$10,$D$12,$D$13,$D$20,$D$15,$D$16,$H$11:$I$27,$O$19:$P$108,FALSE,FALSE,"f",A72,$D$17),"-"))</f>
        <v>-</v>
      </c>
      <c r="L72" s="95">
        <f>_xll.flu_SPT2025($D$10,$D$12,$D$13,$D$20,$D$15,$D$16,$H$11:$I$27,$O$19:$P$108,FALSE,FALSE,"flu",A72,$D$17)</f>
        <v>4825.7419553161299</v>
      </c>
      <c r="M72" s="87">
        <f t="shared" si="5"/>
        <v>7040.5647760969296</v>
      </c>
      <c r="O72" s="138"/>
      <c r="P72" s="138"/>
      <c r="W72" s="138"/>
      <c r="X72" s="138"/>
      <c r="AB72" s="138"/>
      <c r="AC72" s="138"/>
      <c r="AG72" s="138"/>
      <c r="AH72" s="138"/>
      <c r="AL72" s="138"/>
      <c r="AM72" s="138"/>
      <c r="AQ72" s="138"/>
      <c r="AR72" s="138"/>
      <c r="AV72" s="138"/>
      <c r="AW72" s="138"/>
      <c r="BA72" s="138"/>
      <c r="BB72" s="138"/>
      <c r="BF72" s="138"/>
      <c r="BG72" s="138"/>
      <c r="BK72" s="138"/>
      <c r="BL72" s="138"/>
      <c r="BP72" s="138"/>
      <c r="BQ72" s="138"/>
      <c r="BU72" s="138"/>
      <c r="BV72" s="138"/>
      <c r="BZ72" s="138"/>
      <c r="CA72" s="138"/>
      <c r="CE72" s="138"/>
      <c r="CF72" s="138"/>
      <c r="CJ72" s="138"/>
      <c r="CK72" s="138"/>
      <c r="CO72" s="138"/>
      <c r="CP72" s="138"/>
      <c r="CT72" s="138"/>
      <c r="CU72" s="138"/>
      <c r="CY72" s="138"/>
      <c r="CZ72" s="138"/>
      <c r="DD72" s="138"/>
      <c r="DE72" s="138"/>
      <c r="DI72" s="138"/>
      <c r="DJ72" s="138"/>
      <c r="DN72" s="138"/>
      <c r="DO72" s="138"/>
      <c r="DS72" s="138"/>
      <c r="DT72" s="138"/>
      <c r="DX72" s="138"/>
      <c r="DY72" s="138"/>
      <c r="EC72" s="138"/>
      <c r="ED72" s="138"/>
      <c r="EH72" s="138"/>
      <c r="EI72" s="138"/>
      <c r="EM72" s="138"/>
      <c r="EN72" s="138"/>
      <c r="ER72" s="138"/>
      <c r="ES72" s="138"/>
      <c r="EW72" s="138"/>
      <c r="EX72" s="138"/>
      <c r="FB72" s="138"/>
      <c r="FC72" s="138"/>
    </row>
    <row r="73" spans="1:159">
      <c r="A73" s="87">
        <f t="shared" si="6"/>
        <v>38</v>
      </c>
      <c r="B73" s="83">
        <f>_xll.flu_SPT2025($D$10,$D$12,$D$13,$D$20,$D$15,$D$16,$H$11:$I$27,$O$19:$P$108,FALSE,FALSE,"Cao độ",A73,$D$17)</f>
        <v>35</v>
      </c>
      <c r="C73" s="87" t="str">
        <f>IF(B73="","",_xll.TimTenLoaiDat(B73,$F$11:$H$27))</f>
        <v>Lớp 6</v>
      </c>
      <c r="D73" s="87" t="str">
        <f>IF(B73="","",_xll.TimTinhChatDat(B73,$H$11:$I$27))</f>
        <v>Đất rời</v>
      </c>
      <c r="E73" s="95">
        <f>IF(B73="","",_xll.NoiSuySPT(B73,$O$19:$P$108,$D$16,$D$12,0,0))</f>
        <v>27</v>
      </c>
      <c r="F73" s="95">
        <f>IF(B73="","",IF(D73="Đất dính","-",_xll.qb_SPT2025($D$10,$D$12,$D$13,B73,$D$16,$H$11:$I$27,$O$19:$P$108)))</f>
        <v>3240</v>
      </c>
      <c r="G73" s="95" t="str">
        <f>IF(B73="","",IF(D73="Đất dính",_xll.qb_SPT2025($D$10,$D$12,$D$13,B73,$D$16,$H$11:$I$27,$O$19:$P$108),"-"))</f>
        <v>-</v>
      </c>
      <c r="H73" s="95">
        <f t="shared" si="4"/>
        <v>2544.6900494077299</v>
      </c>
      <c r="I73" s="96">
        <f>_xll.flu_SPT2025($D$10,$D$12,$D$13,$D$20,$D$15,$D$16,$H$11:$I$27,$O$19:$P$108,FALSE,FALSE,"Li",A73,$D$17)</f>
        <v>1</v>
      </c>
      <c r="J73" s="95">
        <f>IF(D73="Đất dính","-",_xll.flu_SPT2025($D$10,$D$12,$D$13,$D$20,$D$15,$D$16,$H$11:$I$27,$O$19:$P$108,FALSE,FALSE,"f",A73,$D$17))</f>
        <v>89.1</v>
      </c>
      <c r="K73" s="95" t="str">
        <f>IF(B73="","",IF(D73="Đất dính",_xll.flu_SPT2025($D$10,$D$12,$D$13,$D$20,$D$15,$D$16,$H$11:$I$27,$O$19:$P$108,FALSE,FALSE,"f",A73,$D$17),"-"))</f>
        <v>-</v>
      </c>
      <c r="L73" s="95">
        <f>_xll.flu_SPT2025($D$10,$D$12,$D$13,$D$20,$D$15,$D$16,$H$11:$I$27,$O$19:$P$108,FALSE,FALSE,"flu",A73,$D$17)</f>
        <v>5105.65786075098</v>
      </c>
      <c r="M73" s="87">
        <f t="shared" si="5"/>
        <v>7650.34791015871</v>
      </c>
      <c r="O73" s="138"/>
      <c r="P73" s="138"/>
      <c r="W73" s="138"/>
      <c r="X73" s="138"/>
      <c r="AB73" s="138"/>
      <c r="AC73" s="138"/>
      <c r="AG73" s="138"/>
      <c r="AH73" s="138"/>
      <c r="AL73" s="138"/>
      <c r="AM73" s="138"/>
      <c r="AQ73" s="138"/>
      <c r="AR73" s="138"/>
      <c r="AV73" s="138"/>
      <c r="AW73" s="138"/>
      <c r="BA73" s="138"/>
      <c r="BB73" s="138"/>
      <c r="BF73" s="138"/>
      <c r="BG73" s="138"/>
      <c r="BK73" s="138"/>
      <c r="BL73" s="138"/>
      <c r="BP73" s="138"/>
      <c r="BQ73" s="138"/>
      <c r="BU73" s="138"/>
      <c r="BV73" s="138"/>
      <c r="BZ73" s="138"/>
      <c r="CA73" s="138"/>
      <c r="CE73" s="138"/>
      <c r="CF73" s="138"/>
      <c r="CJ73" s="138"/>
      <c r="CK73" s="138"/>
      <c r="CO73" s="138"/>
      <c r="CP73" s="138"/>
      <c r="CT73" s="138"/>
      <c r="CU73" s="138"/>
      <c r="CY73" s="138"/>
      <c r="CZ73" s="138"/>
      <c r="DD73" s="138"/>
      <c r="DE73" s="138"/>
      <c r="DI73" s="138"/>
      <c r="DJ73" s="138"/>
      <c r="DN73" s="138"/>
      <c r="DO73" s="138"/>
      <c r="DS73" s="138"/>
      <c r="DT73" s="138"/>
      <c r="DX73" s="138"/>
      <c r="DY73" s="138"/>
      <c r="EC73" s="138"/>
      <c r="ED73" s="138"/>
      <c r="EH73" s="138"/>
      <c r="EI73" s="138"/>
      <c r="EM73" s="138"/>
      <c r="EN73" s="138"/>
      <c r="ER73" s="138"/>
      <c r="ES73" s="138"/>
      <c r="EW73" s="138"/>
      <c r="EX73" s="138"/>
      <c r="FB73" s="138"/>
      <c r="FC73" s="138"/>
    </row>
    <row r="74" spans="1:159">
      <c r="A74" s="87">
        <f t="shared" si="6"/>
        <v>39</v>
      </c>
      <c r="B74" s="83">
        <f>_xll.flu_SPT2025($D$10,$D$12,$D$13,$D$20,$D$15,$D$16,$H$11:$I$27,$O$19:$P$108,FALSE,FALSE,"Cao độ",A74,$D$17)</f>
        <v>36</v>
      </c>
      <c r="C74" s="87" t="str">
        <f>IF(B74="","",_xll.TimTenLoaiDat(B74,$F$11:$H$27))</f>
        <v>Lớp 6</v>
      </c>
      <c r="D74" s="87" t="str">
        <f>IF(B74="","",_xll.TimTinhChatDat(B74,$H$11:$I$27))</f>
        <v>Đất rời</v>
      </c>
      <c r="E74" s="95">
        <f>IF(B74="","",_xll.NoiSuySPT(B74,$O$19:$P$108,$D$16,$D$12,0,0))</f>
        <v>28.5</v>
      </c>
      <c r="F74" s="95">
        <f>IF(B74="","",IF(D74="Đất dính","-",_xll.qb_SPT2025($D$10,$D$12,$D$13,B74,$D$16,$H$11:$I$27,$O$19:$P$108)))</f>
        <v>3420</v>
      </c>
      <c r="G74" s="95" t="str">
        <f>IF(B74="","",IF(D74="Đất dính",_xll.qb_SPT2025($D$10,$D$12,$D$13,B74,$D$16,$H$11:$I$27,$O$19:$P$108),"-"))</f>
        <v>-</v>
      </c>
      <c r="H74" s="95">
        <f t="shared" si="4"/>
        <v>2686.06171881927</v>
      </c>
      <c r="I74" s="96">
        <f>_xll.flu_SPT2025($D$10,$D$12,$D$13,$D$20,$D$15,$D$16,$H$11:$I$27,$O$19:$P$108,FALSE,FALSE,"Li",A74,$D$17)</f>
        <v>1</v>
      </c>
      <c r="J74" s="95">
        <f>IF(D74="Đất dính","-",_xll.flu_SPT2025($D$10,$D$12,$D$13,$D$20,$D$15,$D$16,$H$11:$I$27,$O$19:$P$108,FALSE,FALSE,"f",A74,$D$17))</f>
        <v>94.05</v>
      </c>
      <c r="K74" s="95" t="str">
        <f>IF(B74="","",IF(D74="Đất dính",_xll.flu_SPT2025($D$10,$D$12,$D$13,$D$20,$D$15,$D$16,$H$11:$I$27,$O$19:$P$108,FALSE,FALSE,"f",A74,$D$17),"-"))</f>
        <v>-</v>
      </c>
      <c r="L74" s="95">
        <f>_xll.flu_SPT2025($D$10,$D$12,$D$13,$D$20,$D$15,$D$16,$H$11:$I$27,$O$19:$P$108,FALSE,FALSE,"flu",A74,$D$17)</f>
        <v>5401.1246498211003</v>
      </c>
      <c r="M74" s="87">
        <f t="shared" si="5"/>
        <v>8087.1863686403703</v>
      </c>
      <c r="O74" s="138"/>
      <c r="P74" s="138"/>
      <c r="W74" s="138"/>
      <c r="X74" s="138"/>
      <c r="AB74" s="138"/>
      <c r="AC74" s="138"/>
      <c r="AG74" s="138"/>
      <c r="AH74" s="138"/>
      <c r="AL74" s="138"/>
      <c r="AM74" s="138"/>
      <c r="AQ74" s="138"/>
      <c r="AR74" s="138"/>
      <c r="AV74" s="138"/>
      <c r="AW74" s="138"/>
      <c r="BA74" s="138"/>
      <c r="BB74" s="138"/>
      <c r="BF74" s="138"/>
      <c r="BG74" s="138"/>
      <c r="BK74" s="138"/>
      <c r="BL74" s="138"/>
      <c r="BP74" s="138"/>
      <c r="BQ74" s="138"/>
      <c r="BU74" s="138"/>
      <c r="BV74" s="138"/>
      <c r="BZ74" s="138"/>
      <c r="CA74" s="138"/>
      <c r="CE74" s="138"/>
      <c r="CF74" s="138"/>
      <c r="CJ74" s="138"/>
      <c r="CK74" s="138"/>
      <c r="CO74" s="138"/>
      <c r="CP74" s="138"/>
      <c r="CT74" s="138"/>
      <c r="CU74" s="138"/>
      <c r="CY74" s="138"/>
      <c r="CZ74" s="138"/>
      <c r="DD74" s="138"/>
      <c r="DE74" s="138"/>
      <c r="DI74" s="138"/>
      <c r="DJ74" s="138"/>
      <c r="DN74" s="138"/>
      <c r="DO74" s="138"/>
      <c r="DS74" s="138"/>
      <c r="DT74" s="138"/>
      <c r="DX74" s="138"/>
      <c r="DY74" s="138"/>
      <c r="EC74" s="138"/>
      <c r="ED74" s="138"/>
      <c r="EH74" s="138"/>
      <c r="EI74" s="138"/>
      <c r="EM74" s="138"/>
      <c r="EN74" s="138"/>
      <c r="ER74" s="138"/>
      <c r="ES74" s="138"/>
      <c r="EW74" s="138"/>
      <c r="EX74" s="138"/>
      <c r="FB74" s="138"/>
      <c r="FC74" s="138"/>
    </row>
    <row r="75" spans="1:159">
      <c r="A75" s="87">
        <f t="shared" si="6"/>
        <v>40</v>
      </c>
      <c r="B75" s="83">
        <f>_xll.flu_SPT2025($D$10,$D$12,$D$13,$D$20,$D$15,$D$16,$H$11:$I$27,$O$19:$P$108,FALSE,FALSE,"Cao độ",A75,$D$17)</f>
        <v>37</v>
      </c>
      <c r="C75" s="87" t="str">
        <f>IF(B75="","",_xll.TimTenLoaiDat(B75,$F$11:$H$27))</f>
        <v>Lớp 6</v>
      </c>
      <c r="D75" s="87" t="str">
        <f>IF(B75="","",_xll.TimTinhChatDat(B75,$H$11:$I$27))</f>
        <v>Đất rời</v>
      </c>
      <c r="E75" s="95">
        <f>IF(B75="","",_xll.NoiSuySPT(B75,$O$19:$P$108,$D$16,$D$12,0,0))</f>
        <v>30</v>
      </c>
      <c r="F75" s="95">
        <f>IF(B75="","",IF(D75="Đất dính","-",_xll.qb_SPT2025($D$10,$D$12,$D$13,B75,$D$16,$H$11:$I$27,$O$19:$P$108)))</f>
        <v>3600</v>
      </c>
      <c r="G75" s="95" t="str">
        <f>IF(B75="","",IF(D75="Đất dính",_xll.qb_SPT2025($D$10,$D$12,$D$13,B75,$D$16,$H$11:$I$27,$O$19:$P$108),"-"))</f>
        <v>-</v>
      </c>
      <c r="H75" s="95">
        <f t="shared" si="4"/>
        <v>2827.4333882308101</v>
      </c>
      <c r="I75" s="96">
        <f>_xll.flu_SPT2025($D$10,$D$12,$D$13,$D$20,$D$15,$D$16,$H$11:$I$27,$O$19:$P$108,FALSE,FALSE,"Li",A75,$D$17)</f>
        <v>1</v>
      </c>
      <c r="J75" s="95">
        <f>IF(D75="Đất dính","-",_xll.flu_SPT2025($D$10,$D$12,$D$13,$D$20,$D$15,$D$16,$H$11:$I$27,$O$19:$P$108,FALSE,FALSE,"f",A75,$D$17))</f>
        <v>99</v>
      </c>
      <c r="K75" s="95" t="str">
        <f>IF(B75="","",IF(D75="Đất dính",_xll.flu_SPT2025($D$10,$D$12,$D$13,$D$20,$D$15,$D$16,$H$11:$I$27,$O$19:$P$108,FALSE,FALSE,"f",A75,$D$17),"-"))</f>
        <v>-</v>
      </c>
      <c r="L75" s="95">
        <f>_xll.flu_SPT2025($D$10,$D$12,$D$13,$D$20,$D$15,$D$16,$H$11:$I$27,$O$19:$P$108,FALSE,FALSE,"flu",A75,$D$17)</f>
        <v>5712.1423225264898</v>
      </c>
      <c r="M75" s="87">
        <f t="shared" si="5"/>
        <v>8539.5757107573008</v>
      </c>
      <c r="O75" s="138"/>
      <c r="P75" s="138"/>
      <c r="W75" s="138"/>
      <c r="X75" s="138"/>
      <c r="AB75" s="138"/>
      <c r="AC75" s="138"/>
      <c r="AG75" s="138"/>
      <c r="AH75" s="138"/>
      <c r="AL75" s="138"/>
      <c r="AM75" s="138"/>
      <c r="AQ75" s="138"/>
      <c r="AR75" s="138"/>
      <c r="AV75" s="138"/>
      <c r="AW75" s="138"/>
      <c r="BA75" s="138"/>
      <c r="BB75" s="138"/>
      <c r="BF75" s="138"/>
      <c r="BG75" s="138"/>
      <c r="BK75" s="138"/>
      <c r="BL75" s="138"/>
      <c r="BP75" s="138"/>
      <c r="BQ75" s="138"/>
      <c r="BU75" s="138"/>
      <c r="BV75" s="138"/>
      <c r="BZ75" s="138"/>
      <c r="CA75" s="138"/>
      <c r="CE75" s="138"/>
      <c r="CF75" s="138"/>
      <c r="CJ75" s="138"/>
      <c r="CK75" s="138"/>
      <c r="CO75" s="138"/>
      <c r="CP75" s="138"/>
      <c r="CT75" s="138"/>
      <c r="CU75" s="138"/>
      <c r="CY75" s="138"/>
      <c r="CZ75" s="138"/>
      <c r="DD75" s="138"/>
      <c r="DE75" s="138"/>
      <c r="DI75" s="138"/>
      <c r="DJ75" s="138"/>
      <c r="DN75" s="138"/>
      <c r="DO75" s="138"/>
      <c r="DS75" s="138"/>
      <c r="DT75" s="138"/>
      <c r="DX75" s="138"/>
      <c r="DY75" s="138"/>
      <c r="EC75" s="138"/>
      <c r="ED75" s="138"/>
      <c r="EH75" s="138"/>
      <c r="EI75" s="138"/>
      <c r="EM75" s="138"/>
      <c r="EN75" s="138"/>
      <c r="ER75" s="138"/>
      <c r="ES75" s="138"/>
      <c r="EW75" s="138"/>
      <c r="EX75" s="138"/>
      <c r="FB75" s="138"/>
      <c r="FC75" s="138"/>
    </row>
    <row r="76" spans="1:159">
      <c r="A76" s="87">
        <f t="shared" si="6"/>
        <v>41</v>
      </c>
      <c r="B76" s="83">
        <f>_xll.flu_SPT2025($D$10,$D$12,$D$13,$D$20,$D$15,$D$16,$H$11:$I$27,$O$19:$P$108,FALSE,FALSE,"Cao độ",A76,$D$17)</f>
        <v>38</v>
      </c>
      <c r="C76" s="87" t="str">
        <f>IF(B76="","",_xll.TimTenLoaiDat(B76,$F$11:$H$27))</f>
        <v>Lớp 6</v>
      </c>
      <c r="D76" s="87" t="str">
        <f>IF(B76="","",_xll.TimTinhChatDat(B76,$H$11:$I$27))</f>
        <v>Đất rời</v>
      </c>
      <c r="E76" s="95">
        <f>IF(B76="","",_xll.NoiSuySPT(B76,$O$19:$P$108,$D$16,$D$12,0,0))</f>
        <v>25</v>
      </c>
      <c r="F76" s="95">
        <f>IF(B76="","",IF(D76="Đất dính","-",_xll.qb_SPT2025($D$10,$D$12,$D$13,B76,$D$16,$H$11:$I$27,$O$19:$P$108)))</f>
        <v>3000</v>
      </c>
      <c r="G76" s="95" t="str">
        <f>IF(B76="","",IF(D76="Đất dính",_xll.qb_SPT2025($D$10,$D$12,$D$13,B76,$D$16,$H$11:$I$27,$O$19:$P$108),"-"))</f>
        <v>-</v>
      </c>
      <c r="H76" s="95">
        <f t="shared" si="4"/>
        <v>2356.1944901923498</v>
      </c>
      <c r="I76" s="96">
        <f>_xll.flu_SPT2025($D$10,$D$12,$D$13,$D$20,$D$15,$D$16,$H$11:$I$27,$O$19:$P$108,FALSE,FALSE,"Li",A76,$D$17)</f>
        <v>0.20000000000000301</v>
      </c>
      <c r="J76" s="95">
        <f>IF(D76="Đất dính","-",_xll.flu_SPT2025($D$10,$D$12,$D$13,$D$20,$D$15,$D$16,$H$11:$I$27,$O$19:$P$108,FALSE,FALSE,"f",A76,$D$17))</f>
        <v>82.5</v>
      </c>
      <c r="K76" s="95" t="str">
        <f>IF(B76="","",IF(D76="Đất dính",_xll.flu_SPT2025($D$10,$D$12,$D$13,$D$20,$D$15,$D$16,$H$11:$I$27,$O$19:$P$108,FALSE,FALSE,"f",A76,$D$17),"-"))</f>
        <v>-</v>
      </c>
      <c r="L76" s="95">
        <f>_xll.flu_SPT2025($D$10,$D$12,$D$13,$D$20,$D$15,$D$16,$H$11:$I$27,$O$19:$P$108,FALSE,FALSE,"flu",A76,$D$17)</f>
        <v>5763.9786013107196</v>
      </c>
      <c r="M76" s="87">
        <f t="shared" si="5"/>
        <v>8120.1730915030703</v>
      </c>
      <c r="O76" s="138"/>
      <c r="P76" s="138"/>
      <c r="W76" s="138"/>
      <c r="X76" s="138"/>
      <c r="AB76" s="138"/>
      <c r="AC76" s="138"/>
      <c r="AG76" s="138"/>
      <c r="AH76" s="138"/>
      <c r="AL76" s="138"/>
      <c r="AM76" s="138"/>
      <c r="AQ76" s="138"/>
      <c r="AR76" s="138"/>
      <c r="AV76" s="138"/>
      <c r="AW76" s="138"/>
      <c r="BA76" s="138"/>
      <c r="BB76" s="138"/>
      <c r="BF76" s="138"/>
      <c r="BG76" s="138"/>
      <c r="BK76" s="138"/>
      <c r="BL76" s="138"/>
      <c r="BP76" s="138"/>
      <c r="BQ76" s="138"/>
      <c r="BU76" s="138"/>
      <c r="BV76" s="138"/>
      <c r="BZ76" s="138"/>
      <c r="CA76" s="138"/>
      <c r="CE76" s="138"/>
      <c r="CF76" s="138"/>
      <c r="CJ76" s="138"/>
      <c r="CK76" s="138"/>
      <c r="CO76" s="138"/>
      <c r="CP76" s="138"/>
      <c r="CT76" s="138"/>
      <c r="CU76" s="138"/>
      <c r="CY76" s="138"/>
      <c r="CZ76" s="138"/>
      <c r="DD76" s="138"/>
      <c r="DE76" s="138"/>
      <c r="DI76" s="138"/>
      <c r="DJ76" s="138"/>
      <c r="DN76" s="138"/>
      <c r="DO76" s="138"/>
      <c r="DS76" s="138"/>
      <c r="DT76" s="138"/>
      <c r="DX76" s="138"/>
      <c r="DY76" s="138"/>
      <c r="EC76" s="138"/>
      <c r="ED76" s="138"/>
      <c r="EH76" s="138"/>
      <c r="EI76" s="138"/>
      <c r="EM76" s="138"/>
      <c r="EN76" s="138"/>
      <c r="ER76" s="138"/>
      <c r="ES76" s="138"/>
      <c r="EW76" s="138"/>
      <c r="EX76" s="138"/>
      <c r="FB76" s="138"/>
      <c r="FC76" s="138"/>
    </row>
    <row r="77" spans="1:159">
      <c r="A77" s="87">
        <f t="shared" si="6"/>
        <v>42</v>
      </c>
      <c r="B77" s="83">
        <f>_xll.flu_SPT2025($D$10,$D$12,$D$13,$D$20,$D$15,$D$16,$H$11:$I$27,$O$19:$P$108,FALSE,FALSE,"Cao độ",A77,$D$17)</f>
        <v>38.200000000000003</v>
      </c>
      <c r="C77" s="87" t="str">
        <f>IF(B77="","",_xll.TimTenLoaiDat(B77,$F$11:$H$27))</f>
        <v>Lớp 7</v>
      </c>
      <c r="D77" s="87" t="str">
        <f>IF(B77="","",_xll.TimTinhChatDat(B77,$H$11:$I$27))</f>
        <v>Đất rời</v>
      </c>
      <c r="E77" s="95">
        <f>IF(B77="","",_xll.NoiSuySPT(B77,$O$19:$P$108,$D$16,$D$12,0,0))</f>
        <v>24</v>
      </c>
      <c r="F77" s="95">
        <f>IF(B77="","",IF(D77="Đất dính","-",_xll.qb_SPT2025($D$10,$D$12,$D$13,B77,$D$16,$H$11:$I$27,$O$19:$P$108)))</f>
        <v>2880</v>
      </c>
      <c r="G77" s="95" t="str">
        <f>IF(B77="","",IF(D77="Đất dính",_xll.qb_SPT2025($D$10,$D$12,$D$13,B77,$D$16,$H$11:$I$27,$O$19:$P$108),"-"))</f>
        <v>-</v>
      </c>
      <c r="H77" s="95">
        <f t="shared" si="4"/>
        <v>2261.9467105846502</v>
      </c>
      <c r="I77" s="96">
        <f>_xll.flu_SPT2025($D$10,$D$12,$D$13,$D$20,$D$15,$D$16,$H$11:$I$27,$O$19:$P$108,FALSE,FALSE,"Li",A77,$D$17)</f>
        <v>0.79999999999999705</v>
      </c>
      <c r="J77" s="95">
        <f>IF(D77="Đất dính","-",_xll.flu_SPT2025($D$10,$D$12,$D$13,$D$20,$D$15,$D$16,$H$11:$I$27,$O$19:$P$108,FALSE,FALSE,"f",A77,$D$17))</f>
        <v>79.2</v>
      </c>
      <c r="K77" s="95" t="str">
        <f>IF(B77="","",IF(D77="Đất dính",_xll.flu_SPT2025($D$10,$D$12,$D$13,$D$20,$D$15,$D$16,$H$11:$I$27,$O$19:$P$108,FALSE,FALSE,"f",A77,$D$17),"-"))</f>
        <v>-</v>
      </c>
      <c r="L77" s="95">
        <f>_xll.flu_SPT2025($D$10,$D$12,$D$13,$D$20,$D$15,$D$16,$H$11:$I$27,$O$19:$P$108,FALSE,FALSE,"flu",A77,$D$17)</f>
        <v>5963.0299118421699</v>
      </c>
      <c r="M77" s="87">
        <f t="shared" si="5"/>
        <v>8224.9766224268205</v>
      </c>
      <c r="O77" s="138"/>
      <c r="P77" s="138"/>
      <c r="W77" s="138"/>
      <c r="X77" s="138"/>
      <c r="AB77" s="138"/>
      <c r="AC77" s="138"/>
      <c r="AG77" s="138"/>
      <c r="AH77" s="138"/>
      <c r="AL77" s="138"/>
      <c r="AM77" s="138"/>
      <c r="AQ77" s="138"/>
      <c r="AR77" s="138"/>
      <c r="AV77" s="138"/>
      <c r="AW77" s="138"/>
      <c r="BA77" s="138"/>
      <c r="BB77" s="138"/>
      <c r="BF77" s="138"/>
      <c r="BG77" s="138"/>
      <c r="BK77" s="138"/>
      <c r="BL77" s="138"/>
      <c r="BP77" s="138"/>
      <c r="BQ77" s="138"/>
      <c r="BU77" s="138"/>
      <c r="BV77" s="138"/>
      <c r="BZ77" s="138"/>
      <c r="CA77" s="138"/>
      <c r="CE77" s="138"/>
      <c r="CF77" s="138"/>
      <c r="CJ77" s="138"/>
      <c r="CK77" s="138"/>
      <c r="CO77" s="138"/>
      <c r="CP77" s="138"/>
      <c r="CT77" s="138"/>
      <c r="CU77" s="138"/>
      <c r="CY77" s="138"/>
      <c r="CZ77" s="138"/>
      <c r="DD77" s="138"/>
      <c r="DE77" s="138"/>
      <c r="DI77" s="138"/>
      <c r="DJ77" s="138"/>
      <c r="DN77" s="138"/>
      <c r="DO77" s="138"/>
      <c r="DS77" s="138"/>
      <c r="DT77" s="138"/>
      <c r="DX77" s="138"/>
      <c r="DY77" s="138"/>
      <c r="EC77" s="138"/>
      <c r="ED77" s="138"/>
      <c r="EH77" s="138"/>
      <c r="EI77" s="138"/>
      <c r="EM77" s="138"/>
      <c r="EN77" s="138"/>
      <c r="ER77" s="138"/>
      <c r="ES77" s="138"/>
      <c r="EW77" s="138"/>
      <c r="EX77" s="138"/>
      <c r="FB77" s="138"/>
      <c r="FC77" s="138"/>
    </row>
    <row r="78" spans="1:159">
      <c r="A78" s="87">
        <f t="shared" si="6"/>
        <v>43</v>
      </c>
      <c r="B78" s="83">
        <f>_xll.flu_SPT2025($D$10,$D$12,$D$13,$D$20,$D$15,$D$16,$H$11:$I$27,$O$19:$P$108,FALSE,FALSE,"Cao độ",A78,$D$17)</f>
        <v>39</v>
      </c>
      <c r="C78" s="87" t="str">
        <f>IF(B78="","",_xll.TimTenLoaiDat(B78,$F$11:$H$27))</f>
        <v>Lớp 7</v>
      </c>
      <c r="D78" s="87" t="str">
        <f>IF(B78="","",_xll.TimTinhChatDat(B78,$H$11:$I$27))</f>
        <v>Đất rời</v>
      </c>
      <c r="E78" s="95">
        <f>IF(B78="","",_xll.NoiSuySPT(B78,$O$19:$P$108,$D$16,$D$12,0,0))</f>
        <v>34.4</v>
      </c>
      <c r="F78" s="95">
        <f>IF(B78="","",IF(D78="Đất dính","-",_xll.qb_SPT2025($D$10,$D$12,$D$13,B78,$D$16,$H$11:$I$27,$O$19:$P$108)))</f>
        <v>4128</v>
      </c>
      <c r="G78" s="95" t="str">
        <f>IF(B78="","",IF(D78="Đất dính",_xll.qb_SPT2025($D$10,$D$12,$D$13,B78,$D$16,$H$11:$I$27,$O$19:$P$108),"-"))</f>
        <v>-</v>
      </c>
      <c r="H78" s="95">
        <f t="shared" si="4"/>
        <v>3242.12361850466</v>
      </c>
      <c r="I78" s="96">
        <f>_xll.flu_SPT2025($D$10,$D$12,$D$13,$D$20,$D$15,$D$16,$H$11:$I$27,$O$19:$P$108,FALSE,FALSE,"Li",A78,$D$17)</f>
        <v>1</v>
      </c>
      <c r="J78" s="95">
        <f>IF(D78="Đất dính","-",_xll.flu_SPT2025($D$10,$D$12,$D$13,$D$20,$D$15,$D$16,$H$11:$I$27,$O$19:$P$108,FALSE,FALSE,"f",A78,$D$17))</f>
        <v>113.52</v>
      </c>
      <c r="K78" s="95" t="str">
        <f>IF(B78="","",IF(D78="Đất dính",_xll.flu_SPT2025($D$10,$D$12,$D$13,$D$20,$D$15,$D$16,$H$11:$I$27,$O$19:$P$108,FALSE,FALSE,"f",A78,$D$17),"-"))</f>
        <v>-</v>
      </c>
      <c r="L78" s="95">
        <f>_xll.flu_SPT2025($D$10,$D$12,$D$13,$D$20,$D$15,$D$16,$H$11:$I$27,$O$19:$P$108,FALSE,FALSE,"flu",A78,$D$17)</f>
        <v>6319.6635098776796</v>
      </c>
      <c r="M78" s="87">
        <f t="shared" si="5"/>
        <v>9561.7871283823406</v>
      </c>
      <c r="O78" s="138"/>
      <c r="P78" s="138"/>
      <c r="W78" s="138"/>
      <c r="X78" s="138"/>
      <c r="AB78" s="138"/>
      <c r="AC78" s="138"/>
      <c r="AG78" s="138"/>
      <c r="AH78" s="138"/>
      <c r="AL78" s="138"/>
      <c r="AM78" s="138"/>
      <c r="AQ78" s="138"/>
      <c r="AR78" s="138"/>
      <c r="AV78" s="138"/>
      <c r="AW78" s="138"/>
      <c r="BA78" s="138"/>
      <c r="BB78" s="138"/>
      <c r="BF78" s="138"/>
      <c r="BG78" s="138"/>
      <c r="BK78" s="138"/>
      <c r="BL78" s="138"/>
      <c r="BP78" s="138"/>
      <c r="BQ78" s="138"/>
      <c r="BU78" s="138"/>
      <c r="BV78" s="138"/>
      <c r="BZ78" s="138"/>
      <c r="CA78" s="138"/>
      <c r="CE78" s="138"/>
      <c r="CF78" s="138"/>
      <c r="CJ78" s="138"/>
      <c r="CK78" s="138"/>
      <c r="CO78" s="138"/>
      <c r="CP78" s="138"/>
      <c r="CT78" s="138"/>
      <c r="CU78" s="138"/>
      <c r="CY78" s="138"/>
      <c r="CZ78" s="138"/>
      <c r="DD78" s="138"/>
      <c r="DE78" s="138"/>
      <c r="DI78" s="138"/>
      <c r="DJ78" s="138"/>
      <c r="DN78" s="138"/>
      <c r="DO78" s="138"/>
      <c r="DS78" s="138"/>
      <c r="DT78" s="138"/>
      <c r="DX78" s="138"/>
      <c r="DY78" s="138"/>
      <c r="EC78" s="138"/>
      <c r="ED78" s="138"/>
      <c r="EH78" s="138"/>
      <c r="EI78" s="138"/>
      <c r="EM78" s="138"/>
      <c r="EN78" s="138"/>
      <c r="ER78" s="138"/>
      <c r="ES78" s="138"/>
      <c r="EW78" s="138"/>
      <c r="EX78" s="138"/>
      <c r="FB78" s="138"/>
      <c r="FC78" s="138"/>
    </row>
    <row r="79" spans="1:159">
      <c r="A79" s="87">
        <f t="shared" si="6"/>
        <v>44</v>
      </c>
      <c r="B79" s="83">
        <f>_xll.flu_SPT2025($D$10,$D$12,$D$13,$D$20,$D$15,$D$16,$H$11:$I$27,$O$19:$P$108,FALSE,FALSE,"Cao độ",A79,$D$17)</f>
        <v>40</v>
      </c>
      <c r="C79" s="87" t="str">
        <f>IF(B79="","",_xll.TimTenLoaiDat(B79,$F$11:$H$27))</f>
        <v>Lớp 7</v>
      </c>
      <c r="D79" s="87" t="str">
        <f>IF(B79="","",_xll.TimTinhChatDat(B79,$H$11:$I$27))</f>
        <v>Đất rời</v>
      </c>
      <c r="E79" s="95">
        <f>IF(B79="","",_xll.NoiSuySPT(B79,$O$19:$P$108,$D$16,$D$12,0,0))</f>
        <v>47.4</v>
      </c>
      <c r="F79" s="95">
        <f>IF(B79="","",IF(D79="Đất dính","-",_xll.qb_SPT2025($D$10,$D$12,$D$13,B79,$D$16,$H$11:$I$27,$O$19:$P$108)))</f>
        <v>5688</v>
      </c>
      <c r="G79" s="95" t="str">
        <f>IF(B79="","",IF(D79="Đất dính",_xll.qb_SPT2025($D$10,$D$12,$D$13,B79,$D$16,$H$11:$I$27,$O$19:$P$108),"-"))</f>
        <v>-</v>
      </c>
      <c r="H79" s="95">
        <f t="shared" si="4"/>
        <v>4467.34475340468</v>
      </c>
      <c r="I79" s="96">
        <f>_xll.flu_SPT2025($D$10,$D$12,$D$13,$D$20,$D$15,$D$16,$H$11:$I$27,$O$19:$P$108,FALSE,FALSE,"Li",A79,$D$17)</f>
        <v>1</v>
      </c>
      <c r="J79" s="95">
        <f>IF(D79="Đất dính","-",_xll.flu_SPT2025($D$10,$D$12,$D$13,$D$20,$D$15,$D$16,$H$11:$I$27,$O$19:$P$108,FALSE,FALSE,"f",A79,$D$17))</f>
        <v>156.41999999999999</v>
      </c>
      <c r="K79" s="95" t="str">
        <f>IF(B79="","",IF(D79="Đất dính",_xll.flu_SPT2025($D$10,$D$12,$D$13,$D$20,$D$15,$D$16,$H$11:$I$27,$O$19:$P$108,FALSE,FALSE,"f",A79,$D$17),"-"))</f>
        <v>-</v>
      </c>
      <c r="L79" s="95">
        <f>_xll.flu_SPT2025($D$10,$D$12,$D$13,$D$20,$D$15,$D$16,$H$11:$I$27,$O$19:$P$108,FALSE,FALSE,"flu",A79,$D$17)</f>
        <v>6811.0714327522001</v>
      </c>
      <c r="M79" s="87">
        <f t="shared" si="5"/>
        <v>11278.416186156899</v>
      </c>
      <c r="O79" s="138"/>
      <c r="P79" s="138"/>
      <c r="W79" s="138"/>
      <c r="X79" s="138"/>
      <c r="AB79" s="138"/>
      <c r="AC79" s="138"/>
      <c r="AG79" s="138"/>
      <c r="AH79" s="138"/>
      <c r="AL79" s="138"/>
      <c r="AM79" s="138"/>
      <c r="AQ79" s="138"/>
      <c r="AR79" s="138"/>
      <c r="AV79" s="138"/>
      <c r="AW79" s="138"/>
      <c r="BA79" s="138"/>
      <c r="BB79" s="138"/>
      <c r="BF79" s="138"/>
      <c r="BG79" s="138"/>
      <c r="BK79" s="138"/>
      <c r="BL79" s="138"/>
      <c r="BP79" s="138"/>
      <c r="BQ79" s="138"/>
      <c r="BU79" s="138"/>
      <c r="BV79" s="138"/>
      <c r="BZ79" s="138"/>
      <c r="CA79" s="138"/>
      <c r="CE79" s="138"/>
      <c r="CF79" s="138"/>
      <c r="CJ79" s="138"/>
      <c r="CK79" s="138"/>
      <c r="CO79" s="138"/>
      <c r="CP79" s="138"/>
      <c r="CT79" s="138"/>
      <c r="CU79" s="138"/>
      <c r="CY79" s="138"/>
      <c r="CZ79" s="138"/>
      <c r="DD79" s="138"/>
      <c r="DE79" s="138"/>
      <c r="DI79" s="138"/>
      <c r="DJ79" s="138"/>
      <c r="DN79" s="138"/>
      <c r="DO79" s="138"/>
      <c r="DS79" s="138"/>
      <c r="DT79" s="138"/>
      <c r="DX79" s="138"/>
      <c r="DY79" s="138"/>
      <c r="EC79" s="138"/>
      <c r="ED79" s="138"/>
      <c r="EH79" s="138"/>
      <c r="EI79" s="138"/>
      <c r="EM79" s="138"/>
      <c r="EN79" s="138"/>
      <c r="ER79" s="138"/>
      <c r="ES79" s="138"/>
      <c r="EW79" s="138"/>
      <c r="EX79" s="138"/>
      <c r="FB79" s="138"/>
      <c r="FC79" s="138"/>
    </row>
    <row r="80" spans="1:159">
      <c r="A80" s="87">
        <f t="shared" si="6"/>
        <v>45</v>
      </c>
      <c r="B80" s="83">
        <f>_xll.flu_SPT2025($D$10,$D$12,$D$13,$D$20,$D$15,$D$16,$H$11:$I$27,$O$19:$P$108,FALSE,FALSE,"Cao độ",A80,$D$17)</f>
        <v>41</v>
      </c>
      <c r="C80" s="87" t="str">
        <f>IF(B80="","",_xll.TimTenLoaiDat(B80,$F$11:$H$27))</f>
        <v>Lớp 7</v>
      </c>
      <c r="D80" s="87" t="str">
        <f>IF(B80="","",_xll.TimTinhChatDat(B80,$H$11:$I$27))</f>
        <v>Đất rời</v>
      </c>
      <c r="E80" s="95">
        <f>IF(B80="","",_xll.NoiSuySPT(B80,$O$19:$P$108,$D$16,$D$12,0,0))</f>
        <v>50</v>
      </c>
      <c r="F80" s="95">
        <f>IF(B80="","",IF(D80="Đất dính","-",_xll.qb_SPT2025($D$10,$D$12,$D$13,B80,$D$16,$H$11:$I$27,$O$19:$P$108)))</f>
        <v>6000</v>
      </c>
      <c r="G80" s="95" t="str">
        <f>IF(B80="","",IF(D80="Đất dính",_xll.qb_SPT2025($D$10,$D$12,$D$13,B80,$D$16,$H$11:$I$27,$O$19:$P$108),"-"))</f>
        <v>-</v>
      </c>
      <c r="H80" s="95">
        <f t="shared" si="4"/>
        <v>4712.3889803846896</v>
      </c>
      <c r="I80" s="96">
        <f>_xll.flu_SPT2025($D$10,$D$12,$D$13,$D$20,$D$15,$D$16,$H$11:$I$27,$O$19:$P$108,FALSE,FALSE,"Li",A80,$D$17)</f>
        <v>1</v>
      </c>
      <c r="J80" s="95">
        <f>IF(D80="Đất dính","-",_xll.flu_SPT2025($D$10,$D$12,$D$13,$D$20,$D$15,$D$16,$H$11:$I$27,$O$19:$P$108,FALSE,FALSE,"f",A80,$D$17))</f>
        <v>165</v>
      </c>
      <c r="K80" s="95" t="str">
        <f>IF(B80="","",IF(D80="Đất dính",_xll.flu_SPT2025($D$10,$D$12,$D$13,$D$20,$D$15,$D$16,$H$11:$I$27,$O$19:$P$108,FALSE,FALSE,"f",A80,$D$17),"-"))</f>
        <v>-</v>
      </c>
      <c r="L80" s="95">
        <f>_xll.flu_SPT2025($D$10,$D$12,$D$13,$D$20,$D$15,$D$16,$H$11:$I$27,$O$19:$P$108,FALSE,FALSE,"flu",A80,$D$17)</f>
        <v>7329.4342205945104</v>
      </c>
      <c r="M80" s="87">
        <f t="shared" si="5"/>
        <v>12041.823200979199</v>
      </c>
      <c r="O80" s="138"/>
      <c r="P80" s="138"/>
      <c r="W80" s="138"/>
      <c r="X80" s="138"/>
      <c r="AB80" s="138"/>
      <c r="AC80" s="138"/>
      <c r="AG80" s="138"/>
      <c r="AH80" s="138"/>
      <c r="AL80" s="138"/>
      <c r="AM80" s="138"/>
      <c r="AQ80" s="138"/>
      <c r="AR80" s="138"/>
      <c r="AV80" s="138"/>
      <c r="AW80" s="138"/>
      <c r="BA80" s="138"/>
      <c r="BB80" s="138"/>
      <c r="BF80" s="138"/>
      <c r="BG80" s="138"/>
      <c r="BK80" s="138"/>
      <c r="BL80" s="138"/>
      <c r="BP80" s="138"/>
      <c r="BQ80" s="138"/>
      <c r="BU80" s="138"/>
      <c r="BV80" s="138"/>
      <c r="BZ80" s="138"/>
      <c r="CA80" s="138"/>
      <c r="CE80" s="138"/>
      <c r="CF80" s="138"/>
      <c r="CJ80" s="138"/>
      <c r="CK80" s="138"/>
      <c r="CO80" s="138"/>
      <c r="CP80" s="138"/>
      <c r="CT80" s="138"/>
      <c r="CU80" s="138"/>
      <c r="CY80" s="138"/>
      <c r="CZ80" s="138"/>
      <c r="DD80" s="138"/>
      <c r="DE80" s="138"/>
      <c r="DI80" s="138"/>
      <c r="DJ80" s="138"/>
      <c r="DN80" s="138"/>
      <c r="DO80" s="138"/>
      <c r="DS80" s="138"/>
      <c r="DT80" s="138"/>
      <c r="DX80" s="138"/>
      <c r="DY80" s="138"/>
      <c r="EC80" s="138"/>
      <c r="ED80" s="138"/>
      <c r="EH80" s="138"/>
      <c r="EI80" s="138"/>
      <c r="EM80" s="138"/>
      <c r="EN80" s="138"/>
      <c r="ER80" s="138"/>
      <c r="ES80" s="138"/>
      <c r="EW80" s="138"/>
      <c r="EX80" s="138"/>
      <c r="FB80" s="138"/>
      <c r="FC80" s="138"/>
    </row>
    <row r="81" spans="1:159">
      <c r="A81" s="87">
        <f t="shared" si="6"/>
        <v>46</v>
      </c>
      <c r="B81" s="83">
        <f>_xll.flu_SPT2025($D$10,$D$12,$D$13,$D$20,$D$15,$D$16,$H$11:$I$27,$O$19:$P$108,FALSE,FALSE,"Cao độ",A81,$D$17)</f>
        <v>42</v>
      </c>
      <c r="C81" s="87" t="str">
        <f>IF(B81="","",_xll.TimTenLoaiDat(B81,$F$11:$H$27))</f>
        <v>Lớp 7</v>
      </c>
      <c r="D81" s="87" t="str">
        <f>IF(B81="","",_xll.TimTinhChatDat(B81,$H$11:$I$27))</f>
        <v>Đất rời</v>
      </c>
      <c r="E81" s="95">
        <f>IF(B81="","",_xll.NoiSuySPT(B81,$O$19:$P$108,$D$16,$D$12,0,0))</f>
        <v>50</v>
      </c>
      <c r="F81" s="95">
        <f>IF(B81="","",IF(D81="Đất dính","-",_xll.qb_SPT2025($D$10,$D$12,$D$13,B81,$D$16,$H$11:$I$27,$O$19:$P$108)))</f>
        <v>6000</v>
      </c>
      <c r="G81" s="95" t="str">
        <f>IF(B81="","",IF(D81="Đất dính",_xll.qb_SPT2025($D$10,$D$12,$D$13,B81,$D$16,$H$11:$I$27,$O$19:$P$108),"-"))</f>
        <v>-</v>
      </c>
      <c r="H81" s="95">
        <f t="shared" si="4"/>
        <v>4712.3889803846896</v>
      </c>
      <c r="I81" s="96">
        <f>_xll.flu_SPT2025($D$10,$D$12,$D$13,$D$20,$D$15,$D$16,$H$11:$I$27,$O$19:$P$108,FALSE,FALSE,"Li",A81,$D$17)</f>
        <v>1</v>
      </c>
      <c r="J81" s="95">
        <f>IF(D81="Đất dính","-",_xll.flu_SPT2025($D$10,$D$12,$D$13,$D$20,$D$15,$D$16,$H$11:$I$27,$O$19:$P$108,FALSE,FALSE,"f",A81,$D$17))</f>
        <v>165</v>
      </c>
      <c r="K81" s="95" t="str">
        <f>IF(B81="","",IF(D81="Đất dính",_xll.flu_SPT2025($D$10,$D$12,$D$13,$D$20,$D$15,$D$16,$H$11:$I$27,$O$19:$P$108,FALSE,FALSE,"f",A81,$D$17),"-"))</f>
        <v>-</v>
      </c>
      <c r="L81" s="95">
        <f>_xll.flu_SPT2025($D$10,$D$12,$D$13,$D$20,$D$15,$D$16,$H$11:$I$27,$O$19:$P$108,FALSE,FALSE,"flu",A81,$D$17)</f>
        <v>7847.7970084368299</v>
      </c>
      <c r="M81" s="87">
        <f t="shared" si="5"/>
        <v>12560.1859888215</v>
      </c>
      <c r="O81" s="138"/>
      <c r="P81" s="138"/>
      <c r="W81" s="138"/>
      <c r="X81" s="138"/>
      <c r="AB81" s="138"/>
      <c r="AC81" s="138"/>
      <c r="AG81" s="138"/>
      <c r="AH81" s="138"/>
      <c r="AL81" s="138"/>
      <c r="AM81" s="138"/>
      <c r="AQ81" s="138"/>
      <c r="AR81" s="138"/>
      <c r="AV81" s="138"/>
      <c r="AW81" s="138"/>
      <c r="BA81" s="138"/>
      <c r="BB81" s="138"/>
      <c r="BF81" s="138"/>
      <c r="BG81" s="138"/>
      <c r="BK81" s="138"/>
      <c r="BL81" s="138"/>
      <c r="BP81" s="138"/>
      <c r="BQ81" s="138"/>
      <c r="BU81" s="138"/>
      <c r="BV81" s="138"/>
      <c r="BZ81" s="138"/>
      <c r="CA81" s="138"/>
      <c r="CE81" s="138"/>
      <c r="CF81" s="138"/>
      <c r="CJ81" s="138"/>
      <c r="CK81" s="138"/>
      <c r="CO81" s="138"/>
      <c r="CP81" s="138"/>
      <c r="CT81" s="138"/>
      <c r="CU81" s="138"/>
      <c r="CY81" s="138"/>
      <c r="CZ81" s="138"/>
      <c r="DD81" s="138"/>
      <c r="DE81" s="138"/>
      <c r="DI81" s="138"/>
      <c r="DJ81" s="138"/>
      <c r="DN81" s="138"/>
      <c r="DO81" s="138"/>
      <c r="DS81" s="138"/>
      <c r="DT81" s="138"/>
      <c r="DX81" s="138"/>
      <c r="DY81" s="138"/>
      <c r="EC81" s="138"/>
      <c r="ED81" s="138"/>
      <c r="EH81" s="138"/>
      <c r="EI81" s="138"/>
      <c r="EM81" s="138"/>
      <c r="EN81" s="138"/>
      <c r="ER81" s="138"/>
      <c r="ES81" s="138"/>
      <c r="EW81" s="138"/>
      <c r="EX81" s="138"/>
      <c r="FB81" s="138"/>
      <c r="FC81" s="138"/>
    </row>
    <row r="82" spans="1:159">
      <c r="A82" s="87">
        <f t="shared" si="6"/>
        <v>47</v>
      </c>
      <c r="B82" s="83">
        <f>_xll.flu_SPT2025($D$10,$D$12,$D$13,$D$20,$D$15,$D$16,$H$11:$I$27,$O$19:$P$108,FALSE,FALSE,"Cao độ",A82,$D$17)</f>
        <v>43</v>
      </c>
      <c r="C82" s="87" t="str">
        <f>IF(B82="","",_xll.TimTenLoaiDat(B82,$F$11:$H$27))</f>
        <v>Lớp 7</v>
      </c>
      <c r="D82" s="87" t="str">
        <f>IF(B82="","",_xll.TimTinhChatDat(B82,$H$11:$I$27))</f>
        <v>Đất rời</v>
      </c>
      <c r="E82" s="95">
        <f>IF(B82="","",_xll.NoiSuySPT(B82,$O$19:$P$108,$D$16,$D$12,0,0))</f>
        <v>50</v>
      </c>
      <c r="F82" s="95">
        <f>IF(B82="","",IF(D82="Đất dính","-",_xll.qb_SPT2025($D$10,$D$12,$D$13,B82,$D$16,$H$11:$I$27,$O$19:$P$108)))</f>
        <v>6000</v>
      </c>
      <c r="G82" s="95" t="str">
        <f>IF(B82="","",IF(D82="Đất dính",_xll.qb_SPT2025($D$10,$D$12,$D$13,B82,$D$16,$H$11:$I$27,$O$19:$P$108),"-"))</f>
        <v>-</v>
      </c>
      <c r="H82" s="95">
        <f t="shared" si="4"/>
        <v>4712.3889803846896</v>
      </c>
      <c r="I82" s="96">
        <f>_xll.flu_SPT2025($D$10,$D$12,$D$13,$D$20,$D$15,$D$16,$H$11:$I$27,$O$19:$P$108,FALSE,FALSE,"Li",A82,$D$17)</f>
        <v>0.20000000000000301</v>
      </c>
      <c r="J82" s="95">
        <f>IF(D82="Đất dính","-",_xll.flu_SPT2025($D$10,$D$12,$D$13,$D$20,$D$15,$D$16,$H$11:$I$27,$O$19:$P$108,FALSE,FALSE,"f",A82,$D$17))</f>
        <v>165</v>
      </c>
      <c r="K82" s="95" t="str">
        <f>IF(B82="","",IF(D82="Đất dính",_xll.flu_SPT2025($D$10,$D$12,$D$13,$D$20,$D$15,$D$16,$H$11:$I$27,$O$19:$P$108,FALSE,FALSE,"f",A82,$D$17),"-"))</f>
        <v>-</v>
      </c>
      <c r="L82" s="95">
        <f>_xll.flu_SPT2025($D$10,$D$12,$D$13,$D$20,$D$15,$D$16,$H$11:$I$27,$O$19:$P$108,FALSE,FALSE,"flu",A82,$D$17)</f>
        <v>7951.4695660052903</v>
      </c>
      <c r="M82" s="87">
        <f t="shared" si="5"/>
        <v>12663.85854639</v>
      </c>
      <c r="O82" s="138"/>
      <c r="P82" s="138"/>
      <c r="W82" s="138"/>
      <c r="X82" s="138"/>
      <c r="AB82" s="138"/>
      <c r="AC82" s="138"/>
      <c r="AG82" s="138"/>
      <c r="AH82" s="138"/>
      <c r="AL82" s="138"/>
      <c r="AM82" s="138"/>
      <c r="AQ82" s="138"/>
      <c r="AR82" s="138"/>
      <c r="AV82" s="138"/>
      <c r="AW82" s="138"/>
      <c r="BA82" s="138"/>
      <c r="BB82" s="138"/>
      <c r="BF82" s="138"/>
      <c r="BG82" s="138"/>
      <c r="BK82" s="138"/>
      <c r="BL82" s="138"/>
      <c r="BP82" s="138"/>
      <c r="BQ82" s="138"/>
      <c r="BU82" s="138"/>
      <c r="BV82" s="138"/>
      <c r="BZ82" s="138"/>
      <c r="CA82" s="138"/>
      <c r="CE82" s="138"/>
      <c r="CF82" s="138"/>
      <c r="CJ82" s="138"/>
      <c r="CK82" s="138"/>
      <c r="CO82" s="138"/>
      <c r="CP82" s="138"/>
      <c r="CT82" s="138"/>
      <c r="CU82" s="138"/>
      <c r="CY82" s="138"/>
      <c r="CZ82" s="138"/>
      <c r="DD82" s="138"/>
      <c r="DE82" s="138"/>
      <c r="DI82" s="138"/>
      <c r="DJ82" s="138"/>
      <c r="DN82" s="138"/>
      <c r="DO82" s="138"/>
      <c r="DS82" s="138"/>
      <c r="DT82" s="138"/>
      <c r="DX82" s="138"/>
      <c r="DY82" s="138"/>
      <c r="EC82" s="138"/>
      <c r="ED82" s="138"/>
      <c r="EH82" s="138"/>
      <c r="EI82" s="138"/>
      <c r="EM82" s="138"/>
      <c r="EN82" s="138"/>
      <c r="ER82" s="138"/>
      <c r="ES82" s="138"/>
      <c r="EW82" s="138"/>
      <c r="EX82" s="138"/>
      <c r="FB82" s="138"/>
      <c r="FC82" s="138"/>
    </row>
    <row r="83" spans="1:159">
      <c r="A83" s="87">
        <f t="shared" si="6"/>
        <v>48</v>
      </c>
      <c r="B83" s="83">
        <f>_xll.flu_SPT2025($D$10,$D$12,$D$13,$D$20,$D$15,$D$16,$H$11:$I$27,$O$19:$P$108,FALSE,FALSE,"Cao độ",A83,$D$17)</f>
        <v>43.2</v>
      </c>
      <c r="C83" s="87" t="str">
        <f>IF(B83="","",_xll.TimTenLoaiDat(B83,$F$11:$H$27))</f>
        <v>Lớp 7</v>
      </c>
      <c r="D83" s="87" t="str">
        <f>IF(B83="","",_xll.TimTinhChatDat(B83,$H$11:$I$27))</f>
        <v>Đất rời</v>
      </c>
      <c r="E83" s="95">
        <f>IF(B83="","",_xll.NoiSuySPT(B83,$O$19:$P$108,$D$16,$D$12,0,0))</f>
        <v>50</v>
      </c>
      <c r="F83" s="95">
        <f>IF(B83="","",IF(D83="Đất dính","-",_xll.qb_SPT2025($D$10,$D$12,$D$13,B83,$D$16,$H$11:$I$27,$O$19:$P$108)))</f>
        <v>6000</v>
      </c>
      <c r="G83" s="95" t="str">
        <f>IF(B83="","",IF(D83="Đất dính",_xll.qb_SPT2025($D$10,$D$12,$D$13,B83,$D$16,$H$11:$I$27,$O$19:$P$108),"-"))</f>
        <v>-</v>
      </c>
      <c r="H83" s="95">
        <f t="shared" si="4"/>
        <v>4712.3889803846896</v>
      </c>
      <c r="I83" s="96">
        <f>_xll.flu_SPT2025($D$10,$D$12,$D$13,$D$20,$D$15,$D$16,$H$11:$I$27,$O$19:$P$108,FALSE,FALSE,"Li",A83,$D$17)</f>
        <v>0</v>
      </c>
      <c r="J83" s="95">
        <f>IF(D83="Đất dính","-",_xll.flu_SPT2025($D$10,$D$12,$D$13,$D$20,$D$15,$D$16,$H$11:$I$27,$O$19:$P$108,FALSE,FALSE,"f",A83,$D$17))</f>
        <v>165</v>
      </c>
      <c r="K83" s="95" t="str">
        <f>IF(B83="","",IF(D83="Đất dính",_xll.flu_SPT2025($D$10,$D$12,$D$13,$D$20,$D$15,$D$16,$H$11:$I$27,$O$19:$P$108,FALSE,FALSE,"f",A83,$D$17),"-"))</f>
        <v>-</v>
      </c>
      <c r="L83" s="95">
        <f>_xll.flu_SPT2025($D$10,$D$12,$D$13,$D$20,$D$15,$D$16,$H$11:$I$27,$O$19:$P$108,FALSE,FALSE,"flu",A83,$D$17)</f>
        <v>7951.4695660052903</v>
      </c>
      <c r="M83" s="87">
        <f t="shared" si="5"/>
        <v>12663.85854639</v>
      </c>
      <c r="O83" s="138"/>
      <c r="P83" s="138"/>
      <c r="W83" s="138"/>
      <c r="X83" s="138"/>
      <c r="AB83" s="138"/>
      <c r="AC83" s="138"/>
      <c r="AG83" s="138"/>
      <c r="AH83" s="138"/>
      <c r="AL83" s="138"/>
      <c r="AM83" s="138"/>
      <c r="AQ83" s="138"/>
      <c r="AR83" s="138"/>
      <c r="AV83" s="138"/>
      <c r="AW83" s="138"/>
      <c r="BA83" s="138"/>
      <c r="BB83" s="138"/>
      <c r="BF83" s="138"/>
      <c r="BG83" s="138"/>
      <c r="BK83" s="138"/>
      <c r="BL83" s="138"/>
      <c r="BP83" s="138"/>
      <c r="BQ83" s="138"/>
      <c r="BU83" s="138"/>
      <c r="BV83" s="138"/>
      <c r="BZ83" s="138"/>
      <c r="CA83" s="138"/>
      <c r="CE83" s="138"/>
      <c r="CF83" s="138"/>
      <c r="CJ83" s="138"/>
      <c r="CK83" s="138"/>
      <c r="CO83" s="138"/>
      <c r="CP83" s="138"/>
      <c r="CT83" s="138"/>
      <c r="CU83" s="138"/>
      <c r="CY83" s="138"/>
      <c r="CZ83" s="138"/>
      <c r="DD83" s="138"/>
      <c r="DE83" s="138"/>
      <c r="DI83" s="138"/>
      <c r="DJ83" s="138"/>
      <c r="DN83" s="138"/>
      <c r="DO83" s="138"/>
      <c r="DS83" s="138"/>
      <c r="DT83" s="138"/>
      <c r="DX83" s="138"/>
      <c r="DY83" s="138"/>
      <c r="EC83" s="138"/>
      <c r="ED83" s="138"/>
      <c r="EH83" s="138"/>
      <c r="EI83" s="138"/>
      <c r="EM83" s="138"/>
      <c r="EN83" s="138"/>
      <c r="ER83" s="138"/>
      <c r="ES83" s="138"/>
      <c r="EW83" s="138"/>
      <c r="EX83" s="138"/>
      <c r="FB83" s="138"/>
      <c r="FC83" s="138"/>
    </row>
    <row r="84" spans="1:159">
      <c r="A84" s="87">
        <f t="shared" si="6"/>
        <v>49</v>
      </c>
      <c r="B84" s="83">
        <f>_xll.flu_SPT2025($D$10,$D$12,$D$13,$D$20,$D$15,$D$16,$H$11:$I$27,$O$19:$P$108,FALSE,FALSE,"Cao độ",A84,$D$17)</f>
        <v>44</v>
      </c>
      <c r="C84" s="87" t="str">
        <f>IF(B84="","",_xll.TimTenLoaiDat(B84,$F$11:$H$27))</f>
        <v>Lớp 7</v>
      </c>
      <c r="D84" s="87" t="str">
        <f>IF(B84="","",_xll.TimTinhChatDat(B84,$H$11:$I$27))</f>
        <v>Đất rời</v>
      </c>
      <c r="E84" s="95">
        <f>IF(B84="","",_xll.NoiSuySPT(B84,$O$19:$P$108,$D$16,$D$12,0,0))</f>
        <v>50</v>
      </c>
      <c r="F84" s="95">
        <f>IF(B84="","",IF(D84="Đất dính","-",_xll.qb_SPT2025($D$10,$D$12,$D$13,B84,$D$16,$H$11:$I$27,$O$19:$P$108)))</f>
        <v>6000</v>
      </c>
      <c r="G84" s="95" t="str">
        <f>IF(B84="","",IF(D84="Đất dính",_xll.qb_SPT2025($D$10,$D$12,$D$13,B84,$D$16,$H$11:$I$27,$O$19:$P$108),"-"))</f>
        <v>-</v>
      </c>
      <c r="H84" s="95">
        <f t="shared" si="4"/>
        <v>4712.3889803846896</v>
      </c>
      <c r="I84" s="96">
        <f>_xll.flu_SPT2025($D$10,$D$12,$D$13,$D$20,$D$15,$D$16,$H$11:$I$27,$O$19:$P$108,FALSE,FALSE,"Li",A84,$D$17)</f>
        <v>1</v>
      </c>
      <c r="J84" s="95">
        <f>IF(D84="Đất dính","-",_xll.flu_SPT2025($D$10,$D$12,$D$13,$D$20,$D$15,$D$16,$H$11:$I$27,$O$19:$P$108,FALSE,FALSE,"f",A84,$D$17))</f>
        <v>165</v>
      </c>
      <c r="K84" s="95" t="str">
        <f>IF(B84="","",IF(D84="Đất dính",_xll.flu_SPT2025($D$10,$D$12,$D$13,$D$20,$D$15,$D$16,$H$11:$I$27,$O$19:$P$108,FALSE,FALSE,"f",A84,$D$17),"-"))</f>
        <v>-</v>
      </c>
      <c r="L84" s="95">
        <f>_xll.flu_SPT2025($D$10,$D$12,$D$13,$D$20,$D$15,$D$16,$H$11:$I$27,$O$19:$P$108,FALSE,FALSE,"flu",A84,$D$17)</f>
        <v>8469.8323538476106</v>
      </c>
      <c r="M84" s="87">
        <f t="shared" si="5"/>
        <v>13182.221334232299</v>
      </c>
      <c r="O84" s="138"/>
      <c r="P84" s="138"/>
      <c r="W84" s="138"/>
      <c r="X84" s="138"/>
      <c r="AB84" s="138"/>
      <c r="AC84" s="138"/>
      <c r="AG84" s="138"/>
      <c r="AH84" s="138"/>
      <c r="AL84" s="138"/>
      <c r="AM84" s="138"/>
      <c r="AQ84" s="138"/>
      <c r="AR84" s="138"/>
      <c r="AV84" s="138"/>
      <c r="AW84" s="138"/>
      <c r="BA84" s="138"/>
      <c r="BB84" s="138"/>
      <c r="BF84" s="138"/>
      <c r="BG84" s="138"/>
      <c r="BK84" s="138"/>
      <c r="BL84" s="138"/>
      <c r="BP84" s="138"/>
      <c r="BQ84" s="138"/>
      <c r="BU84" s="138"/>
      <c r="BV84" s="138"/>
      <c r="BZ84" s="138"/>
      <c r="CA84" s="138"/>
      <c r="CE84" s="138"/>
      <c r="CF84" s="138"/>
      <c r="CJ84" s="138"/>
      <c r="CK84" s="138"/>
      <c r="CO84" s="138"/>
      <c r="CP84" s="138"/>
      <c r="CT84" s="138"/>
      <c r="CU84" s="138"/>
      <c r="CY84" s="138"/>
      <c r="CZ84" s="138"/>
      <c r="DD84" s="138"/>
      <c r="DE84" s="138"/>
      <c r="DI84" s="138"/>
      <c r="DJ84" s="138"/>
      <c r="DN84" s="138"/>
      <c r="DO84" s="138"/>
      <c r="DS84" s="138"/>
      <c r="DT84" s="138"/>
      <c r="DX84" s="138"/>
      <c r="DY84" s="138"/>
      <c r="EC84" s="138"/>
      <c r="ED84" s="138"/>
      <c r="EH84" s="138"/>
      <c r="EI84" s="138"/>
      <c r="EM84" s="138"/>
      <c r="EN84" s="138"/>
      <c r="ER84" s="138"/>
      <c r="ES84" s="138"/>
      <c r="EW84" s="138"/>
      <c r="EX84" s="138"/>
      <c r="FB84" s="138"/>
      <c r="FC84" s="138"/>
    </row>
    <row r="85" spans="1:159">
      <c r="A85" s="87">
        <f t="shared" si="6"/>
        <v>50</v>
      </c>
      <c r="B85" s="83">
        <f>_xll.flu_SPT2025($D$10,$D$12,$D$13,$D$20,$D$15,$D$16,$H$11:$I$27,$O$19:$P$108,FALSE,FALSE,"Cao độ",A85,$D$17)</f>
        <v>45</v>
      </c>
      <c r="C85" s="87" t="str">
        <f>IF(B85="","",_xll.TimTenLoaiDat(B85,$F$11:$H$27))</f>
        <v>Lớp 7</v>
      </c>
      <c r="D85" s="87" t="str">
        <f>IF(B85="","",_xll.TimTinhChatDat(B85,$H$11:$I$27))</f>
        <v>Đất rời</v>
      </c>
      <c r="E85" s="95">
        <f>IF(B85="","",_xll.NoiSuySPT(B85,$O$19:$P$108,$D$16,$D$12,0,0))</f>
        <v>50</v>
      </c>
      <c r="F85" s="95">
        <f>IF(B85="","",IF(D85="Đất dính","-",_xll.qb_SPT2025($D$10,$D$12,$D$13,B85,$D$16,$H$11:$I$27,$O$19:$P$108)))</f>
        <v>6000</v>
      </c>
      <c r="G85" s="95" t="str">
        <f>IF(B85="","",IF(D85="Đất dính",_xll.qb_SPT2025($D$10,$D$12,$D$13,B85,$D$16,$H$11:$I$27,$O$19:$P$108),"-"))</f>
        <v>-</v>
      </c>
      <c r="H85" s="95">
        <f t="shared" si="4"/>
        <v>4712.3889803846896</v>
      </c>
      <c r="I85" s="96">
        <f>_xll.flu_SPT2025($D$10,$D$12,$D$13,$D$20,$D$15,$D$16,$H$11:$I$27,$O$19:$P$108,FALSE,FALSE,"Li",A85,$D$17)</f>
        <v>0</v>
      </c>
      <c r="J85" s="95">
        <f>IF(D85="Đất dính","-",_xll.flu_SPT2025($D$10,$D$12,$D$13,$D$20,$D$15,$D$16,$H$11:$I$27,$O$19:$P$108,FALSE,FALSE,"f",A85,$D$17))</f>
        <v>165</v>
      </c>
      <c r="K85" s="95" t="str">
        <f>IF(B85="","",IF(D85="Đất dính",_xll.flu_SPT2025($D$10,$D$12,$D$13,$D$20,$D$15,$D$16,$H$11:$I$27,$O$19:$P$108,FALSE,FALSE,"f",A85,$D$17),"-"))</f>
        <v>-</v>
      </c>
      <c r="L85" s="95">
        <f>_xll.flu_SPT2025($D$10,$D$12,$D$13,$D$20,$D$15,$D$16,$H$11:$I$27,$O$19:$P$108,FALSE,FALSE,"flu",A85,$D$17)</f>
        <v>8469.8323538476106</v>
      </c>
      <c r="M85" s="87">
        <f t="shared" si="5"/>
        <v>13182.221334232299</v>
      </c>
      <c r="O85" s="138"/>
      <c r="P85" s="138"/>
      <c r="W85" s="138"/>
      <c r="X85" s="138"/>
      <c r="AB85" s="138"/>
      <c r="AC85" s="138"/>
      <c r="AG85" s="138"/>
      <c r="AH85" s="138"/>
      <c r="AL85" s="138"/>
      <c r="AM85" s="138"/>
      <c r="AQ85" s="138"/>
      <c r="AR85" s="138"/>
      <c r="AV85" s="138"/>
      <c r="AW85" s="138"/>
      <c r="BA85" s="138"/>
      <c r="BB85" s="138"/>
      <c r="BF85" s="138"/>
      <c r="BG85" s="138"/>
      <c r="BK85" s="138"/>
      <c r="BL85" s="138"/>
      <c r="BP85" s="138"/>
      <c r="BQ85" s="138"/>
      <c r="BU85" s="138"/>
      <c r="BV85" s="138"/>
      <c r="BZ85" s="138"/>
      <c r="CA85" s="138"/>
      <c r="CE85" s="138"/>
      <c r="CF85" s="138"/>
      <c r="CJ85" s="138"/>
      <c r="CK85" s="138"/>
      <c r="CO85" s="138"/>
      <c r="CP85" s="138"/>
      <c r="CT85" s="138"/>
      <c r="CU85" s="138"/>
      <c r="CY85" s="138"/>
      <c r="CZ85" s="138"/>
      <c r="DD85" s="138"/>
      <c r="DE85" s="138"/>
      <c r="DI85" s="138"/>
      <c r="DJ85" s="138"/>
      <c r="DN85" s="138"/>
      <c r="DO85" s="138"/>
      <c r="DS85" s="138"/>
      <c r="DT85" s="138"/>
      <c r="DX85" s="138"/>
      <c r="DY85" s="138"/>
      <c r="EC85" s="138"/>
      <c r="ED85" s="138"/>
      <c r="EH85" s="138"/>
      <c r="EI85" s="138"/>
      <c r="EM85" s="138"/>
      <c r="EN85" s="138"/>
      <c r="ER85" s="138"/>
      <c r="ES85" s="138"/>
      <c r="EW85" s="138"/>
      <c r="EX85" s="138"/>
      <c r="FB85" s="138"/>
      <c r="FC85" s="138"/>
    </row>
    <row r="86" spans="1:159">
      <c r="A86" s="87">
        <f t="shared" si="6"/>
        <v>51</v>
      </c>
      <c r="B86" s="83" t="str">
        <f>_xll.flu_SPT2025($D$10,$D$12,$D$13,$D$20,$D$15,$D$16,$H$11:$I$27,$O$19:$P$108,FALSE,FALSE,"Cao độ",A86,$D$17)</f>
        <v/>
      </c>
      <c r="C86" s="87" t="str">
        <f>IF(B86="","",_xll.TimTenLoaiDat(B86,$F$11:$H$27))</f>
        <v/>
      </c>
      <c r="D86" s="87" t="str">
        <f>IF(B86="","",_xll.TimTinhChatDat(B86,$H$11:$I$27))</f>
        <v/>
      </c>
      <c r="E86" s="95" t="str">
        <f>IF(B86="","",_xll.NoiSuySPT(B86,$O$19:$P$108,$D$16,$D$12,0,0))</f>
        <v/>
      </c>
      <c r="F86" s="95" t="str">
        <f>IF(B86="","",IF(D86="Đất dính","-",_xll.qb_SPT2025($D$10,$D$12,$D$13,B86,$D$16,$H$11:$I$27,$O$19:$P$108)))</f>
        <v/>
      </c>
      <c r="G86" s="95" t="str">
        <f>IF(B86="","",IF(D86="Đất dính",_xll.qb_SPT2025($D$10,$D$12,$D$13,B86,$D$16,$H$11:$I$27,$O$19:$P$108),"-"))</f>
        <v/>
      </c>
      <c r="H86" s="95" t="str">
        <f t="shared" si="4"/>
        <v/>
      </c>
      <c r="I86" s="96" t="str">
        <f>_xll.flu_SPT2025($D$10,$D$12,$D$13,$D$20,$D$15,$D$16,$H$11:$I$27,$O$19:$P$108,FALSE,FALSE,"Li",A86,$D$17)</f>
        <v/>
      </c>
      <c r="J86" s="95" t="str">
        <f>IF(D86="Đất dính","-",_xll.flu_SPT2025($D$10,$D$12,$D$13,$D$20,$D$15,$D$16,$H$11:$I$27,$O$19:$P$108,FALSE,FALSE,"f",A86,$D$17))</f>
        <v/>
      </c>
      <c r="K86" s="95" t="str">
        <f>IF(B86="","",IF(D86="Đất dính",_xll.flu_SPT2025($D$10,$D$12,$D$13,$D$20,$D$15,$D$16,$H$11:$I$27,$O$19:$P$108,FALSE,FALSE,"f",A86,$D$17),"-"))</f>
        <v/>
      </c>
      <c r="L86" s="95" t="str">
        <f>_xll.flu_SPT2025($D$10,$D$12,$D$13,$D$20,$D$15,$D$16,$H$11:$I$27,$O$19:$P$108,FALSE,FALSE,"flu",A86,$D$17)</f>
        <v/>
      </c>
      <c r="M86" s="87" t="e">
        <f t="shared" si="5"/>
        <v>#N/A</v>
      </c>
      <c r="O86" s="138"/>
      <c r="P86" s="138"/>
      <c r="W86" s="138"/>
      <c r="X86" s="138"/>
      <c r="AB86" s="138"/>
      <c r="AC86" s="138"/>
      <c r="AG86" s="138"/>
      <c r="AH86" s="138"/>
      <c r="AL86" s="138"/>
      <c r="AM86" s="138"/>
      <c r="AQ86" s="138"/>
      <c r="AR86" s="138"/>
      <c r="AV86" s="138"/>
      <c r="AW86" s="138"/>
      <c r="BA86" s="138"/>
      <c r="BB86" s="138"/>
      <c r="BF86" s="138"/>
      <c r="BG86" s="138"/>
      <c r="BK86" s="138"/>
      <c r="BL86" s="138"/>
      <c r="BP86" s="138"/>
      <c r="BQ86" s="138"/>
      <c r="BU86" s="138"/>
      <c r="BV86" s="138"/>
      <c r="BZ86" s="138"/>
      <c r="CA86" s="138"/>
      <c r="CE86" s="138"/>
      <c r="CF86" s="138"/>
      <c r="CJ86" s="138"/>
      <c r="CK86" s="138"/>
      <c r="CO86" s="138"/>
      <c r="CP86" s="138"/>
      <c r="CT86" s="138"/>
      <c r="CU86" s="138"/>
      <c r="CY86" s="138"/>
      <c r="CZ86" s="138"/>
      <c r="DD86" s="138"/>
      <c r="DE86" s="138"/>
      <c r="DI86" s="138"/>
      <c r="DJ86" s="138"/>
      <c r="DN86" s="138"/>
      <c r="DO86" s="138"/>
      <c r="DS86" s="138"/>
      <c r="DT86" s="138"/>
      <c r="DX86" s="138"/>
      <c r="DY86" s="138"/>
      <c r="EC86" s="138"/>
      <c r="ED86" s="138"/>
      <c r="EH86" s="138"/>
      <c r="EI86" s="138"/>
      <c r="EM86" s="138"/>
      <c r="EN86" s="138"/>
      <c r="ER86" s="138"/>
      <c r="ES86" s="138"/>
      <c r="EW86" s="138"/>
      <c r="EX86" s="138"/>
      <c r="FB86" s="138"/>
      <c r="FC86" s="138"/>
    </row>
    <row r="87" spans="1:159">
      <c r="A87" s="87">
        <f t="shared" si="6"/>
        <v>52</v>
      </c>
      <c r="B87" s="83" t="str">
        <f>_xll.flu_SPT2025($D$10,$D$12,$D$13,$D$20,$D$15,$D$16,$H$11:$I$27,$O$19:$P$108,FALSE,FALSE,"Cao độ",A87,$D$17)</f>
        <v/>
      </c>
      <c r="C87" s="87" t="str">
        <f>IF(B87="","",_xll.TimTenLoaiDat(B87,$F$11:$H$27))</f>
        <v/>
      </c>
      <c r="D87" s="87" t="str">
        <f>IF(B87="","",_xll.TimTinhChatDat(B87,$H$11:$I$27))</f>
        <v/>
      </c>
      <c r="E87" s="95" t="str">
        <f>IF(B87="","",_xll.NoiSuySPT(B87,$O$19:$P$108,$D$16,$D$12,0,0))</f>
        <v/>
      </c>
      <c r="F87" s="95" t="str">
        <f>IF(B87="","",IF(D87="Đất dính","-",_xll.qb_SPT2025($D$10,$D$12,$D$13,B87,$D$16,$H$11:$I$27,$O$19:$P$108)))</f>
        <v/>
      </c>
      <c r="G87" s="95" t="str">
        <f>IF(B87="","",IF(D87="Đất dính",_xll.qb_SPT2025($D$10,$D$12,$D$13,B87,$D$16,$H$11:$I$27,$O$19:$P$108),"-"))</f>
        <v/>
      </c>
      <c r="H87" s="95" t="str">
        <f t="shared" si="4"/>
        <v/>
      </c>
      <c r="I87" s="96" t="str">
        <f>_xll.flu_SPT2025($D$10,$D$12,$D$13,$D$20,$D$15,$D$16,$H$11:$I$27,$O$19:$P$108,FALSE,FALSE,"Li",A87,$D$17)</f>
        <v/>
      </c>
      <c r="J87" s="95" t="str">
        <f>IF(D87="Đất dính","-",_xll.flu_SPT2025($D$10,$D$12,$D$13,$D$20,$D$15,$D$16,$H$11:$I$27,$O$19:$P$108,FALSE,FALSE,"f",A87,$D$17))</f>
        <v/>
      </c>
      <c r="K87" s="95" t="str">
        <f>IF(B87="","",IF(D87="Đất dính",_xll.flu_SPT2025($D$10,$D$12,$D$13,$D$20,$D$15,$D$16,$H$11:$I$27,$O$19:$P$108,FALSE,FALSE,"f",A87,$D$17),"-"))</f>
        <v/>
      </c>
      <c r="L87" s="95" t="str">
        <f>_xll.flu_SPT2025($D$10,$D$12,$D$13,$D$20,$D$15,$D$16,$H$11:$I$27,$O$19:$P$108,FALSE,FALSE,"flu",A87,$D$17)</f>
        <v/>
      </c>
      <c r="M87" s="87" t="e">
        <f t="shared" si="5"/>
        <v>#N/A</v>
      </c>
      <c r="O87" s="138"/>
      <c r="P87" s="138"/>
      <c r="W87" s="138"/>
      <c r="X87" s="138"/>
      <c r="AB87" s="138"/>
      <c r="AC87" s="138"/>
      <c r="AG87" s="138"/>
      <c r="AH87" s="138"/>
      <c r="AL87" s="138"/>
      <c r="AM87" s="138"/>
      <c r="AQ87" s="138"/>
      <c r="AR87" s="138"/>
      <c r="AV87" s="138"/>
      <c r="AW87" s="138"/>
      <c r="BA87" s="138"/>
      <c r="BB87" s="138"/>
      <c r="BF87" s="138"/>
      <c r="BG87" s="138"/>
      <c r="BK87" s="138"/>
      <c r="BL87" s="138"/>
      <c r="BP87" s="138"/>
      <c r="BQ87" s="138"/>
      <c r="BU87" s="138"/>
      <c r="BV87" s="138"/>
      <c r="BZ87" s="138"/>
      <c r="CA87" s="138"/>
      <c r="CE87" s="138"/>
      <c r="CF87" s="138"/>
      <c r="CJ87" s="138"/>
      <c r="CK87" s="138"/>
      <c r="CO87" s="138"/>
      <c r="CP87" s="138"/>
      <c r="CT87" s="138"/>
      <c r="CU87" s="138"/>
      <c r="CY87" s="138"/>
      <c r="CZ87" s="138"/>
      <c r="DD87" s="138"/>
      <c r="DE87" s="138"/>
      <c r="DI87" s="138"/>
      <c r="DJ87" s="138"/>
      <c r="DN87" s="138"/>
      <c r="DO87" s="138"/>
      <c r="DS87" s="138"/>
      <c r="DT87" s="138"/>
      <c r="DX87" s="138"/>
      <c r="DY87" s="138"/>
      <c r="EC87" s="138"/>
      <c r="ED87" s="138"/>
      <c r="EH87" s="138"/>
      <c r="EI87" s="138"/>
      <c r="EM87" s="138"/>
      <c r="EN87" s="138"/>
      <c r="ER87" s="138"/>
      <c r="ES87" s="138"/>
      <c r="EW87" s="138"/>
      <c r="EX87" s="138"/>
      <c r="FB87" s="138"/>
      <c r="FC87" s="138"/>
    </row>
    <row r="88" spans="1:159">
      <c r="A88" s="87">
        <f t="shared" si="6"/>
        <v>53</v>
      </c>
      <c r="B88" s="83" t="str">
        <f>_xll.flu_SPT2025($D$10,$D$12,$D$13,$D$20,$D$15,$D$16,$H$11:$I$27,$O$19:$P$108,FALSE,FALSE,"Cao độ",A88,$D$17)</f>
        <v/>
      </c>
      <c r="C88" s="87" t="str">
        <f>IF(B88="","",_xll.TimTenLoaiDat(B88,$F$11:$H$27))</f>
        <v/>
      </c>
      <c r="D88" s="87" t="str">
        <f>IF(B88="","",_xll.TimTinhChatDat(B88,$H$11:$I$27))</f>
        <v/>
      </c>
      <c r="E88" s="95" t="str">
        <f>IF(B88="","",_xll.NoiSuySPT(B88,$O$19:$P$108,$D$16,$D$12,0,0))</f>
        <v/>
      </c>
      <c r="F88" s="95" t="str">
        <f>IF(B88="","",IF(D88="Đất dính","-",_xll.qb_SPT2025($D$10,$D$12,$D$13,B88,$D$16,$H$11:$I$27,$O$19:$P$108)))</f>
        <v/>
      </c>
      <c r="G88" s="95" t="str">
        <f>IF(B88="","",IF(D88="Đất dính",_xll.qb_SPT2025($D$10,$D$12,$D$13,B88,$D$16,$H$11:$I$27,$O$19:$P$108),"-"))</f>
        <v/>
      </c>
      <c r="H88" s="95" t="str">
        <f t="shared" si="4"/>
        <v/>
      </c>
      <c r="I88" s="96" t="str">
        <f>_xll.flu_SPT2025($D$10,$D$12,$D$13,$D$20,$D$15,$D$16,$H$11:$I$27,$O$19:$P$108,FALSE,FALSE,"Li",A88,$D$17)</f>
        <v/>
      </c>
      <c r="J88" s="95" t="str">
        <f>IF(D88="Đất dính","-",_xll.flu_SPT2025($D$10,$D$12,$D$13,$D$20,$D$15,$D$16,$H$11:$I$27,$O$19:$P$108,FALSE,FALSE,"f",A88,$D$17))</f>
        <v/>
      </c>
      <c r="K88" s="95" t="str">
        <f>IF(B88="","",IF(D88="Đất dính",_xll.flu_SPT2025($D$10,$D$12,$D$13,$D$20,$D$15,$D$16,$H$11:$I$27,$O$19:$P$108,FALSE,FALSE,"f",A88,$D$17),"-"))</f>
        <v/>
      </c>
      <c r="L88" s="95" t="str">
        <f>_xll.flu_SPT2025($D$10,$D$12,$D$13,$D$20,$D$15,$D$16,$H$11:$I$27,$O$19:$P$108,FALSE,FALSE,"flu",A88,$D$17)</f>
        <v/>
      </c>
      <c r="M88" s="87" t="e">
        <f t="shared" si="5"/>
        <v>#N/A</v>
      </c>
      <c r="O88" s="138"/>
      <c r="P88" s="138"/>
      <c r="W88" s="138"/>
      <c r="X88" s="138"/>
      <c r="AB88" s="138"/>
      <c r="AC88" s="138"/>
      <c r="AG88" s="138"/>
      <c r="AH88" s="138"/>
      <c r="AL88" s="138"/>
      <c r="AM88" s="138"/>
      <c r="AQ88" s="138"/>
      <c r="AR88" s="138"/>
      <c r="AV88" s="138"/>
      <c r="AW88" s="138"/>
      <c r="BA88" s="138"/>
      <c r="BB88" s="138"/>
      <c r="BF88" s="138"/>
      <c r="BG88" s="138"/>
      <c r="BK88" s="138"/>
      <c r="BL88" s="138"/>
      <c r="BP88" s="138"/>
      <c r="BQ88" s="138"/>
      <c r="BU88" s="138"/>
      <c r="BV88" s="138"/>
      <c r="BZ88" s="138"/>
      <c r="CA88" s="138"/>
      <c r="CE88" s="138"/>
      <c r="CF88" s="138"/>
      <c r="CJ88" s="138"/>
      <c r="CK88" s="138"/>
      <c r="CO88" s="138"/>
      <c r="CP88" s="138"/>
      <c r="CT88" s="138"/>
      <c r="CU88" s="138"/>
      <c r="CY88" s="138"/>
      <c r="CZ88" s="138"/>
      <c r="DD88" s="138"/>
      <c r="DE88" s="138"/>
      <c r="DI88" s="138"/>
      <c r="DJ88" s="138"/>
      <c r="DN88" s="138"/>
      <c r="DO88" s="138"/>
      <c r="DS88" s="138"/>
      <c r="DT88" s="138"/>
      <c r="DX88" s="138"/>
      <c r="DY88" s="138"/>
      <c r="EC88" s="138"/>
      <c r="ED88" s="138"/>
      <c r="EH88" s="138"/>
      <c r="EI88" s="138"/>
      <c r="EM88" s="138"/>
      <c r="EN88" s="138"/>
      <c r="ER88" s="138"/>
      <c r="ES88" s="138"/>
      <c r="EW88" s="138"/>
      <c r="EX88" s="138"/>
      <c r="FB88" s="138"/>
      <c r="FC88" s="138"/>
    </row>
    <row r="89" spans="1:159">
      <c r="A89" s="87">
        <f t="shared" si="6"/>
        <v>54</v>
      </c>
      <c r="B89" s="83" t="str">
        <f>_xll.flu_SPT2025($D$10,$D$12,$D$13,$D$20,$D$15,$D$16,$H$11:$I$27,$O$19:$P$108,FALSE,FALSE,"Cao độ",A89,$D$17)</f>
        <v/>
      </c>
      <c r="C89" s="87" t="str">
        <f>IF(B89="","",_xll.TimTenLoaiDat(B89,$F$11:$H$27))</f>
        <v/>
      </c>
      <c r="D89" s="87" t="str">
        <f>IF(B89="","",_xll.TimTinhChatDat(B89,$H$11:$I$27))</f>
        <v/>
      </c>
      <c r="E89" s="95" t="str">
        <f>IF(B89="","",_xll.NoiSuySPT(B89,$O$19:$P$108,$D$16,$D$12,0,0))</f>
        <v/>
      </c>
      <c r="F89" s="95" t="str">
        <f>IF(B89="","",IF(D89="Đất dính","-",_xll.qb_SPT2025($D$10,$D$12,$D$13,B89,$D$16,$H$11:$I$27,$O$19:$P$108)))</f>
        <v/>
      </c>
      <c r="G89" s="95" t="str">
        <f>IF(B89="","",IF(D89="Đất dính",_xll.qb_SPT2025($D$10,$D$12,$D$13,B89,$D$16,$H$11:$I$27,$O$19:$P$108),"-"))</f>
        <v/>
      </c>
      <c r="H89" s="95" t="str">
        <f t="shared" si="4"/>
        <v/>
      </c>
      <c r="I89" s="96" t="str">
        <f>_xll.flu_SPT2025($D$10,$D$12,$D$13,$D$20,$D$15,$D$16,$H$11:$I$27,$O$19:$P$108,FALSE,FALSE,"Li",A89,$D$17)</f>
        <v/>
      </c>
      <c r="J89" s="95" t="str">
        <f>IF(D89="Đất dính","-",_xll.flu_SPT2025($D$10,$D$12,$D$13,$D$20,$D$15,$D$16,$H$11:$I$27,$O$19:$P$108,FALSE,FALSE,"f",A89,$D$17))</f>
        <v/>
      </c>
      <c r="K89" s="95" t="str">
        <f>IF(B89="","",IF(D89="Đất dính",_xll.flu_SPT2025($D$10,$D$12,$D$13,$D$20,$D$15,$D$16,$H$11:$I$27,$O$19:$P$108,FALSE,FALSE,"f",A89,$D$17),"-"))</f>
        <v/>
      </c>
      <c r="L89" s="95" t="str">
        <f>_xll.flu_SPT2025($D$10,$D$12,$D$13,$D$20,$D$15,$D$16,$H$11:$I$27,$O$19:$P$108,FALSE,FALSE,"flu",A89,$D$17)</f>
        <v/>
      </c>
      <c r="M89" s="87" t="e">
        <f t="shared" si="5"/>
        <v>#N/A</v>
      </c>
      <c r="O89" s="138"/>
      <c r="P89" s="138"/>
      <c r="W89" s="138"/>
      <c r="X89" s="138"/>
      <c r="AB89" s="138"/>
      <c r="AC89" s="138"/>
      <c r="AG89" s="138"/>
      <c r="AH89" s="138"/>
      <c r="AL89" s="138"/>
      <c r="AM89" s="138"/>
      <c r="AQ89" s="138"/>
      <c r="AR89" s="138"/>
      <c r="AV89" s="138"/>
      <c r="AW89" s="138"/>
      <c r="BA89" s="138"/>
      <c r="BB89" s="138"/>
      <c r="BF89" s="138"/>
      <c r="BG89" s="138"/>
      <c r="BK89" s="138"/>
      <c r="BL89" s="138"/>
      <c r="BP89" s="138"/>
      <c r="BQ89" s="138"/>
      <c r="BU89" s="138"/>
      <c r="BV89" s="138"/>
      <c r="BZ89" s="138"/>
      <c r="CA89" s="138"/>
      <c r="CE89" s="138"/>
      <c r="CF89" s="138"/>
      <c r="CJ89" s="138"/>
      <c r="CK89" s="138"/>
      <c r="CO89" s="138"/>
      <c r="CP89" s="138"/>
      <c r="CT89" s="138"/>
      <c r="CU89" s="138"/>
      <c r="CY89" s="138"/>
      <c r="CZ89" s="138"/>
      <c r="DD89" s="138"/>
      <c r="DE89" s="138"/>
      <c r="DI89" s="138"/>
      <c r="DJ89" s="138"/>
      <c r="DN89" s="138"/>
      <c r="DO89" s="138"/>
      <c r="DS89" s="138"/>
      <c r="DT89" s="138"/>
      <c r="DX89" s="138"/>
      <c r="DY89" s="138"/>
      <c r="EC89" s="138"/>
      <c r="ED89" s="138"/>
      <c r="EH89" s="138"/>
      <c r="EI89" s="138"/>
      <c r="EM89" s="138"/>
      <c r="EN89" s="138"/>
      <c r="ER89" s="138"/>
      <c r="ES89" s="138"/>
      <c r="EW89" s="138"/>
      <c r="EX89" s="138"/>
      <c r="FB89" s="138"/>
      <c r="FC89" s="138"/>
    </row>
    <row r="90" spans="1:159">
      <c r="A90" s="87">
        <f t="shared" si="6"/>
        <v>55</v>
      </c>
      <c r="B90" s="83" t="str">
        <f>_xll.flu_SPT2025($D$10,$D$12,$D$13,$D$20,$D$15,$D$16,$H$11:$I$27,$O$19:$P$108,FALSE,FALSE,"Cao độ",A90,$D$17)</f>
        <v/>
      </c>
      <c r="C90" s="87" t="str">
        <f>IF(B90="","",_xll.TimTenLoaiDat(B90,$F$11:$H$27))</f>
        <v/>
      </c>
      <c r="D90" s="87" t="str">
        <f>IF(B90="","",_xll.TimTinhChatDat(B90,$H$11:$I$27))</f>
        <v/>
      </c>
      <c r="E90" s="95" t="str">
        <f>IF(B90="","",_xll.NoiSuySPT(B90,$O$19:$P$108,$D$16,$D$12,0,0))</f>
        <v/>
      </c>
      <c r="F90" s="95" t="str">
        <f>IF(B90="","",IF(D90="Đất dính","-",_xll.qb_SPT2025($D$10,$D$12,$D$13,B90,$D$16,$H$11:$I$27,$O$19:$P$108)))</f>
        <v/>
      </c>
      <c r="G90" s="95" t="str">
        <f>IF(B90="","",IF(D90="Đất dính",_xll.qb_SPT2025($D$10,$D$12,$D$13,B90,$D$16,$H$11:$I$27,$O$19:$P$108),"-"))</f>
        <v/>
      </c>
      <c r="H90" s="95" t="str">
        <f t="shared" si="4"/>
        <v/>
      </c>
      <c r="I90" s="96" t="str">
        <f>_xll.flu_SPT2025($D$10,$D$12,$D$13,$D$20,$D$15,$D$16,$H$11:$I$27,$O$19:$P$108,FALSE,FALSE,"Li",A90,$D$17)</f>
        <v/>
      </c>
      <c r="J90" s="95" t="str">
        <f>IF(D90="Đất dính","-",_xll.flu_SPT2025($D$10,$D$12,$D$13,$D$20,$D$15,$D$16,$H$11:$I$27,$O$19:$P$108,FALSE,FALSE,"f",A90,$D$17))</f>
        <v/>
      </c>
      <c r="K90" s="95" t="str">
        <f>IF(B90="","",IF(D90="Đất dính",_xll.flu_SPT2025($D$10,$D$12,$D$13,$D$20,$D$15,$D$16,$H$11:$I$27,$O$19:$P$108,FALSE,FALSE,"f",A90,$D$17),"-"))</f>
        <v/>
      </c>
      <c r="L90" s="95" t="str">
        <f>_xll.flu_SPT2025($D$10,$D$12,$D$13,$D$20,$D$15,$D$16,$H$11:$I$27,$O$19:$P$108,FALSE,FALSE,"flu",A90,$D$17)</f>
        <v/>
      </c>
      <c r="M90" s="87" t="e">
        <f t="shared" si="5"/>
        <v>#N/A</v>
      </c>
      <c r="O90" s="138"/>
      <c r="P90" s="138"/>
      <c r="W90" s="138"/>
      <c r="X90" s="138"/>
      <c r="AB90" s="138"/>
      <c r="AC90" s="138"/>
      <c r="AG90" s="138"/>
      <c r="AH90" s="138"/>
      <c r="AL90" s="138"/>
      <c r="AM90" s="138"/>
      <c r="AQ90" s="138"/>
      <c r="AR90" s="138"/>
      <c r="AV90" s="138"/>
      <c r="AW90" s="138"/>
      <c r="BA90" s="138"/>
      <c r="BB90" s="138"/>
      <c r="BF90" s="138"/>
      <c r="BG90" s="138"/>
      <c r="BK90" s="138"/>
      <c r="BL90" s="138"/>
      <c r="BP90" s="138"/>
      <c r="BQ90" s="138"/>
      <c r="BU90" s="138"/>
      <c r="BV90" s="138"/>
      <c r="BZ90" s="138"/>
      <c r="CA90" s="138"/>
      <c r="CE90" s="138"/>
      <c r="CF90" s="138"/>
      <c r="CJ90" s="138"/>
      <c r="CK90" s="138"/>
      <c r="CO90" s="138"/>
      <c r="CP90" s="138"/>
      <c r="CT90" s="138"/>
      <c r="CU90" s="138"/>
      <c r="CY90" s="138"/>
      <c r="CZ90" s="138"/>
      <c r="DD90" s="138"/>
      <c r="DE90" s="138"/>
      <c r="DI90" s="138"/>
      <c r="DJ90" s="138"/>
      <c r="DN90" s="138"/>
      <c r="DO90" s="138"/>
      <c r="DS90" s="138"/>
      <c r="DT90" s="138"/>
      <c r="DX90" s="138"/>
      <c r="DY90" s="138"/>
      <c r="EC90" s="138"/>
      <c r="ED90" s="138"/>
      <c r="EH90" s="138"/>
      <c r="EI90" s="138"/>
      <c r="EM90" s="138"/>
      <c r="EN90" s="138"/>
      <c r="ER90" s="138"/>
      <c r="ES90" s="138"/>
      <c r="EW90" s="138"/>
      <c r="EX90" s="138"/>
      <c r="FB90" s="138"/>
      <c r="FC90" s="138"/>
    </row>
    <row r="91" spans="1:159">
      <c r="A91" s="87">
        <f t="shared" si="6"/>
        <v>56</v>
      </c>
      <c r="B91" s="83" t="str">
        <f>_xll.flu_SPT2025($D$10,$D$12,$D$13,$D$20,$D$15,$D$16,$H$11:$I$27,$O$19:$P$108,FALSE,FALSE,"Cao độ",A91,$D$17)</f>
        <v/>
      </c>
      <c r="C91" s="87" t="str">
        <f>IF(B91="","",_xll.TimTenLoaiDat(B91,$F$11:$H$27))</f>
        <v/>
      </c>
      <c r="D91" s="87" t="str">
        <f>IF(B91="","",_xll.TimTinhChatDat(B91,$H$11:$I$27))</f>
        <v/>
      </c>
      <c r="E91" s="95" t="str">
        <f>IF(B91="","",_xll.NoiSuySPT(B91,$O$19:$P$108,$D$16,$D$12,0,0))</f>
        <v/>
      </c>
      <c r="F91" s="95" t="str">
        <f>IF(B91="","",IF(D91="Đất dính","-",_xll.qb_SPT2025($D$10,$D$12,$D$13,B91,$D$16,$H$11:$I$27,$O$19:$P$108)))</f>
        <v/>
      </c>
      <c r="G91" s="95" t="str">
        <f>IF(B91="","",IF(D91="Đất dính",_xll.qb_SPT2025($D$10,$D$12,$D$13,B91,$D$16,$H$11:$I$27,$O$19:$P$108),"-"))</f>
        <v/>
      </c>
      <c r="H91" s="95" t="str">
        <f t="shared" si="4"/>
        <v/>
      </c>
      <c r="I91" s="96" t="str">
        <f>_xll.flu_SPT2025($D$10,$D$12,$D$13,$D$20,$D$15,$D$16,$H$11:$I$27,$O$19:$P$108,FALSE,FALSE,"Li",A91,$D$17)</f>
        <v/>
      </c>
      <c r="J91" s="95" t="str">
        <f>IF(D91="Đất dính","-",_xll.flu_SPT2025($D$10,$D$12,$D$13,$D$20,$D$15,$D$16,$H$11:$I$27,$O$19:$P$108,FALSE,FALSE,"f",A91,$D$17))</f>
        <v/>
      </c>
      <c r="K91" s="95" t="str">
        <f>IF(B91="","",IF(D91="Đất dính",_xll.flu_SPT2025($D$10,$D$12,$D$13,$D$20,$D$15,$D$16,$H$11:$I$27,$O$19:$P$108,FALSE,FALSE,"f",A91,$D$17),"-"))</f>
        <v/>
      </c>
      <c r="L91" s="95" t="str">
        <f>_xll.flu_SPT2025($D$10,$D$12,$D$13,$D$20,$D$15,$D$16,$H$11:$I$27,$O$19:$P$108,FALSE,FALSE,"flu",A91,$D$17)</f>
        <v/>
      </c>
      <c r="M91" s="87" t="e">
        <f t="shared" si="5"/>
        <v>#N/A</v>
      </c>
      <c r="O91" s="138"/>
      <c r="P91" s="138"/>
      <c r="W91" s="138"/>
      <c r="X91" s="138"/>
      <c r="AB91" s="138"/>
      <c r="AC91" s="138"/>
      <c r="AG91" s="138"/>
      <c r="AH91" s="138"/>
      <c r="AL91" s="138"/>
      <c r="AM91" s="138"/>
      <c r="AQ91" s="138"/>
      <c r="AR91" s="138"/>
      <c r="AV91" s="138"/>
      <c r="AW91" s="138"/>
      <c r="BA91" s="138"/>
      <c r="BB91" s="138"/>
      <c r="BF91" s="138"/>
      <c r="BG91" s="138"/>
      <c r="BK91" s="138"/>
      <c r="BL91" s="138"/>
      <c r="BP91" s="138"/>
      <c r="BQ91" s="138"/>
      <c r="BU91" s="138"/>
      <c r="BV91" s="138"/>
      <c r="BZ91" s="138"/>
      <c r="CA91" s="138"/>
      <c r="CE91" s="138"/>
      <c r="CF91" s="138"/>
      <c r="CJ91" s="138"/>
      <c r="CK91" s="138"/>
      <c r="CO91" s="138"/>
      <c r="CP91" s="138"/>
      <c r="CT91" s="138"/>
      <c r="CU91" s="138"/>
      <c r="CY91" s="138"/>
      <c r="CZ91" s="138"/>
      <c r="DD91" s="138"/>
      <c r="DE91" s="138"/>
      <c r="DI91" s="138"/>
      <c r="DJ91" s="138"/>
      <c r="DN91" s="138"/>
      <c r="DO91" s="138"/>
      <c r="DS91" s="138"/>
      <c r="DT91" s="138"/>
      <c r="DX91" s="138"/>
      <c r="DY91" s="138"/>
      <c r="EC91" s="138"/>
      <c r="ED91" s="138"/>
      <c r="EH91" s="138"/>
      <c r="EI91" s="138"/>
      <c r="EM91" s="138"/>
      <c r="EN91" s="138"/>
      <c r="ER91" s="138"/>
      <c r="ES91" s="138"/>
      <c r="EW91" s="138"/>
      <c r="EX91" s="138"/>
      <c r="FB91" s="138"/>
      <c r="FC91" s="138"/>
    </row>
    <row r="92" spans="1:159">
      <c r="A92" s="87">
        <f t="shared" si="6"/>
        <v>57</v>
      </c>
      <c r="B92" s="83" t="str">
        <f>_xll.flu_SPT2025($D$10,$D$12,$D$13,$D$20,$D$15,$D$16,$H$11:$I$27,$O$19:$P$108,FALSE,FALSE,"Cao độ",A92,$D$17)</f>
        <v/>
      </c>
      <c r="C92" s="87" t="str">
        <f>IF(B92="","",_xll.TimTenLoaiDat(B92,$F$11:$H$27))</f>
        <v/>
      </c>
      <c r="D92" s="87" t="str">
        <f>IF(B92="","",_xll.TimTinhChatDat(B92,$H$11:$I$27))</f>
        <v/>
      </c>
      <c r="E92" s="95" t="str">
        <f>IF(B92="","",_xll.NoiSuySPT(B92,$O$19:$P$108,$D$16,$D$12,0,0))</f>
        <v/>
      </c>
      <c r="F92" s="95" t="str">
        <f>IF(B92="","",IF(D92="Đất dính","-",_xll.qb_SPT2025($D$10,$D$12,$D$13,B92,$D$16,$H$11:$I$27,$O$19:$P$108)))</f>
        <v/>
      </c>
      <c r="G92" s="95" t="str">
        <f>IF(B92="","",IF(D92="Đất dính",_xll.qb_SPT2025($D$10,$D$12,$D$13,B92,$D$16,$H$11:$I$27,$O$19:$P$108),"-"))</f>
        <v/>
      </c>
      <c r="H92" s="95" t="str">
        <f t="shared" si="4"/>
        <v/>
      </c>
      <c r="I92" s="96" t="str">
        <f>_xll.flu_SPT2025($D$10,$D$12,$D$13,$D$20,$D$15,$D$16,$H$11:$I$27,$O$19:$P$108,FALSE,FALSE,"Li",A92,$D$17)</f>
        <v/>
      </c>
      <c r="J92" s="95" t="str">
        <f>IF(D92="Đất dính","-",_xll.flu_SPT2025($D$10,$D$12,$D$13,$D$20,$D$15,$D$16,$H$11:$I$27,$O$19:$P$108,FALSE,FALSE,"f",A92,$D$17))</f>
        <v/>
      </c>
      <c r="K92" s="95" t="str">
        <f>IF(B92="","",IF(D92="Đất dính",_xll.flu_SPT2025($D$10,$D$12,$D$13,$D$20,$D$15,$D$16,$H$11:$I$27,$O$19:$P$108,FALSE,FALSE,"f",A92,$D$17),"-"))</f>
        <v/>
      </c>
      <c r="L92" s="95" t="str">
        <f>_xll.flu_SPT2025($D$10,$D$12,$D$13,$D$20,$D$15,$D$16,$H$11:$I$27,$O$19:$P$108,FALSE,FALSE,"flu",A92,$D$17)</f>
        <v/>
      </c>
      <c r="M92" s="87" t="e">
        <f t="shared" si="5"/>
        <v>#N/A</v>
      </c>
      <c r="O92" s="138"/>
      <c r="P92" s="138"/>
      <c r="W92" s="138"/>
      <c r="X92" s="138"/>
      <c r="AB92" s="138"/>
      <c r="AC92" s="138"/>
      <c r="AG92" s="138"/>
      <c r="AH92" s="138"/>
      <c r="AL92" s="138"/>
      <c r="AM92" s="138"/>
      <c r="AQ92" s="138"/>
      <c r="AR92" s="138"/>
      <c r="AV92" s="138"/>
      <c r="AW92" s="138"/>
      <c r="BA92" s="138"/>
      <c r="BB92" s="138"/>
      <c r="BF92" s="138"/>
      <c r="BG92" s="138"/>
      <c r="BK92" s="138"/>
      <c r="BL92" s="138"/>
      <c r="BP92" s="138"/>
      <c r="BQ92" s="138"/>
      <c r="BU92" s="138"/>
      <c r="BV92" s="138"/>
      <c r="BZ92" s="138"/>
      <c r="CA92" s="138"/>
      <c r="CE92" s="138"/>
      <c r="CF92" s="138"/>
      <c r="CJ92" s="138"/>
      <c r="CK92" s="138"/>
      <c r="CO92" s="138"/>
      <c r="CP92" s="138"/>
      <c r="CT92" s="138"/>
      <c r="CU92" s="138"/>
      <c r="CY92" s="138"/>
      <c r="CZ92" s="138"/>
      <c r="DD92" s="138"/>
      <c r="DE92" s="138"/>
      <c r="DI92" s="138"/>
      <c r="DJ92" s="138"/>
      <c r="DN92" s="138"/>
      <c r="DO92" s="138"/>
      <c r="DS92" s="138"/>
      <c r="DT92" s="138"/>
      <c r="DX92" s="138"/>
      <c r="DY92" s="138"/>
      <c r="EC92" s="138"/>
      <c r="ED92" s="138"/>
      <c r="EH92" s="138"/>
      <c r="EI92" s="138"/>
      <c r="EM92" s="138"/>
      <c r="EN92" s="138"/>
      <c r="ER92" s="138"/>
      <c r="ES92" s="138"/>
      <c r="EW92" s="138"/>
      <c r="EX92" s="138"/>
      <c r="FB92" s="138"/>
      <c r="FC92" s="138"/>
    </row>
    <row r="93" spans="1:159">
      <c r="A93" s="87">
        <f t="shared" si="6"/>
        <v>58</v>
      </c>
      <c r="B93" s="83" t="str">
        <f>_xll.flu_SPT2025($D$10,$D$12,$D$13,$D$20,$D$15,$D$16,$H$11:$I$27,$O$19:$P$108,FALSE,FALSE,"Cao độ",A93,$D$17)</f>
        <v/>
      </c>
      <c r="C93" s="87" t="str">
        <f>IF(B93="","",_xll.TimTenLoaiDat(B93,$F$11:$H$27))</f>
        <v/>
      </c>
      <c r="D93" s="87" t="str">
        <f>IF(B93="","",_xll.TimTinhChatDat(B93,$H$11:$I$27))</f>
        <v/>
      </c>
      <c r="E93" s="95" t="str">
        <f>IF(B93="","",_xll.NoiSuySPT(B93,$O$19:$P$108,$D$16,$D$12,0,0))</f>
        <v/>
      </c>
      <c r="F93" s="95" t="str">
        <f>IF(B93="","",IF(D93="Đất dính","-",_xll.qb_SPT2025($D$10,$D$12,$D$13,B93,$D$16,$H$11:$I$27,$O$19:$P$108)))</f>
        <v/>
      </c>
      <c r="G93" s="95" t="str">
        <f>IF(B93="","",IF(D93="Đất dính",_xll.qb_SPT2025($D$10,$D$12,$D$13,B93,$D$16,$H$11:$I$27,$O$19:$P$108),"-"))</f>
        <v/>
      </c>
      <c r="H93" s="95" t="str">
        <f t="shared" si="4"/>
        <v/>
      </c>
      <c r="I93" s="96" t="str">
        <f>_xll.flu_SPT2025($D$10,$D$12,$D$13,$D$20,$D$15,$D$16,$H$11:$I$27,$O$19:$P$108,FALSE,FALSE,"Li",A93,$D$17)</f>
        <v/>
      </c>
      <c r="J93" s="95" t="str">
        <f>IF(D93="Đất dính","-",_xll.flu_SPT2025($D$10,$D$12,$D$13,$D$20,$D$15,$D$16,$H$11:$I$27,$O$19:$P$108,FALSE,FALSE,"f",A93,$D$17))</f>
        <v/>
      </c>
      <c r="K93" s="95" t="str">
        <f>IF(B93="","",IF(D93="Đất dính",_xll.flu_SPT2025($D$10,$D$12,$D$13,$D$20,$D$15,$D$16,$H$11:$I$27,$O$19:$P$108,FALSE,FALSE,"f",A93,$D$17),"-"))</f>
        <v/>
      </c>
      <c r="L93" s="95" t="str">
        <f>_xll.flu_SPT2025($D$10,$D$12,$D$13,$D$20,$D$15,$D$16,$H$11:$I$27,$O$19:$P$108,FALSE,FALSE,"flu",A93,$D$17)</f>
        <v/>
      </c>
      <c r="M93" s="87" t="e">
        <f t="shared" si="5"/>
        <v>#N/A</v>
      </c>
      <c r="O93" s="138"/>
      <c r="P93" s="138"/>
      <c r="W93" s="138"/>
      <c r="X93" s="138"/>
      <c r="AB93" s="138"/>
      <c r="AC93" s="138"/>
      <c r="AG93" s="138"/>
      <c r="AH93" s="138"/>
      <c r="AL93" s="138"/>
      <c r="AM93" s="138"/>
      <c r="AQ93" s="138"/>
      <c r="AR93" s="138"/>
      <c r="AV93" s="138"/>
      <c r="AW93" s="138"/>
      <c r="BA93" s="138"/>
      <c r="BB93" s="138"/>
      <c r="BF93" s="138"/>
      <c r="BG93" s="138"/>
      <c r="BK93" s="138"/>
      <c r="BL93" s="138"/>
      <c r="BP93" s="138"/>
      <c r="BQ93" s="138"/>
      <c r="BU93" s="138"/>
      <c r="BV93" s="138"/>
      <c r="BZ93" s="138"/>
      <c r="CA93" s="138"/>
      <c r="CE93" s="138"/>
      <c r="CF93" s="138"/>
      <c r="CJ93" s="138"/>
      <c r="CK93" s="138"/>
      <c r="CO93" s="138"/>
      <c r="CP93" s="138"/>
      <c r="CT93" s="138"/>
      <c r="CU93" s="138"/>
      <c r="CY93" s="138"/>
      <c r="CZ93" s="138"/>
      <c r="DD93" s="138"/>
      <c r="DE93" s="138"/>
      <c r="DI93" s="138"/>
      <c r="DJ93" s="138"/>
      <c r="DN93" s="138"/>
      <c r="DO93" s="138"/>
      <c r="DS93" s="138"/>
      <c r="DT93" s="138"/>
      <c r="DX93" s="138"/>
      <c r="DY93" s="138"/>
      <c r="EC93" s="138"/>
      <c r="ED93" s="138"/>
      <c r="EH93" s="138"/>
      <c r="EI93" s="138"/>
      <c r="EM93" s="138"/>
      <c r="EN93" s="138"/>
      <c r="ER93" s="138"/>
      <c r="ES93" s="138"/>
      <c r="EW93" s="138"/>
      <c r="EX93" s="138"/>
      <c r="FB93" s="138"/>
      <c r="FC93" s="138"/>
    </row>
    <row r="94" spans="1:159">
      <c r="A94" s="87">
        <f t="shared" si="6"/>
        <v>59</v>
      </c>
      <c r="B94" s="83" t="str">
        <f>_xll.flu_SPT2025($D$10,$D$12,$D$13,$D$20,$D$15,$D$16,$H$11:$I$27,$O$19:$P$108,FALSE,FALSE,"Cao độ",A94,$D$17)</f>
        <v/>
      </c>
      <c r="C94" s="87" t="str">
        <f>IF(B94="","",_xll.TimTenLoaiDat(B94,$F$11:$H$27))</f>
        <v/>
      </c>
      <c r="D94" s="87" t="str">
        <f>IF(B94="","",_xll.TimTinhChatDat(B94,$H$11:$I$27))</f>
        <v/>
      </c>
      <c r="E94" s="95" t="str">
        <f>IF(B94="","",_xll.NoiSuySPT(B94,$O$19:$P$108,$D$16,$D$12,0,0))</f>
        <v/>
      </c>
      <c r="F94" s="95" t="str">
        <f>IF(B94="","",IF(D94="Đất dính","-",_xll.qb_SPT2025($D$10,$D$12,$D$13,B94,$D$16,$H$11:$I$27,$O$19:$P$108)))</f>
        <v/>
      </c>
      <c r="G94" s="95" t="str">
        <f>IF(B94="","",IF(D94="Đất dính",_xll.qb_SPT2025($D$10,$D$12,$D$13,B94,$D$16,$H$11:$I$27,$O$19:$P$108),"-"))</f>
        <v/>
      </c>
      <c r="H94" s="95" t="str">
        <f t="shared" si="4"/>
        <v/>
      </c>
      <c r="I94" s="96" t="str">
        <f>_xll.flu_SPT2025($D$10,$D$12,$D$13,$D$20,$D$15,$D$16,$H$11:$I$27,$O$19:$P$108,FALSE,FALSE,"Li",A94,$D$17)</f>
        <v/>
      </c>
      <c r="J94" s="95" t="str">
        <f>IF(D94="Đất dính","-",_xll.flu_SPT2025($D$10,$D$12,$D$13,$D$20,$D$15,$D$16,$H$11:$I$27,$O$19:$P$108,FALSE,FALSE,"f",A94,$D$17))</f>
        <v/>
      </c>
      <c r="K94" s="95" t="str">
        <f>IF(B94="","",IF(D94="Đất dính",_xll.flu_SPT2025($D$10,$D$12,$D$13,$D$20,$D$15,$D$16,$H$11:$I$27,$O$19:$P$108,FALSE,FALSE,"f",A94,$D$17),"-"))</f>
        <v/>
      </c>
      <c r="L94" s="95" t="str">
        <f>_xll.flu_SPT2025($D$10,$D$12,$D$13,$D$20,$D$15,$D$16,$H$11:$I$27,$O$19:$P$108,FALSE,FALSE,"flu",A94,$D$17)</f>
        <v/>
      </c>
      <c r="M94" s="87" t="e">
        <f t="shared" si="5"/>
        <v>#N/A</v>
      </c>
      <c r="O94" s="138"/>
      <c r="P94" s="138"/>
      <c r="W94" s="138"/>
      <c r="X94" s="138"/>
      <c r="AB94" s="138"/>
      <c r="AC94" s="138"/>
      <c r="AG94" s="138"/>
      <c r="AH94" s="138"/>
      <c r="AL94" s="138"/>
      <c r="AM94" s="138"/>
      <c r="AQ94" s="138"/>
      <c r="AR94" s="138"/>
      <c r="AV94" s="138"/>
      <c r="AW94" s="138"/>
      <c r="BA94" s="138"/>
      <c r="BB94" s="138"/>
      <c r="BF94" s="138"/>
      <c r="BG94" s="138"/>
      <c r="BK94" s="138"/>
      <c r="BL94" s="138"/>
      <c r="BP94" s="138"/>
      <c r="BQ94" s="138"/>
      <c r="BU94" s="138"/>
      <c r="BV94" s="138"/>
      <c r="BZ94" s="138"/>
      <c r="CA94" s="138"/>
      <c r="CE94" s="138"/>
      <c r="CF94" s="138"/>
      <c r="CJ94" s="138"/>
      <c r="CK94" s="138"/>
      <c r="CO94" s="138"/>
      <c r="CP94" s="138"/>
      <c r="CT94" s="138"/>
      <c r="CU94" s="138"/>
      <c r="CY94" s="138"/>
      <c r="CZ94" s="138"/>
      <c r="DD94" s="138"/>
      <c r="DE94" s="138"/>
      <c r="DI94" s="138"/>
      <c r="DJ94" s="138"/>
      <c r="DN94" s="138"/>
      <c r="DO94" s="138"/>
      <c r="DS94" s="138"/>
      <c r="DT94" s="138"/>
      <c r="DX94" s="138"/>
      <c r="DY94" s="138"/>
      <c r="EC94" s="138"/>
      <c r="ED94" s="138"/>
      <c r="EH94" s="138"/>
      <c r="EI94" s="138"/>
      <c r="EM94" s="138"/>
      <c r="EN94" s="138"/>
      <c r="ER94" s="138"/>
      <c r="ES94" s="138"/>
      <c r="EW94" s="138"/>
      <c r="EX94" s="138"/>
      <c r="FB94" s="138"/>
      <c r="FC94" s="138"/>
    </row>
    <row r="95" spans="1:159">
      <c r="A95" s="87">
        <f t="shared" si="6"/>
        <v>60</v>
      </c>
      <c r="B95" s="83" t="str">
        <f>_xll.flu_SPT2025($D$10,$D$12,$D$13,$D$20,$D$15,$D$16,$H$11:$I$27,$O$19:$P$108,FALSE,FALSE,"Cao độ",A95,$D$17)</f>
        <v/>
      </c>
      <c r="C95" s="87" t="str">
        <f>IF(B95="","",_xll.TimTenLoaiDat(B95,$F$11:$H$27))</f>
        <v/>
      </c>
      <c r="D95" s="87" t="str">
        <f>IF(B95="","",_xll.TimTinhChatDat(B95,$H$11:$I$27))</f>
        <v/>
      </c>
      <c r="E95" s="95" t="str">
        <f>IF(B95="","",_xll.NoiSuySPT(B95,$O$19:$P$108,$D$16,$D$12,0,0))</f>
        <v/>
      </c>
      <c r="F95" s="95" t="str">
        <f>IF(B95="","",IF(D95="Đất dính","-",_xll.qb_SPT2025($D$10,$D$12,$D$13,B95,$D$16,$H$11:$I$27,$O$19:$P$108)))</f>
        <v/>
      </c>
      <c r="G95" s="95" t="str">
        <f>IF(B95="","",IF(D95="Đất dính",_xll.qb_SPT2025($D$10,$D$12,$D$13,B95,$D$16,$H$11:$I$27,$O$19:$P$108),"-"))</f>
        <v/>
      </c>
      <c r="H95" s="95" t="str">
        <f t="shared" si="4"/>
        <v/>
      </c>
      <c r="I95" s="96" t="str">
        <f>_xll.flu_SPT2025($D$10,$D$12,$D$13,$D$20,$D$15,$D$16,$H$11:$I$27,$O$19:$P$108,FALSE,FALSE,"Li",A95,$D$17)</f>
        <v/>
      </c>
      <c r="J95" s="95" t="str">
        <f>IF(D95="Đất dính","-",_xll.flu_SPT2025($D$10,$D$12,$D$13,$D$20,$D$15,$D$16,$H$11:$I$27,$O$19:$P$108,FALSE,FALSE,"f",A95,$D$17))</f>
        <v/>
      </c>
      <c r="K95" s="95" t="str">
        <f>IF(B95="","",IF(D95="Đất dính",_xll.flu_SPT2025($D$10,$D$12,$D$13,$D$20,$D$15,$D$16,$H$11:$I$27,$O$19:$P$108,FALSE,FALSE,"f",A95,$D$17),"-"))</f>
        <v/>
      </c>
      <c r="L95" s="95" t="str">
        <f>_xll.flu_SPT2025($D$10,$D$12,$D$13,$D$20,$D$15,$D$16,$H$11:$I$27,$O$19:$P$108,FALSE,FALSE,"flu",A95,$D$17)</f>
        <v/>
      </c>
      <c r="M95" s="87" t="e">
        <f t="shared" si="5"/>
        <v>#N/A</v>
      </c>
      <c r="O95" s="138"/>
      <c r="P95" s="138"/>
      <c r="W95" s="138"/>
      <c r="X95" s="138"/>
      <c r="AB95" s="138"/>
      <c r="AC95" s="138"/>
      <c r="AG95" s="138"/>
      <c r="AH95" s="138"/>
      <c r="AL95" s="138"/>
      <c r="AM95" s="138"/>
      <c r="AQ95" s="138"/>
      <c r="AR95" s="138"/>
      <c r="AV95" s="138"/>
      <c r="AW95" s="138"/>
      <c r="BA95" s="138"/>
      <c r="BB95" s="138"/>
      <c r="BF95" s="138"/>
      <c r="BG95" s="138"/>
      <c r="BK95" s="138"/>
      <c r="BL95" s="138"/>
      <c r="BP95" s="138"/>
      <c r="BQ95" s="138"/>
      <c r="BU95" s="138"/>
      <c r="BV95" s="138"/>
      <c r="BZ95" s="138"/>
      <c r="CA95" s="138"/>
      <c r="CE95" s="138"/>
      <c r="CF95" s="138"/>
      <c r="CJ95" s="138"/>
      <c r="CK95" s="138"/>
      <c r="CO95" s="138"/>
      <c r="CP95" s="138"/>
      <c r="CT95" s="138"/>
      <c r="CU95" s="138"/>
      <c r="CY95" s="138"/>
      <c r="CZ95" s="138"/>
      <c r="DD95" s="138"/>
      <c r="DE95" s="138"/>
      <c r="DI95" s="138"/>
      <c r="DJ95" s="138"/>
      <c r="DN95" s="138"/>
      <c r="DO95" s="138"/>
      <c r="DS95" s="138"/>
      <c r="DT95" s="138"/>
      <c r="DX95" s="138"/>
      <c r="DY95" s="138"/>
      <c r="EC95" s="138"/>
      <c r="ED95" s="138"/>
      <c r="EH95" s="138"/>
      <c r="EI95" s="138"/>
      <c r="EM95" s="138"/>
      <c r="EN95" s="138"/>
      <c r="ER95" s="138"/>
      <c r="ES95" s="138"/>
      <c r="EW95" s="138"/>
      <c r="EX95" s="138"/>
      <c r="FB95" s="138"/>
      <c r="FC95" s="138"/>
    </row>
    <row r="96" spans="1:159">
      <c r="A96" s="87">
        <f t="shared" si="6"/>
        <v>61</v>
      </c>
      <c r="B96" s="83" t="str">
        <f>_xll.flu_SPT2025($D$10,$D$12,$D$13,$D$20,$D$15,$D$16,$H$11:$I$27,$O$19:$P$108,FALSE,FALSE,"Cao độ",A96,$D$17)</f>
        <v/>
      </c>
      <c r="C96" s="87" t="str">
        <f>IF(B96="","",_xll.TimTenLoaiDat(B96,$F$11:$H$27))</f>
        <v/>
      </c>
      <c r="D96" s="87" t="str">
        <f>IF(B96="","",_xll.TimTinhChatDat(B96,$H$11:$I$27))</f>
        <v/>
      </c>
      <c r="E96" s="95" t="str">
        <f>IF(B96="","",_xll.NoiSuySPT(B96,$O$19:$P$108,$D$16,$D$12,0,0))</f>
        <v/>
      </c>
      <c r="F96" s="95" t="str">
        <f>IF(B96="","",IF(D96="Đất dính","-",_xll.qb_SPT2025($D$10,$D$12,$D$13,B96,$D$16,$H$11:$I$27,$O$19:$P$108)))</f>
        <v/>
      </c>
      <c r="G96" s="95" t="str">
        <f>IF(B96="","",IF(D96="Đất dính",_xll.qb_SPT2025($D$10,$D$12,$D$13,B96,$D$16,$H$11:$I$27,$O$19:$P$108),"-"))</f>
        <v/>
      </c>
      <c r="H96" s="95" t="str">
        <f t="shared" si="4"/>
        <v/>
      </c>
      <c r="I96" s="96" t="str">
        <f>_xll.flu_SPT2025($D$10,$D$12,$D$13,$D$20,$D$15,$D$16,$H$11:$I$27,$O$19:$P$108,FALSE,FALSE,"Li",A96,$D$17)</f>
        <v/>
      </c>
      <c r="J96" s="95" t="str">
        <f>IF(D96="Đất dính","-",_xll.flu_SPT2025($D$10,$D$12,$D$13,$D$20,$D$15,$D$16,$H$11:$I$27,$O$19:$P$108,FALSE,FALSE,"f",A96,$D$17))</f>
        <v/>
      </c>
      <c r="K96" s="95" t="str">
        <f>IF(B96="","",IF(D96="Đất dính",_xll.flu_SPT2025($D$10,$D$12,$D$13,$D$20,$D$15,$D$16,$H$11:$I$27,$O$19:$P$108,FALSE,FALSE,"f",A96,$D$17),"-"))</f>
        <v/>
      </c>
      <c r="L96" s="95" t="str">
        <f>_xll.flu_SPT2025($D$10,$D$12,$D$13,$D$20,$D$15,$D$16,$H$11:$I$27,$O$19:$P$108,FALSE,FALSE,"flu",A96,$D$17)</f>
        <v/>
      </c>
      <c r="M96" s="87" t="e">
        <f t="shared" si="5"/>
        <v>#N/A</v>
      </c>
      <c r="O96" s="138"/>
      <c r="P96" s="138"/>
      <c r="W96" s="138"/>
      <c r="X96" s="138"/>
      <c r="AB96" s="138"/>
      <c r="AC96" s="138"/>
      <c r="AG96" s="138"/>
      <c r="AH96" s="138"/>
      <c r="AL96" s="138"/>
      <c r="AM96" s="138"/>
      <c r="AQ96" s="138"/>
      <c r="AR96" s="138"/>
      <c r="AV96" s="138"/>
      <c r="AW96" s="138"/>
      <c r="BA96" s="138"/>
      <c r="BB96" s="138"/>
      <c r="BF96" s="138"/>
      <c r="BG96" s="138"/>
      <c r="BK96" s="138"/>
      <c r="BL96" s="138"/>
      <c r="BP96" s="138"/>
      <c r="BQ96" s="138"/>
      <c r="BU96" s="138"/>
      <c r="BV96" s="138"/>
      <c r="BZ96" s="138"/>
      <c r="CA96" s="138"/>
      <c r="CE96" s="138"/>
      <c r="CF96" s="138"/>
      <c r="CJ96" s="138"/>
      <c r="CK96" s="138"/>
      <c r="CO96" s="138"/>
      <c r="CP96" s="138"/>
      <c r="CT96" s="138"/>
      <c r="CU96" s="138"/>
      <c r="CY96" s="138"/>
      <c r="CZ96" s="138"/>
      <c r="DD96" s="138"/>
      <c r="DE96" s="138"/>
      <c r="DI96" s="138"/>
      <c r="DJ96" s="138"/>
      <c r="DN96" s="138"/>
      <c r="DO96" s="138"/>
      <c r="DS96" s="138"/>
      <c r="DT96" s="138"/>
      <c r="DX96" s="138"/>
      <c r="DY96" s="138"/>
      <c r="EC96" s="138"/>
      <c r="ED96" s="138"/>
      <c r="EH96" s="138"/>
      <c r="EI96" s="138"/>
      <c r="EM96" s="138"/>
      <c r="EN96" s="138"/>
      <c r="ER96" s="138"/>
      <c r="ES96" s="138"/>
      <c r="EW96" s="138"/>
      <c r="EX96" s="138"/>
      <c r="FB96" s="138"/>
      <c r="FC96" s="138"/>
    </row>
    <row r="97" spans="1:159">
      <c r="A97" s="87">
        <f t="shared" si="6"/>
        <v>62</v>
      </c>
      <c r="B97" s="83" t="str">
        <f>_xll.flu_SPT2025($D$10,$D$12,$D$13,$D$20,$D$15,$D$16,$H$11:$I$27,$O$19:$P$108,FALSE,FALSE,"Cao độ",A97,$D$17)</f>
        <v/>
      </c>
      <c r="C97" s="87" t="str">
        <f>IF(B97="","",_xll.TimTenLoaiDat(B97,$F$11:$H$27))</f>
        <v/>
      </c>
      <c r="D97" s="87" t="str">
        <f>IF(B97="","",_xll.TimTinhChatDat(B97,$H$11:$I$27))</f>
        <v/>
      </c>
      <c r="E97" s="95" t="str">
        <f>IF(B97="","",_xll.NoiSuySPT(B97,$O$19:$P$108,$D$16,$D$12,0,0))</f>
        <v/>
      </c>
      <c r="F97" s="95" t="str">
        <f>IF(B97="","",IF(D97="Đất dính","-",_xll.qb_SPT2025($D$10,$D$12,$D$13,B97,$D$16,$H$11:$I$27,$O$19:$P$108)))</f>
        <v/>
      </c>
      <c r="G97" s="95" t="str">
        <f>IF(B97="","",IF(D97="Đất dính",_xll.qb_SPT2025($D$10,$D$12,$D$13,B97,$D$16,$H$11:$I$27,$O$19:$P$108),"-"))</f>
        <v/>
      </c>
      <c r="H97" s="95" t="str">
        <f t="shared" si="4"/>
        <v/>
      </c>
      <c r="I97" s="96" t="str">
        <f>_xll.flu_SPT2025($D$10,$D$12,$D$13,$D$20,$D$15,$D$16,$H$11:$I$27,$O$19:$P$108,FALSE,FALSE,"Li",A97,$D$17)</f>
        <v/>
      </c>
      <c r="J97" s="95" t="str">
        <f>IF(D97="Đất dính","-",_xll.flu_SPT2025($D$10,$D$12,$D$13,$D$20,$D$15,$D$16,$H$11:$I$27,$O$19:$P$108,FALSE,FALSE,"f",A97,$D$17))</f>
        <v/>
      </c>
      <c r="K97" s="95" t="str">
        <f>IF(B97="","",IF(D97="Đất dính",_xll.flu_SPT2025($D$10,$D$12,$D$13,$D$20,$D$15,$D$16,$H$11:$I$27,$O$19:$P$108,FALSE,FALSE,"f",A97,$D$17),"-"))</f>
        <v/>
      </c>
      <c r="L97" s="95" t="str">
        <f>_xll.flu_SPT2025($D$10,$D$12,$D$13,$D$20,$D$15,$D$16,$H$11:$I$27,$O$19:$P$108,FALSE,FALSE,"flu",A97,$D$17)</f>
        <v/>
      </c>
      <c r="M97" s="87" t="e">
        <f t="shared" si="5"/>
        <v>#N/A</v>
      </c>
      <c r="O97" s="138"/>
      <c r="P97" s="138"/>
      <c r="W97" s="138"/>
      <c r="X97" s="138"/>
      <c r="AB97" s="138"/>
      <c r="AC97" s="138"/>
      <c r="AG97" s="138"/>
      <c r="AH97" s="138"/>
      <c r="AL97" s="138"/>
      <c r="AM97" s="138"/>
      <c r="AQ97" s="138"/>
      <c r="AR97" s="138"/>
      <c r="AV97" s="138"/>
      <c r="AW97" s="138"/>
      <c r="BA97" s="138"/>
      <c r="BB97" s="138"/>
      <c r="BF97" s="138"/>
      <c r="BG97" s="138"/>
      <c r="BK97" s="138"/>
      <c r="BL97" s="138"/>
      <c r="BP97" s="138"/>
      <c r="BQ97" s="138"/>
      <c r="BU97" s="138"/>
      <c r="BV97" s="138"/>
      <c r="BZ97" s="138"/>
      <c r="CA97" s="138"/>
      <c r="CE97" s="138"/>
      <c r="CF97" s="138"/>
      <c r="CJ97" s="138"/>
      <c r="CK97" s="138"/>
      <c r="CO97" s="138"/>
      <c r="CP97" s="138"/>
      <c r="CT97" s="138"/>
      <c r="CU97" s="138"/>
      <c r="CY97" s="138"/>
      <c r="CZ97" s="138"/>
      <c r="DD97" s="138"/>
      <c r="DE97" s="138"/>
      <c r="DI97" s="138"/>
      <c r="DJ97" s="138"/>
      <c r="DN97" s="138"/>
      <c r="DO97" s="138"/>
      <c r="DS97" s="138"/>
      <c r="DT97" s="138"/>
      <c r="DX97" s="138"/>
      <c r="DY97" s="138"/>
      <c r="EC97" s="138"/>
      <c r="ED97" s="138"/>
      <c r="EH97" s="138"/>
      <c r="EI97" s="138"/>
      <c r="EM97" s="138"/>
      <c r="EN97" s="138"/>
      <c r="ER97" s="138"/>
      <c r="ES97" s="138"/>
      <c r="EW97" s="138"/>
      <c r="EX97" s="138"/>
      <c r="FB97" s="138"/>
      <c r="FC97" s="138"/>
    </row>
    <row r="98" spans="1:159">
      <c r="A98" s="87">
        <f t="shared" si="6"/>
        <v>63</v>
      </c>
      <c r="B98" s="83" t="str">
        <f>_xll.flu_SPT2025($D$10,$D$12,$D$13,$D$20,$D$15,$D$16,$H$11:$I$27,$O$19:$P$108,FALSE,FALSE,"Cao độ",A98,$D$17)</f>
        <v/>
      </c>
      <c r="C98" s="87" t="str">
        <f>IF(B98="","",_xll.TimTenLoaiDat(B98,$F$11:$H$27))</f>
        <v/>
      </c>
      <c r="D98" s="87" t="str">
        <f>IF(B98="","",_xll.TimTinhChatDat(B98,$H$11:$I$27))</f>
        <v/>
      </c>
      <c r="E98" s="95" t="str">
        <f>IF(B98="","",_xll.NoiSuySPT(B98,$O$19:$P$108,$D$16,$D$12,0,0))</f>
        <v/>
      </c>
      <c r="F98" s="95" t="str">
        <f>IF(B98="","",IF(D98="Đất dính","-",_xll.qb_SPT2025($D$10,$D$12,$D$13,B98,$D$16,$H$11:$I$27,$O$19:$P$108)))</f>
        <v/>
      </c>
      <c r="G98" s="95" t="str">
        <f>IF(B98="","",IF(D98="Đất dính",_xll.qb_SPT2025($D$10,$D$12,$D$13,B98,$D$16,$H$11:$I$27,$O$19:$P$108),"-"))</f>
        <v/>
      </c>
      <c r="H98" s="95" t="str">
        <f t="shared" si="4"/>
        <v/>
      </c>
      <c r="I98" s="96" t="str">
        <f>_xll.flu_SPT2025($D$10,$D$12,$D$13,$D$20,$D$15,$D$16,$H$11:$I$27,$O$19:$P$108,FALSE,FALSE,"Li",A98,$D$17)</f>
        <v/>
      </c>
      <c r="J98" s="95" t="str">
        <f>IF(D98="Đất dính","-",_xll.flu_SPT2025($D$10,$D$12,$D$13,$D$20,$D$15,$D$16,$H$11:$I$27,$O$19:$P$108,FALSE,FALSE,"f",A98,$D$17))</f>
        <v/>
      </c>
      <c r="K98" s="95" t="str">
        <f>IF(B98="","",IF(D98="Đất dính",_xll.flu_SPT2025($D$10,$D$12,$D$13,$D$20,$D$15,$D$16,$H$11:$I$27,$O$19:$P$108,FALSE,FALSE,"f",A98,$D$17),"-"))</f>
        <v/>
      </c>
      <c r="L98" s="95" t="str">
        <f>_xll.flu_SPT2025($D$10,$D$12,$D$13,$D$20,$D$15,$D$16,$H$11:$I$27,$O$19:$P$108,FALSE,FALSE,"flu",A98,$D$17)</f>
        <v/>
      </c>
      <c r="M98" s="87" t="e">
        <f t="shared" si="5"/>
        <v>#N/A</v>
      </c>
      <c r="O98" s="138"/>
      <c r="P98" s="138"/>
      <c r="W98" s="138"/>
      <c r="X98" s="138"/>
      <c r="AB98" s="138"/>
      <c r="AC98" s="138"/>
      <c r="AG98" s="138"/>
      <c r="AH98" s="138"/>
      <c r="AL98" s="138"/>
      <c r="AM98" s="138"/>
      <c r="AQ98" s="138"/>
      <c r="AR98" s="138"/>
      <c r="AV98" s="138"/>
      <c r="AW98" s="138"/>
      <c r="BA98" s="138"/>
      <c r="BB98" s="138"/>
      <c r="BF98" s="138"/>
      <c r="BG98" s="138"/>
      <c r="BK98" s="138"/>
      <c r="BL98" s="138"/>
      <c r="BP98" s="138"/>
      <c r="BQ98" s="138"/>
      <c r="BU98" s="138"/>
      <c r="BV98" s="138"/>
      <c r="BZ98" s="138"/>
      <c r="CA98" s="138"/>
      <c r="CE98" s="138"/>
      <c r="CF98" s="138"/>
      <c r="CJ98" s="138"/>
      <c r="CK98" s="138"/>
      <c r="CO98" s="138"/>
      <c r="CP98" s="138"/>
      <c r="CT98" s="138"/>
      <c r="CU98" s="138"/>
      <c r="CY98" s="138"/>
      <c r="CZ98" s="138"/>
      <c r="DD98" s="138"/>
      <c r="DE98" s="138"/>
      <c r="DI98" s="138"/>
      <c r="DJ98" s="138"/>
      <c r="DN98" s="138"/>
      <c r="DO98" s="138"/>
      <c r="DS98" s="138"/>
      <c r="DT98" s="138"/>
      <c r="DX98" s="138"/>
      <c r="DY98" s="138"/>
      <c r="EC98" s="138"/>
      <c r="ED98" s="138"/>
      <c r="EH98" s="138"/>
      <c r="EI98" s="138"/>
      <c r="EM98" s="138"/>
      <c r="EN98" s="138"/>
      <c r="ER98" s="138"/>
      <c r="ES98" s="138"/>
      <c r="EW98" s="138"/>
      <c r="EX98" s="138"/>
      <c r="FB98" s="138"/>
      <c r="FC98" s="138"/>
    </row>
    <row r="99" spans="1:159">
      <c r="A99" s="87">
        <f t="shared" si="6"/>
        <v>64</v>
      </c>
      <c r="B99" s="83" t="str">
        <f>_xll.flu_SPT2025($D$10,$D$12,$D$13,$D$20,$D$15,$D$16,$H$11:$I$27,$O$19:$P$108,FALSE,FALSE,"Cao độ",A99,$D$17)</f>
        <v/>
      </c>
      <c r="C99" s="87" t="str">
        <f>IF(B99="","",_xll.TimTenLoaiDat(B99,$F$11:$H$27))</f>
        <v/>
      </c>
      <c r="D99" s="87" t="str">
        <f>IF(B99="","",_xll.TimTinhChatDat(B99,$H$11:$I$27))</f>
        <v/>
      </c>
      <c r="E99" s="95" t="str">
        <f>IF(B99="","",_xll.NoiSuySPT(B99,$O$19:$P$108,$D$16,$D$12,0,0))</f>
        <v/>
      </c>
      <c r="F99" s="95" t="str">
        <f>IF(B99="","",IF(D99="Đất dính","-",_xll.qb_SPT2025($D$10,$D$12,$D$13,B99,$D$16,$H$11:$I$27,$O$19:$P$108)))</f>
        <v/>
      </c>
      <c r="G99" s="95" t="str">
        <f>IF(B99="","",IF(D99="Đất dính",_xll.qb_SPT2025($D$10,$D$12,$D$13,B99,$D$16,$H$11:$I$27,$O$19:$P$108),"-"))</f>
        <v/>
      </c>
      <c r="H99" s="95" t="str">
        <f t="shared" ref="H99:H104" si="7">IF(B99="","",MAX(F99,G99)*$D$19)</f>
        <v/>
      </c>
      <c r="I99" s="96" t="str">
        <f>_xll.flu_SPT2025($D$10,$D$12,$D$13,$D$20,$D$15,$D$16,$H$11:$I$27,$O$19:$P$108,FALSE,FALSE,"Li",A99,$D$17)</f>
        <v/>
      </c>
      <c r="J99" s="95" t="str">
        <f>IF(D99="Đất dính","-",_xll.flu_SPT2025($D$10,$D$12,$D$13,$D$20,$D$15,$D$16,$H$11:$I$27,$O$19:$P$108,FALSE,FALSE,"f",A99,$D$17))</f>
        <v/>
      </c>
      <c r="K99" s="95" t="str">
        <f>IF(B99="","",IF(D99="Đất dính",_xll.flu_SPT2025($D$10,$D$12,$D$13,$D$20,$D$15,$D$16,$H$11:$I$27,$O$19:$P$108,FALSE,FALSE,"f",A99,$D$17),"-"))</f>
        <v/>
      </c>
      <c r="L99" s="95" t="str">
        <f>_xll.flu_SPT2025($D$10,$D$12,$D$13,$D$20,$D$15,$D$16,$H$11:$I$27,$O$19:$P$108,FALSE,FALSE,"flu",A99,$D$17)</f>
        <v/>
      </c>
      <c r="M99" s="87" t="e">
        <f t="shared" ref="M99:M104" si="8">IF(B99="",NA(),L99+H99)</f>
        <v>#N/A</v>
      </c>
      <c r="O99" s="138"/>
      <c r="P99" s="138"/>
      <c r="W99" s="138"/>
      <c r="X99" s="138"/>
      <c r="AB99" s="138"/>
      <c r="AC99" s="138"/>
      <c r="AG99" s="138"/>
      <c r="AH99" s="138"/>
      <c r="AL99" s="138"/>
      <c r="AM99" s="138"/>
      <c r="AQ99" s="138"/>
      <c r="AR99" s="138"/>
      <c r="AV99" s="138"/>
      <c r="AW99" s="138"/>
      <c r="BA99" s="138"/>
      <c r="BB99" s="138"/>
      <c r="BF99" s="138"/>
      <c r="BG99" s="138"/>
      <c r="BK99" s="138"/>
      <c r="BL99" s="138"/>
      <c r="BP99" s="138"/>
      <c r="BQ99" s="138"/>
      <c r="BU99" s="138"/>
      <c r="BV99" s="138"/>
      <c r="BZ99" s="138"/>
      <c r="CA99" s="138"/>
      <c r="CE99" s="138"/>
      <c r="CF99" s="138"/>
      <c r="CJ99" s="138"/>
      <c r="CK99" s="138"/>
      <c r="CO99" s="138"/>
      <c r="CP99" s="138"/>
      <c r="CT99" s="138"/>
      <c r="CU99" s="138"/>
      <c r="CY99" s="138"/>
      <c r="CZ99" s="138"/>
      <c r="DD99" s="138"/>
      <c r="DE99" s="138"/>
      <c r="DI99" s="138"/>
      <c r="DJ99" s="138"/>
      <c r="DN99" s="138"/>
      <c r="DO99" s="138"/>
      <c r="DS99" s="138"/>
      <c r="DT99" s="138"/>
      <c r="DX99" s="138"/>
      <c r="DY99" s="138"/>
      <c r="EC99" s="138"/>
      <c r="ED99" s="138"/>
      <c r="EH99" s="138"/>
      <c r="EI99" s="138"/>
      <c r="EM99" s="138"/>
      <c r="EN99" s="138"/>
      <c r="ER99" s="138"/>
      <c r="ES99" s="138"/>
      <c r="EW99" s="138"/>
      <c r="EX99" s="138"/>
      <c r="FB99" s="138"/>
      <c r="FC99" s="138"/>
    </row>
    <row r="100" spans="1:159">
      <c r="A100" s="87">
        <f t="shared" si="6"/>
        <v>65</v>
      </c>
      <c r="B100" s="83" t="str">
        <f>_xll.flu_SPT2025($D$10,$D$12,$D$13,$D$20,$D$15,$D$16,$H$11:$I$27,$O$19:$P$108,FALSE,FALSE,"Cao độ",A100,$D$17)</f>
        <v/>
      </c>
      <c r="C100" s="87" t="str">
        <f>IF(B100="","",_xll.TimTenLoaiDat(B100,$F$11:$H$27))</f>
        <v/>
      </c>
      <c r="D100" s="87" t="str">
        <f>IF(B100="","",_xll.TimTinhChatDat(B100,$H$11:$I$27))</f>
        <v/>
      </c>
      <c r="E100" s="95" t="str">
        <f>IF(B100="","",_xll.NoiSuySPT(B100,$O$19:$P$108,$D$16,$D$12,0,0))</f>
        <v/>
      </c>
      <c r="F100" s="95" t="str">
        <f>IF(B100="","",IF(D100="Đất dính","-",_xll.qb_SPT2025($D$10,$D$12,$D$13,B100,$D$16,$H$11:$I$27,$O$19:$P$108)))</f>
        <v/>
      </c>
      <c r="G100" s="95" t="str">
        <f>IF(B100="","",IF(D100="Đất dính",_xll.qb_SPT2025($D$10,$D$12,$D$13,B100,$D$16,$H$11:$I$27,$O$19:$P$108),"-"))</f>
        <v/>
      </c>
      <c r="H100" s="95" t="str">
        <f t="shared" si="7"/>
        <v/>
      </c>
      <c r="I100" s="96" t="str">
        <f>_xll.flu_SPT2025($D$10,$D$12,$D$13,$D$20,$D$15,$D$16,$H$11:$I$27,$O$19:$P$108,FALSE,FALSE,"Li",A100,$D$17)</f>
        <v/>
      </c>
      <c r="J100" s="95" t="str">
        <f>IF(D100="Đất dính","-",_xll.flu_SPT2025($D$10,$D$12,$D$13,$D$20,$D$15,$D$16,$H$11:$I$27,$O$19:$P$108,FALSE,FALSE,"f",A100,$D$17))</f>
        <v/>
      </c>
      <c r="K100" s="95" t="str">
        <f>IF(B100="","",IF(D100="Đất dính",_xll.flu_SPT2025($D$10,$D$12,$D$13,$D$20,$D$15,$D$16,$H$11:$I$27,$O$19:$P$108,FALSE,FALSE,"f",A100,$D$17),"-"))</f>
        <v/>
      </c>
      <c r="L100" s="95" t="str">
        <f>_xll.flu_SPT2025($D$10,$D$12,$D$13,$D$20,$D$15,$D$16,$H$11:$I$27,$O$19:$P$108,FALSE,FALSE,"flu",A100,$D$17)</f>
        <v/>
      </c>
      <c r="M100" s="87" t="e">
        <f t="shared" si="8"/>
        <v>#N/A</v>
      </c>
      <c r="O100" s="138"/>
      <c r="P100" s="138"/>
      <c r="W100" s="138"/>
      <c r="X100" s="138"/>
      <c r="AB100" s="138"/>
      <c r="AC100" s="138"/>
      <c r="AG100" s="138"/>
      <c r="AH100" s="138"/>
      <c r="AL100" s="138"/>
      <c r="AM100" s="138"/>
      <c r="AQ100" s="138"/>
      <c r="AR100" s="138"/>
      <c r="AV100" s="138"/>
      <c r="AW100" s="138"/>
      <c r="BA100" s="138"/>
      <c r="BB100" s="138"/>
      <c r="BF100" s="138"/>
      <c r="BG100" s="138"/>
      <c r="BK100" s="138"/>
      <c r="BL100" s="138"/>
      <c r="BP100" s="138"/>
      <c r="BQ100" s="138"/>
      <c r="BU100" s="138"/>
      <c r="BV100" s="138"/>
      <c r="BZ100" s="138"/>
      <c r="CA100" s="138"/>
      <c r="CE100" s="138"/>
      <c r="CF100" s="138"/>
      <c r="CJ100" s="138"/>
      <c r="CK100" s="138"/>
      <c r="CO100" s="138"/>
      <c r="CP100" s="138"/>
      <c r="CT100" s="138"/>
      <c r="CU100" s="138"/>
      <c r="CY100" s="138"/>
      <c r="CZ100" s="138"/>
      <c r="DD100" s="138"/>
      <c r="DE100" s="138"/>
      <c r="DI100" s="138"/>
      <c r="DJ100" s="138"/>
      <c r="DN100" s="138"/>
      <c r="DO100" s="138"/>
      <c r="DS100" s="138"/>
      <c r="DT100" s="138"/>
      <c r="DX100" s="138"/>
      <c r="DY100" s="138"/>
      <c r="EC100" s="138"/>
      <c r="ED100" s="138"/>
      <c r="EH100" s="138"/>
      <c r="EI100" s="138"/>
      <c r="EM100" s="138"/>
      <c r="EN100" s="138"/>
      <c r="ER100" s="138"/>
      <c r="ES100" s="138"/>
      <c r="EW100" s="138"/>
      <c r="EX100" s="138"/>
      <c r="FB100" s="138"/>
      <c r="FC100" s="138"/>
    </row>
    <row r="101" spans="1:159">
      <c r="A101" s="87">
        <f t="shared" si="6"/>
        <v>66</v>
      </c>
      <c r="B101" s="83" t="str">
        <f>_xll.flu_SPT2025($D$10,$D$12,$D$13,$D$20,$D$15,$D$16,$H$11:$I$27,$O$19:$P$108,FALSE,FALSE,"Cao độ",A101,$D$17)</f>
        <v/>
      </c>
      <c r="C101" s="87" t="str">
        <f>IF(B101="","",_xll.TimTenLoaiDat(B101,$F$11:$H$27))</f>
        <v/>
      </c>
      <c r="D101" s="87" t="str">
        <f>IF(B101="","",_xll.TimTinhChatDat(B101,$H$11:$I$27))</f>
        <v/>
      </c>
      <c r="E101" s="95" t="str">
        <f>IF(B101="","",_xll.NoiSuySPT(B101,$O$19:$P$108,$D$16,$D$12,0,0))</f>
        <v/>
      </c>
      <c r="F101" s="95" t="str">
        <f>IF(B101="","",IF(D101="Đất dính","-",_xll.qb_SPT2025($D$10,$D$12,$D$13,B101,$D$16,$H$11:$I$27,$O$19:$P$108)))</f>
        <v/>
      </c>
      <c r="G101" s="95" t="str">
        <f>IF(B101="","",IF(D101="Đất dính",_xll.qb_SPT2025($D$10,$D$12,$D$13,B101,$D$16,$H$11:$I$27,$O$19:$P$108),"-"))</f>
        <v/>
      </c>
      <c r="H101" s="95" t="str">
        <f t="shared" si="7"/>
        <v/>
      </c>
      <c r="I101" s="96" t="str">
        <f>_xll.flu_SPT2025($D$10,$D$12,$D$13,$D$20,$D$15,$D$16,$H$11:$I$27,$O$19:$P$108,FALSE,FALSE,"Li",A101,$D$17)</f>
        <v/>
      </c>
      <c r="J101" s="95" t="str">
        <f>IF(D101="Đất dính","-",_xll.flu_SPT2025($D$10,$D$12,$D$13,$D$20,$D$15,$D$16,$H$11:$I$27,$O$19:$P$108,FALSE,FALSE,"f",A101,$D$17))</f>
        <v/>
      </c>
      <c r="K101" s="95" t="str">
        <f>IF(B101="","",IF(D101="Đất dính",_xll.flu_SPT2025($D$10,$D$12,$D$13,$D$20,$D$15,$D$16,$H$11:$I$27,$O$19:$P$108,FALSE,FALSE,"f",A101,$D$17),"-"))</f>
        <v/>
      </c>
      <c r="L101" s="95" t="str">
        <f>_xll.flu_SPT2025($D$10,$D$12,$D$13,$D$20,$D$15,$D$16,$H$11:$I$27,$O$19:$P$108,FALSE,FALSE,"flu",A101,$D$17)</f>
        <v/>
      </c>
      <c r="M101" s="87" t="e">
        <f t="shared" si="8"/>
        <v>#N/A</v>
      </c>
      <c r="O101" s="138"/>
      <c r="P101" s="138"/>
      <c r="W101" s="138"/>
      <c r="X101" s="138"/>
      <c r="AB101" s="138"/>
      <c r="AC101" s="138"/>
      <c r="AG101" s="138"/>
      <c r="AH101" s="138"/>
      <c r="AL101" s="138"/>
      <c r="AM101" s="138"/>
      <c r="AQ101" s="138"/>
      <c r="AR101" s="138"/>
      <c r="AV101" s="138"/>
      <c r="AW101" s="138"/>
      <c r="BA101" s="138"/>
      <c r="BB101" s="138"/>
      <c r="BF101" s="138"/>
      <c r="BG101" s="138"/>
      <c r="BK101" s="138"/>
      <c r="BL101" s="138"/>
      <c r="BP101" s="138"/>
      <c r="BQ101" s="138"/>
      <c r="BU101" s="138"/>
      <c r="BV101" s="138"/>
      <c r="BZ101" s="138"/>
      <c r="CA101" s="138"/>
      <c r="CE101" s="138"/>
      <c r="CF101" s="138"/>
      <c r="CJ101" s="138"/>
      <c r="CK101" s="138"/>
      <c r="CO101" s="138"/>
      <c r="CP101" s="138"/>
      <c r="CT101" s="138"/>
      <c r="CU101" s="138"/>
      <c r="CY101" s="138"/>
      <c r="CZ101" s="138"/>
      <c r="DD101" s="138"/>
      <c r="DE101" s="138"/>
      <c r="DI101" s="138"/>
      <c r="DJ101" s="138"/>
      <c r="DN101" s="138"/>
      <c r="DO101" s="138"/>
      <c r="DS101" s="138"/>
      <c r="DT101" s="138"/>
      <c r="DX101" s="138"/>
      <c r="DY101" s="138"/>
      <c r="EC101" s="138"/>
      <c r="ED101" s="138"/>
      <c r="EH101" s="138"/>
      <c r="EI101" s="138"/>
      <c r="EM101" s="138"/>
      <c r="EN101" s="138"/>
      <c r="ER101" s="138"/>
      <c r="ES101" s="138"/>
      <c r="EW101" s="138"/>
      <c r="EX101" s="138"/>
      <c r="FB101" s="138"/>
      <c r="FC101" s="138"/>
    </row>
    <row r="102" spans="1:159">
      <c r="A102" s="87">
        <f t="shared" si="6"/>
        <v>67</v>
      </c>
      <c r="B102" s="83" t="str">
        <f>_xll.flu_SPT2025($D$10,$D$12,$D$13,$D$20,$D$15,$D$16,$H$11:$I$27,$O$19:$P$108,FALSE,FALSE,"Cao độ",A102,$D$17)</f>
        <v/>
      </c>
      <c r="C102" s="87" t="str">
        <f>IF(B102="","",_xll.TimTenLoaiDat(B102,$F$11:$H$27))</f>
        <v/>
      </c>
      <c r="D102" s="87" t="str">
        <f>IF(B102="","",_xll.TimTinhChatDat(B102,$H$11:$I$27))</f>
        <v/>
      </c>
      <c r="E102" s="95" t="str">
        <f>IF(B102="","",_xll.NoiSuySPT(B102,$O$19:$P$108,$D$16,$D$12,0,0))</f>
        <v/>
      </c>
      <c r="F102" s="95" t="str">
        <f>IF(B102="","",IF(D102="Đất dính","-",_xll.qb_SPT2025($D$10,$D$12,$D$13,B102,$D$16,$H$11:$I$27,$O$19:$P$108)))</f>
        <v/>
      </c>
      <c r="G102" s="95" t="str">
        <f>IF(B102="","",IF(D102="Đất dính",_xll.qb_SPT2025($D$10,$D$12,$D$13,B102,$D$16,$H$11:$I$27,$O$19:$P$108),"-"))</f>
        <v/>
      </c>
      <c r="H102" s="95" t="str">
        <f t="shared" si="7"/>
        <v/>
      </c>
      <c r="I102" s="96" t="str">
        <f>_xll.flu_SPT2025($D$10,$D$12,$D$13,$D$20,$D$15,$D$16,$H$11:$I$27,$O$19:$P$108,FALSE,FALSE,"Li",A102,$D$17)</f>
        <v/>
      </c>
      <c r="J102" s="95" t="str">
        <f>IF(D102="Đất dính","-",_xll.flu_SPT2025($D$10,$D$12,$D$13,$D$20,$D$15,$D$16,$H$11:$I$27,$O$19:$P$108,FALSE,FALSE,"f",A102,$D$17))</f>
        <v/>
      </c>
      <c r="K102" s="95" t="str">
        <f>IF(B102="","",IF(D102="Đất dính",_xll.flu_SPT2025($D$10,$D$12,$D$13,$D$20,$D$15,$D$16,$H$11:$I$27,$O$19:$P$108,FALSE,FALSE,"f",A102,$D$17),"-"))</f>
        <v/>
      </c>
      <c r="L102" s="95" t="str">
        <f>_xll.flu_SPT2025($D$10,$D$12,$D$13,$D$20,$D$15,$D$16,$H$11:$I$27,$O$19:$P$108,FALSE,FALSE,"flu",A102,$D$17)</f>
        <v/>
      </c>
      <c r="M102" s="87" t="e">
        <f t="shared" si="8"/>
        <v>#N/A</v>
      </c>
      <c r="O102" s="138"/>
      <c r="P102" s="138"/>
      <c r="W102" s="138"/>
      <c r="X102" s="138"/>
      <c r="AB102" s="138"/>
      <c r="AC102" s="138"/>
      <c r="AG102" s="138"/>
      <c r="AH102" s="138"/>
      <c r="AL102" s="138"/>
      <c r="AM102" s="138"/>
      <c r="AQ102" s="138"/>
      <c r="AR102" s="138"/>
      <c r="AV102" s="138"/>
      <c r="AW102" s="138"/>
      <c r="BA102" s="138"/>
      <c r="BB102" s="138"/>
      <c r="BF102" s="138"/>
      <c r="BG102" s="138"/>
      <c r="BK102" s="138"/>
      <c r="BL102" s="138"/>
      <c r="BP102" s="138"/>
      <c r="BQ102" s="138"/>
      <c r="BU102" s="138"/>
      <c r="BV102" s="138"/>
      <c r="BZ102" s="138"/>
      <c r="CA102" s="138"/>
      <c r="CE102" s="138"/>
      <c r="CF102" s="138"/>
      <c r="CJ102" s="138"/>
      <c r="CK102" s="138"/>
      <c r="CO102" s="138"/>
      <c r="CP102" s="138"/>
      <c r="CT102" s="138"/>
      <c r="CU102" s="138"/>
      <c r="CY102" s="138"/>
      <c r="CZ102" s="138"/>
      <c r="DD102" s="138"/>
      <c r="DE102" s="138"/>
      <c r="DI102" s="138"/>
      <c r="DJ102" s="138"/>
      <c r="DN102" s="138"/>
      <c r="DO102" s="138"/>
      <c r="DS102" s="138"/>
      <c r="DT102" s="138"/>
      <c r="DX102" s="138"/>
      <c r="DY102" s="138"/>
      <c r="EC102" s="138"/>
      <c r="ED102" s="138"/>
      <c r="EH102" s="138"/>
      <c r="EI102" s="138"/>
      <c r="EM102" s="138"/>
      <c r="EN102" s="138"/>
      <c r="ER102" s="138"/>
      <c r="ES102" s="138"/>
      <c r="EW102" s="138"/>
      <c r="EX102" s="138"/>
      <c r="FB102" s="138"/>
      <c r="FC102" s="138"/>
    </row>
    <row r="103" spans="1:159">
      <c r="A103" s="87">
        <f t="shared" si="6"/>
        <v>68</v>
      </c>
      <c r="B103" s="83" t="str">
        <f>_xll.flu_SPT2025($D$10,$D$12,$D$13,$D$20,$D$15,$D$16,$H$11:$I$27,$O$19:$P$108,FALSE,FALSE,"Cao độ",A103,$D$17)</f>
        <v/>
      </c>
      <c r="C103" s="87" t="str">
        <f>IF(B103="","",_xll.TimTenLoaiDat(B103,$F$11:$H$27))</f>
        <v/>
      </c>
      <c r="D103" s="87" t="str">
        <f>IF(B103="","",_xll.TimTinhChatDat(B103,$H$11:$I$27))</f>
        <v/>
      </c>
      <c r="E103" s="95" t="str">
        <f>IF(B103="","",_xll.NoiSuySPT(B103,$O$19:$P$108,$D$16,$D$12,0,0))</f>
        <v/>
      </c>
      <c r="F103" s="95" t="str">
        <f>IF(B103="","",IF(D103="Đất dính","-",_xll.qb_SPT2025($D$10,$D$12,$D$13,B103,$D$16,$H$11:$I$27,$O$19:$P$108)))</f>
        <v/>
      </c>
      <c r="G103" s="95" t="str">
        <f>IF(B103="","",IF(D103="Đất dính",_xll.qb_SPT2025($D$10,$D$12,$D$13,B103,$D$16,$H$11:$I$27,$O$19:$P$108),"-"))</f>
        <v/>
      </c>
      <c r="H103" s="95" t="str">
        <f t="shared" si="7"/>
        <v/>
      </c>
      <c r="I103" s="96" t="str">
        <f>_xll.flu_SPT2025($D$10,$D$12,$D$13,$D$20,$D$15,$D$16,$H$11:$I$27,$O$19:$P$108,FALSE,FALSE,"Li",A103,$D$17)</f>
        <v/>
      </c>
      <c r="J103" s="95" t="str">
        <f>IF(D103="Đất dính","-",_xll.flu_SPT2025($D$10,$D$12,$D$13,$D$20,$D$15,$D$16,$H$11:$I$27,$O$19:$P$108,FALSE,FALSE,"f",A103,$D$17))</f>
        <v/>
      </c>
      <c r="K103" s="95" t="str">
        <f>IF(B103="","",IF(D103="Đất dính",_xll.flu_SPT2025($D$10,$D$12,$D$13,$D$20,$D$15,$D$16,$H$11:$I$27,$O$19:$P$108,FALSE,FALSE,"f",A103,$D$17),"-"))</f>
        <v/>
      </c>
      <c r="L103" s="95" t="str">
        <f>_xll.flu_SPT2025($D$10,$D$12,$D$13,$D$20,$D$15,$D$16,$H$11:$I$27,$O$19:$P$108,FALSE,FALSE,"flu",A103,$D$17)</f>
        <v/>
      </c>
      <c r="M103" s="87" t="e">
        <f t="shared" si="8"/>
        <v>#N/A</v>
      </c>
      <c r="O103" s="138"/>
      <c r="P103" s="138"/>
      <c r="W103" s="138"/>
      <c r="X103" s="138"/>
      <c r="AB103" s="138"/>
      <c r="AC103" s="138"/>
      <c r="AG103" s="138"/>
      <c r="AH103" s="138"/>
      <c r="AL103" s="138"/>
      <c r="AM103" s="138"/>
      <c r="AQ103" s="138"/>
      <c r="AR103" s="138"/>
      <c r="AV103" s="138"/>
      <c r="AW103" s="138"/>
      <c r="BA103" s="138"/>
      <c r="BB103" s="138"/>
      <c r="BF103" s="138"/>
      <c r="BG103" s="138"/>
      <c r="BK103" s="138"/>
      <c r="BL103" s="138"/>
      <c r="BP103" s="138"/>
      <c r="BQ103" s="138"/>
      <c r="BU103" s="138"/>
      <c r="BV103" s="138"/>
      <c r="BZ103" s="138"/>
      <c r="CA103" s="138"/>
      <c r="CE103" s="138"/>
      <c r="CF103" s="138"/>
      <c r="CJ103" s="138"/>
      <c r="CK103" s="138"/>
      <c r="CO103" s="138"/>
      <c r="CP103" s="138"/>
      <c r="CT103" s="138"/>
      <c r="CU103" s="138"/>
      <c r="CY103" s="138"/>
      <c r="CZ103" s="138"/>
      <c r="DD103" s="138"/>
      <c r="DE103" s="138"/>
      <c r="DI103" s="138"/>
      <c r="DJ103" s="138"/>
      <c r="DN103" s="138"/>
      <c r="DO103" s="138"/>
      <c r="DS103" s="138"/>
      <c r="DT103" s="138"/>
      <c r="DX103" s="138"/>
      <c r="DY103" s="138"/>
      <c r="EC103" s="138"/>
      <c r="ED103" s="138"/>
      <c r="EH103" s="138"/>
      <c r="EI103" s="138"/>
      <c r="EM103" s="138"/>
      <c r="EN103" s="138"/>
      <c r="ER103" s="138"/>
      <c r="ES103" s="138"/>
      <c r="EW103" s="138"/>
      <c r="EX103" s="138"/>
      <c r="FB103" s="138"/>
      <c r="FC103" s="138"/>
    </row>
    <row r="104" spans="1:159">
      <c r="A104" s="87">
        <f t="shared" si="6"/>
        <v>69</v>
      </c>
      <c r="B104" s="83" t="str">
        <f>_xll.flu_SPT2025($D$10,$D$12,$D$13,$D$20,$D$15,$D$16,$H$11:$I$27,$O$19:$P$108,FALSE,FALSE,"Cao độ",A104,$D$17)</f>
        <v/>
      </c>
      <c r="C104" s="87" t="str">
        <f>IF(B104="","",_xll.TimTenLoaiDat(B104,$F$11:$H$27))</f>
        <v/>
      </c>
      <c r="D104" s="87" t="str">
        <f>IF(B104="","",_xll.TimTinhChatDat(B104,$H$11:$I$27))</f>
        <v/>
      </c>
      <c r="E104" s="95" t="str">
        <f>IF(B104="","",_xll.NoiSuySPT(B104,$O$19:$P$108,$D$16,$D$12,0,0))</f>
        <v/>
      </c>
      <c r="F104" s="95" t="str">
        <f>IF(B104="","",IF(D104="Đất dính","-",_xll.qb_SPT2025($D$10,$D$12,$D$13,B104,$D$16,$H$11:$I$27,$O$19:$P$108)))</f>
        <v/>
      </c>
      <c r="G104" s="95" t="str">
        <f>IF(B104="","",IF(D104="Đất dính",_xll.qb_SPT2025($D$10,$D$12,$D$13,B104,$D$16,$H$11:$I$27,$O$19:$P$108),"-"))</f>
        <v/>
      </c>
      <c r="H104" s="95" t="str">
        <f t="shared" si="7"/>
        <v/>
      </c>
      <c r="I104" s="96" t="str">
        <f>_xll.flu_SPT2025($D$10,$D$12,$D$13,$D$20,$D$15,$D$16,$H$11:$I$27,$O$19:$P$108,FALSE,FALSE,"Li",A104,$D$17)</f>
        <v/>
      </c>
      <c r="J104" s="95" t="str">
        <f>IF(D104="Đất dính","-",_xll.flu_SPT2025($D$10,$D$12,$D$13,$D$20,$D$15,$D$16,$H$11:$I$27,$O$19:$P$108,FALSE,FALSE,"f",A104,$D$17))</f>
        <v/>
      </c>
      <c r="K104" s="95" t="str">
        <f>IF(B104="","",IF(D104="Đất dính",_xll.flu_SPT2025($D$10,$D$12,$D$13,$D$20,$D$15,$D$16,$H$11:$I$27,$O$19:$P$108,FALSE,FALSE,"f",A104,$D$17),"-"))</f>
        <v/>
      </c>
      <c r="L104" s="95" t="str">
        <f>_xll.flu_SPT2025($D$10,$D$12,$D$13,$D$20,$D$15,$D$16,$H$11:$I$27,$O$19:$P$108,FALSE,FALSE,"flu",A104,$D$17)</f>
        <v/>
      </c>
      <c r="M104" s="87" t="e">
        <f t="shared" si="8"/>
        <v>#N/A</v>
      </c>
      <c r="O104" s="138"/>
      <c r="P104" s="138"/>
      <c r="W104" s="138"/>
      <c r="X104" s="138"/>
      <c r="AB104" s="138"/>
      <c r="AC104" s="138"/>
      <c r="AG104" s="138"/>
      <c r="AH104" s="138"/>
      <c r="AL104" s="138"/>
      <c r="AM104" s="138"/>
      <c r="AQ104" s="138"/>
      <c r="AR104" s="138"/>
      <c r="AV104" s="138"/>
      <c r="AW104" s="138"/>
      <c r="BA104" s="138"/>
      <c r="BB104" s="138"/>
      <c r="BF104" s="138"/>
      <c r="BG104" s="138"/>
      <c r="BK104" s="138"/>
      <c r="BL104" s="138"/>
      <c r="BP104" s="138"/>
      <c r="BQ104" s="138"/>
      <c r="BU104" s="138"/>
      <c r="BV104" s="138"/>
      <c r="BZ104" s="138"/>
      <c r="CA104" s="138"/>
      <c r="CE104" s="138"/>
      <c r="CF104" s="138"/>
      <c r="CJ104" s="138"/>
      <c r="CK104" s="138"/>
      <c r="CO104" s="138"/>
      <c r="CP104" s="138"/>
      <c r="CT104" s="138"/>
      <c r="CU104" s="138"/>
      <c r="CY104" s="138"/>
      <c r="CZ104" s="138"/>
      <c r="DD104" s="138"/>
      <c r="DE104" s="138"/>
      <c r="DI104" s="138"/>
      <c r="DJ104" s="138"/>
      <c r="DN104" s="138"/>
      <c r="DO104" s="138"/>
      <c r="DS104" s="138"/>
      <c r="DT104" s="138"/>
      <c r="DX104" s="138"/>
      <c r="DY104" s="138"/>
      <c r="EC104" s="138"/>
      <c r="ED104" s="138"/>
      <c r="EH104" s="138"/>
      <c r="EI104" s="138"/>
      <c r="EM104" s="138"/>
      <c r="EN104" s="138"/>
      <c r="ER104" s="138"/>
      <c r="ES104" s="138"/>
      <c r="EW104" s="138"/>
      <c r="EX104" s="138"/>
      <c r="FB104" s="138"/>
      <c r="FC104" s="138"/>
    </row>
    <row r="105" spans="1:159">
      <c r="A105" s="87"/>
      <c r="B105" s="83"/>
      <c r="C105" s="87"/>
      <c r="D105" s="87"/>
      <c r="E105" s="95"/>
      <c r="F105" s="95"/>
      <c r="G105" s="95"/>
      <c r="H105" s="95"/>
      <c r="I105" s="96"/>
      <c r="J105" s="95"/>
      <c r="K105" s="95"/>
      <c r="L105" s="95"/>
      <c r="M105" s="87"/>
      <c r="O105" s="138"/>
      <c r="P105" s="138"/>
      <c r="W105" s="138"/>
      <c r="X105" s="138"/>
      <c r="AB105" s="138"/>
      <c r="AC105" s="138"/>
      <c r="AG105" s="138"/>
      <c r="AH105" s="138"/>
      <c r="AL105" s="138"/>
      <c r="AM105" s="138"/>
      <c r="AQ105" s="138"/>
      <c r="AR105" s="138"/>
      <c r="AV105" s="138"/>
      <c r="AW105" s="138"/>
      <c r="BA105" s="138"/>
      <c r="BB105" s="138"/>
      <c r="BF105" s="138"/>
      <c r="BG105" s="138"/>
      <c r="BK105" s="138"/>
      <c r="BL105" s="138"/>
      <c r="BP105" s="138"/>
      <c r="BQ105" s="138"/>
      <c r="BU105" s="138"/>
      <c r="BV105" s="138"/>
      <c r="BZ105" s="138"/>
      <c r="CA105" s="138"/>
      <c r="CE105" s="138"/>
      <c r="CF105" s="138"/>
      <c r="CJ105" s="138"/>
      <c r="CK105" s="138"/>
      <c r="CO105" s="138"/>
      <c r="CP105" s="138"/>
      <c r="CT105" s="138"/>
      <c r="CU105" s="138"/>
      <c r="CY105" s="138"/>
      <c r="CZ105" s="138"/>
      <c r="DD105" s="138"/>
      <c r="DE105" s="138"/>
      <c r="DI105" s="138"/>
      <c r="DJ105" s="138"/>
      <c r="DN105" s="138"/>
      <c r="DO105" s="138"/>
      <c r="DS105" s="138"/>
      <c r="DT105" s="138"/>
      <c r="DX105" s="138"/>
      <c r="DY105" s="138"/>
      <c r="EC105" s="138"/>
      <c r="ED105" s="138"/>
      <c r="EH105" s="138"/>
      <c r="EI105" s="138"/>
      <c r="EM105" s="138"/>
      <c r="EN105" s="138"/>
      <c r="ER105" s="138"/>
      <c r="ES105" s="138"/>
      <c r="EW105" s="138"/>
      <c r="EX105" s="138"/>
      <c r="FB105" s="138"/>
      <c r="FC105" s="138"/>
    </row>
    <row r="106" spans="1:159">
      <c r="A106" s="87"/>
      <c r="B106" s="83"/>
      <c r="C106" s="87"/>
      <c r="D106" s="87"/>
      <c r="E106" s="95"/>
      <c r="F106" s="95"/>
      <c r="G106" s="95"/>
      <c r="H106" s="95"/>
      <c r="I106" s="96"/>
      <c r="J106" s="95"/>
      <c r="K106" s="95"/>
      <c r="L106" s="95"/>
      <c r="M106" s="87"/>
      <c r="O106" s="138"/>
      <c r="P106" s="138"/>
      <c r="W106" s="138"/>
      <c r="X106" s="138"/>
      <c r="AB106" s="138"/>
      <c r="AC106" s="138"/>
      <c r="AG106" s="138"/>
      <c r="AH106" s="138"/>
      <c r="AL106" s="138"/>
      <c r="AM106" s="138"/>
      <c r="AQ106" s="138"/>
      <c r="AR106" s="138"/>
      <c r="AV106" s="138"/>
      <c r="AW106" s="138"/>
      <c r="BA106" s="138"/>
      <c r="BB106" s="138"/>
      <c r="BF106" s="138"/>
      <c r="BG106" s="138"/>
      <c r="BK106" s="138"/>
      <c r="BL106" s="138"/>
      <c r="BP106" s="138"/>
      <c r="BQ106" s="138"/>
      <c r="BU106" s="138"/>
      <c r="BV106" s="138"/>
      <c r="BZ106" s="138"/>
      <c r="CA106" s="138"/>
      <c r="CE106" s="138"/>
      <c r="CF106" s="138"/>
      <c r="CJ106" s="138"/>
      <c r="CK106" s="138"/>
      <c r="CO106" s="138"/>
      <c r="CP106" s="138"/>
      <c r="CT106" s="138"/>
      <c r="CU106" s="138"/>
      <c r="CY106" s="138"/>
      <c r="CZ106" s="138"/>
      <c r="DD106" s="138"/>
      <c r="DE106" s="138"/>
      <c r="DI106" s="138"/>
      <c r="DJ106" s="138"/>
      <c r="DN106" s="138"/>
      <c r="DO106" s="138"/>
      <c r="DS106" s="138"/>
      <c r="DT106" s="138"/>
      <c r="DX106" s="138"/>
      <c r="DY106" s="138"/>
      <c r="EC106" s="138"/>
      <c r="ED106" s="138"/>
      <c r="EH106" s="138"/>
      <c r="EI106" s="138"/>
      <c r="EM106" s="138"/>
      <c r="EN106" s="138"/>
      <c r="ER106" s="138"/>
      <c r="ES106" s="138"/>
      <c r="EW106" s="138"/>
      <c r="EX106" s="138"/>
      <c r="FB106" s="138"/>
      <c r="FC106" s="138"/>
    </row>
    <row r="107" spans="1:159">
      <c r="A107" s="87"/>
      <c r="B107" s="83"/>
      <c r="C107" s="87"/>
      <c r="D107" s="87"/>
      <c r="E107" s="95"/>
      <c r="F107" s="95"/>
      <c r="G107" s="95"/>
      <c r="H107" s="95"/>
      <c r="I107" s="96"/>
      <c r="J107" s="95"/>
      <c r="K107" s="95"/>
      <c r="L107" s="95"/>
      <c r="M107" s="87"/>
      <c r="O107" s="138"/>
      <c r="P107" s="138"/>
      <c r="W107" s="138"/>
      <c r="X107" s="138"/>
      <c r="AB107" s="138"/>
      <c r="AC107" s="138"/>
      <c r="AG107" s="138"/>
      <c r="AH107" s="138"/>
      <c r="AL107" s="138"/>
      <c r="AM107" s="138"/>
      <c r="AQ107" s="138"/>
      <c r="AR107" s="138"/>
      <c r="AV107" s="138"/>
      <c r="AW107" s="138"/>
      <c r="BA107" s="138"/>
      <c r="BB107" s="138"/>
      <c r="BF107" s="138"/>
      <c r="BG107" s="138"/>
      <c r="BK107" s="138"/>
      <c r="BL107" s="138"/>
      <c r="BP107" s="138"/>
      <c r="BQ107" s="138"/>
      <c r="BU107" s="138"/>
      <c r="BV107" s="138"/>
      <c r="BZ107" s="138"/>
      <c r="CA107" s="138"/>
      <c r="CE107" s="138"/>
      <c r="CF107" s="138"/>
      <c r="CJ107" s="138"/>
      <c r="CK107" s="138"/>
      <c r="CO107" s="138"/>
      <c r="CP107" s="138"/>
      <c r="CT107" s="138"/>
      <c r="CU107" s="138"/>
      <c r="CY107" s="138"/>
      <c r="CZ107" s="138"/>
      <c r="DD107" s="138"/>
      <c r="DE107" s="138"/>
      <c r="DI107" s="138"/>
      <c r="DJ107" s="138"/>
      <c r="DN107" s="138"/>
      <c r="DO107" s="138"/>
      <c r="DS107" s="138"/>
      <c r="DT107" s="138"/>
      <c r="DX107" s="138"/>
      <c r="DY107" s="138"/>
      <c r="EC107" s="138"/>
      <c r="ED107" s="138"/>
      <c r="EH107" s="138"/>
      <c r="EI107" s="138"/>
      <c r="EM107" s="138"/>
      <c r="EN107" s="138"/>
      <c r="ER107" s="138"/>
      <c r="ES107" s="138"/>
      <c r="EW107" s="138"/>
      <c r="EX107" s="138"/>
      <c r="FB107" s="138"/>
      <c r="FC107" s="138"/>
    </row>
    <row r="108" spans="1:159">
      <c r="A108" s="87"/>
      <c r="B108" s="83"/>
      <c r="C108" s="87"/>
      <c r="D108" s="87"/>
      <c r="E108" s="95"/>
      <c r="F108" s="95"/>
      <c r="G108" s="95"/>
      <c r="H108" s="95"/>
      <c r="I108" s="96"/>
      <c r="J108" s="95"/>
      <c r="K108" s="95"/>
      <c r="L108" s="95"/>
      <c r="M108" s="87"/>
      <c r="O108" s="138"/>
      <c r="P108" s="138"/>
      <c r="W108" s="138"/>
      <c r="X108" s="138"/>
      <c r="AB108" s="138"/>
      <c r="AC108" s="138"/>
      <c r="AG108" s="138"/>
      <c r="AH108" s="138"/>
      <c r="AL108" s="138"/>
      <c r="AM108" s="138"/>
      <c r="AQ108" s="138"/>
      <c r="AR108" s="138"/>
      <c r="AV108" s="138"/>
      <c r="AW108" s="138"/>
      <c r="BA108" s="138"/>
      <c r="BB108" s="138"/>
      <c r="BF108" s="138"/>
      <c r="BG108" s="138"/>
      <c r="BK108" s="138"/>
      <c r="BL108" s="138"/>
      <c r="BP108" s="138"/>
      <c r="BQ108" s="138"/>
      <c r="BU108" s="138"/>
      <c r="BV108" s="138"/>
      <c r="BZ108" s="138"/>
      <c r="CA108" s="138"/>
      <c r="CE108" s="138"/>
      <c r="CF108" s="138"/>
      <c r="CJ108" s="138"/>
      <c r="CK108" s="138"/>
      <c r="CO108" s="138"/>
      <c r="CP108" s="138"/>
      <c r="CT108" s="138"/>
      <c r="CU108" s="138"/>
      <c r="CY108" s="138"/>
      <c r="CZ108" s="138"/>
      <c r="DD108" s="138"/>
      <c r="DE108" s="138"/>
      <c r="DI108" s="138"/>
      <c r="DJ108" s="138"/>
      <c r="DN108" s="138"/>
      <c r="DO108" s="138"/>
      <c r="DS108" s="138"/>
      <c r="DT108" s="138"/>
      <c r="DX108" s="138"/>
      <c r="DY108" s="138"/>
      <c r="EC108" s="138"/>
      <c r="ED108" s="138"/>
      <c r="EH108" s="138"/>
      <c r="EI108" s="138"/>
      <c r="EM108" s="138"/>
      <c r="EN108" s="138"/>
      <c r="ER108" s="138"/>
      <c r="ES108" s="138"/>
      <c r="EW108" s="138"/>
      <c r="EX108" s="138"/>
      <c r="FB108" s="138"/>
      <c r="FC108" s="138"/>
    </row>
    <row r="109" spans="1:159">
      <c r="A109" s="87"/>
      <c r="B109" s="83"/>
      <c r="C109" s="87"/>
      <c r="D109" s="87"/>
      <c r="E109" s="95"/>
      <c r="F109" s="95"/>
      <c r="G109" s="95"/>
      <c r="H109" s="95"/>
      <c r="I109" s="96"/>
      <c r="J109" s="95"/>
      <c r="K109" s="95"/>
      <c r="L109" s="95"/>
      <c r="M109" s="87"/>
    </row>
    <row r="110" spans="1:159">
      <c r="A110" s="87"/>
      <c r="B110" s="83"/>
      <c r="C110" s="87"/>
      <c r="D110" s="87"/>
      <c r="E110" s="95"/>
      <c r="F110" s="95"/>
      <c r="G110" s="95"/>
      <c r="H110" s="95"/>
      <c r="I110" s="96"/>
      <c r="J110" s="95"/>
      <c r="K110" s="95"/>
      <c r="L110" s="95"/>
      <c r="M110" s="87"/>
    </row>
    <row r="111" spans="1:159">
      <c r="A111" s="87"/>
      <c r="B111" s="83"/>
      <c r="C111" s="87"/>
      <c r="D111" s="87"/>
      <c r="E111" s="95"/>
      <c r="F111" s="95"/>
      <c r="G111" s="95"/>
      <c r="H111" s="95"/>
      <c r="I111" s="96"/>
      <c r="J111" s="95"/>
      <c r="K111" s="95"/>
      <c r="L111" s="95"/>
      <c r="M111" s="87"/>
    </row>
    <row r="112" spans="1:159">
      <c r="A112" s="87"/>
      <c r="B112" s="83"/>
      <c r="C112" s="87"/>
      <c r="D112" s="87"/>
      <c r="E112" s="95"/>
      <c r="F112" s="95"/>
      <c r="G112" s="95"/>
      <c r="H112" s="95"/>
      <c r="I112" s="96"/>
      <c r="J112" s="95"/>
      <c r="K112" s="95"/>
      <c r="L112" s="95"/>
      <c r="M112" s="87"/>
    </row>
    <row r="113" spans="1:13">
      <c r="A113" s="87"/>
      <c r="B113" s="83"/>
      <c r="C113" s="87"/>
      <c r="D113" s="87"/>
      <c r="E113" s="95"/>
      <c r="F113" s="95"/>
      <c r="G113" s="95"/>
      <c r="H113" s="95"/>
      <c r="I113" s="96"/>
      <c r="J113" s="95"/>
      <c r="K113" s="95"/>
      <c r="L113" s="95"/>
      <c r="M113" s="87"/>
    </row>
    <row r="114" spans="1:13">
      <c r="A114" s="87"/>
      <c r="B114" s="83"/>
      <c r="C114" s="87"/>
      <c r="D114" s="87"/>
      <c r="E114" s="95"/>
      <c r="F114" s="95"/>
      <c r="G114" s="95"/>
      <c r="H114" s="95"/>
      <c r="I114" s="96"/>
      <c r="J114" s="95"/>
      <c r="K114" s="95"/>
      <c r="L114" s="95"/>
      <c r="M114" s="87"/>
    </row>
    <row r="115" spans="1:13">
      <c r="A115" s="87"/>
      <c r="B115" s="83"/>
      <c r="C115" s="87"/>
      <c r="D115" s="87"/>
      <c r="E115" s="95"/>
      <c r="F115" s="95"/>
      <c r="G115" s="95"/>
      <c r="H115" s="95"/>
      <c r="I115" s="96"/>
      <c r="J115" s="95"/>
      <c r="K115" s="95"/>
      <c r="L115" s="95"/>
      <c r="M115" s="87"/>
    </row>
    <row r="116" spans="1:13">
      <c r="A116" s="87"/>
      <c r="B116" s="83"/>
      <c r="C116" s="87"/>
      <c r="D116" s="87"/>
      <c r="E116" s="95"/>
      <c r="F116" s="95"/>
      <c r="G116" s="95"/>
      <c r="H116" s="95"/>
      <c r="I116" s="96"/>
      <c r="J116" s="95"/>
      <c r="K116" s="95"/>
      <c r="L116" s="95"/>
      <c r="M116" s="87"/>
    </row>
    <row r="117" spans="1:13">
      <c r="A117" s="87"/>
      <c r="B117" s="83"/>
      <c r="C117" s="87"/>
      <c r="D117" s="87"/>
      <c r="E117" s="95"/>
      <c r="F117" s="95"/>
      <c r="G117" s="95"/>
      <c r="H117" s="95"/>
      <c r="I117" s="96"/>
      <c r="J117" s="95"/>
      <c r="K117" s="95"/>
      <c r="L117" s="95"/>
      <c r="M117" s="87"/>
    </row>
    <row r="118" spans="1:13">
      <c r="A118" s="87"/>
      <c r="B118" s="83"/>
      <c r="C118" s="87"/>
      <c r="D118" s="87"/>
      <c r="E118" s="95"/>
      <c r="F118" s="95"/>
      <c r="G118" s="95"/>
      <c r="H118" s="95"/>
      <c r="I118" s="96"/>
      <c r="J118" s="95"/>
      <c r="K118" s="95"/>
      <c r="L118" s="95"/>
      <c r="M118" s="87"/>
    </row>
    <row r="119" spans="1:13">
      <c r="A119" s="87"/>
      <c r="B119" s="83"/>
      <c r="C119" s="87"/>
      <c r="D119" s="87"/>
      <c r="E119" s="95"/>
      <c r="F119" s="95"/>
      <c r="G119" s="95"/>
      <c r="H119" s="95"/>
      <c r="I119" s="96"/>
      <c r="J119" s="95"/>
      <c r="K119" s="95"/>
      <c r="L119" s="95"/>
      <c r="M119" s="87"/>
    </row>
    <row r="120" spans="1:13">
      <c r="A120" s="87"/>
      <c r="B120" s="83"/>
      <c r="C120" s="87"/>
      <c r="D120" s="87"/>
      <c r="E120" s="95"/>
      <c r="F120" s="95"/>
      <c r="G120" s="95"/>
      <c r="H120" s="95"/>
      <c r="I120" s="96"/>
      <c r="J120" s="95"/>
      <c r="K120" s="95"/>
      <c r="L120" s="95"/>
      <c r="M120" s="87"/>
    </row>
    <row r="121" spans="1:13">
      <c r="A121" s="87"/>
      <c r="B121" s="83"/>
      <c r="C121" s="87"/>
      <c r="D121" s="87"/>
      <c r="E121" s="95"/>
      <c r="F121" s="95"/>
      <c r="G121" s="95"/>
      <c r="H121" s="95"/>
      <c r="I121" s="96"/>
      <c r="J121" s="95"/>
      <c r="K121" s="95"/>
      <c r="L121" s="95"/>
      <c r="M121" s="87"/>
    </row>
    <row r="122" spans="1:13">
      <c r="A122" s="87"/>
      <c r="B122" s="83"/>
      <c r="C122" s="87"/>
      <c r="D122" s="87"/>
      <c r="E122" s="95"/>
      <c r="F122" s="95"/>
      <c r="G122" s="95"/>
      <c r="H122" s="95"/>
      <c r="I122" s="96"/>
      <c r="J122" s="95"/>
      <c r="K122" s="95"/>
      <c r="L122" s="95"/>
      <c r="M122" s="87"/>
    </row>
    <row r="123" spans="1:13">
      <c r="A123" s="87"/>
      <c r="B123" s="83"/>
      <c r="C123" s="87"/>
      <c r="D123" s="87"/>
      <c r="E123" s="95"/>
      <c r="F123" s="95"/>
      <c r="G123" s="95"/>
      <c r="H123" s="95"/>
      <c r="I123" s="96"/>
      <c r="J123" s="95"/>
      <c r="K123" s="95"/>
      <c r="L123" s="95"/>
      <c r="M123" s="87"/>
    </row>
    <row r="124" spans="1:13">
      <c r="A124" s="87"/>
      <c r="B124" s="83"/>
      <c r="C124" s="87"/>
      <c r="D124" s="87"/>
      <c r="E124" s="95"/>
      <c r="F124" s="95"/>
      <c r="G124" s="95"/>
      <c r="H124" s="95"/>
      <c r="I124" s="96"/>
      <c r="J124" s="95"/>
      <c r="K124" s="95"/>
      <c r="L124" s="95"/>
      <c r="M124" s="87"/>
    </row>
    <row r="125" spans="1:13">
      <c r="A125" s="87"/>
      <c r="B125" s="83"/>
      <c r="C125" s="87"/>
      <c r="D125" s="87"/>
      <c r="E125" s="95"/>
      <c r="F125" s="95"/>
      <c r="G125" s="95"/>
      <c r="H125" s="95"/>
      <c r="I125" s="96"/>
      <c r="J125" s="95"/>
      <c r="K125" s="95"/>
      <c r="L125" s="95"/>
      <c r="M125" s="87"/>
    </row>
    <row r="126" spans="1:13">
      <c r="A126" s="87"/>
      <c r="B126" s="83"/>
      <c r="C126" s="87"/>
      <c r="D126" s="87"/>
      <c r="E126" s="95"/>
      <c r="F126" s="95"/>
      <c r="G126" s="95"/>
      <c r="H126" s="95"/>
      <c r="I126" s="96"/>
      <c r="J126" s="95"/>
      <c r="K126" s="95"/>
      <c r="L126" s="95"/>
      <c r="M126" s="87"/>
    </row>
    <row r="127" spans="1:13">
      <c r="A127" s="87"/>
      <c r="B127" s="83"/>
      <c r="C127" s="87"/>
      <c r="D127" s="87"/>
      <c r="E127" s="95"/>
      <c r="F127" s="95"/>
      <c r="G127" s="95"/>
      <c r="H127" s="95"/>
      <c r="I127" s="96"/>
      <c r="J127" s="95"/>
      <c r="K127" s="95"/>
      <c r="L127" s="95"/>
      <c r="M127" s="87"/>
    </row>
    <row r="128" spans="1:13">
      <c r="A128" s="87"/>
      <c r="B128" s="83"/>
      <c r="C128" s="87"/>
      <c r="D128" s="87"/>
      <c r="E128" s="95"/>
      <c r="F128" s="95"/>
      <c r="G128" s="95"/>
      <c r="H128" s="95"/>
      <c r="I128" s="96"/>
      <c r="J128" s="95"/>
      <c r="K128" s="95"/>
      <c r="L128" s="95"/>
      <c r="M128" s="87"/>
    </row>
    <row r="129" spans="1:13">
      <c r="A129" s="87"/>
      <c r="B129" s="83"/>
      <c r="C129" s="87"/>
      <c r="D129" s="87"/>
      <c r="E129" s="95"/>
      <c r="F129" s="95"/>
      <c r="G129" s="95"/>
      <c r="H129" s="95"/>
      <c r="I129" s="96"/>
      <c r="J129" s="95"/>
      <c r="K129" s="95"/>
      <c r="L129" s="95"/>
      <c r="M129" s="87"/>
    </row>
  </sheetData>
  <mergeCells count="91">
    <mergeCell ref="L33:L34"/>
    <mergeCell ref="M33:M34"/>
    <mergeCell ref="F30:G31"/>
    <mergeCell ref="F28:M29"/>
    <mergeCell ref="A31:C31"/>
    <mergeCell ref="I31:K31"/>
    <mergeCell ref="F33:G33"/>
    <mergeCell ref="J33:K33"/>
    <mergeCell ref="A33:A34"/>
    <mergeCell ref="B33:B34"/>
    <mergeCell ref="C33:C34"/>
    <mergeCell ref="D33:D34"/>
    <mergeCell ref="E33:E34"/>
    <mergeCell ref="H30:H31"/>
    <mergeCell ref="H33:H34"/>
    <mergeCell ref="I33:I34"/>
    <mergeCell ref="A27:C27"/>
    <mergeCell ref="A28:C28"/>
    <mergeCell ref="A29:C29"/>
    <mergeCell ref="A30:C30"/>
    <mergeCell ref="I30:K30"/>
    <mergeCell ref="A21:C21"/>
    <mergeCell ref="A22:C22"/>
    <mergeCell ref="A23:C23"/>
    <mergeCell ref="A25:C25"/>
    <mergeCell ref="A26:C26"/>
    <mergeCell ref="A16:C16"/>
    <mergeCell ref="A17:C17"/>
    <mergeCell ref="A18:C18"/>
    <mergeCell ref="A19:C19"/>
    <mergeCell ref="A20:C20"/>
    <mergeCell ref="A11:C11"/>
    <mergeCell ref="A12:C12"/>
    <mergeCell ref="A13:C13"/>
    <mergeCell ref="A14:C14"/>
    <mergeCell ref="A15:C15"/>
    <mergeCell ref="A6:M6"/>
    <mergeCell ref="A7:M7"/>
    <mergeCell ref="A8:M8"/>
    <mergeCell ref="A9:C9"/>
    <mergeCell ref="A10:C10"/>
    <mergeCell ref="F9:F10"/>
    <mergeCell ref="G9:G10"/>
    <mergeCell ref="H9:H10"/>
    <mergeCell ref="I9:I10"/>
    <mergeCell ref="A4:C4"/>
    <mergeCell ref="D4:H4"/>
    <mergeCell ref="I4:K4"/>
    <mergeCell ref="L4:M4"/>
    <mergeCell ref="A5:C5"/>
    <mergeCell ref="D5:H5"/>
    <mergeCell ref="I5:K5"/>
    <mergeCell ref="L5:M5"/>
    <mergeCell ref="A2:C2"/>
    <mergeCell ref="D2:H2"/>
    <mergeCell ref="I2:K2"/>
    <mergeCell ref="L2:M2"/>
    <mergeCell ref="A3:C3"/>
    <mergeCell ref="D3:H3"/>
    <mergeCell ref="I3:K3"/>
    <mergeCell ref="L3:M3"/>
    <mergeCell ref="EH1:EI1"/>
    <mergeCell ref="EM1:EN1"/>
    <mergeCell ref="ER1:ES1"/>
    <mergeCell ref="EW1:EX1"/>
    <mergeCell ref="FB1:FC1"/>
    <mergeCell ref="DI1:DJ1"/>
    <mergeCell ref="DN1:DO1"/>
    <mergeCell ref="DS1:DT1"/>
    <mergeCell ref="DX1:DY1"/>
    <mergeCell ref="EC1:ED1"/>
    <mergeCell ref="CJ1:CK1"/>
    <mergeCell ref="CO1:CP1"/>
    <mergeCell ref="CT1:CU1"/>
    <mergeCell ref="CY1:CZ1"/>
    <mergeCell ref="DD1:DE1"/>
    <mergeCell ref="BK1:BL1"/>
    <mergeCell ref="BP1:BQ1"/>
    <mergeCell ref="BU1:BV1"/>
    <mergeCell ref="BZ1:CA1"/>
    <mergeCell ref="CE1:CF1"/>
    <mergeCell ref="AL1:AM1"/>
    <mergeCell ref="AQ1:AR1"/>
    <mergeCell ref="AV1:AW1"/>
    <mergeCell ref="BA1:BB1"/>
    <mergeCell ref="BF1:BG1"/>
    <mergeCell ref="A1:M1"/>
    <mergeCell ref="N1:Q1"/>
    <mergeCell ref="W1:X1"/>
    <mergeCell ref="AB1:AC1"/>
    <mergeCell ref="AG1:AH1"/>
  </mergeCells>
  <conditionalFormatting sqref="E35:E15034">
    <cfRule type="dataBar" priority="6">
      <dataBar>
        <cfvo type="min"/>
        <cfvo type="max"/>
        <color rgb="FF638EC6"/>
      </dataBar>
      <extLst>
        <ext xmlns:x14="http://schemas.microsoft.com/office/spreadsheetml/2009/9/main" uri="{B025F937-C7B1-47D3-B67F-A62EFF666E3E}">
          <x14:id>{84853AD3-B529-4D1D-A38C-ECFF29E9594B}</x14:id>
        </ext>
      </extLst>
    </cfRule>
  </conditionalFormatting>
  <conditionalFormatting sqref="H35:H15034">
    <cfRule type="dataBar" priority="5">
      <dataBar>
        <cfvo type="min"/>
        <cfvo type="max"/>
        <color rgb="FF63C384"/>
      </dataBar>
      <extLst>
        <ext xmlns:x14="http://schemas.microsoft.com/office/spreadsheetml/2009/9/main" uri="{B025F937-C7B1-47D3-B67F-A62EFF666E3E}">
          <x14:id>{1326E389-9051-49D5-8255-A2B2E2208FAE}</x14:id>
        </ext>
      </extLst>
    </cfRule>
  </conditionalFormatting>
  <conditionalFormatting sqref="L35:L15034">
    <cfRule type="dataBar" priority="4">
      <dataBar>
        <cfvo type="min"/>
        <cfvo type="max"/>
        <color rgb="FFFF555A"/>
      </dataBar>
      <extLst>
        <ext xmlns:x14="http://schemas.microsoft.com/office/spreadsheetml/2009/9/main" uri="{B025F937-C7B1-47D3-B67F-A62EFF666E3E}">
          <x14:id>{58639590-1B91-4749-B4FA-0C846EE345A1}</x14:id>
        </ext>
      </extLst>
    </cfRule>
  </conditionalFormatting>
  <conditionalFormatting sqref="M35:M15034">
    <cfRule type="dataBar" priority="3">
      <dataBar>
        <cfvo type="min"/>
        <cfvo type="max"/>
        <color rgb="FF008AEF"/>
      </dataBar>
      <extLst>
        <ext xmlns:x14="http://schemas.microsoft.com/office/spreadsheetml/2009/9/main" uri="{B025F937-C7B1-47D3-B67F-A62EFF666E3E}">
          <x14:id>{BAD08397-42BD-461C-87A4-D12D2E8AD150}</x14:id>
        </ext>
      </extLst>
    </cfRule>
  </conditionalFormatting>
  <conditionalFormatting sqref="B35:B15034">
    <cfRule type="cellIs" dxfId="7" priority="39" operator="equal">
      <formula>$D$16</formula>
    </cfRule>
    <cfRule type="cellIs" dxfId="6" priority="38" operator="equal">
      <formula>$D$15</formula>
    </cfRule>
  </conditionalFormatting>
  <dataValidations count="6">
    <dataValidation type="list" allowBlank="1" showInputMessage="1" showErrorMessage="1" sqref="D10">
      <formula1>"Cọc khoan nhồi, Cọc khoan thả, Cọc ống, Cọc vít,Cọc đóng ép"</formula1>
    </dataValidation>
    <dataValidation type="list" allowBlank="1" showInputMessage="1" showErrorMessage="1" sqref="E10">
      <formula1>"Cọc nhồi, Cọc khoan, Cọc đào thả, Cọc vít,Cọc đóng ép"</formula1>
    </dataValidation>
    <dataValidation type="list" allowBlank="1" showInputMessage="1" showErrorMessage="1" sqref="D11:E11">
      <formula1>"Cọc Vuông,Cọc Tròn"</formula1>
    </dataValidation>
    <dataValidation type="list" allowBlank="1" showInputMessage="1" showErrorMessage="1" sqref="D25">
      <formula1>"C1,C2,C3"</formula1>
    </dataValidation>
    <dataValidation type="list" allowBlank="1" showInputMessage="1" showErrorMessage="1" sqref="D28">
      <formula1>"Yes,No"</formula1>
    </dataValidation>
    <dataValidation type="list" allowBlank="1" showInputMessage="1" showErrorMessage="1" sqref="I11:I27 X3:X15 AC3:AC15 AH3:AH15 AM3:AM15 AR3:AR15 AW3:AW15 BB3:BB15 BG3:BG15 BL3:BL15 BQ3:BQ15 BV3:BV15 CA3:CA15 CF3:CF15 CK3:CK15 CP3:CP15 CU3:CU15 CZ3:CZ15 DE3:DE15 DJ3:DJ15 DO3:DO15 DT3:DT15 DY3:DY15 ED3:ED15 EI3:EI15 EN3:EN15 ES3:ES15 EX3:EX15 FC3:FC15">
      <formula1>"Đất dính,Đất rời"</formula1>
    </dataValidation>
  </dataValidations>
  <pageMargins left="0.59055118110236204" right="0.39370078740157499" top="0.39370078740157499" bottom="0.39370078740157499" header="0.15748031496063" footer="0.15748031496063"/>
  <pageSetup paperSize="9" scale="82"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82" r:id="rId4" name="Button 6">
              <controlPr defaultSize="0" print="0" autoPict="0" macro="[0]!LayDuLieuTheoCot">
                <anchor moveWithCells="1" sizeWithCells="1">
                  <from>
                    <xdr:col>0</xdr:col>
                    <xdr:colOff>47625</xdr:colOff>
                    <xdr:row>7</xdr:row>
                    <xdr:rowOff>19050</xdr:rowOff>
                  </from>
                  <to>
                    <xdr:col>3</xdr:col>
                    <xdr:colOff>685800</xdr:colOff>
                    <xdr:row>7</xdr:row>
                    <xdr:rowOff>200025</xdr:rowOff>
                  </to>
                </anchor>
              </controlPr>
            </control>
          </mc:Choice>
        </mc:AlternateContent>
        <mc:AlternateContent xmlns:mc="http://schemas.openxmlformats.org/markup-compatibility/2006">
          <mc:Choice Requires="x14">
            <control shapeId="24591" r:id="rId5" name="Button 15">
              <controlPr defaultSize="0" print="0" autoPict="0" macro="[0]!InTMHoKhoanRaPDF">
                <anchor moveWithCells="1" sizeWithCells="1">
                  <from>
                    <xdr:col>16</xdr:col>
                    <xdr:colOff>542925</xdr:colOff>
                    <xdr:row>16</xdr:row>
                    <xdr:rowOff>0</xdr:rowOff>
                  </from>
                  <to>
                    <xdr:col>18</xdr:col>
                    <xdr:colOff>542925</xdr:colOff>
                    <xdr:row>18</xdr:row>
                    <xdr:rowOff>0</xdr:rowOff>
                  </to>
                </anchor>
              </controlPr>
            </control>
          </mc:Choice>
        </mc:AlternateContent>
        <mc:AlternateContent xmlns:mc="http://schemas.openxmlformats.org/markup-compatibility/2006">
          <mc:Choice Requires="x14">
            <control shapeId="24600" r:id="rId6" name="Button 24">
              <controlPr defaultSize="0" print="0" autoPict="0" macro="[0]!CopyData_All_InOne">
                <anchor moveWithCells="1" sizeWithCells="1">
                  <from>
                    <xdr:col>17</xdr:col>
                    <xdr:colOff>47625</xdr:colOff>
                    <xdr:row>0</xdr:row>
                    <xdr:rowOff>19050</xdr:rowOff>
                  </from>
                  <to>
                    <xdr:col>19</xdr:col>
                    <xdr:colOff>485775</xdr:colOff>
                    <xdr:row>4</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84853AD3-B529-4D1D-A38C-ECFF29E9594B}">
            <x14:dataBar minLength="0" maxLength="100" border="1" negativeBarBorderColorSameAsPositive="0">
              <x14:cfvo type="autoMin"/>
              <x14:cfvo type="autoMax"/>
              <x14:borderColor rgb="FF638EC6"/>
              <x14:negativeFillColor rgb="FFFF0000"/>
              <x14:negativeBorderColor rgb="FFFF0000"/>
              <x14:axisColor rgb="FF000000"/>
            </x14:dataBar>
          </x14:cfRule>
          <xm:sqref>E35:E15034</xm:sqref>
        </x14:conditionalFormatting>
        <x14:conditionalFormatting xmlns:xm="http://schemas.microsoft.com/office/excel/2006/main">
          <x14:cfRule type="dataBar" id="{1326E389-9051-49D5-8255-A2B2E2208FAE}">
            <x14:dataBar minLength="0" maxLength="100" border="1" negativeBarBorderColorSameAsPositive="0">
              <x14:cfvo type="autoMin"/>
              <x14:cfvo type="autoMax"/>
              <x14:borderColor rgb="FF63C384"/>
              <x14:negativeFillColor rgb="FFFF0000"/>
              <x14:negativeBorderColor rgb="FFFF0000"/>
              <x14:axisColor rgb="FF000000"/>
            </x14:dataBar>
          </x14:cfRule>
          <xm:sqref>H35:H15034</xm:sqref>
        </x14:conditionalFormatting>
        <x14:conditionalFormatting xmlns:xm="http://schemas.microsoft.com/office/excel/2006/main">
          <x14:cfRule type="dataBar" id="{58639590-1B91-4749-B4FA-0C846EE345A1}">
            <x14:dataBar minLength="0" maxLength="100" border="1" negativeBarBorderColorSameAsPositive="0">
              <x14:cfvo type="autoMin"/>
              <x14:cfvo type="autoMax"/>
              <x14:borderColor rgb="FFFF555A"/>
              <x14:negativeFillColor rgb="FFFF0000"/>
              <x14:negativeBorderColor rgb="FFFF0000"/>
              <x14:axisColor rgb="FF000000"/>
            </x14:dataBar>
          </x14:cfRule>
          <xm:sqref>L35:L15034</xm:sqref>
        </x14:conditionalFormatting>
        <x14:conditionalFormatting xmlns:xm="http://schemas.microsoft.com/office/excel/2006/main">
          <x14:cfRule type="dataBar" id="{BAD08397-42BD-461C-87A4-D12D2E8AD150}">
            <x14:dataBar minLength="0" maxLength="100" gradient="0">
              <x14:cfvo type="autoMin"/>
              <x14:cfvo type="autoMax"/>
              <x14:negativeFillColor rgb="FFFF0000"/>
              <x14:axisColor rgb="FF000000"/>
            </x14:dataBar>
          </x14:cfRule>
          <xm:sqref>M35:M15034</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FFC000"/>
    <pageSetUpPr fitToPage="1"/>
  </sheetPr>
  <dimension ref="A1:KP131"/>
  <sheetViews>
    <sheetView view="pageBreakPreview" zoomScale="115" zoomScaleNormal="115" workbookViewId="0">
      <selection activeCell="T16" sqref="T16"/>
    </sheetView>
  </sheetViews>
  <sheetFormatPr defaultColWidth="8.140625" defaultRowHeight="12.75"/>
  <cols>
    <col min="1" max="1" width="8" style="38" customWidth="1"/>
    <col min="2" max="2" width="10.28515625" style="39" customWidth="1"/>
    <col min="3" max="3" width="8.140625" style="38" customWidth="1"/>
    <col min="4" max="4" width="10.5703125" style="38" customWidth="1"/>
    <col min="5" max="5" width="5.140625" style="38" customWidth="1"/>
    <col min="6" max="6" width="5.5703125" style="41" customWidth="1"/>
    <col min="7" max="7" width="8.7109375" style="38" customWidth="1"/>
    <col min="8" max="8" width="9.28515625" style="38" customWidth="1"/>
    <col min="9" max="9" width="8.42578125" style="38" customWidth="1"/>
    <col min="10" max="10" width="9.42578125" style="39" customWidth="1"/>
    <col min="11" max="11" width="7.5703125" style="41" customWidth="1"/>
    <col min="12" max="12" width="10.5703125" style="38" customWidth="1"/>
    <col min="13" max="13" width="9.42578125" style="38" customWidth="1"/>
    <col min="14" max="14" width="7.85546875" style="38" customWidth="1"/>
    <col min="15" max="15" width="9.42578125" style="38" customWidth="1"/>
    <col min="16" max="16" width="9.42578125" style="81" customWidth="1"/>
    <col min="17" max="17" width="10.28515625" style="37" customWidth="1"/>
    <col min="18" max="18" width="8.85546875" style="43" customWidth="1"/>
    <col min="19" max="19" width="10.85546875" style="43" customWidth="1"/>
    <col min="20" max="20" width="8.140625" style="43"/>
    <col min="21" max="23" width="8.140625" style="128"/>
    <col min="24" max="24" width="11.42578125" style="128" customWidth="1"/>
    <col min="25" max="25" width="8.140625" style="128"/>
    <col min="26" max="26" width="8.85546875" style="43" customWidth="1"/>
    <col min="27" max="32" width="10.85546875" style="43" customWidth="1"/>
    <col min="33" max="35" width="8.140625" style="43"/>
    <col min="36" max="36" width="8.85546875" style="43" customWidth="1"/>
    <col min="37" max="42" width="10.85546875" style="43" customWidth="1"/>
    <col min="43" max="45" width="8.140625" style="43"/>
    <col min="46" max="46" width="8.85546875" style="43" customWidth="1"/>
    <col min="47" max="52" width="10.85546875" style="43" customWidth="1"/>
    <col min="53" max="55" width="8.140625" style="43"/>
    <col min="56" max="56" width="8.85546875" style="43" customWidth="1"/>
    <col min="57" max="62" width="10.85546875" style="43" customWidth="1"/>
    <col min="63" max="65" width="8.140625" style="43"/>
    <col min="66" max="66" width="8.85546875" style="43" customWidth="1"/>
    <col min="67" max="72" width="10.85546875" style="43" customWidth="1"/>
    <col min="73" max="75" width="8.140625" style="43"/>
    <col min="76" max="76" width="8.85546875" style="43" customWidth="1"/>
    <col min="77" max="82" width="10.85546875" style="43" customWidth="1"/>
    <col min="83" max="85" width="8.140625" style="43"/>
    <col min="86" max="86" width="8.85546875" style="43" customWidth="1"/>
    <col min="87" max="92" width="10.85546875" style="43" customWidth="1"/>
    <col min="93" max="95" width="8.140625" style="43"/>
    <col min="96" max="96" width="8.85546875" style="43" customWidth="1"/>
    <col min="97" max="102" width="10.85546875" style="43" customWidth="1"/>
    <col min="103" max="105" width="8.140625" style="43"/>
    <col min="106" max="106" width="8.85546875" style="43" customWidth="1"/>
    <col min="107" max="112" width="10.85546875" style="43" customWidth="1"/>
    <col min="113" max="115" width="8.140625" style="43"/>
    <col min="116" max="116" width="8.85546875" style="43" customWidth="1"/>
    <col min="117" max="122" width="10.85546875" style="43" customWidth="1"/>
    <col min="123" max="125" width="8.140625" style="43"/>
    <col min="126" max="126" width="8.85546875" style="43" customWidth="1"/>
    <col min="127" max="132" width="10.85546875" style="43" customWidth="1"/>
    <col min="133" max="135" width="8.140625" style="43"/>
    <col min="136" max="136" width="8.85546875" style="43" customWidth="1"/>
    <col min="137" max="142" width="10.85546875" style="43" customWidth="1"/>
    <col min="143" max="145" width="8.140625" style="43"/>
    <col min="146" max="146" width="8.85546875" style="43" customWidth="1"/>
    <col min="147" max="152" width="10.85546875" style="43" customWidth="1"/>
    <col min="153" max="155" width="8.140625" style="43"/>
    <col min="156" max="156" width="8.85546875" style="43" customWidth="1"/>
    <col min="157" max="162" width="10.85546875" style="43" customWidth="1"/>
    <col min="163" max="165" width="8.140625" style="43"/>
    <col min="166" max="166" width="8.85546875" style="43" customWidth="1"/>
    <col min="167" max="172" width="10.85546875" style="43" customWidth="1"/>
    <col min="173" max="175" width="8.140625" style="43"/>
    <col min="176" max="176" width="8.85546875" style="43" customWidth="1"/>
    <col min="177" max="182" width="10.85546875" style="43" customWidth="1"/>
    <col min="183" max="185" width="8.140625" style="43"/>
    <col min="186" max="186" width="8.85546875" style="43" customWidth="1"/>
    <col min="187" max="192" width="10.85546875" style="43" customWidth="1"/>
    <col min="193" max="195" width="8.140625" style="43"/>
    <col min="196" max="196" width="8.85546875" style="43" customWidth="1"/>
    <col min="197" max="202" width="10.85546875" style="43" customWidth="1"/>
    <col min="203" max="205" width="8.140625" style="43"/>
    <col min="206" max="206" width="8.85546875" style="43" customWidth="1"/>
    <col min="207" max="212" width="10.85546875" style="43" customWidth="1"/>
    <col min="213" max="215" width="8.140625" style="43"/>
    <col min="216" max="216" width="8.85546875" style="43" customWidth="1"/>
    <col min="217" max="222" width="10.85546875" style="43" customWidth="1"/>
    <col min="223" max="225" width="8.140625" style="43"/>
    <col min="226" max="226" width="8.85546875" style="43" customWidth="1"/>
    <col min="227" max="232" width="10.85546875" style="43" customWidth="1"/>
    <col min="233" max="235" width="8.140625" style="43"/>
    <col min="236" max="236" width="8.85546875" style="43" customWidth="1"/>
    <col min="237" max="242" width="10.85546875" style="43" customWidth="1"/>
    <col min="243" max="245" width="8.140625" style="43"/>
    <col min="246" max="246" width="8.85546875" style="43" customWidth="1"/>
    <col min="247" max="252" width="10.85546875" style="43" customWidth="1"/>
    <col min="253" max="255" width="8.140625" style="43"/>
    <col min="256" max="256" width="8.85546875" style="43" customWidth="1"/>
    <col min="257" max="262" width="10.85546875" style="43" customWidth="1"/>
    <col min="263" max="265" width="8.140625" style="43"/>
    <col min="266" max="266" width="8.85546875" style="43" customWidth="1"/>
    <col min="267" max="272" width="10.85546875" style="43" customWidth="1"/>
    <col min="273" max="275" width="8.140625" style="43"/>
    <col min="276" max="276" width="8.85546875" style="43" customWidth="1"/>
    <col min="277" max="282" width="10.85546875" style="43" customWidth="1"/>
    <col min="283" max="285" width="8.140625" style="43"/>
    <col min="286" max="286" width="8.85546875" style="43" customWidth="1"/>
    <col min="287" max="292" width="10.85546875" style="43" customWidth="1"/>
    <col min="293" max="293" width="8.140625" style="43"/>
    <col min="294" max="294" width="11.42578125" style="43" customWidth="1"/>
    <col min="295" max="295" width="8.140625" style="43"/>
    <col min="296" max="296" width="8.85546875" style="43" customWidth="1"/>
    <col min="297" max="297" width="10.85546875" style="43" customWidth="1"/>
    <col min="298" max="16384" width="8.140625" style="43"/>
  </cols>
  <sheetData>
    <row r="1" spans="1:302" ht="30" customHeight="1">
      <c r="A1" s="408" t="s">
        <v>228</v>
      </c>
      <c r="B1" s="408"/>
      <c r="C1" s="408"/>
      <c r="D1" s="408"/>
      <c r="E1" s="408"/>
      <c r="F1" s="408"/>
      <c r="G1" s="408"/>
      <c r="H1" s="408"/>
      <c r="I1" s="408"/>
      <c r="J1" s="408"/>
      <c r="K1" s="408"/>
      <c r="L1" s="408"/>
      <c r="M1" s="408"/>
      <c r="N1" s="408"/>
      <c r="O1" s="532"/>
      <c r="P1" s="98"/>
      <c r="Q1" s="533" t="s">
        <v>945</v>
      </c>
      <c r="R1" s="533"/>
      <c r="S1" s="533"/>
      <c r="T1" s="533"/>
      <c r="U1" s="130"/>
      <c r="V1" s="130"/>
      <c r="W1" s="130"/>
      <c r="X1" s="131" t="s">
        <v>305</v>
      </c>
      <c r="Y1" s="131">
        <v>40</v>
      </c>
      <c r="Z1" s="534" t="s">
        <v>946</v>
      </c>
      <c r="AA1" s="534"/>
      <c r="AB1" s="557" t="s">
        <v>1006</v>
      </c>
      <c r="AC1" s="557"/>
      <c r="AD1" s="557"/>
      <c r="AE1" s="557" t="s">
        <v>1007</v>
      </c>
      <c r="AF1" s="557" t="s">
        <v>1008</v>
      </c>
      <c r="AH1" s="131" t="s">
        <v>305</v>
      </c>
      <c r="AI1" s="131">
        <v>43.2</v>
      </c>
      <c r="AJ1" s="534" t="s">
        <v>947</v>
      </c>
      <c r="AK1" s="534"/>
      <c r="AL1" s="557" t="s">
        <v>1006</v>
      </c>
      <c r="AM1" s="557"/>
      <c r="AN1" s="557"/>
      <c r="AO1" s="557" t="s">
        <v>1007</v>
      </c>
      <c r="AP1" s="557" t="s">
        <v>1008</v>
      </c>
      <c r="AR1" s="131" t="s">
        <v>305</v>
      </c>
      <c r="AS1" s="131">
        <v>43.2</v>
      </c>
      <c r="AT1" s="534" t="s">
        <v>948</v>
      </c>
      <c r="AU1" s="534"/>
      <c r="AV1" s="557" t="s">
        <v>1006</v>
      </c>
      <c r="AW1" s="557"/>
      <c r="AX1" s="557"/>
      <c r="AY1" s="557" t="s">
        <v>1007</v>
      </c>
      <c r="AZ1" s="557" t="s">
        <v>1008</v>
      </c>
      <c r="BB1" s="131" t="s">
        <v>305</v>
      </c>
      <c r="BC1" s="131">
        <v>43.2</v>
      </c>
      <c r="BD1" s="534" t="s">
        <v>949</v>
      </c>
      <c r="BE1" s="534"/>
      <c r="BF1" s="557" t="s">
        <v>1006</v>
      </c>
      <c r="BG1" s="557"/>
      <c r="BH1" s="557"/>
      <c r="BI1" s="557" t="s">
        <v>1007</v>
      </c>
      <c r="BJ1" s="557" t="s">
        <v>1008</v>
      </c>
      <c r="BL1" s="131" t="s">
        <v>305</v>
      </c>
      <c r="BM1" s="131">
        <v>43.2</v>
      </c>
      <c r="BN1" s="534" t="s">
        <v>950</v>
      </c>
      <c r="BO1" s="534"/>
      <c r="BP1" s="557" t="s">
        <v>1006</v>
      </c>
      <c r="BQ1" s="557"/>
      <c r="BR1" s="557"/>
      <c r="BS1" s="557" t="s">
        <v>1007</v>
      </c>
      <c r="BT1" s="557" t="s">
        <v>1008</v>
      </c>
      <c r="BV1" s="131" t="s">
        <v>305</v>
      </c>
      <c r="BW1" s="131">
        <v>43.2</v>
      </c>
      <c r="BX1" s="534" t="s">
        <v>951</v>
      </c>
      <c r="BY1" s="534"/>
      <c r="BZ1" s="557" t="s">
        <v>1006</v>
      </c>
      <c r="CA1" s="557"/>
      <c r="CB1" s="557"/>
      <c r="CC1" s="557" t="s">
        <v>1007</v>
      </c>
      <c r="CD1" s="557" t="s">
        <v>1008</v>
      </c>
      <c r="CF1" s="131" t="s">
        <v>305</v>
      </c>
      <c r="CG1" s="131">
        <v>43.2</v>
      </c>
      <c r="CH1" s="534" t="s">
        <v>952</v>
      </c>
      <c r="CI1" s="534"/>
      <c r="CJ1" s="557" t="s">
        <v>1006</v>
      </c>
      <c r="CK1" s="557"/>
      <c r="CL1" s="557"/>
      <c r="CM1" s="557" t="s">
        <v>1007</v>
      </c>
      <c r="CN1" s="557" t="s">
        <v>1008</v>
      </c>
      <c r="CP1" s="131" t="s">
        <v>305</v>
      </c>
      <c r="CQ1" s="131">
        <v>43.2</v>
      </c>
      <c r="CR1" s="534" t="s">
        <v>953</v>
      </c>
      <c r="CS1" s="534"/>
      <c r="CT1" s="557" t="s">
        <v>1006</v>
      </c>
      <c r="CU1" s="557"/>
      <c r="CV1" s="557"/>
      <c r="CW1" s="557" t="s">
        <v>1007</v>
      </c>
      <c r="CX1" s="557" t="s">
        <v>1008</v>
      </c>
      <c r="CZ1" s="131" t="s">
        <v>305</v>
      </c>
      <c r="DA1" s="131">
        <v>43.2</v>
      </c>
      <c r="DB1" s="534" t="s">
        <v>954</v>
      </c>
      <c r="DC1" s="534"/>
      <c r="DD1" s="557" t="s">
        <v>1006</v>
      </c>
      <c r="DE1" s="557"/>
      <c r="DF1" s="557"/>
      <c r="DG1" s="557" t="s">
        <v>1007</v>
      </c>
      <c r="DH1" s="557" t="s">
        <v>1008</v>
      </c>
      <c r="DJ1" s="131" t="s">
        <v>305</v>
      </c>
      <c r="DK1" s="131">
        <v>43.2</v>
      </c>
      <c r="DL1" s="534" t="s">
        <v>955</v>
      </c>
      <c r="DM1" s="534"/>
      <c r="DN1" s="557" t="s">
        <v>1006</v>
      </c>
      <c r="DO1" s="557"/>
      <c r="DP1" s="557"/>
      <c r="DQ1" s="557" t="s">
        <v>1007</v>
      </c>
      <c r="DR1" s="557" t="s">
        <v>1008</v>
      </c>
      <c r="DT1" s="131" t="s">
        <v>305</v>
      </c>
      <c r="DU1" s="131">
        <v>43.2</v>
      </c>
      <c r="DV1" s="534" t="s">
        <v>956</v>
      </c>
      <c r="DW1" s="534"/>
      <c r="DX1" s="557" t="s">
        <v>1006</v>
      </c>
      <c r="DY1" s="557"/>
      <c r="DZ1" s="557"/>
      <c r="EA1" s="557" t="s">
        <v>1007</v>
      </c>
      <c r="EB1" s="557" t="s">
        <v>1008</v>
      </c>
      <c r="ED1" s="131" t="s">
        <v>305</v>
      </c>
      <c r="EE1" s="131">
        <v>43.2</v>
      </c>
      <c r="EF1" s="534" t="s">
        <v>957</v>
      </c>
      <c r="EG1" s="534"/>
      <c r="EH1" s="557" t="s">
        <v>1006</v>
      </c>
      <c r="EI1" s="557"/>
      <c r="EJ1" s="557"/>
      <c r="EK1" s="557" t="s">
        <v>1007</v>
      </c>
      <c r="EL1" s="557" t="s">
        <v>1008</v>
      </c>
      <c r="EN1" s="131" t="s">
        <v>305</v>
      </c>
      <c r="EO1" s="131">
        <v>43.2</v>
      </c>
      <c r="EP1" s="534" t="s">
        <v>958</v>
      </c>
      <c r="EQ1" s="534"/>
      <c r="ER1" s="557" t="s">
        <v>1006</v>
      </c>
      <c r="ES1" s="557"/>
      <c r="ET1" s="557"/>
      <c r="EU1" s="557" t="s">
        <v>1007</v>
      </c>
      <c r="EV1" s="557" t="s">
        <v>1008</v>
      </c>
      <c r="EX1" s="131" t="s">
        <v>305</v>
      </c>
      <c r="EY1" s="131">
        <v>43.2</v>
      </c>
      <c r="EZ1" s="534" t="s">
        <v>959</v>
      </c>
      <c r="FA1" s="534"/>
      <c r="FB1" s="557" t="s">
        <v>1006</v>
      </c>
      <c r="FC1" s="557"/>
      <c r="FD1" s="557"/>
      <c r="FE1" s="557" t="s">
        <v>1007</v>
      </c>
      <c r="FF1" s="557" t="s">
        <v>1008</v>
      </c>
      <c r="FH1" s="131" t="s">
        <v>305</v>
      </c>
      <c r="FI1" s="131">
        <v>43.2</v>
      </c>
      <c r="FJ1" s="534" t="s">
        <v>960</v>
      </c>
      <c r="FK1" s="534"/>
      <c r="FL1" s="557" t="s">
        <v>1006</v>
      </c>
      <c r="FM1" s="557"/>
      <c r="FN1" s="557"/>
      <c r="FO1" s="557" t="s">
        <v>1007</v>
      </c>
      <c r="FP1" s="557" t="s">
        <v>1008</v>
      </c>
      <c r="FR1" s="131" t="s">
        <v>305</v>
      </c>
      <c r="FS1" s="131">
        <v>43.2</v>
      </c>
      <c r="FT1" s="534" t="s">
        <v>961</v>
      </c>
      <c r="FU1" s="534"/>
      <c r="FV1" s="557" t="s">
        <v>1006</v>
      </c>
      <c r="FW1" s="557"/>
      <c r="FX1" s="557"/>
      <c r="FY1" s="557" t="s">
        <v>1007</v>
      </c>
      <c r="FZ1" s="557" t="s">
        <v>1008</v>
      </c>
      <c r="GB1" s="131" t="s">
        <v>305</v>
      </c>
      <c r="GC1" s="131">
        <v>43.2</v>
      </c>
      <c r="GD1" s="534" t="s">
        <v>962</v>
      </c>
      <c r="GE1" s="534"/>
      <c r="GF1" s="557" t="s">
        <v>1006</v>
      </c>
      <c r="GG1" s="557"/>
      <c r="GH1" s="557"/>
      <c r="GI1" s="557" t="s">
        <v>1007</v>
      </c>
      <c r="GJ1" s="557" t="s">
        <v>1008</v>
      </c>
      <c r="GL1" s="131" t="s">
        <v>305</v>
      </c>
      <c r="GM1" s="131">
        <v>43.2</v>
      </c>
      <c r="GN1" s="534" t="s">
        <v>963</v>
      </c>
      <c r="GO1" s="534"/>
      <c r="GP1" s="557" t="s">
        <v>1006</v>
      </c>
      <c r="GQ1" s="557"/>
      <c r="GR1" s="557"/>
      <c r="GS1" s="557" t="s">
        <v>1007</v>
      </c>
      <c r="GT1" s="557" t="s">
        <v>1008</v>
      </c>
      <c r="GV1" s="131" t="s">
        <v>305</v>
      </c>
      <c r="GW1" s="131">
        <v>43.2</v>
      </c>
      <c r="GX1" s="534" t="s">
        <v>284</v>
      </c>
      <c r="GY1" s="534"/>
      <c r="GZ1" s="557" t="s">
        <v>1006</v>
      </c>
      <c r="HA1" s="557"/>
      <c r="HB1" s="557"/>
      <c r="HC1" s="557" t="s">
        <v>1007</v>
      </c>
      <c r="HD1" s="557" t="s">
        <v>1008</v>
      </c>
      <c r="HF1" s="131" t="s">
        <v>305</v>
      </c>
      <c r="HG1" s="131">
        <v>43.2</v>
      </c>
      <c r="HH1" s="534" t="s">
        <v>964</v>
      </c>
      <c r="HI1" s="534"/>
      <c r="HJ1" s="557" t="s">
        <v>1006</v>
      </c>
      <c r="HK1" s="557"/>
      <c r="HL1" s="557"/>
      <c r="HM1" s="557" t="s">
        <v>1007</v>
      </c>
      <c r="HN1" s="557" t="s">
        <v>1008</v>
      </c>
      <c r="HP1" s="131" t="s">
        <v>305</v>
      </c>
      <c r="HQ1" s="131">
        <v>43.2</v>
      </c>
      <c r="HR1" s="534" t="s">
        <v>965</v>
      </c>
      <c r="HS1" s="534"/>
      <c r="HT1" s="557" t="s">
        <v>1006</v>
      </c>
      <c r="HU1" s="557"/>
      <c r="HV1" s="557"/>
      <c r="HW1" s="557" t="s">
        <v>1007</v>
      </c>
      <c r="HX1" s="557" t="s">
        <v>1008</v>
      </c>
      <c r="HZ1" s="131" t="s">
        <v>305</v>
      </c>
      <c r="IA1" s="131">
        <v>43.2</v>
      </c>
      <c r="IB1" s="534" t="s">
        <v>966</v>
      </c>
      <c r="IC1" s="534"/>
      <c r="ID1" s="557" t="s">
        <v>1006</v>
      </c>
      <c r="IE1" s="557"/>
      <c r="IF1" s="557"/>
      <c r="IG1" s="557" t="s">
        <v>1007</v>
      </c>
      <c r="IH1" s="557" t="s">
        <v>1008</v>
      </c>
      <c r="IJ1" s="131" t="s">
        <v>305</v>
      </c>
      <c r="IK1" s="131">
        <v>43.2</v>
      </c>
      <c r="IL1" s="534" t="s">
        <v>967</v>
      </c>
      <c r="IM1" s="534"/>
      <c r="IN1" s="557" t="s">
        <v>1006</v>
      </c>
      <c r="IO1" s="557"/>
      <c r="IP1" s="557"/>
      <c r="IQ1" s="557" t="s">
        <v>1007</v>
      </c>
      <c r="IR1" s="557" t="s">
        <v>1008</v>
      </c>
      <c r="IT1" s="131" t="s">
        <v>305</v>
      </c>
      <c r="IU1" s="131">
        <v>43.2</v>
      </c>
      <c r="IV1" s="534" t="s">
        <v>968</v>
      </c>
      <c r="IW1" s="534"/>
      <c r="IX1" s="557" t="s">
        <v>1006</v>
      </c>
      <c r="IY1" s="557"/>
      <c r="IZ1" s="557"/>
      <c r="JA1" s="557" t="s">
        <v>1007</v>
      </c>
      <c r="JB1" s="557" t="s">
        <v>1008</v>
      </c>
      <c r="JD1" s="131" t="s">
        <v>305</v>
      </c>
      <c r="JE1" s="131">
        <v>43.2</v>
      </c>
      <c r="JF1" s="534" t="s">
        <v>969</v>
      </c>
      <c r="JG1" s="534"/>
      <c r="JH1" s="557" t="s">
        <v>1006</v>
      </c>
      <c r="JI1" s="557"/>
      <c r="JJ1" s="557"/>
      <c r="JK1" s="557" t="s">
        <v>1007</v>
      </c>
      <c r="JL1" s="557" t="s">
        <v>1008</v>
      </c>
      <c r="JN1" s="131" t="s">
        <v>305</v>
      </c>
      <c r="JO1" s="131">
        <v>43.2</v>
      </c>
      <c r="JP1" s="534" t="s">
        <v>970</v>
      </c>
      <c r="JQ1" s="534"/>
      <c r="JR1" s="557" t="s">
        <v>1006</v>
      </c>
      <c r="JS1" s="557"/>
      <c r="JT1" s="557"/>
      <c r="JU1" s="557" t="s">
        <v>1007</v>
      </c>
      <c r="JV1" s="557" t="s">
        <v>1008</v>
      </c>
      <c r="JX1" s="131" t="s">
        <v>305</v>
      </c>
      <c r="JY1" s="131">
        <v>43.2</v>
      </c>
      <c r="JZ1" s="534" t="s">
        <v>971</v>
      </c>
      <c r="KA1" s="534"/>
      <c r="KB1" s="557" t="s">
        <v>1006</v>
      </c>
      <c r="KC1" s="557"/>
      <c r="KD1" s="557"/>
      <c r="KE1" s="557" t="s">
        <v>1007</v>
      </c>
      <c r="KF1" s="557" t="s">
        <v>1008</v>
      </c>
      <c r="KH1" s="131" t="s">
        <v>305</v>
      </c>
      <c r="KI1" s="131">
        <v>43.2</v>
      </c>
      <c r="KJ1" s="534" t="s">
        <v>972</v>
      </c>
      <c r="KK1" s="534"/>
      <c r="KL1" s="557" t="s">
        <v>1006</v>
      </c>
      <c r="KM1" s="557"/>
      <c r="KN1" s="557"/>
      <c r="KO1" s="557" t="s">
        <v>1007</v>
      </c>
      <c r="KP1" s="557" t="s">
        <v>1008</v>
      </c>
    </row>
    <row r="2" spans="1:302" ht="15.75" customHeight="1">
      <c r="A2" s="409" t="s">
        <v>253</v>
      </c>
      <c r="B2" s="409"/>
      <c r="C2" s="409"/>
      <c r="D2" s="410" t="s">
        <v>254</v>
      </c>
      <c r="E2" s="410"/>
      <c r="F2" s="410"/>
      <c r="G2" s="410"/>
      <c r="H2" s="410"/>
      <c r="I2" s="410"/>
      <c r="J2" s="535" t="s">
        <v>255</v>
      </c>
      <c r="K2" s="536"/>
      <c r="L2" s="536"/>
      <c r="M2" s="537"/>
      <c r="N2" s="538" t="s">
        <v>256</v>
      </c>
      <c r="O2" s="512"/>
      <c r="P2" s="133"/>
      <c r="Q2" s="129" t="s">
        <v>946</v>
      </c>
      <c r="R2" s="134">
        <f>FLOOR((_xll.qbEQ_SPT2025($D$10,$D$13,$D$14,$Y$1,$Y$1,$Z$3:$AA$16,$Z$19:$AA$108,$D$19,$Z$3:$AF$16,$D$12)*D22-_xll.fluEQ_SPT2025($D$10,$D$13,$D$14,$D$23,$D$16,$Y$1,$Z$3:$AA$16,$Z$19:$AA$108,TRUE,FALSE,"",0,$D$18,$D$19,$Z$3:$AF$16,$D$12,$J$29)+_xll.fluEQ_SPT2025($D$10,$D$13,$D$14,$D$23,$D$16,$Y$1,$Z$3:$AA$16,$Z$19:$AA$108,FALSE,TRUE,"",0,$D$18,$D$19,$Z$3:$AF$16,$D$12,$J$29))/($D$30*$D$29)-$D$32*$D$29,10)</f>
        <v>1520</v>
      </c>
      <c r="S2" s="129" t="s">
        <v>960</v>
      </c>
      <c r="T2" s="135">
        <f>FLOOR((_xll.qbEQ_SPT2025($D$10,$D$13,$D$14,$FI$1,$FI$1,$FJ$3:$FK$16,$FJ$19:$FK$108,$D$19,$FJ$3:$FP$16,$D$12)*D22-_xll.fluEQ_SPT2025($D$10,$D$13,$D$14,$D$23,$D$16,$FI$1,$FJ$3:$FK$16,$FJ$19:$FK$108,TRUE,FALSE,"",0,$D$18,$D$19,$FJ$3:$FP$16,$D$12,$J$29)+_xll.fluEQ_SPT2025($D$10,$D$13,$D$14,$D$23,$D$16,$FI$1,$FJ$3:$FK$16,$FJ$19:$FK$108,FALSE,TRUE,"",0,$D$18,$D$19,$FJ$3:$FP$16,$D$12,$J$29))/($D$30*$D$29)-$D$32*$D$29,10)</f>
        <v>2120</v>
      </c>
      <c r="U2" s="136"/>
      <c r="V2" s="136"/>
      <c r="W2" s="136"/>
      <c r="X2" s="137" t="s">
        <v>973</v>
      </c>
      <c r="Y2" s="137" t="s">
        <v>229</v>
      </c>
      <c r="Z2" s="129" t="s">
        <v>287</v>
      </c>
      <c r="AA2" s="132" t="s">
        <v>974</v>
      </c>
      <c r="AB2" s="557"/>
      <c r="AC2" s="557"/>
      <c r="AD2" s="557"/>
      <c r="AE2" s="557"/>
      <c r="AF2" s="557"/>
      <c r="AH2" s="137" t="s">
        <v>973</v>
      </c>
      <c r="AI2" s="137" t="s">
        <v>229</v>
      </c>
      <c r="AJ2" s="129" t="s">
        <v>287</v>
      </c>
      <c r="AK2" s="132" t="s">
        <v>974</v>
      </c>
      <c r="AL2" s="557"/>
      <c r="AM2" s="557"/>
      <c r="AN2" s="557"/>
      <c r="AO2" s="557"/>
      <c r="AP2" s="557"/>
      <c r="AR2" s="137" t="s">
        <v>973</v>
      </c>
      <c r="AS2" s="137" t="s">
        <v>229</v>
      </c>
      <c r="AT2" s="129" t="s">
        <v>287</v>
      </c>
      <c r="AU2" s="132" t="s">
        <v>974</v>
      </c>
      <c r="AV2" s="557"/>
      <c r="AW2" s="557"/>
      <c r="AX2" s="557"/>
      <c r="AY2" s="557"/>
      <c r="AZ2" s="557"/>
      <c r="BB2" s="137" t="s">
        <v>973</v>
      </c>
      <c r="BC2" s="137" t="s">
        <v>229</v>
      </c>
      <c r="BD2" s="129" t="s">
        <v>287</v>
      </c>
      <c r="BE2" s="132" t="s">
        <v>974</v>
      </c>
      <c r="BF2" s="557"/>
      <c r="BG2" s="557"/>
      <c r="BH2" s="557"/>
      <c r="BI2" s="557"/>
      <c r="BJ2" s="557"/>
      <c r="BL2" s="137" t="s">
        <v>973</v>
      </c>
      <c r="BM2" s="137" t="s">
        <v>229</v>
      </c>
      <c r="BN2" s="129" t="s">
        <v>287</v>
      </c>
      <c r="BO2" s="132" t="s">
        <v>974</v>
      </c>
      <c r="BP2" s="557"/>
      <c r="BQ2" s="557"/>
      <c r="BR2" s="557"/>
      <c r="BS2" s="557"/>
      <c r="BT2" s="557"/>
      <c r="BV2" s="137" t="s">
        <v>973</v>
      </c>
      <c r="BW2" s="137" t="s">
        <v>229</v>
      </c>
      <c r="BX2" s="129" t="s">
        <v>287</v>
      </c>
      <c r="BY2" s="132" t="s">
        <v>974</v>
      </c>
      <c r="BZ2" s="557"/>
      <c r="CA2" s="557"/>
      <c r="CB2" s="557"/>
      <c r="CC2" s="557"/>
      <c r="CD2" s="557"/>
      <c r="CF2" s="137" t="s">
        <v>973</v>
      </c>
      <c r="CG2" s="137" t="s">
        <v>229</v>
      </c>
      <c r="CH2" s="129" t="s">
        <v>287</v>
      </c>
      <c r="CI2" s="132" t="s">
        <v>974</v>
      </c>
      <c r="CJ2" s="557"/>
      <c r="CK2" s="557"/>
      <c r="CL2" s="557"/>
      <c r="CM2" s="557"/>
      <c r="CN2" s="557"/>
      <c r="CP2" s="137" t="s">
        <v>973</v>
      </c>
      <c r="CQ2" s="137" t="s">
        <v>229</v>
      </c>
      <c r="CR2" s="129" t="s">
        <v>287</v>
      </c>
      <c r="CS2" s="132" t="s">
        <v>974</v>
      </c>
      <c r="CT2" s="557"/>
      <c r="CU2" s="557"/>
      <c r="CV2" s="557"/>
      <c r="CW2" s="557"/>
      <c r="CX2" s="557"/>
      <c r="CZ2" s="137" t="s">
        <v>973</v>
      </c>
      <c r="DA2" s="137" t="s">
        <v>229</v>
      </c>
      <c r="DB2" s="129" t="s">
        <v>287</v>
      </c>
      <c r="DC2" s="132" t="s">
        <v>974</v>
      </c>
      <c r="DD2" s="557"/>
      <c r="DE2" s="557"/>
      <c r="DF2" s="557"/>
      <c r="DG2" s="557"/>
      <c r="DH2" s="557"/>
      <c r="DJ2" s="137" t="s">
        <v>973</v>
      </c>
      <c r="DK2" s="137" t="s">
        <v>229</v>
      </c>
      <c r="DL2" s="129" t="s">
        <v>287</v>
      </c>
      <c r="DM2" s="132" t="s">
        <v>974</v>
      </c>
      <c r="DN2" s="557"/>
      <c r="DO2" s="557"/>
      <c r="DP2" s="557"/>
      <c r="DQ2" s="557"/>
      <c r="DR2" s="557"/>
      <c r="DT2" s="137" t="s">
        <v>973</v>
      </c>
      <c r="DU2" s="137" t="s">
        <v>229</v>
      </c>
      <c r="DV2" s="129" t="s">
        <v>287</v>
      </c>
      <c r="DW2" s="132" t="s">
        <v>974</v>
      </c>
      <c r="DX2" s="557"/>
      <c r="DY2" s="557"/>
      <c r="DZ2" s="557"/>
      <c r="EA2" s="557"/>
      <c r="EB2" s="557"/>
      <c r="ED2" s="137" t="s">
        <v>973</v>
      </c>
      <c r="EE2" s="137" t="s">
        <v>229</v>
      </c>
      <c r="EF2" s="129" t="s">
        <v>287</v>
      </c>
      <c r="EG2" s="132" t="s">
        <v>974</v>
      </c>
      <c r="EH2" s="557"/>
      <c r="EI2" s="557"/>
      <c r="EJ2" s="557"/>
      <c r="EK2" s="557"/>
      <c r="EL2" s="557"/>
      <c r="EN2" s="137" t="s">
        <v>973</v>
      </c>
      <c r="EO2" s="137" t="s">
        <v>229</v>
      </c>
      <c r="EP2" s="129" t="s">
        <v>287</v>
      </c>
      <c r="EQ2" s="132" t="s">
        <v>974</v>
      </c>
      <c r="ER2" s="557"/>
      <c r="ES2" s="557"/>
      <c r="ET2" s="557"/>
      <c r="EU2" s="557"/>
      <c r="EV2" s="557"/>
      <c r="EX2" s="137" t="s">
        <v>973</v>
      </c>
      <c r="EY2" s="137" t="s">
        <v>229</v>
      </c>
      <c r="EZ2" s="129" t="s">
        <v>287</v>
      </c>
      <c r="FA2" s="132" t="s">
        <v>974</v>
      </c>
      <c r="FB2" s="557"/>
      <c r="FC2" s="557"/>
      <c r="FD2" s="557"/>
      <c r="FE2" s="557"/>
      <c r="FF2" s="557"/>
      <c r="FH2" s="137" t="s">
        <v>973</v>
      </c>
      <c r="FI2" s="137" t="s">
        <v>229</v>
      </c>
      <c r="FJ2" s="129" t="s">
        <v>287</v>
      </c>
      <c r="FK2" s="132" t="s">
        <v>974</v>
      </c>
      <c r="FL2" s="557"/>
      <c r="FM2" s="557"/>
      <c r="FN2" s="557"/>
      <c r="FO2" s="557"/>
      <c r="FP2" s="557"/>
      <c r="FR2" s="137" t="s">
        <v>973</v>
      </c>
      <c r="FS2" s="137" t="s">
        <v>229</v>
      </c>
      <c r="FT2" s="129" t="s">
        <v>287</v>
      </c>
      <c r="FU2" s="132" t="s">
        <v>974</v>
      </c>
      <c r="FV2" s="557"/>
      <c r="FW2" s="557"/>
      <c r="FX2" s="557"/>
      <c r="FY2" s="557"/>
      <c r="FZ2" s="557"/>
      <c r="GB2" s="137" t="s">
        <v>973</v>
      </c>
      <c r="GC2" s="137" t="s">
        <v>229</v>
      </c>
      <c r="GD2" s="129" t="s">
        <v>287</v>
      </c>
      <c r="GE2" s="132" t="s">
        <v>974</v>
      </c>
      <c r="GF2" s="557"/>
      <c r="GG2" s="557"/>
      <c r="GH2" s="557"/>
      <c r="GI2" s="557"/>
      <c r="GJ2" s="557"/>
      <c r="GL2" s="137" t="s">
        <v>973</v>
      </c>
      <c r="GM2" s="137" t="s">
        <v>229</v>
      </c>
      <c r="GN2" s="129" t="s">
        <v>287</v>
      </c>
      <c r="GO2" s="132" t="s">
        <v>974</v>
      </c>
      <c r="GP2" s="557"/>
      <c r="GQ2" s="557"/>
      <c r="GR2" s="557"/>
      <c r="GS2" s="557"/>
      <c r="GT2" s="557"/>
      <c r="GV2" s="137" t="s">
        <v>973</v>
      </c>
      <c r="GW2" s="137" t="s">
        <v>229</v>
      </c>
      <c r="GX2" s="129" t="s">
        <v>287</v>
      </c>
      <c r="GY2" s="132" t="s">
        <v>974</v>
      </c>
      <c r="GZ2" s="557"/>
      <c r="HA2" s="557"/>
      <c r="HB2" s="557"/>
      <c r="HC2" s="557"/>
      <c r="HD2" s="557"/>
      <c r="HF2" s="137" t="s">
        <v>973</v>
      </c>
      <c r="HG2" s="137" t="s">
        <v>229</v>
      </c>
      <c r="HH2" s="129" t="s">
        <v>287</v>
      </c>
      <c r="HI2" s="132" t="s">
        <v>974</v>
      </c>
      <c r="HJ2" s="557"/>
      <c r="HK2" s="557"/>
      <c r="HL2" s="557"/>
      <c r="HM2" s="557"/>
      <c r="HN2" s="557"/>
      <c r="HP2" s="137" t="s">
        <v>973</v>
      </c>
      <c r="HQ2" s="137" t="s">
        <v>229</v>
      </c>
      <c r="HR2" s="129" t="s">
        <v>287</v>
      </c>
      <c r="HS2" s="132" t="s">
        <v>974</v>
      </c>
      <c r="HT2" s="557"/>
      <c r="HU2" s="557"/>
      <c r="HV2" s="557"/>
      <c r="HW2" s="557"/>
      <c r="HX2" s="557"/>
      <c r="HZ2" s="137" t="s">
        <v>973</v>
      </c>
      <c r="IA2" s="137" t="s">
        <v>229</v>
      </c>
      <c r="IB2" s="129" t="s">
        <v>287</v>
      </c>
      <c r="IC2" s="132" t="s">
        <v>974</v>
      </c>
      <c r="ID2" s="557"/>
      <c r="IE2" s="557"/>
      <c r="IF2" s="557"/>
      <c r="IG2" s="557"/>
      <c r="IH2" s="557"/>
      <c r="IJ2" s="137" t="s">
        <v>973</v>
      </c>
      <c r="IK2" s="137" t="s">
        <v>229</v>
      </c>
      <c r="IL2" s="129" t="s">
        <v>287</v>
      </c>
      <c r="IM2" s="132" t="s">
        <v>974</v>
      </c>
      <c r="IN2" s="557"/>
      <c r="IO2" s="557"/>
      <c r="IP2" s="557"/>
      <c r="IQ2" s="557"/>
      <c r="IR2" s="557"/>
      <c r="IT2" s="137" t="s">
        <v>973</v>
      </c>
      <c r="IU2" s="137" t="s">
        <v>229</v>
      </c>
      <c r="IV2" s="129" t="s">
        <v>287</v>
      </c>
      <c r="IW2" s="132" t="s">
        <v>974</v>
      </c>
      <c r="IX2" s="557"/>
      <c r="IY2" s="557"/>
      <c r="IZ2" s="557"/>
      <c r="JA2" s="557"/>
      <c r="JB2" s="557"/>
      <c r="JD2" s="137" t="s">
        <v>973</v>
      </c>
      <c r="JE2" s="137" t="s">
        <v>229</v>
      </c>
      <c r="JF2" s="129" t="s">
        <v>287</v>
      </c>
      <c r="JG2" s="132" t="s">
        <v>974</v>
      </c>
      <c r="JH2" s="557"/>
      <c r="JI2" s="557"/>
      <c r="JJ2" s="557"/>
      <c r="JK2" s="557"/>
      <c r="JL2" s="557"/>
      <c r="JN2" s="137" t="s">
        <v>973</v>
      </c>
      <c r="JO2" s="137" t="s">
        <v>229</v>
      </c>
      <c r="JP2" s="129" t="s">
        <v>287</v>
      </c>
      <c r="JQ2" s="132" t="s">
        <v>974</v>
      </c>
      <c r="JR2" s="557"/>
      <c r="JS2" s="557"/>
      <c r="JT2" s="557"/>
      <c r="JU2" s="557"/>
      <c r="JV2" s="557"/>
      <c r="JX2" s="137" t="s">
        <v>973</v>
      </c>
      <c r="JY2" s="137" t="s">
        <v>229</v>
      </c>
      <c r="JZ2" s="129" t="s">
        <v>287</v>
      </c>
      <c r="KA2" s="132" t="s">
        <v>974</v>
      </c>
      <c r="KB2" s="557"/>
      <c r="KC2" s="557"/>
      <c r="KD2" s="557"/>
      <c r="KE2" s="557"/>
      <c r="KF2" s="557"/>
      <c r="KH2" s="137" t="s">
        <v>973</v>
      </c>
      <c r="KI2" s="137" t="s">
        <v>229</v>
      </c>
      <c r="KJ2" s="129" t="s">
        <v>287</v>
      </c>
      <c r="KK2" s="132" t="s">
        <v>974</v>
      </c>
      <c r="KL2" s="557"/>
      <c r="KM2" s="557"/>
      <c r="KN2" s="557"/>
      <c r="KO2" s="557"/>
      <c r="KP2" s="557"/>
    </row>
    <row r="3" spans="1:302" ht="15">
      <c r="A3" s="409" t="s">
        <v>257</v>
      </c>
      <c r="B3" s="409"/>
      <c r="C3" s="409"/>
      <c r="D3" s="410" t="s">
        <v>254</v>
      </c>
      <c r="E3" s="410"/>
      <c r="F3" s="410"/>
      <c r="G3" s="410"/>
      <c r="H3" s="410"/>
      <c r="I3" s="410"/>
      <c r="J3" s="535" t="s">
        <v>258</v>
      </c>
      <c r="K3" s="536"/>
      <c r="L3" s="512"/>
      <c r="M3" s="513"/>
      <c r="N3" s="539">
        <f ca="1">TODAY()</f>
        <v>46281</v>
      </c>
      <c r="O3" s="512"/>
      <c r="P3" s="133"/>
      <c r="Q3" s="129" t="s">
        <v>947</v>
      </c>
      <c r="R3" s="134">
        <f>FLOOR((_xll.qbEQ_SPT2025($D$10,$D$13,$D$14,$AI$1,$AI$1,$AJ$3:$AK$16,$AJ$19:$AK$108,$D$19,$AJ$3:$AP$16,$D$12)*D22-_xll.fluEQ_SPT2025($D$10,$D$13,$D$14,$D$23,$D$16,$AI$1,$AJ$3:$AK$16,$AJ$19:$AK$108,TRUE,FALSE,"",0,$D$18,$D$19,$AJ$3:$AP$16,$D$12,$J$29)+_xll.fluEQ_SPT2025($D$10,$D$13,$D$14,$D$23,$D$16,$AI$1,$AJ$3:$AK$16,$AJ$19:$AK$108,FALSE,TRUE,"",0,$D$18,$D$19,$AJ$3:$AP$16,$D$12,$J$29))/($D$30*$D$29)-$D$32*$D$29,10)</f>
        <v>1200</v>
      </c>
      <c r="S3" s="129" t="s">
        <v>961</v>
      </c>
      <c r="T3" s="135">
        <f>FLOOR((_xll.qbEQ_SPT2025($D$10,$D$13,$D$14,$FS$1,$FS$1,$FT$3:$FU$16,$FT$19:$FU$108,$D$19,$FT$3:$FZ$16,$D$12)*D22-_xll.fluEQ_SPT2025($D$10,$D$13,$D$14,$D$23,$D$16,$FS$1,$FT$3:$FU$16,$FT$19:$FU$108,TRUE,FALSE,"",0,$D$18,$D$19,$FT$3:$FZ$16,$D$12,$J$29)+_xll.fluEQ_SPT2025($D$10,$D$13,$D$14,$D$23,$D$16,$FS$1,$FT$3:$FU$16,$FT$19:$FU$108,FALSE,TRUE,"",0,$D$18,$D$19,$FT$3:$FZ$16,$D$12,$J$29))/($D$30*$D$29)-$D$32*$D$29,10)</f>
        <v>2120</v>
      </c>
      <c r="U3" s="136"/>
      <c r="V3" s="136"/>
      <c r="W3" s="136"/>
      <c r="X3" s="138" t="s">
        <v>262</v>
      </c>
      <c r="Y3" s="138" t="s">
        <v>269</v>
      </c>
      <c r="Z3" s="138">
        <v>0</v>
      </c>
      <c r="AA3" s="138" t="s">
        <v>975</v>
      </c>
      <c r="AB3" s="558" t="s">
        <v>1009</v>
      </c>
      <c r="AC3" s="559"/>
      <c r="AD3" s="560"/>
      <c r="AE3" s="13">
        <v>0.4</v>
      </c>
      <c r="AF3" s="13" t="s">
        <v>264</v>
      </c>
      <c r="AH3" s="138" t="s">
        <v>262</v>
      </c>
      <c r="AI3" s="138" t="s">
        <v>269</v>
      </c>
      <c r="AJ3" s="138">
        <v>0</v>
      </c>
      <c r="AK3" s="138" t="s">
        <v>975</v>
      </c>
      <c r="AL3" s="558" t="s">
        <v>1009</v>
      </c>
      <c r="AM3" s="559"/>
      <c r="AN3" s="560"/>
      <c r="AO3" s="13">
        <v>0.1</v>
      </c>
      <c r="AP3" s="13" t="s">
        <v>264</v>
      </c>
      <c r="AR3" s="138" t="s">
        <v>262</v>
      </c>
      <c r="AS3" s="138" t="s">
        <v>269</v>
      </c>
      <c r="AT3" s="138">
        <v>0</v>
      </c>
      <c r="AU3" s="138" t="s">
        <v>975</v>
      </c>
      <c r="AV3" s="558" t="s">
        <v>1009</v>
      </c>
      <c r="AW3" s="559"/>
      <c r="AX3" s="560"/>
      <c r="AY3" s="13">
        <v>0.4</v>
      </c>
      <c r="AZ3" s="13" t="s">
        <v>264</v>
      </c>
      <c r="BB3" s="138" t="s">
        <v>262</v>
      </c>
      <c r="BC3" s="138" t="s">
        <v>269</v>
      </c>
      <c r="BD3" s="138">
        <v>0</v>
      </c>
      <c r="BE3" s="138" t="s">
        <v>975</v>
      </c>
      <c r="BF3" s="558" t="s">
        <v>1009</v>
      </c>
      <c r="BG3" s="559"/>
      <c r="BH3" s="560"/>
      <c r="BI3" s="13">
        <v>0.4</v>
      </c>
      <c r="BJ3" s="13" t="s">
        <v>264</v>
      </c>
      <c r="BL3" s="138" t="s">
        <v>262</v>
      </c>
      <c r="BM3" s="138" t="s">
        <v>269</v>
      </c>
      <c r="BN3" s="138">
        <v>0</v>
      </c>
      <c r="BO3" s="138" t="s">
        <v>975</v>
      </c>
      <c r="BP3" s="558" t="s">
        <v>1009</v>
      </c>
      <c r="BQ3" s="559"/>
      <c r="BR3" s="560"/>
      <c r="BS3" s="13">
        <v>0.4</v>
      </c>
      <c r="BT3" s="13" t="s">
        <v>264</v>
      </c>
      <c r="BV3" s="138" t="s">
        <v>262</v>
      </c>
      <c r="BW3" s="138" t="s">
        <v>269</v>
      </c>
      <c r="BX3" s="138">
        <v>0</v>
      </c>
      <c r="BY3" s="138" t="s">
        <v>975</v>
      </c>
      <c r="BZ3" s="558" t="s">
        <v>1009</v>
      </c>
      <c r="CA3" s="559"/>
      <c r="CB3" s="560"/>
      <c r="CC3" s="13">
        <v>0.4</v>
      </c>
      <c r="CD3" s="13" t="s">
        <v>264</v>
      </c>
      <c r="CF3" s="138" t="s">
        <v>262</v>
      </c>
      <c r="CG3" s="138" t="s">
        <v>269</v>
      </c>
      <c r="CH3" s="138">
        <v>0</v>
      </c>
      <c r="CI3" s="138" t="s">
        <v>975</v>
      </c>
      <c r="CJ3" s="558" t="s">
        <v>1009</v>
      </c>
      <c r="CK3" s="559"/>
      <c r="CL3" s="560"/>
      <c r="CM3" s="13">
        <v>0.4</v>
      </c>
      <c r="CN3" s="13" t="s">
        <v>264</v>
      </c>
      <c r="CP3" s="138" t="s">
        <v>262</v>
      </c>
      <c r="CQ3" s="138" t="s">
        <v>269</v>
      </c>
      <c r="CR3" s="138">
        <v>0</v>
      </c>
      <c r="CS3" s="138" t="s">
        <v>975</v>
      </c>
      <c r="CT3" s="558" t="s">
        <v>1009</v>
      </c>
      <c r="CU3" s="559"/>
      <c r="CV3" s="560"/>
      <c r="CW3" s="13">
        <v>0.4</v>
      </c>
      <c r="CX3" s="13" t="s">
        <v>264</v>
      </c>
      <c r="CZ3" s="138" t="s">
        <v>262</v>
      </c>
      <c r="DA3" s="138" t="s">
        <v>269</v>
      </c>
      <c r="DB3" s="138">
        <v>0</v>
      </c>
      <c r="DC3" s="138" t="s">
        <v>975</v>
      </c>
      <c r="DD3" s="558" t="s">
        <v>1009</v>
      </c>
      <c r="DE3" s="559"/>
      <c r="DF3" s="560"/>
      <c r="DG3" s="13">
        <v>0.4</v>
      </c>
      <c r="DH3" s="13" t="s">
        <v>264</v>
      </c>
      <c r="DJ3" s="138" t="s">
        <v>262</v>
      </c>
      <c r="DK3" s="138" t="s">
        <v>269</v>
      </c>
      <c r="DL3" s="138">
        <v>0</v>
      </c>
      <c r="DM3" s="138" t="s">
        <v>975</v>
      </c>
      <c r="DN3" s="558" t="s">
        <v>1009</v>
      </c>
      <c r="DO3" s="559"/>
      <c r="DP3" s="560"/>
      <c r="DQ3" s="13">
        <v>0.4</v>
      </c>
      <c r="DR3" s="13" t="s">
        <v>264</v>
      </c>
      <c r="DT3" s="138" t="s">
        <v>262</v>
      </c>
      <c r="DU3" s="138" t="s">
        <v>269</v>
      </c>
      <c r="DV3" s="138">
        <v>0</v>
      </c>
      <c r="DW3" s="138" t="s">
        <v>975</v>
      </c>
      <c r="DX3" s="558" t="s">
        <v>1009</v>
      </c>
      <c r="DY3" s="559"/>
      <c r="DZ3" s="560"/>
      <c r="EA3" s="13">
        <v>0.4</v>
      </c>
      <c r="EB3" s="13" t="s">
        <v>264</v>
      </c>
      <c r="ED3" s="138" t="s">
        <v>262</v>
      </c>
      <c r="EE3" s="138" t="s">
        <v>269</v>
      </c>
      <c r="EF3" s="138">
        <v>0</v>
      </c>
      <c r="EG3" s="138" t="s">
        <v>975</v>
      </c>
      <c r="EH3" s="558" t="s">
        <v>1009</v>
      </c>
      <c r="EI3" s="559"/>
      <c r="EJ3" s="560"/>
      <c r="EK3" s="13">
        <v>0.4</v>
      </c>
      <c r="EL3" s="13" t="s">
        <v>264</v>
      </c>
      <c r="EN3" s="138" t="s">
        <v>262</v>
      </c>
      <c r="EO3" s="138" t="s">
        <v>269</v>
      </c>
      <c r="EP3" s="138">
        <v>0</v>
      </c>
      <c r="EQ3" s="138" t="s">
        <v>975</v>
      </c>
      <c r="ER3" s="558" t="s">
        <v>1009</v>
      </c>
      <c r="ES3" s="559"/>
      <c r="ET3" s="560"/>
      <c r="EU3" s="13">
        <v>0.4</v>
      </c>
      <c r="EV3" s="13" t="s">
        <v>264</v>
      </c>
      <c r="EX3" s="138" t="s">
        <v>262</v>
      </c>
      <c r="EY3" s="138" t="s">
        <v>269</v>
      </c>
      <c r="EZ3" s="138">
        <v>0</v>
      </c>
      <c r="FA3" s="138" t="s">
        <v>975</v>
      </c>
      <c r="FB3" s="558" t="s">
        <v>1009</v>
      </c>
      <c r="FC3" s="559"/>
      <c r="FD3" s="560"/>
      <c r="FE3" s="13">
        <v>0.4</v>
      </c>
      <c r="FF3" s="13" t="s">
        <v>264</v>
      </c>
      <c r="FH3" s="138" t="s">
        <v>262</v>
      </c>
      <c r="FI3" s="138" t="s">
        <v>269</v>
      </c>
      <c r="FJ3" s="138">
        <v>0</v>
      </c>
      <c r="FK3" s="138" t="s">
        <v>975</v>
      </c>
      <c r="FL3" s="558" t="s">
        <v>1009</v>
      </c>
      <c r="FM3" s="559"/>
      <c r="FN3" s="560"/>
      <c r="FO3" s="13">
        <v>0.4</v>
      </c>
      <c r="FP3" s="13" t="s">
        <v>264</v>
      </c>
      <c r="FR3" s="138" t="s">
        <v>262</v>
      </c>
      <c r="FS3" s="138" t="s">
        <v>269</v>
      </c>
      <c r="FT3" s="138">
        <v>0</v>
      </c>
      <c r="FU3" s="138" t="s">
        <v>975</v>
      </c>
      <c r="FV3" s="558" t="s">
        <v>1009</v>
      </c>
      <c r="FW3" s="559"/>
      <c r="FX3" s="560"/>
      <c r="FY3" s="13">
        <v>0.4</v>
      </c>
      <c r="FZ3" s="13" t="s">
        <v>264</v>
      </c>
      <c r="GB3" s="138" t="s">
        <v>262</v>
      </c>
      <c r="GC3" s="138" t="s">
        <v>269</v>
      </c>
      <c r="GD3" s="138">
        <v>0</v>
      </c>
      <c r="GE3" s="138" t="s">
        <v>975</v>
      </c>
      <c r="GF3" s="558" t="s">
        <v>1009</v>
      </c>
      <c r="GG3" s="559"/>
      <c r="GH3" s="560"/>
      <c r="GI3" s="13">
        <v>0.4</v>
      </c>
      <c r="GJ3" s="13" t="s">
        <v>264</v>
      </c>
      <c r="GL3" s="138" t="s">
        <v>262</v>
      </c>
      <c r="GM3" s="138" t="s">
        <v>269</v>
      </c>
      <c r="GN3" s="138">
        <v>0</v>
      </c>
      <c r="GO3" s="138" t="s">
        <v>975</v>
      </c>
      <c r="GP3" s="558" t="s">
        <v>1009</v>
      </c>
      <c r="GQ3" s="559"/>
      <c r="GR3" s="560"/>
      <c r="GS3" s="13">
        <v>0.4</v>
      </c>
      <c r="GT3" s="13" t="s">
        <v>264</v>
      </c>
      <c r="GV3" s="138" t="s">
        <v>262</v>
      </c>
      <c r="GW3" s="138" t="s">
        <v>269</v>
      </c>
      <c r="GX3" s="138">
        <v>0</v>
      </c>
      <c r="GY3" s="138" t="s">
        <v>975</v>
      </c>
      <c r="GZ3" s="558" t="s">
        <v>1009</v>
      </c>
      <c r="HA3" s="559"/>
      <c r="HB3" s="560"/>
      <c r="HC3" s="13">
        <v>0.4</v>
      </c>
      <c r="HD3" s="13" t="s">
        <v>264</v>
      </c>
      <c r="HF3" s="138" t="s">
        <v>262</v>
      </c>
      <c r="HG3" s="138" t="s">
        <v>269</v>
      </c>
      <c r="HH3" s="138">
        <v>0</v>
      </c>
      <c r="HI3" s="138" t="s">
        <v>975</v>
      </c>
      <c r="HJ3" s="558" t="s">
        <v>1009</v>
      </c>
      <c r="HK3" s="559"/>
      <c r="HL3" s="560"/>
      <c r="HM3" s="13">
        <v>0.4</v>
      </c>
      <c r="HN3" s="13" t="s">
        <v>264</v>
      </c>
      <c r="HP3" s="138" t="s">
        <v>262</v>
      </c>
      <c r="HQ3" s="138" t="s">
        <v>269</v>
      </c>
      <c r="HR3" s="138">
        <v>0</v>
      </c>
      <c r="HS3" s="138" t="s">
        <v>975</v>
      </c>
      <c r="HT3" s="558" t="s">
        <v>1009</v>
      </c>
      <c r="HU3" s="559"/>
      <c r="HV3" s="560"/>
      <c r="HW3" s="13">
        <v>0.4</v>
      </c>
      <c r="HX3" s="13" t="s">
        <v>264</v>
      </c>
      <c r="HZ3" s="138" t="s">
        <v>262</v>
      </c>
      <c r="IA3" s="138" t="s">
        <v>269</v>
      </c>
      <c r="IB3" s="138">
        <v>0</v>
      </c>
      <c r="IC3" s="138" t="s">
        <v>975</v>
      </c>
      <c r="ID3" s="558" t="s">
        <v>1009</v>
      </c>
      <c r="IE3" s="559"/>
      <c r="IF3" s="560"/>
      <c r="IG3" s="13">
        <v>0.4</v>
      </c>
      <c r="IH3" s="13" t="s">
        <v>264</v>
      </c>
      <c r="IJ3" s="138" t="s">
        <v>262</v>
      </c>
      <c r="IK3" s="138" t="s">
        <v>269</v>
      </c>
      <c r="IL3" s="138">
        <v>0</v>
      </c>
      <c r="IM3" s="138" t="s">
        <v>975</v>
      </c>
      <c r="IN3" s="558" t="s">
        <v>1009</v>
      </c>
      <c r="IO3" s="559"/>
      <c r="IP3" s="560"/>
      <c r="IQ3" s="13">
        <v>0.4</v>
      </c>
      <c r="IR3" s="13" t="s">
        <v>264</v>
      </c>
      <c r="IT3" s="138" t="s">
        <v>262</v>
      </c>
      <c r="IU3" s="138" t="s">
        <v>269</v>
      </c>
      <c r="IV3" s="138">
        <v>0</v>
      </c>
      <c r="IW3" s="138" t="s">
        <v>975</v>
      </c>
      <c r="IX3" s="558" t="s">
        <v>1009</v>
      </c>
      <c r="IY3" s="559"/>
      <c r="IZ3" s="560"/>
      <c r="JA3" s="13">
        <v>0.4</v>
      </c>
      <c r="JB3" s="13" t="s">
        <v>264</v>
      </c>
      <c r="JD3" s="138" t="s">
        <v>262</v>
      </c>
      <c r="JE3" s="138" t="s">
        <v>269</v>
      </c>
      <c r="JF3" s="138">
        <v>0</v>
      </c>
      <c r="JG3" s="138" t="s">
        <v>975</v>
      </c>
      <c r="JH3" s="558" t="s">
        <v>1009</v>
      </c>
      <c r="JI3" s="559"/>
      <c r="JJ3" s="560"/>
      <c r="JK3" s="13">
        <v>0.4</v>
      </c>
      <c r="JL3" s="13" t="s">
        <v>264</v>
      </c>
      <c r="JN3" s="138" t="s">
        <v>262</v>
      </c>
      <c r="JO3" s="138" t="s">
        <v>269</v>
      </c>
      <c r="JP3" s="138">
        <v>0</v>
      </c>
      <c r="JQ3" s="138" t="s">
        <v>975</v>
      </c>
      <c r="JR3" s="558" t="s">
        <v>1009</v>
      </c>
      <c r="JS3" s="559"/>
      <c r="JT3" s="560"/>
      <c r="JU3" s="13">
        <v>0.4</v>
      </c>
      <c r="JV3" s="13" t="s">
        <v>264</v>
      </c>
      <c r="JX3" s="138" t="s">
        <v>262</v>
      </c>
      <c r="JY3" s="138" t="s">
        <v>269</v>
      </c>
      <c r="JZ3" s="138">
        <v>0</v>
      </c>
      <c r="KA3" s="138" t="s">
        <v>975</v>
      </c>
      <c r="KB3" s="558" t="s">
        <v>1009</v>
      </c>
      <c r="KC3" s="559"/>
      <c r="KD3" s="560"/>
      <c r="KE3" s="13">
        <v>0.4</v>
      </c>
      <c r="KF3" s="13" t="s">
        <v>264</v>
      </c>
      <c r="KH3" s="138" t="s">
        <v>262</v>
      </c>
      <c r="KI3" s="138" t="s">
        <v>269</v>
      </c>
      <c r="KJ3" s="138">
        <v>0</v>
      </c>
      <c r="KK3" s="138" t="s">
        <v>975</v>
      </c>
      <c r="KL3" s="558" t="s">
        <v>1009</v>
      </c>
      <c r="KM3" s="559"/>
      <c r="KN3" s="560"/>
      <c r="KO3" s="13">
        <v>0.4</v>
      </c>
      <c r="KP3" s="13" t="s">
        <v>264</v>
      </c>
    </row>
    <row r="4" spans="1:302" ht="15">
      <c r="A4" s="409" t="s">
        <v>260</v>
      </c>
      <c r="B4" s="409"/>
      <c r="C4" s="409"/>
      <c r="D4" s="410" t="s">
        <v>254</v>
      </c>
      <c r="E4" s="410"/>
      <c r="F4" s="410"/>
      <c r="G4" s="410"/>
      <c r="H4" s="410"/>
      <c r="I4" s="410"/>
      <c r="J4" s="535" t="s">
        <v>261</v>
      </c>
      <c r="K4" s="536"/>
      <c r="L4" s="512"/>
      <c r="M4" s="513"/>
      <c r="N4" s="538" t="s">
        <v>254</v>
      </c>
      <c r="O4" s="512"/>
      <c r="P4" s="133"/>
      <c r="Q4" s="129" t="s">
        <v>948</v>
      </c>
      <c r="R4" s="134">
        <f>FLOOR((_xll.qbEQ_SPT2025($D$10,$D$13,$D$14,$AS$1,$AS$1,$AT$3:$AU$16,$AT$19:$AU$108,$D$19,$AT$3:$AZ$16,$D$12)*D22-_xll.fluEQ_SPT2025($D$10,$D$13,$D$14,$D$23,$D$16,$AS$1,$AT$3:$AU$16,$AT$19:$AU$108,TRUE,FALSE,"",0,$D$18,$D$19,$AT$3:$AZ$16,$D$12,$J$29)+_xll.fluEQ_SPT2025($D$10,$D$13,$D$14,$D$23,$D$16,$AS$1,$AT$3:$AU$16,$AT$19:$AU$108,FALSE,TRUE,"",0,$D$18,$D$19,$AT$3:$AZ$16,$D$12,$J$29))/($D$30*$D$29)-$D$32*$D$29,10)</f>
        <v>4430</v>
      </c>
      <c r="S4" s="129" t="s">
        <v>962</v>
      </c>
      <c r="T4" s="135">
        <f>FLOOR((_xll.qbEQ_SPT2025($D$10,$D$13,$D$14,$GC$1,$GC$1,$GD$3:$GE$16,$GD$19:$GE$108,$D$19,$GD$3:$GJ$16,$D$12)*D22-_xll.fluEQ_SPT2025($D$10,$D$13,$D$14,$D$23,$D$16,$GC$1,$GD$3:$GE$16,$GD$19:$GE$108,TRUE,FALSE,"",0,$D$18,$D$19,$GD$3:$GJ$16,$D$12,$J$29)+_xll.fluEQ_SPT2025($D$10,$D$13,$D$14,$D$23,$D$16,$GC$1,$GD$3:$GE$16,$GD$19:$GE$108,FALSE,TRUE,"",0,$D$18,$D$19,$GD$3:$GJ$16,$D$12,$J$29))/($D$30*$D$29)-$D$32*$D$29,10)</f>
        <v>2120</v>
      </c>
      <c r="U4" s="136"/>
      <c r="V4" s="136"/>
      <c r="W4" s="136"/>
      <c r="X4" s="138" t="s">
        <v>268</v>
      </c>
      <c r="Y4" s="138" t="s">
        <v>269</v>
      </c>
      <c r="Z4" s="138">
        <v>1.5</v>
      </c>
      <c r="AA4" s="138" t="s">
        <v>975</v>
      </c>
      <c r="AB4" s="558" t="s">
        <v>1009</v>
      </c>
      <c r="AC4" s="559"/>
      <c r="AD4" s="560"/>
      <c r="AE4" s="13">
        <v>0.3</v>
      </c>
      <c r="AF4" s="13" t="s">
        <v>264</v>
      </c>
      <c r="AH4" s="138" t="s">
        <v>268</v>
      </c>
      <c r="AI4" s="138" t="s">
        <v>269</v>
      </c>
      <c r="AJ4" s="138">
        <v>2</v>
      </c>
      <c r="AK4" s="138" t="s">
        <v>975</v>
      </c>
      <c r="AL4" s="558" t="s">
        <v>1009</v>
      </c>
      <c r="AM4" s="559"/>
      <c r="AN4" s="560"/>
      <c r="AO4" s="13">
        <v>0.2</v>
      </c>
      <c r="AP4" s="13" t="s">
        <v>264</v>
      </c>
      <c r="AR4" s="138" t="s">
        <v>268</v>
      </c>
      <c r="AS4" s="138" t="s">
        <v>269</v>
      </c>
      <c r="AT4" s="138">
        <v>3</v>
      </c>
      <c r="AU4" s="138" t="s">
        <v>975</v>
      </c>
      <c r="AV4" s="558" t="s">
        <v>1009</v>
      </c>
      <c r="AW4" s="559"/>
      <c r="AX4" s="560"/>
      <c r="AY4" s="13">
        <v>0.3</v>
      </c>
      <c r="AZ4" s="13" t="s">
        <v>264</v>
      </c>
      <c r="BB4" s="138" t="s">
        <v>268</v>
      </c>
      <c r="BC4" s="138" t="s">
        <v>269</v>
      </c>
      <c r="BD4" s="138">
        <v>1.5</v>
      </c>
      <c r="BE4" s="138" t="s">
        <v>975</v>
      </c>
      <c r="BF4" s="558" t="s">
        <v>1009</v>
      </c>
      <c r="BG4" s="559"/>
      <c r="BH4" s="560"/>
      <c r="BI4" s="13">
        <v>0.3</v>
      </c>
      <c r="BJ4" s="13" t="s">
        <v>264</v>
      </c>
      <c r="BL4" s="138" t="s">
        <v>268</v>
      </c>
      <c r="BM4" s="138" t="s">
        <v>269</v>
      </c>
      <c r="BN4" s="138">
        <v>1.5</v>
      </c>
      <c r="BO4" s="138" t="s">
        <v>975</v>
      </c>
      <c r="BP4" s="558" t="s">
        <v>1009</v>
      </c>
      <c r="BQ4" s="559"/>
      <c r="BR4" s="560"/>
      <c r="BS4" s="13">
        <v>0.3</v>
      </c>
      <c r="BT4" s="13" t="s">
        <v>264</v>
      </c>
      <c r="BV4" s="138" t="s">
        <v>268</v>
      </c>
      <c r="BW4" s="138" t="s">
        <v>269</v>
      </c>
      <c r="BX4" s="138">
        <v>1.5</v>
      </c>
      <c r="BY4" s="138" t="s">
        <v>975</v>
      </c>
      <c r="BZ4" s="558" t="s">
        <v>1009</v>
      </c>
      <c r="CA4" s="559"/>
      <c r="CB4" s="560"/>
      <c r="CC4" s="13">
        <v>0.3</v>
      </c>
      <c r="CD4" s="13" t="s">
        <v>264</v>
      </c>
      <c r="CF4" s="138" t="s">
        <v>268</v>
      </c>
      <c r="CG4" s="138" t="s">
        <v>269</v>
      </c>
      <c r="CH4" s="138">
        <v>1.5</v>
      </c>
      <c r="CI4" s="138" t="s">
        <v>975</v>
      </c>
      <c r="CJ4" s="558" t="s">
        <v>1009</v>
      </c>
      <c r="CK4" s="559"/>
      <c r="CL4" s="560"/>
      <c r="CM4" s="13">
        <v>0.3</v>
      </c>
      <c r="CN4" s="13" t="s">
        <v>264</v>
      </c>
      <c r="CP4" s="138" t="s">
        <v>268</v>
      </c>
      <c r="CQ4" s="138" t="s">
        <v>269</v>
      </c>
      <c r="CR4" s="138">
        <v>1.5</v>
      </c>
      <c r="CS4" s="138" t="s">
        <v>975</v>
      </c>
      <c r="CT4" s="558" t="s">
        <v>1009</v>
      </c>
      <c r="CU4" s="559"/>
      <c r="CV4" s="560"/>
      <c r="CW4" s="13">
        <v>0.3</v>
      </c>
      <c r="CX4" s="13" t="s">
        <v>264</v>
      </c>
      <c r="CZ4" s="138" t="s">
        <v>268</v>
      </c>
      <c r="DA4" s="138" t="s">
        <v>269</v>
      </c>
      <c r="DB4" s="138">
        <v>1.5</v>
      </c>
      <c r="DC4" s="138" t="s">
        <v>975</v>
      </c>
      <c r="DD4" s="558" t="s">
        <v>1009</v>
      </c>
      <c r="DE4" s="559"/>
      <c r="DF4" s="560"/>
      <c r="DG4" s="13">
        <v>0.3</v>
      </c>
      <c r="DH4" s="13" t="s">
        <v>264</v>
      </c>
      <c r="DJ4" s="138" t="s">
        <v>268</v>
      </c>
      <c r="DK4" s="138" t="s">
        <v>269</v>
      </c>
      <c r="DL4" s="138">
        <v>1.5</v>
      </c>
      <c r="DM4" s="138" t="s">
        <v>975</v>
      </c>
      <c r="DN4" s="558" t="s">
        <v>1009</v>
      </c>
      <c r="DO4" s="559"/>
      <c r="DP4" s="560"/>
      <c r="DQ4" s="13">
        <v>0.3</v>
      </c>
      <c r="DR4" s="13" t="s">
        <v>264</v>
      </c>
      <c r="DT4" s="138" t="s">
        <v>268</v>
      </c>
      <c r="DU4" s="138" t="s">
        <v>269</v>
      </c>
      <c r="DV4" s="138">
        <v>1.5</v>
      </c>
      <c r="DW4" s="138" t="s">
        <v>975</v>
      </c>
      <c r="DX4" s="558" t="s">
        <v>1009</v>
      </c>
      <c r="DY4" s="559"/>
      <c r="DZ4" s="560"/>
      <c r="EA4" s="13">
        <v>0.3</v>
      </c>
      <c r="EB4" s="13" t="s">
        <v>264</v>
      </c>
      <c r="ED4" s="138" t="s">
        <v>268</v>
      </c>
      <c r="EE4" s="138" t="s">
        <v>269</v>
      </c>
      <c r="EF4" s="138">
        <v>1.5</v>
      </c>
      <c r="EG4" s="138" t="s">
        <v>975</v>
      </c>
      <c r="EH4" s="558" t="s">
        <v>1009</v>
      </c>
      <c r="EI4" s="559"/>
      <c r="EJ4" s="560"/>
      <c r="EK4" s="13">
        <v>0.3</v>
      </c>
      <c r="EL4" s="13" t="s">
        <v>264</v>
      </c>
      <c r="EN4" s="138" t="s">
        <v>268</v>
      </c>
      <c r="EO4" s="138" t="s">
        <v>269</v>
      </c>
      <c r="EP4" s="138">
        <v>1.5</v>
      </c>
      <c r="EQ4" s="138" t="s">
        <v>975</v>
      </c>
      <c r="ER4" s="558" t="s">
        <v>1009</v>
      </c>
      <c r="ES4" s="559"/>
      <c r="ET4" s="560"/>
      <c r="EU4" s="13">
        <v>0.3</v>
      </c>
      <c r="EV4" s="13" t="s">
        <v>264</v>
      </c>
      <c r="EX4" s="138" t="s">
        <v>268</v>
      </c>
      <c r="EY4" s="138" t="s">
        <v>269</v>
      </c>
      <c r="EZ4" s="138">
        <v>1.5</v>
      </c>
      <c r="FA4" s="138" t="s">
        <v>975</v>
      </c>
      <c r="FB4" s="558" t="s">
        <v>1009</v>
      </c>
      <c r="FC4" s="559"/>
      <c r="FD4" s="560"/>
      <c r="FE4" s="13">
        <v>0.3</v>
      </c>
      <c r="FF4" s="13" t="s">
        <v>264</v>
      </c>
      <c r="FH4" s="138" t="s">
        <v>268</v>
      </c>
      <c r="FI4" s="138" t="s">
        <v>269</v>
      </c>
      <c r="FJ4" s="138">
        <v>1.5</v>
      </c>
      <c r="FK4" s="138" t="s">
        <v>975</v>
      </c>
      <c r="FL4" s="558" t="s">
        <v>1009</v>
      </c>
      <c r="FM4" s="559"/>
      <c r="FN4" s="560"/>
      <c r="FO4" s="13">
        <v>0.3</v>
      </c>
      <c r="FP4" s="13" t="s">
        <v>264</v>
      </c>
      <c r="FR4" s="138" t="s">
        <v>268</v>
      </c>
      <c r="FS4" s="138" t="s">
        <v>269</v>
      </c>
      <c r="FT4" s="138">
        <v>1.5</v>
      </c>
      <c r="FU4" s="138" t="s">
        <v>975</v>
      </c>
      <c r="FV4" s="558" t="s">
        <v>1009</v>
      </c>
      <c r="FW4" s="559"/>
      <c r="FX4" s="560"/>
      <c r="FY4" s="13">
        <v>0.3</v>
      </c>
      <c r="FZ4" s="13" t="s">
        <v>264</v>
      </c>
      <c r="GB4" s="138" t="s">
        <v>268</v>
      </c>
      <c r="GC4" s="138" t="s">
        <v>269</v>
      </c>
      <c r="GD4" s="138">
        <v>1.5</v>
      </c>
      <c r="GE4" s="138" t="s">
        <v>975</v>
      </c>
      <c r="GF4" s="558" t="s">
        <v>1009</v>
      </c>
      <c r="GG4" s="559"/>
      <c r="GH4" s="560"/>
      <c r="GI4" s="13">
        <v>0.3</v>
      </c>
      <c r="GJ4" s="13" t="s">
        <v>264</v>
      </c>
      <c r="GL4" s="138" t="s">
        <v>268</v>
      </c>
      <c r="GM4" s="138" t="s">
        <v>269</v>
      </c>
      <c r="GN4" s="138">
        <v>1.5</v>
      </c>
      <c r="GO4" s="138" t="s">
        <v>975</v>
      </c>
      <c r="GP4" s="558" t="s">
        <v>1009</v>
      </c>
      <c r="GQ4" s="559"/>
      <c r="GR4" s="560"/>
      <c r="GS4" s="13">
        <v>0.3</v>
      </c>
      <c r="GT4" s="13" t="s">
        <v>264</v>
      </c>
      <c r="GV4" s="138" t="s">
        <v>268</v>
      </c>
      <c r="GW4" s="138" t="s">
        <v>269</v>
      </c>
      <c r="GX4" s="138">
        <v>1.5</v>
      </c>
      <c r="GY4" s="138" t="s">
        <v>975</v>
      </c>
      <c r="GZ4" s="558" t="s">
        <v>1009</v>
      </c>
      <c r="HA4" s="559"/>
      <c r="HB4" s="560"/>
      <c r="HC4" s="13">
        <v>0.3</v>
      </c>
      <c r="HD4" s="13" t="s">
        <v>264</v>
      </c>
      <c r="HF4" s="138" t="s">
        <v>268</v>
      </c>
      <c r="HG4" s="138" t="s">
        <v>269</v>
      </c>
      <c r="HH4" s="138">
        <v>1.5</v>
      </c>
      <c r="HI4" s="138" t="s">
        <v>975</v>
      </c>
      <c r="HJ4" s="558" t="s">
        <v>1009</v>
      </c>
      <c r="HK4" s="559"/>
      <c r="HL4" s="560"/>
      <c r="HM4" s="13">
        <v>0.3</v>
      </c>
      <c r="HN4" s="13" t="s">
        <v>264</v>
      </c>
      <c r="HP4" s="138" t="s">
        <v>268</v>
      </c>
      <c r="HQ4" s="138" t="s">
        <v>269</v>
      </c>
      <c r="HR4" s="138">
        <v>1.5</v>
      </c>
      <c r="HS4" s="138" t="s">
        <v>975</v>
      </c>
      <c r="HT4" s="558" t="s">
        <v>1009</v>
      </c>
      <c r="HU4" s="559"/>
      <c r="HV4" s="560"/>
      <c r="HW4" s="13">
        <v>0.3</v>
      </c>
      <c r="HX4" s="13" t="s">
        <v>264</v>
      </c>
      <c r="HZ4" s="138" t="s">
        <v>268</v>
      </c>
      <c r="IA4" s="138" t="s">
        <v>269</v>
      </c>
      <c r="IB4" s="138">
        <v>1.5</v>
      </c>
      <c r="IC4" s="138" t="s">
        <v>975</v>
      </c>
      <c r="ID4" s="558" t="s">
        <v>1009</v>
      </c>
      <c r="IE4" s="559"/>
      <c r="IF4" s="560"/>
      <c r="IG4" s="13">
        <v>0.3</v>
      </c>
      <c r="IH4" s="13" t="s">
        <v>264</v>
      </c>
      <c r="IJ4" s="138" t="s">
        <v>268</v>
      </c>
      <c r="IK4" s="138" t="s">
        <v>269</v>
      </c>
      <c r="IL4" s="138">
        <v>1.5</v>
      </c>
      <c r="IM4" s="138" t="s">
        <v>975</v>
      </c>
      <c r="IN4" s="558" t="s">
        <v>1009</v>
      </c>
      <c r="IO4" s="559"/>
      <c r="IP4" s="560"/>
      <c r="IQ4" s="13">
        <v>0.3</v>
      </c>
      <c r="IR4" s="13" t="s">
        <v>264</v>
      </c>
      <c r="IT4" s="138" t="s">
        <v>268</v>
      </c>
      <c r="IU4" s="138" t="s">
        <v>269</v>
      </c>
      <c r="IV4" s="138">
        <v>1.5</v>
      </c>
      <c r="IW4" s="138" t="s">
        <v>975</v>
      </c>
      <c r="IX4" s="558" t="s">
        <v>1009</v>
      </c>
      <c r="IY4" s="559"/>
      <c r="IZ4" s="560"/>
      <c r="JA4" s="13">
        <v>0.3</v>
      </c>
      <c r="JB4" s="13" t="s">
        <v>264</v>
      </c>
      <c r="JD4" s="138" t="s">
        <v>268</v>
      </c>
      <c r="JE4" s="138" t="s">
        <v>269</v>
      </c>
      <c r="JF4" s="138">
        <v>1.5</v>
      </c>
      <c r="JG4" s="138" t="s">
        <v>975</v>
      </c>
      <c r="JH4" s="558" t="s">
        <v>1009</v>
      </c>
      <c r="JI4" s="559"/>
      <c r="JJ4" s="560"/>
      <c r="JK4" s="13">
        <v>0.3</v>
      </c>
      <c r="JL4" s="13" t="s">
        <v>264</v>
      </c>
      <c r="JN4" s="138" t="s">
        <v>268</v>
      </c>
      <c r="JO4" s="138" t="s">
        <v>269</v>
      </c>
      <c r="JP4" s="138">
        <v>1.5</v>
      </c>
      <c r="JQ4" s="138" t="s">
        <v>975</v>
      </c>
      <c r="JR4" s="558" t="s">
        <v>1009</v>
      </c>
      <c r="JS4" s="559"/>
      <c r="JT4" s="560"/>
      <c r="JU4" s="13">
        <v>0.3</v>
      </c>
      <c r="JV4" s="13" t="s">
        <v>264</v>
      </c>
      <c r="JX4" s="138" t="s">
        <v>268</v>
      </c>
      <c r="JY4" s="138" t="s">
        <v>269</v>
      </c>
      <c r="JZ4" s="138">
        <v>1.5</v>
      </c>
      <c r="KA4" s="138" t="s">
        <v>975</v>
      </c>
      <c r="KB4" s="558" t="s">
        <v>1009</v>
      </c>
      <c r="KC4" s="559"/>
      <c r="KD4" s="560"/>
      <c r="KE4" s="13">
        <v>0.3</v>
      </c>
      <c r="KF4" s="13" t="s">
        <v>264</v>
      </c>
      <c r="KH4" s="138" t="s">
        <v>268</v>
      </c>
      <c r="KI4" s="138" t="s">
        <v>269</v>
      </c>
      <c r="KJ4" s="138">
        <v>1.5</v>
      </c>
      <c r="KK4" s="138" t="s">
        <v>975</v>
      </c>
      <c r="KL4" s="558" t="s">
        <v>1009</v>
      </c>
      <c r="KM4" s="559"/>
      <c r="KN4" s="560"/>
      <c r="KO4" s="13">
        <v>0.3</v>
      </c>
      <c r="KP4" s="13" t="s">
        <v>264</v>
      </c>
    </row>
    <row r="5" spans="1:302" ht="15">
      <c r="A5" s="409" t="s">
        <v>265</v>
      </c>
      <c r="B5" s="409"/>
      <c r="C5" s="409"/>
      <c r="D5" s="414" t="s">
        <v>976</v>
      </c>
      <c r="E5" s="414"/>
      <c r="F5" s="414"/>
      <c r="G5" s="414"/>
      <c r="H5" s="414"/>
      <c r="I5" s="414"/>
      <c r="J5" s="535" t="s">
        <v>267</v>
      </c>
      <c r="K5" s="536"/>
      <c r="L5" s="512"/>
      <c r="M5" s="513"/>
      <c r="N5" s="538" t="s">
        <v>254</v>
      </c>
      <c r="O5" s="512"/>
      <c r="P5" s="133"/>
      <c r="Q5" s="129" t="s">
        <v>949</v>
      </c>
      <c r="R5" s="134">
        <f>FLOOR((_xll.qbEQ_SPT2025($D$10,$D$13,$D$14,$BC$1,$BC$1,$BD$3:$BE$16,$BD$19:$BE$108,$D$19,$BD$3:$BJ$16,$D$12)*D22-_xll.fluEQ_SPT2025($D$10,$D$13,$D$14,$D$23,$D$16,$BC$1,$BD$3:$BE$16,$BD$19:$BE$108,TRUE,FALSE,"",0,$D$18,$D$19,$BD$3:$BJ$16,$D$12,$J$29)+_xll.fluEQ_SPT2025($D$10,$D$13,$D$14,$D$23,$D$16,$BC$1,$BD$3:$BE$16,$BD$19:$BE$108,FALSE,TRUE,"",0,$D$18,$D$19,$BD$3:$BJ$16,$D$12,$J$29))/($D$30*$D$29)-$D$32*$D$29,10)</f>
        <v>2120</v>
      </c>
      <c r="S5" s="129" t="s">
        <v>963</v>
      </c>
      <c r="T5" s="135">
        <f>FLOOR((_xll.qbEQ_SPT2025($D$10,$D$13,$D$14,$GM$1,$GM$1,$GN$3:$GO$16,$GN$19:$GO$108,$D$19,$GN$3:$GT$16,$D$12)*D22-_xll.fluEQ_SPT2025($D$10,$D$13,$D$14,$D$23,$D$16,$GM$1,$GN$3:$GO$16,$GN$19:$GO$108,TRUE,FALSE,"",0,$D$18,$D$19,$GN$3:$GT$16,$D$12,$J$29)+_xll.fluEQ_SPT2025($D$10,$D$13,$D$14,$D$23,$D$16,$GM$1,$GN$3:$GO$16,$GN$19:$GO$108,FALSE,TRUE,"",0,$D$18,$D$19,$GN$3:$GT$16,$D$12,$J$29))/($D$30*$D$29)-$D$32*$D$29,10)</f>
        <v>2120</v>
      </c>
      <c r="U5" s="136"/>
      <c r="V5" s="136"/>
      <c r="W5" s="136"/>
      <c r="X5" s="138" t="s">
        <v>270</v>
      </c>
      <c r="Y5" s="138" t="s">
        <v>269</v>
      </c>
      <c r="Z5" s="138">
        <v>7</v>
      </c>
      <c r="AA5" s="138" t="s">
        <v>975</v>
      </c>
      <c r="AB5" s="558" t="s">
        <v>1009</v>
      </c>
      <c r="AC5" s="559"/>
      <c r="AD5" s="560"/>
      <c r="AE5" s="13">
        <v>0.2</v>
      </c>
      <c r="AF5" s="13" t="s">
        <v>264</v>
      </c>
      <c r="AH5" s="138" t="s">
        <v>270</v>
      </c>
      <c r="AI5" s="138" t="s">
        <v>269</v>
      </c>
      <c r="AJ5" s="138">
        <v>8</v>
      </c>
      <c r="AK5" s="138" t="s">
        <v>975</v>
      </c>
      <c r="AL5" s="558" t="s">
        <v>1009</v>
      </c>
      <c r="AM5" s="559"/>
      <c r="AN5" s="560"/>
      <c r="AO5" s="13">
        <v>0.3</v>
      </c>
      <c r="AP5" s="13" t="s">
        <v>264</v>
      </c>
      <c r="AR5" s="138" t="s">
        <v>270</v>
      </c>
      <c r="AS5" s="138" t="s">
        <v>269</v>
      </c>
      <c r="AT5" s="138">
        <v>5</v>
      </c>
      <c r="AU5" s="138" t="s">
        <v>975</v>
      </c>
      <c r="AV5" s="558" t="s">
        <v>1009</v>
      </c>
      <c r="AW5" s="559"/>
      <c r="AX5" s="560"/>
      <c r="AY5" s="13">
        <v>0.2</v>
      </c>
      <c r="AZ5" s="13" t="s">
        <v>264</v>
      </c>
      <c r="BB5" s="138" t="s">
        <v>270</v>
      </c>
      <c r="BC5" s="138" t="s">
        <v>269</v>
      </c>
      <c r="BD5" s="138">
        <v>7</v>
      </c>
      <c r="BE5" s="138" t="s">
        <v>975</v>
      </c>
      <c r="BF5" s="558" t="s">
        <v>1009</v>
      </c>
      <c r="BG5" s="559"/>
      <c r="BH5" s="560"/>
      <c r="BI5" s="13">
        <v>0.2</v>
      </c>
      <c r="BJ5" s="13" t="s">
        <v>264</v>
      </c>
      <c r="BL5" s="138" t="s">
        <v>270</v>
      </c>
      <c r="BM5" s="138" t="s">
        <v>269</v>
      </c>
      <c r="BN5" s="138">
        <v>7</v>
      </c>
      <c r="BO5" s="138" t="s">
        <v>975</v>
      </c>
      <c r="BP5" s="558" t="s">
        <v>1009</v>
      </c>
      <c r="BQ5" s="559"/>
      <c r="BR5" s="560"/>
      <c r="BS5" s="13">
        <v>0.2</v>
      </c>
      <c r="BT5" s="13" t="s">
        <v>264</v>
      </c>
      <c r="BV5" s="138" t="s">
        <v>270</v>
      </c>
      <c r="BW5" s="138" t="s">
        <v>269</v>
      </c>
      <c r="BX5" s="138">
        <v>7</v>
      </c>
      <c r="BY5" s="138" t="s">
        <v>975</v>
      </c>
      <c r="BZ5" s="558" t="s">
        <v>1009</v>
      </c>
      <c r="CA5" s="559"/>
      <c r="CB5" s="560"/>
      <c r="CC5" s="13">
        <v>0.2</v>
      </c>
      <c r="CD5" s="13" t="s">
        <v>264</v>
      </c>
      <c r="CF5" s="138" t="s">
        <v>270</v>
      </c>
      <c r="CG5" s="138" t="s">
        <v>269</v>
      </c>
      <c r="CH5" s="138">
        <v>7</v>
      </c>
      <c r="CI5" s="138" t="s">
        <v>975</v>
      </c>
      <c r="CJ5" s="558" t="s">
        <v>1009</v>
      </c>
      <c r="CK5" s="559"/>
      <c r="CL5" s="560"/>
      <c r="CM5" s="13">
        <v>0.2</v>
      </c>
      <c r="CN5" s="13" t="s">
        <v>264</v>
      </c>
      <c r="CP5" s="138" t="s">
        <v>270</v>
      </c>
      <c r="CQ5" s="138" t="s">
        <v>269</v>
      </c>
      <c r="CR5" s="138">
        <v>7</v>
      </c>
      <c r="CS5" s="138" t="s">
        <v>975</v>
      </c>
      <c r="CT5" s="558" t="s">
        <v>1009</v>
      </c>
      <c r="CU5" s="559"/>
      <c r="CV5" s="560"/>
      <c r="CW5" s="13">
        <v>0.2</v>
      </c>
      <c r="CX5" s="13" t="s">
        <v>264</v>
      </c>
      <c r="CZ5" s="138" t="s">
        <v>270</v>
      </c>
      <c r="DA5" s="138" t="s">
        <v>269</v>
      </c>
      <c r="DB5" s="138">
        <v>7</v>
      </c>
      <c r="DC5" s="138" t="s">
        <v>975</v>
      </c>
      <c r="DD5" s="558" t="s">
        <v>1009</v>
      </c>
      <c r="DE5" s="559"/>
      <c r="DF5" s="560"/>
      <c r="DG5" s="13">
        <v>0.2</v>
      </c>
      <c r="DH5" s="13" t="s">
        <v>264</v>
      </c>
      <c r="DJ5" s="138" t="s">
        <v>270</v>
      </c>
      <c r="DK5" s="138" t="s">
        <v>269</v>
      </c>
      <c r="DL5" s="138">
        <v>7</v>
      </c>
      <c r="DM5" s="138" t="s">
        <v>975</v>
      </c>
      <c r="DN5" s="558" t="s">
        <v>1009</v>
      </c>
      <c r="DO5" s="559"/>
      <c r="DP5" s="560"/>
      <c r="DQ5" s="13">
        <v>0.2</v>
      </c>
      <c r="DR5" s="13" t="s">
        <v>264</v>
      </c>
      <c r="DT5" s="138" t="s">
        <v>270</v>
      </c>
      <c r="DU5" s="138" t="s">
        <v>269</v>
      </c>
      <c r="DV5" s="138">
        <v>7</v>
      </c>
      <c r="DW5" s="138" t="s">
        <v>975</v>
      </c>
      <c r="DX5" s="558" t="s">
        <v>1009</v>
      </c>
      <c r="DY5" s="559"/>
      <c r="DZ5" s="560"/>
      <c r="EA5" s="13">
        <v>0.2</v>
      </c>
      <c r="EB5" s="13" t="s">
        <v>264</v>
      </c>
      <c r="ED5" s="138" t="s">
        <v>270</v>
      </c>
      <c r="EE5" s="138" t="s">
        <v>269</v>
      </c>
      <c r="EF5" s="138">
        <v>7</v>
      </c>
      <c r="EG5" s="138" t="s">
        <v>975</v>
      </c>
      <c r="EH5" s="558" t="s">
        <v>1009</v>
      </c>
      <c r="EI5" s="559"/>
      <c r="EJ5" s="560"/>
      <c r="EK5" s="13">
        <v>0.2</v>
      </c>
      <c r="EL5" s="13" t="s">
        <v>264</v>
      </c>
      <c r="EN5" s="138" t="s">
        <v>270</v>
      </c>
      <c r="EO5" s="138" t="s">
        <v>269</v>
      </c>
      <c r="EP5" s="138">
        <v>7</v>
      </c>
      <c r="EQ5" s="138" t="s">
        <v>975</v>
      </c>
      <c r="ER5" s="558" t="s">
        <v>1009</v>
      </c>
      <c r="ES5" s="559"/>
      <c r="ET5" s="560"/>
      <c r="EU5" s="13">
        <v>0.2</v>
      </c>
      <c r="EV5" s="13" t="s">
        <v>264</v>
      </c>
      <c r="EX5" s="138" t="s">
        <v>270</v>
      </c>
      <c r="EY5" s="138" t="s">
        <v>269</v>
      </c>
      <c r="EZ5" s="138">
        <v>7</v>
      </c>
      <c r="FA5" s="138" t="s">
        <v>975</v>
      </c>
      <c r="FB5" s="558" t="s">
        <v>1009</v>
      </c>
      <c r="FC5" s="559"/>
      <c r="FD5" s="560"/>
      <c r="FE5" s="13">
        <v>0.2</v>
      </c>
      <c r="FF5" s="13" t="s">
        <v>264</v>
      </c>
      <c r="FH5" s="138" t="s">
        <v>270</v>
      </c>
      <c r="FI5" s="138" t="s">
        <v>269</v>
      </c>
      <c r="FJ5" s="138">
        <v>7</v>
      </c>
      <c r="FK5" s="138" t="s">
        <v>975</v>
      </c>
      <c r="FL5" s="558" t="s">
        <v>1009</v>
      </c>
      <c r="FM5" s="559"/>
      <c r="FN5" s="560"/>
      <c r="FO5" s="13">
        <v>0.2</v>
      </c>
      <c r="FP5" s="13" t="s">
        <v>264</v>
      </c>
      <c r="FR5" s="138" t="s">
        <v>270</v>
      </c>
      <c r="FS5" s="138" t="s">
        <v>269</v>
      </c>
      <c r="FT5" s="138">
        <v>7</v>
      </c>
      <c r="FU5" s="138" t="s">
        <v>975</v>
      </c>
      <c r="FV5" s="558" t="s">
        <v>1009</v>
      </c>
      <c r="FW5" s="559"/>
      <c r="FX5" s="560"/>
      <c r="FY5" s="13">
        <v>0.2</v>
      </c>
      <c r="FZ5" s="13" t="s">
        <v>264</v>
      </c>
      <c r="GB5" s="138" t="s">
        <v>270</v>
      </c>
      <c r="GC5" s="138" t="s">
        <v>269</v>
      </c>
      <c r="GD5" s="138">
        <v>7</v>
      </c>
      <c r="GE5" s="138" t="s">
        <v>975</v>
      </c>
      <c r="GF5" s="558" t="s">
        <v>1009</v>
      </c>
      <c r="GG5" s="559"/>
      <c r="GH5" s="560"/>
      <c r="GI5" s="13">
        <v>0.2</v>
      </c>
      <c r="GJ5" s="13" t="s">
        <v>264</v>
      </c>
      <c r="GL5" s="138" t="s">
        <v>270</v>
      </c>
      <c r="GM5" s="138" t="s">
        <v>269</v>
      </c>
      <c r="GN5" s="138">
        <v>7</v>
      </c>
      <c r="GO5" s="138" t="s">
        <v>975</v>
      </c>
      <c r="GP5" s="558" t="s">
        <v>1009</v>
      </c>
      <c r="GQ5" s="559"/>
      <c r="GR5" s="560"/>
      <c r="GS5" s="13">
        <v>0.2</v>
      </c>
      <c r="GT5" s="13" t="s">
        <v>264</v>
      </c>
      <c r="GV5" s="138" t="s">
        <v>270</v>
      </c>
      <c r="GW5" s="138" t="s">
        <v>269</v>
      </c>
      <c r="GX5" s="138">
        <v>7</v>
      </c>
      <c r="GY5" s="138" t="s">
        <v>975</v>
      </c>
      <c r="GZ5" s="558" t="s">
        <v>1009</v>
      </c>
      <c r="HA5" s="559"/>
      <c r="HB5" s="560"/>
      <c r="HC5" s="13">
        <v>0.2</v>
      </c>
      <c r="HD5" s="13" t="s">
        <v>264</v>
      </c>
      <c r="HF5" s="138" t="s">
        <v>270</v>
      </c>
      <c r="HG5" s="138" t="s">
        <v>269</v>
      </c>
      <c r="HH5" s="138">
        <v>7</v>
      </c>
      <c r="HI5" s="138" t="s">
        <v>975</v>
      </c>
      <c r="HJ5" s="558" t="s">
        <v>1009</v>
      </c>
      <c r="HK5" s="559"/>
      <c r="HL5" s="560"/>
      <c r="HM5" s="13">
        <v>0.2</v>
      </c>
      <c r="HN5" s="13" t="s">
        <v>264</v>
      </c>
      <c r="HP5" s="138" t="s">
        <v>270</v>
      </c>
      <c r="HQ5" s="138" t="s">
        <v>269</v>
      </c>
      <c r="HR5" s="138">
        <v>7</v>
      </c>
      <c r="HS5" s="138" t="s">
        <v>975</v>
      </c>
      <c r="HT5" s="558" t="s">
        <v>1009</v>
      </c>
      <c r="HU5" s="559"/>
      <c r="HV5" s="560"/>
      <c r="HW5" s="13">
        <v>0.2</v>
      </c>
      <c r="HX5" s="13" t="s">
        <v>264</v>
      </c>
      <c r="HZ5" s="138" t="s">
        <v>270</v>
      </c>
      <c r="IA5" s="138" t="s">
        <v>269</v>
      </c>
      <c r="IB5" s="138">
        <v>7</v>
      </c>
      <c r="IC5" s="138" t="s">
        <v>975</v>
      </c>
      <c r="ID5" s="558" t="s">
        <v>1009</v>
      </c>
      <c r="IE5" s="559"/>
      <c r="IF5" s="560"/>
      <c r="IG5" s="13">
        <v>0.2</v>
      </c>
      <c r="IH5" s="13" t="s">
        <v>264</v>
      </c>
      <c r="IJ5" s="138" t="s">
        <v>270</v>
      </c>
      <c r="IK5" s="138" t="s">
        <v>269</v>
      </c>
      <c r="IL5" s="138">
        <v>7</v>
      </c>
      <c r="IM5" s="138" t="s">
        <v>975</v>
      </c>
      <c r="IN5" s="558" t="s">
        <v>1009</v>
      </c>
      <c r="IO5" s="559"/>
      <c r="IP5" s="560"/>
      <c r="IQ5" s="13">
        <v>0.2</v>
      </c>
      <c r="IR5" s="13" t="s">
        <v>264</v>
      </c>
      <c r="IT5" s="138" t="s">
        <v>270</v>
      </c>
      <c r="IU5" s="138" t="s">
        <v>269</v>
      </c>
      <c r="IV5" s="138">
        <v>7</v>
      </c>
      <c r="IW5" s="138" t="s">
        <v>975</v>
      </c>
      <c r="IX5" s="558" t="s">
        <v>1009</v>
      </c>
      <c r="IY5" s="559"/>
      <c r="IZ5" s="560"/>
      <c r="JA5" s="13">
        <v>0.2</v>
      </c>
      <c r="JB5" s="13" t="s">
        <v>264</v>
      </c>
      <c r="JD5" s="138" t="s">
        <v>270</v>
      </c>
      <c r="JE5" s="138" t="s">
        <v>269</v>
      </c>
      <c r="JF5" s="138">
        <v>7</v>
      </c>
      <c r="JG5" s="138" t="s">
        <v>975</v>
      </c>
      <c r="JH5" s="558" t="s">
        <v>1009</v>
      </c>
      <c r="JI5" s="559"/>
      <c r="JJ5" s="560"/>
      <c r="JK5" s="13">
        <v>0.2</v>
      </c>
      <c r="JL5" s="13" t="s">
        <v>264</v>
      </c>
      <c r="JN5" s="138" t="s">
        <v>270</v>
      </c>
      <c r="JO5" s="138" t="s">
        <v>269</v>
      </c>
      <c r="JP5" s="138">
        <v>7</v>
      </c>
      <c r="JQ5" s="138" t="s">
        <v>975</v>
      </c>
      <c r="JR5" s="558" t="s">
        <v>1009</v>
      </c>
      <c r="JS5" s="559"/>
      <c r="JT5" s="560"/>
      <c r="JU5" s="13">
        <v>0.2</v>
      </c>
      <c r="JV5" s="13" t="s">
        <v>264</v>
      </c>
      <c r="JX5" s="138" t="s">
        <v>270</v>
      </c>
      <c r="JY5" s="138" t="s">
        <v>269</v>
      </c>
      <c r="JZ5" s="138">
        <v>7</v>
      </c>
      <c r="KA5" s="138" t="s">
        <v>975</v>
      </c>
      <c r="KB5" s="558" t="s">
        <v>1009</v>
      </c>
      <c r="KC5" s="559"/>
      <c r="KD5" s="560"/>
      <c r="KE5" s="13">
        <v>0.2</v>
      </c>
      <c r="KF5" s="13" t="s">
        <v>264</v>
      </c>
      <c r="KH5" s="138" t="s">
        <v>270</v>
      </c>
      <c r="KI5" s="138" t="s">
        <v>269</v>
      </c>
      <c r="KJ5" s="138">
        <v>7</v>
      </c>
      <c r="KK5" s="138" t="s">
        <v>975</v>
      </c>
      <c r="KL5" s="558" t="s">
        <v>1009</v>
      </c>
      <c r="KM5" s="559"/>
      <c r="KN5" s="560"/>
      <c r="KO5" s="13">
        <v>0.2</v>
      </c>
      <c r="KP5" s="13" t="s">
        <v>264</v>
      </c>
    </row>
    <row r="6" spans="1:302" ht="21" customHeight="1">
      <c r="A6" s="561"/>
      <c r="B6" s="562"/>
      <c r="C6" s="562"/>
      <c r="D6" s="562"/>
      <c r="E6" s="562"/>
      <c r="F6" s="562"/>
      <c r="G6" s="562"/>
      <c r="H6" s="562"/>
      <c r="I6" s="562"/>
      <c r="J6" s="562"/>
      <c r="K6" s="562"/>
      <c r="L6" s="562"/>
      <c r="M6" s="562"/>
      <c r="N6" s="562"/>
      <c r="O6" s="562"/>
      <c r="P6" s="139"/>
      <c r="Q6" s="129" t="s">
        <v>950</v>
      </c>
      <c r="R6" s="134">
        <f>FLOOR((_xll.qbEQ_SPT2025($D$10,$D$13,$D$14,$BM$1,$BM$1,$BN$3:$BO$16,$BN$19:$BO$108,$D$19,$BN$3:$BT$16,$D$12)*D22-_xll.fluEQ_SPT2025($D$10,$D$13,$D$14,$D$23,$D$16,$BM$1,$BN$3:$BO$16,$BN$19:$BO$108,TRUE,FALSE,"",0,$D$18,$D$19,$BN$3:$BT$16,$D$12,$J$29)+_xll.fluEQ_SPT2025($D$10,$D$13,$D$14,$D$23,$D$16,$BM$1,$BN$3:$BO$16,$BN$19:$BO$108,FALSE,TRUE,"",0,$D$18,$D$19,$BN$3:$BT$16,$D$12,$J$29))/($D$30*$D$29)-$D$32*$D$29,10)</f>
        <v>2120</v>
      </c>
      <c r="S6" s="129" t="s">
        <v>284</v>
      </c>
      <c r="T6" s="135">
        <f>FLOOR((_xll.qbEQ_SPT2025($D$10,$D$13,$D$14,$GW$1,$GW$1,$GX$3:$GY$16,$GX$19:$GY$108,$D$19,$GX$3:$HD$16,$D$12)*D22-_xll.fluEQ_SPT2025($D$10,$D$13,$D$14,$D$23,$D$16,$GW$1,$GX$3:$GY$16,$GX$19:$GY$108,TRUE,FALSE,"",0,$D$18,$D$19,$GX$3:$HD$16,$D$12,$J$29)+_xll.fluEQ_SPT2025($D$10,$D$13,$D$14,$D$23,$D$16,$GW$1,$GX$3:$GY$16,$GX$19:$GY$108,FALSE,TRUE,"",0,$D$18,$D$19,$GX$3:$HD$16,$D$12,$J$29))/($D$30*$D$29)-$D$32*$D$29,10)</f>
        <v>2120</v>
      </c>
      <c r="U6" s="136"/>
      <c r="V6" s="136"/>
      <c r="W6" s="136"/>
      <c r="X6" s="138" t="s">
        <v>274</v>
      </c>
      <c r="Y6" s="138" t="s">
        <v>269</v>
      </c>
      <c r="Z6" s="138">
        <v>10.5</v>
      </c>
      <c r="AA6" s="138" t="s">
        <v>975</v>
      </c>
      <c r="AB6" s="558" t="s">
        <v>1009</v>
      </c>
      <c r="AC6" s="559"/>
      <c r="AD6" s="560"/>
      <c r="AE6" s="13">
        <v>0.1</v>
      </c>
      <c r="AF6" s="13" t="s">
        <v>264</v>
      </c>
      <c r="AH6" s="138" t="s">
        <v>274</v>
      </c>
      <c r="AI6" s="138" t="s">
        <v>269</v>
      </c>
      <c r="AJ6" s="138">
        <v>15</v>
      </c>
      <c r="AK6" s="138" t="s">
        <v>975</v>
      </c>
      <c r="AL6" s="558" t="s">
        <v>1009</v>
      </c>
      <c r="AM6" s="559"/>
      <c r="AN6" s="560"/>
      <c r="AO6" s="13">
        <v>0.4</v>
      </c>
      <c r="AP6" s="13" t="s">
        <v>264</v>
      </c>
      <c r="AR6" s="138" t="s">
        <v>274</v>
      </c>
      <c r="AS6" s="138" t="s">
        <v>269</v>
      </c>
      <c r="AT6" s="138">
        <v>11</v>
      </c>
      <c r="AU6" s="138" t="s">
        <v>975</v>
      </c>
      <c r="AV6" s="558" t="s">
        <v>1009</v>
      </c>
      <c r="AW6" s="559"/>
      <c r="AX6" s="560"/>
      <c r="AY6" s="13">
        <v>0.1</v>
      </c>
      <c r="AZ6" s="13" t="s">
        <v>264</v>
      </c>
      <c r="BB6" s="138" t="s">
        <v>274</v>
      </c>
      <c r="BC6" s="138" t="s">
        <v>269</v>
      </c>
      <c r="BD6" s="138">
        <v>10.5</v>
      </c>
      <c r="BE6" s="138" t="s">
        <v>975</v>
      </c>
      <c r="BF6" s="558" t="s">
        <v>1009</v>
      </c>
      <c r="BG6" s="559"/>
      <c r="BH6" s="560"/>
      <c r="BI6" s="13">
        <v>0.1</v>
      </c>
      <c r="BJ6" s="13" t="s">
        <v>264</v>
      </c>
      <c r="BL6" s="138" t="s">
        <v>274</v>
      </c>
      <c r="BM6" s="138" t="s">
        <v>269</v>
      </c>
      <c r="BN6" s="138">
        <v>10.5</v>
      </c>
      <c r="BO6" s="138" t="s">
        <v>975</v>
      </c>
      <c r="BP6" s="558" t="s">
        <v>1009</v>
      </c>
      <c r="BQ6" s="559"/>
      <c r="BR6" s="560"/>
      <c r="BS6" s="13">
        <v>0.1</v>
      </c>
      <c r="BT6" s="13" t="s">
        <v>264</v>
      </c>
      <c r="BV6" s="138" t="s">
        <v>274</v>
      </c>
      <c r="BW6" s="138" t="s">
        <v>269</v>
      </c>
      <c r="BX6" s="138">
        <v>10.5</v>
      </c>
      <c r="BY6" s="138" t="s">
        <v>975</v>
      </c>
      <c r="BZ6" s="558" t="s">
        <v>1009</v>
      </c>
      <c r="CA6" s="559"/>
      <c r="CB6" s="560"/>
      <c r="CC6" s="13">
        <v>0.1</v>
      </c>
      <c r="CD6" s="13" t="s">
        <v>264</v>
      </c>
      <c r="CF6" s="138" t="s">
        <v>274</v>
      </c>
      <c r="CG6" s="138" t="s">
        <v>269</v>
      </c>
      <c r="CH6" s="138">
        <v>10.5</v>
      </c>
      <c r="CI6" s="138" t="s">
        <v>975</v>
      </c>
      <c r="CJ6" s="558" t="s">
        <v>1009</v>
      </c>
      <c r="CK6" s="559"/>
      <c r="CL6" s="560"/>
      <c r="CM6" s="13">
        <v>0.1</v>
      </c>
      <c r="CN6" s="13" t="s">
        <v>264</v>
      </c>
      <c r="CP6" s="138" t="s">
        <v>274</v>
      </c>
      <c r="CQ6" s="138" t="s">
        <v>269</v>
      </c>
      <c r="CR6" s="138">
        <v>10.5</v>
      </c>
      <c r="CS6" s="138" t="s">
        <v>975</v>
      </c>
      <c r="CT6" s="558" t="s">
        <v>1009</v>
      </c>
      <c r="CU6" s="559"/>
      <c r="CV6" s="560"/>
      <c r="CW6" s="13">
        <v>0.1</v>
      </c>
      <c r="CX6" s="13" t="s">
        <v>264</v>
      </c>
      <c r="CZ6" s="138" t="s">
        <v>274</v>
      </c>
      <c r="DA6" s="138" t="s">
        <v>269</v>
      </c>
      <c r="DB6" s="138">
        <v>10.5</v>
      </c>
      <c r="DC6" s="138" t="s">
        <v>975</v>
      </c>
      <c r="DD6" s="558" t="s">
        <v>1009</v>
      </c>
      <c r="DE6" s="559"/>
      <c r="DF6" s="560"/>
      <c r="DG6" s="13">
        <v>0.1</v>
      </c>
      <c r="DH6" s="13" t="s">
        <v>264</v>
      </c>
      <c r="DJ6" s="138" t="s">
        <v>274</v>
      </c>
      <c r="DK6" s="138" t="s">
        <v>269</v>
      </c>
      <c r="DL6" s="138">
        <v>10.5</v>
      </c>
      <c r="DM6" s="138" t="s">
        <v>975</v>
      </c>
      <c r="DN6" s="558" t="s">
        <v>1009</v>
      </c>
      <c r="DO6" s="559"/>
      <c r="DP6" s="560"/>
      <c r="DQ6" s="13">
        <v>0.1</v>
      </c>
      <c r="DR6" s="13" t="s">
        <v>264</v>
      </c>
      <c r="DT6" s="138" t="s">
        <v>274</v>
      </c>
      <c r="DU6" s="138" t="s">
        <v>269</v>
      </c>
      <c r="DV6" s="138">
        <v>10.5</v>
      </c>
      <c r="DW6" s="138" t="s">
        <v>975</v>
      </c>
      <c r="DX6" s="558" t="s">
        <v>1009</v>
      </c>
      <c r="DY6" s="559"/>
      <c r="DZ6" s="560"/>
      <c r="EA6" s="13">
        <v>0.1</v>
      </c>
      <c r="EB6" s="13" t="s">
        <v>264</v>
      </c>
      <c r="ED6" s="138" t="s">
        <v>274</v>
      </c>
      <c r="EE6" s="138" t="s">
        <v>269</v>
      </c>
      <c r="EF6" s="138">
        <v>10.5</v>
      </c>
      <c r="EG6" s="138" t="s">
        <v>975</v>
      </c>
      <c r="EH6" s="558" t="s">
        <v>1009</v>
      </c>
      <c r="EI6" s="559"/>
      <c r="EJ6" s="560"/>
      <c r="EK6" s="13">
        <v>0.1</v>
      </c>
      <c r="EL6" s="13" t="s">
        <v>264</v>
      </c>
      <c r="EN6" s="138" t="s">
        <v>274</v>
      </c>
      <c r="EO6" s="138" t="s">
        <v>269</v>
      </c>
      <c r="EP6" s="138">
        <v>10.5</v>
      </c>
      <c r="EQ6" s="138" t="s">
        <v>975</v>
      </c>
      <c r="ER6" s="558" t="s">
        <v>1009</v>
      </c>
      <c r="ES6" s="559"/>
      <c r="ET6" s="560"/>
      <c r="EU6" s="13">
        <v>0.1</v>
      </c>
      <c r="EV6" s="13" t="s">
        <v>264</v>
      </c>
      <c r="EX6" s="138" t="s">
        <v>274</v>
      </c>
      <c r="EY6" s="138" t="s">
        <v>269</v>
      </c>
      <c r="EZ6" s="138">
        <v>10.5</v>
      </c>
      <c r="FA6" s="138" t="s">
        <v>975</v>
      </c>
      <c r="FB6" s="558" t="s">
        <v>1009</v>
      </c>
      <c r="FC6" s="559"/>
      <c r="FD6" s="560"/>
      <c r="FE6" s="13">
        <v>0.1</v>
      </c>
      <c r="FF6" s="13" t="s">
        <v>264</v>
      </c>
      <c r="FH6" s="138" t="s">
        <v>274</v>
      </c>
      <c r="FI6" s="138" t="s">
        <v>269</v>
      </c>
      <c r="FJ6" s="138">
        <v>10.5</v>
      </c>
      <c r="FK6" s="138" t="s">
        <v>975</v>
      </c>
      <c r="FL6" s="558" t="s">
        <v>1009</v>
      </c>
      <c r="FM6" s="559"/>
      <c r="FN6" s="560"/>
      <c r="FO6" s="13">
        <v>0.1</v>
      </c>
      <c r="FP6" s="13" t="s">
        <v>264</v>
      </c>
      <c r="FR6" s="138" t="s">
        <v>274</v>
      </c>
      <c r="FS6" s="138" t="s">
        <v>269</v>
      </c>
      <c r="FT6" s="138">
        <v>10.5</v>
      </c>
      <c r="FU6" s="138" t="s">
        <v>975</v>
      </c>
      <c r="FV6" s="558" t="s">
        <v>1009</v>
      </c>
      <c r="FW6" s="559"/>
      <c r="FX6" s="560"/>
      <c r="FY6" s="13">
        <v>0.1</v>
      </c>
      <c r="FZ6" s="13" t="s">
        <v>264</v>
      </c>
      <c r="GB6" s="138" t="s">
        <v>274</v>
      </c>
      <c r="GC6" s="138" t="s">
        <v>269</v>
      </c>
      <c r="GD6" s="138">
        <v>10.5</v>
      </c>
      <c r="GE6" s="138" t="s">
        <v>975</v>
      </c>
      <c r="GF6" s="558" t="s">
        <v>1009</v>
      </c>
      <c r="GG6" s="559"/>
      <c r="GH6" s="560"/>
      <c r="GI6" s="13">
        <v>0.1</v>
      </c>
      <c r="GJ6" s="13" t="s">
        <v>264</v>
      </c>
      <c r="GL6" s="138" t="s">
        <v>274</v>
      </c>
      <c r="GM6" s="138" t="s">
        <v>269</v>
      </c>
      <c r="GN6" s="138">
        <v>10.5</v>
      </c>
      <c r="GO6" s="138" t="s">
        <v>975</v>
      </c>
      <c r="GP6" s="558" t="s">
        <v>1009</v>
      </c>
      <c r="GQ6" s="559"/>
      <c r="GR6" s="560"/>
      <c r="GS6" s="13">
        <v>0.1</v>
      </c>
      <c r="GT6" s="13" t="s">
        <v>264</v>
      </c>
      <c r="GV6" s="138" t="s">
        <v>274</v>
      </c>
      <c r="GW6" s="138" t="s">
        <v>269</v>
      </c>
      <c r="GX6" s="138">
        <v>10.5</v>
      </c>
      <c r="GY6" s="138" t="s">
        <v>975</v>
      </c>
      <c r="GZ6" s="558" t="s">
        <v>1009</v>
      </c>
      <c r="HA6" s="559"/>
      <c r="HB6" s="560"/>
      <c r="HC6" s="13">
        <v>0.1</v>
      </c>
      <c r="HD6" s="13" t="s">
        <v>264</v>
      </c>
      <c r="HF6" s="138" t="s">
        <v>274</v>
      </c>
      <c r="HG6" s="138" t="s">
        <v>269</v>
      </c>
      <c r="HH6" s="138">
        <v>10.5</v>
      </c>
      <c r="HI6" s="138" t="s">
        <v>975</v>
      </c>
      <c r="HJ6" s="558" t="s">
        <v>1009</v>
      </c>
      <c r="HK6" s="559"/>
      <c r="HL6" s="560"/>
      <c r="HM6" s="13">
        <v>0.1</v>
      </c>
      <c r="HN6" s="13" t="s">
        <v>264</v>
      </c>
      <c r="HP6" s="138" t="s">
        <v>274</v>
      </c>
      <c r="HQ6" s="138" t="s">
        <v>269</v>
      </c>
      <c r="HR6" s="138">
        <v>10.5</v>
      </c>
      <c r="HS6" s="138" t="s">
        <v>975</v>
      </c>
      <c r="HT6" s="558" t="s">
        <v>1009</v>
      </c>
      <c r="HU6" s="559"/>
      <c r="HV6" s="560"/>
      <c r="HW6" s="13">
        <v>0.1</v>
      </c>
      <c r="HX6" s="13" t="s">
        <v>264</v>
      </c>
      <c r="HZ6" s="138" t="s">
        <v>274</v>
      </c>
      <c r="IA6" s="138" t="s">
        <v>269</v>
      </c>
      <c r="IB6" s="138">
        <v>10.5</v>
      </c>
      <c r="IC6" s="138" t="s">
        <v>975</v>
      </c>
      <c r="ID6" s="558" t="s">
        <v>1009</v>
      </c>
      <c r="IE6" s="559"/>
      <c r="IF6" s="560"/>
      <c r="IG6" s="13">
        <v>0.1</v>
      </c>
      <c r="IH6" s="13" t="s">
        <v>264</v>
      </c>
      <c r="IJ6" s="138" t="s">
        <v>274</v>
      </c>
      <c r="IK6" s="138" t="s">
        <v>269</v>
      </c>
      <c r="IL6" s="138">
        <v>10.5</v>
      </c>
      <c r="IM6" s="138" t="s">
        <v>975</v>
      </c>
      <c r="IN6" s="558" t="s">
        <v>1009</v>
      </c>
      <c r="IO6" s="559"/>
      <c r="IP6" s="560"/>
      <c r="IQ6" s="13">
        <v>0.1</v>
      </c>
      <c r="IR6" s="13" t="s">
        <v>264</v>
      </c>
      <c r="IT6" s="138" t="s">
        <v>274</v>
      </c>
      <c r="IU6" s="138" t="s">
        <v>269</v>
      </c>
      <c r="IV6" s="138">
        <v>10.5</v>
      </c>
      <c r="IW6" s="138" t="s">
        <v>975</v>
      </c>
      <c r="IX6" s="558" t="s">
        <v>1009</v>
      </c>
      <c r="IY6" s="559"/>
      <c r="IZ6" s="560"/>
      <c r="JA6" s="13">
        <v>0.1</v>
      </c>
      <c r="JB6" s="13" t="s">
        <v>264</v>
      </c>
      <c r="JD6" s="138" t="s">
        <v>274</v>
      </c>
      <c r="JE6" s="138" t="s">
        <v>269</v>
      </c>
      <c r="JF6" s="138">
        <v>10.5</v>
      </c>
      <c r="JG6" s="138" t="s">
        <v>975</v>
      </c>
      <c r="JH6" s="558" t="s">
        <v>1009</v>
      </c>
      <c r="JI6" s="559"/>
      <c r="JJ6" s="560"/>
      <c r="JK6" s="13">
        <v>0.1</v>
      </c>
      <c r="JL6" s="13" t="s">
        <v>264</v>
      </c>
      <c r="JN6" s="138" t="s">
        <v>274</v>
      </c>
      <c r="JO6" s="138" t="s">
        <v>269</v>
      </c>
      <c r="JP6" s="138">
        <v>10.5</v>
      </c>
      <c r="JQ6" s="138" t="s">
        <v>975</v>
      </c>
      <c r="JR6" s="558" t="s">
        <v>1009</v>
      </c>
      <c r="JS6" s="559"/>
      <c r="JT6" s="560"/>
      <c r="JU6" s="13">
        <v>0.1</v>
      </c>
      <c r="JV6" s="13" t="s">
        <v>264</v>
      </c>
      <c r="JX6" s="138" t="s">
        <v>274</v>
      </c>
      <c r="JY6" s="138" t="s">
        <v>269</v>
      </c>
      <c r="JZ6" s="138">
        <v>10.5</v>
      </c>
      <c r="KA6" s="138" t="s">
        <v>975</v>
      </c>
      <c r="KB6" s="558" t="s">
        <v>1009</v>
      </c>
      <c r="KC6" s="559"/>
      <c r="KD6" s="560"/>
      <c r="KE6" s="13">
        <v>0.1</v>
      </c>
      <c r="KF6" s="13" t="s">
        <v>264</v>
      </c>
      <c r="KH6" s="138" t="s">
        <v>274</v>
      </c>
      <c r="KI6" s="138" t="s">
        <v>269</v>
      </c>
      <c r="KJ6" s="138">
        <v>10.5</v>
      </c>
      <c r="KK6" s="138" t="s">
        <v>975</v>
      </c>
      <c r="KL6" s="558" t="s">
        <v>1009</v>
      </c>
      <c r="KM6" s="559"/>
      <c r="KN6" s="560"/>
      <c r="KO6" s="13">
        <v>0.1</v>
      </c>
      <c r="KP6" s="13" t="s">
        <v>264</v>
      </c>
    </row>
    <row r="7" spans="1:302">
      <c r="A7" s="540" t="s">
        <v>977</v>
      </c>
      <c r="B7" s="427"/>
      <c r="C7" s="427"/>
      <c r="D7" s="427"/>
      <c r="E7" s="427"/>
      <c r="F7" s="427"/>
      <c r="G7" s="427"/>
      <c r="H7" s="427"/>
      <c r="I7" s="427"/>
      <c r="J7" s="427"/>
      <c r="K7" s="427"/>
      <c r="L7" s="427"/>
      <c r="M7" s="427"/>
      <c r="N7" s="427"/>
      <c r="O7" s="427"/>
      <c r="P7" s="140"/>
      <c r="Q7" s="129" t="s">
        <v>951</v>
      </c>
      <c r="R7" s="134">
        <f>FLOOR((_xll.qbEQ_SPT2025($D$10,$D$13,$D$14,$BW$1,$BW$1,$BX$3:$BY$16,$BX$19:$BY$108,$D$19,$BX$3:$CD$16,$D$12)*D22-_xll.fluEQ_SPT2025($D$10,$D$13,$D$14,$D$23,$D$16,$BW$1,$BX$3:$BY$16,$BX$19:$BY$108,TRUE,FALSE,"",0,$D$18,$D$19,$BX$3:$CD$16,$D$12,$J$29)+_xll.fluEQ_SPT2025($D$10,$D$13,$D$14,$D$23,$D$16,$BW$1,$BX$3:$BY$16,$BX$19:$BY$108,FALSE,TRUE,"",0,$D$18,$D$19,$BX$3:$CD$16,$D$12,$J$29))/($D$30*$D$29)-$D$32*$D$29,10)</f>
        <v>2120</v>
      </c>
      <c r="S7" s="129" t="s">
        <v>964</v>
      </c>
      <c r="T7" s="135">
        <f>FLOOR((_xll.qbEQ_SPT2025($D$10,$D$13,$D$14,$HG$1,$HG$1,$HH$3:$HI$16,$HH$19:$HI$108,$D$19,$HH$3:$HN$16,$D$12)*D22-_xll.fluEQ_SPT2025($D$10,$D$13,$D$14,$D$23,$D$16,$HG$1,$HH$3:$HI$16,$HH$19:$HI$108,TRUE,FALSE,"",0,$D$18,$D$19,$HH$3:$HN$16,$D$12,$J$29)+_xll.fluEQ_SPT2025($D$10,$D$13,$D$14,$D$23,$D$16,$HG$1,$HH$3:$HI$16,$HH$19:$HI$108,FALSE,TRUE,"",0,$D$18,$D$19,$HH$3:$HN$16,$D$12,$J$29))/($D$30*$D$29)-$D$32*$D$29,10)</f>
        <v>2120</v>
      </c>
      <c r="U7" s="136"/>
      <c r="V7" s="136"/>
      <c r="W7" s="136"/>
      <c r="X7" s="138" t="s">
        <v>277</v>
      </c>
      <c r="Y7" s="138" t="s">
        <v>278</v>
      </c>
      <c r="Z7" s="138">
        <v>12.2</v>
      </c>
      <c r="AA7" s="138" t="s">
        <v>978</v>
      </c>
      <c r="AB7" s="558" t="s">
        <v>1010</v>
      </c>
      <c r="AC7" s="559"/>
      <c r="AD7" s="560"/>
      <c r="AE7" s="13"/>
      <c r="AF7" s="13" t="s">
        <v>264</v>
      </c>
      <c r="AH7" s="138" t="s">
        <v>277</v>
      </c>
      <c r="AI7" s="138" t="s">
        <v>278</v>
      </c>
      <c r="AJ7" s="138">
        <v>17</v>
      </c>
      <c r="AK7" s="138" t="s">
        <v>978</v>
      </c>
      <c r="AL7" s="558" t="s">
        <v>1010</v>
      </c>
      <c r="AM7" s="559"/>
      <c r="AN7" s="560"/>
      <c r="AO7" s="13"/>
      <c r="AP7" s="13" t="s">
        <v>264</v>
      </c>
      <c r="AR7" s="138" t="s">
        <v>277</v>
      </c>
      <c r="AS7" s="138" t="s">
        <v>278</v>
      </c>
      <c r="AT7" s="138">
        <v>13</v>
      </c>
      <c r="AU7" s="138" t="s">
        <v>978</v>
      </c>
      <c r="AV7" s="558" t="s">
        <v>1010</v>
      </c>
      <c r="AW7" s="559"/>
      <c r="AX7" s="560"/>
      <c r="AY7" s="13"/>
      <c r="AZ7" s="13" t="s">
        <v>264</v>
      </c>
      <c r="BB7" s="138" t="s">
        <v>277</v>
      </c>
      <c r="BC7" s="138" t="s">
        <v>278</v>
      </c>
      <c r="BD7" s="138">
        <v>12.2</v>
      </c>
      <c r="BE7" s="138" t="s">
        <v>978</v>
      </c>
      <c r="BF7" s="558" t="s">
        <v>1010</v>
      </c>
      <c r="BG7" s="559"/>
      <c r="BH7" s="560"/>
      <c r="BI7" s="13"/>
      <c r="BJ7" s="13" t="s">
        <v>264</v>
      </c>
      <c r="BL7" s="138" t="s">
        <v>277</v>
      </c>
      <c r="BM7" s="138" t="s">
        <v>278</v>
      </c>
      <c r="BN7" s="138">
        <v>12.2</v>
      </c>
      <c r="BO7" s="138" t="s">
        <v>978</v>
      </c>
      <c r="BP7" s="558" t="s">
        <v>1010</v>
      </c>
      <c r="BQ7" s="559"/>
      <c r="BR7" s="560"/>
      <c r="BS7" s="13"/>
      <c r="BT7" s="13" t="s">
        <v>264</v>
      </c>
      <c r="BV7" s="138" t="s">
        <v>277</v>
      </c>
      <c r="BW7" s="138" t="s">
        <v>278</v>
      </c>
      <c r="BX7" s="138">
        <v>12.2</v>
      </c>
      <c r="BY7" s="138" t="s">
        <v>978</v>
      </c>
      <c r="BZ7" s="558" t="s">
        <v>1010</v>
      </c>
      <c r="CA7" s="559"/>
      <c r="CB7" s="560"/>
      <c r="CC7" s="13"/>
      <c r="CD7" s="13" t="s">
        <v>264</v>
      </c>
      <c r="CF7" s="138" t="s">
        <v>277</v>
      </c>
      <c r="CG7" s="138" t="s">
        <v>278</v>
      </c>
      <c r="CH7" s="138">
        <v>12.2</v>
      </c>
      <c r="CI7" s="138" t="s">
        <v>978</v>
      </c>
      <c r="CJ7" s="558" t="s">
        <v>1010</v>
      </c>
      <c r="CK7" s="559"/>
      <c r="CL7" s="560"/>
      <c r="CM7" s="13"/>
      <c r="CN7" s="13" t="s">
        <v>264</v>
      </c>
      <c r="CP7" s="138" t="s">
        <v>277</v>
      </c>
      <c r="CQ7" s="138" t="s">
        <v>278</v>
      </c>
      <c r="CR7" s="138">
        <v>12.2</v>
      </c>
      <c r="CS7" s="138" t="s">
        <v>978</v>
      </c>
      <c r="CT7" s="558" t="s">
        <v>1010</v>
      </c>
      <c r="CU7" s="559"/>
      <c r="CV7" s="560"/>
      <c r="CW7" s="13"/>
      <c r="CX7" s="13" t="s">
        <v>264</v>
      </c>
      <c r="CZ7" s="138" t="s">
        <v>277</v>
      </c>
      <c r="DA7" s="138" t="s">
        <v>278</v>
      </c>
      <c r="DB7" s="138">
        <v>12.2</v>
      </c>
      <c r="DC7" s="138" t="s">
        <v>978</v>
      </c>
      <c r="DD7" s="558" t="s">
        <v>1010</v>
      </c>
      <c r="DE7" s="559"/>
      <c r="DF7" s="560"/>
      <c r="DG7" s="13"/>
      <c r="DH7" s="13" t="s">
        <v>264</v>
      </c>
      <c r="DJ7" s="138" t="s">
        <v>277</v>
      </c>
      <c r="DK7" s="138" t="s">
        <v>278</v>
      </c>
      <c r="DL7" s="138">
        <v>12.2</v>
      </c>
      <c r="DM7" s="138" t="s">
        <v>978</v>
      </c>
      <c r="DN7" s="558" t="s">
        <v>1010</v>
      </c>
      <c r="DO7" s="559"/>
      <c r="DP7" s="560"/>
      <c r="DQ7" s="13"/>
      <c r="DR7" s="13" t="s">
        <v>264</v>
      </c>
      <c r="DT7" s="138" t="s">
        <v>277</v>
      </c>
      <c r="DU7" s="138" t="s">
        <v>278</v>
      </c>
      <c r="DV7" s="138">
        <v>12.2</v>
      </c>
      <c r="DW7" s="138" t="s">
        <v>978</v>
      </c>
      <c r="DX7" s="558" t="s">
        <v>1010</v>
      </c>
      <c r="DY7" s="559"/>
      <c r="DZ7" s="560"/>
      <c r="EA7" s="13"/>
      <c r="EB7" s="13" t="s">
        <v>264</v>
      </c>
      <c r="ED7" s="138" t="s">
        <v>277</v>
      </c>
      <c r="EE7" s="138" t="s">
        <v>278</v>
      </c>
      <c r="EF7" s="138">
        <v>12.2</v>
      </c>
      <c r="EG7" s="138" t="s">
        <v>978</v>
      </c>
      <c r="EH7" s="558" t="s">
        <v>1010</v>
      </c>
      <c r="EI7" s="559"/>
      <c r="EJ7" s="560"/>
      <c r="EK7" s="13"/>
      <c r="EL7" s="13" t="s">
        <v>264</v>
      </c>
      <c r="EN7" s="138" t="s">
        <v>277</v>
      </c>
      <c r="EO7" s="138" t="s">
        <v>278</v>
      </c>
      <c r="EP7" s="138">
        <v>12.2</v>
      </c>
      <c r="EQ7" s="138" t="s">
        <v>978</v>
      </c>
      <c r="ER7" s="558" t="s">
        <v>1010</v>
      </c>
      <c r="ES7" s="559"/>
      <c r="ET7" s="560"/>
      <c r="EU7" s="13"/>
      <c r="EV7" s="13" t="s">
        <v>264</v>
      </c>
      <c r="EX7" s="138" t="s">
        <v>277</v>
      </c>
      <c r="EY7" s="138" t="s">
        <v>278</v>
      </c>
      <c r="EZ7" s="138">
        <v>12.2</v>
      </c>
      <c r="FA7" s="138" t="s">
        <v>978</v>
      </c>
      <c r="FB7" s="558" t="s">
        <v>1010</v>
      </c>
      <c r="FC7" s="559"/>
      <c r="FD7" s="560"/>
      <c r="FE7" s="13"/>
      <c r="FF7" s="13" t="s">
        <v>264</v>
      </c>
      <c r="FH7" s="138" t="s">
        <v>277</v>
      </c>
      <c r="FI7" s="138" t="s">
        <v>278</v>
      </c>
      <c r="FJ7" s="138">
        <v>12.2</v>
      </c>
      <c r="FK7" s="138" t="s">
        <v>978</v>
      </c>
      <c r="FL7" s="558" t="s">
        <v>1010</v>
      </c>
      <c r="FM7" s="559"/>
      <c r="FN7" s="560"/>
      <c r="FO7" s="13"/>
      <c r="FP7" s="13" t="s">
        <v>264</v>
      </c>
      <c r="FR7" s="138" t="s">
        <v>277</v>
      </c>
      <c r="FS7" s="138" t="s">
        <v>278</v>
      </c>
      <c r="FT7" s="138">
        <v>12.2</v>
      </c>
      <c r="FU7" s="138" t="s">
        <v>978</v>
      </c>
      <c r="FV7" s="558" t="s">
        <v>1010</v>
      </c>
      <c r="FW7" s="559"/>
      <c r="FX7" s="560"/>
      <c r="FY7" s="13"/>
      <c r="FZ7" s="13" t="s">
        <v>264</v>
      </c>
      <c r="GB7" s="138" t="s">
        <v>277</v>
      </c>
      <c r="GC7" s="138" t="s">
        <v>278</v>
      </c>
      <c r="GD7" s="138">
        <v>12.2</v>
      </c>
      <c r="GE7" s="138" t="s">
        <v>978</v>
      </c>
      <c r="GF7" s="558" t="s">
        <v>1010</v>
      </c>
      <c r="GG7" s="559"/>
      <c r="GH7" s="560"/>
      <c r="GI7" s="13"/>
      <c r="GJ7" s="13" t="s">
        <v>264</v>
      </c>
      <c r="GL7" s="138" t="s">
        <v>277</v>
      </c>
      <c r="GM7" s="138" t="s">
        <v>278</v>
      </c>
      <c r="GN7" s="138">
        <v>12.2</v>
      </c>
      <c r="GO7" s="138" t="s">
        <v>978</v>
      </c>
      <c r="GP7" s="558" t="s">
        <v>1010</v>
      </c>
      <c r="GQ7" s="559"/>
      <c r="GR7" s="560"/>
      <c r="GS7" s="13"/>
      <c r="GT7" s="13" t="s">
        <v>264</v>
      </c>
      <c r="GV7" s="138" t="s">
        <v>277</v>
      </c>
      <c r="GW7" s="138" t="s">
        <v>278</v>
      </c>
      <c r="GX7" s="138">
        <v>12.2</v>
      </c>
      <c r="GY7" s="138" t="s">
        <v>978</v>
      </c>
      <c r="GZ7" s="558" t="s">
        <v>1010</v>
      </c>
      <c r="HA7" s="559"/>
      <c r="HB7" s="560"/>
      <c r="HC7" s="13"/>
      <c r="HD7" s="13" t="s">
        <v>264</v>
      </c>
      <c r="HF7" s="138" t="s">
        <v>277</v>
      </c>
      <c r="HG7" s="138" t="s">
        <v>278</v>
      </c>
      <c r="HH7" s="138">
        <v>12.2</v>
      </c>
      <c r="HI7" s="138" t="s">
        <v>978</v>
      </c>
      <c r="HJ7" s="558" t="s">
        <v>1010</v>
      </c>
      <c r="HK7" s="559"/>
      <c r="HL7" s="560"/>
      <c r="HM7" s="13"/>
      <c r="HN7" s="13" t="s">
        <v>264</v>
      </c>
      <c r="HP7" s="138" t="s">
        <v>277</v>
      </c>
      <c r="HQ7" s="138" t="s">
        <v>278</v>
      </c>
      <c r="HR7" s="138">
        <v>12.2</v>
      </c>
      <c r="HS7" s="138" t="s">
        <v>978</v>
      </c>
      <c r="HT7" s="558" t="s">
        <v>1010</v>
      </c>
      <c r="HU7" s="559"/>
      <c r="HV7" s="560"/>
      <c r="HW7" s="13"/>
      <c r="HX7" s="13" t="s">
        <v>264</v>
      </c>
      <c r="HZ7" s="138" t="s">
        <v>277</v>
      </c>
      <c r="IA7" s="138" t="s">
        <v>278</v>
      </c>
      <c r="IB7" s="138">
        <v>12.2</v>
      </c>
      <c r="IC7" s="138" t="s">
        <v>978</v>
      </c>
      <c r="ID7" s="558" t="s">
        <v>1010</v>
      </c>
      <c r="IE7" s="559"/>
      <c r="IF7" s="560"/>
      <c r="IG7" s="13"/>
      <c r="IH7" s="13" t="s">
        <v>264</v>
      </c>
      <c r="IJ7" s="138" t="s">
        <v>277</v>
      </c>
      <c r="IK7" s="138" t="s">
        <v>278</v>
      </c>
      <c r="IL7" s="138">
        <v>12.2</v>
      </c>
      <c r="IM7" s="138" t="s">
        <v>978</v>
      </c>
      <c r="IN7" s="558" t="s">
        <v>1010</v>
      </c>
      <c r="IO7" s="559"/>
      <c r="IP7" s="560"/>
      <c r="IQ7" s="13"/>
      <c r="IR7" s="13" t="s">
        <v>264</v>
      </c>
      <c r="IT7" s="138" t="s">
        <v>277</v>
      </c>
      <c r="IU7" s="138" t="s">
        <v>278</v>
      </c>
      <c r="IV7" s="138">
        <v>12.2</v>
      </c>
      <c r="IW7" s="138" t="s">
        <v>978</v>
      </c>
      <c r="IX7" s="558" t="s">
        <v>1010</v>
      </c>
      <c r="IY7" s="559"/>
      <c r="IZ7" s="560"/>
      <c r="JA7" s="13"/>
      <c r="JB7" s="13" t="s">
        <v>264</v>
      </c>
      <c r="JD7" s="138" t="s">
        <v>277</v>
      </c>
      <c r="JE7" s="138" t="s">
        <v>278</v>
      </c>
      <c r="JF7" s="138">
        <v>12.2</v>
      </c>
      <c r="JG7" s="138" t="s">
        <v>978</v>
      </c>
      <c r="JH7" s="558" t="s">
        <v>1010</v>
      </c>
      <c r="JI7" s="559"/>
      <c r="JJ7" s="560"/>
      <c r="JK7" s="13"/>
      <c r="JL7" s="13" t="s">
        <v>264</v>
      </c>
      <c r="JN7" s="138" t="s">
        <v>277</v>
      </c>
      <c r="JO7" s="138" t="s">
        <v>278</v>
      </c>
      <c r="JP7" s="138">
        <v>12.2</v>
      </c>
      <c r="JQ7" s="138" t="s">
        <v>978</v>
      </c>
      <c r="JR7" s="558" t="s">
        <v>1010</v>
      </c>
      <c r="JS7" s="559"/>
      <c r="JT7" s="560"/>
      <c r="JU7" s="13"/>
      <c r="JV7" s="13" t="s">
        <v>264</v>
      </c>
      <c r="JX7" s="138" t="s">
        <v>277</v>
      </c>
      <c r="JY7" s="138" t="s">
        <v>278</v>
      </c>
      <c r="JZ7" s="138">
        <v>12.2</v>
      </c>
      <c r="KA7" s="138" t="s">
        <v>978</v>
      </c>
      <c r="KB7" s="558" t="s">
        <v>1010</v>
      </c>
      <c r="KC7" s="559"/>
      <c r="KD7" s="560"/>
      <c r="KE7" s="13"/>
      <c r="KF7" s="13" t="s">
        <v>264</v>
      </c>
      <c r="KH7" s="138" t="s">
        <v>277</v>
      </c>
      <c r="KI7" s="138" t="s">
        <v>278</v>
      </c>
      <c r="KJ7" s="138">
        <v>12.2</v>
      </c>
      <c r="KK7" s="138" t="s">
        <v>978</v>
      </c>
      <c r="KL7" s="558" t="s">
        <v>1010</v>
      </c>
      <c r="KM7" s="559"/>
      <c r="KN7" s="560"/>
      <c r="KO7" s="13"/>
      <c r="KP7" s="13" t="s">
        <v>264</v>
      </c>
    </row>
    <row r="8" spans="1:302" ht="16.5" customHeight="1">
      <c r="A8" s="431"/>
      <c r="B8" s="432"/>
      <c r="C8" s="432"/>
      <c r="D8" s="432"/>
      <c r="E8" s="432"/>
      <c r="F8" s="432"/>
      <c r="G8" s="432"/>
      <c r="H8" s="432"/>
      <c r="I8" s="432"/>
      <c r="J8" s="432"/>
      <c r="K8" s="432"/>
      <c r="L8" s="432"/>
      <c r="M8" s="432"/>
      <c r="N8" s="432"/>
      <c r="O8" s="432"/>
      <c r="P8" s="9"/>
      <c r="Q8" s="129" t="s">
        <v>952</v>
      </c>
      <c r="R8" s="134">
        <f>FLOOR((_xll.qbEQ_SPT2025($D$10,$D$13,$D$14,$CG$1,$CG$1,$CH$3:$CI$16,$CH$19:$CI$108,$D$19,$CH$3:$CN$16,$D$12)*D22-_xll.fluEQ_SPT2025($D$10,$D$13,$D$14,$D$23,$D$16,$CG$1,$CH$3:$CI$16,$CH$19:$CI$108,TRUE,FALSE,"",0,$D$18,$D$19,$CH$3:$CN$16,$D$12,$J$29)+_xll.fluEQ_SPT2025($D$10,$D$13,$D$14,$D$23,$D$16,$CG$1,$CH$3:$CI$16,$CH$19:$CI$108,FALSE,TRUE,"",0,$D$18,$D$19,$CH$3:$CN$16,$D$12,$J$29))/($D$30*$D$29)-$D$32*$D$29,10)</f>
        <v>2120</v>
      </c>
      <c r="S8" s="129" t="s">
        <v>965</v>
      </c>
      <c r="T8" s="135">
        <f>FLOOR((_xll.qbEQ_SPT2025($D$10,$D$13,$D$14,$HQ$1,$HQ$1,$HR$3:$HS$16,$HR$19:$HS$108,$D$19,$HR$3:$HX$16,$D$12)*D22-_xll.fluEQ_SPT2025($D$10,$D$13,$D$14,$D$23,$D$16,$HQ$1,$HR$3:$HS$16,$HR$19:$HS$108,TRUE,FALSE,"",0,$D$18,$D$19,$HR$3:$HX$16,$D$12,$J$29)+_xll.fluEQ_SPT2025($D$10,$D$13,$D$14,$D$23,$D$16,$HQ$1,$HR$3:$HS$16,$HR$19:$HS$108,FALSE,TRUE,"",0,$D$18,$D$19,$HR$3:$HX$16,$D$12,$J$29))/($D$30*$D$29)-$D$32*$D$29,10)</f>
        <v>2120</v>
      </c>
      <c r="U8" s="136"/>
      <c r="V8" s="136"/>
      <c r="W8" s="136"/>
      <c r="X8" s="138" t="s">
        <v>282</v>
      </c>
      <c r="Y8" s="138" t="s">
        <v>278</v>
      </c>
      <c r="Z8" s="138">
        <v>27</v>
      </c>
      <c r="AA8" s="138" t="s">
        <v>978</v>
      </c>
      <c r="AB8" s="558" t="s">
        <v>1010</v>
      </c>
      <c r="AC8" s="559"/>
      <c r="AD8" s="560"/>
      <c r="AE8" s="13"/>
      <c r="AF8" s="13" t="s">
        <v>264</v>
      </c>
      <c r="AH8" s="138" t="s">
        <v>282</v>
      </c>
      <c r="AI8" s="138" t="s">
        <v>278</v>
      </c>
      <c r="AJ8" s="138">
        <v>25</v>
      </c>
      <c r="AK8" s="138" t="s">
        <v>978</v>
      </c>
      <c r="AL8" s="558" t="s">
        <v>1010</v>
      </c>
      <c r="AM8" s="559"/>
      <c r="AN8" s="560"/>
      <c r="AO8" s="13"/>
      <c r="AP8" s="13" t="s">
        <v>264</v>
      </c>
      <c r="AR8" s="138" t="s">
        <v>282</v>
      </c>
      <c r="AS8" s="138" t="s">
        <v>278</v>
      </c>
      <c r="AT8" s="138">
        <v>29</v>
      </c>
      <c r="AU8" s="138" t="s">
        <v>978</v>
      </c>
      <c r="AV8" s="558" t="s">
        <v>1010</v>
      </c>
      <c r="AW8" s="559"/>
      <c r="AX8" s="560"/>
      <c r="AY8" s="13"/>
      <c r="AZ8" s="13" t="s">
        <v>264</v>
      </c>
      <c r="BB8" s="138" t="s">
        <v>282</v>
      </c>
      <c r="BC8" s="138" t="s">
        <v>278</v>
      </c>
      <c r="BD8" s="138">
        <v>27</v>
      </c>
      <c r="BE8" s="138" t="s">
        <v>978</v>
      </c>
      <c r="BF8" s="558" t="s">
        <v>1010</v>
      </c>
      <c r="BG8" s="559"/>
      <c r="BH8" s="560"/>
      <c r="BI8" s="13"/>
      <c r="BJ8" s="13" t="s">
        <v>264</v>
      </c>
      <c r="BL8" s="138" t="s">
        <v>282</v>
      </c>
      <c r="BM8" s="138" t="s">
        <v>278</v>
      </c>
      <c r="BN8" s="138">
        <v>27</v>
      </c>
      <c r="BO8" s="138" t="s">
        <v>978</v>
      </c>
      <c r="BP8" s="558" t="s">
        <v>1010</v>
      </c>
      <c r="BQ8" s="559"/>
      <c r="BR8" s="560"/>
      <c r="BS8" s="13"/>
      <c r="BT8" s="13" t="s">
        <v>264</v>
      </c>
      <c r="BV8" s="138" t="s">
        <v>282</v>
      </c>
      <c r="BW8" s="138" t="s">
        <v>278</v>
      </c>
      <c r="BX8" s="138">
        <v>27</v>
      </c>
      <c r="BY8" s="138" t="s">
        <v>978</v>
      </c>
      <c r="BZ8" s="558" t="s">
        <v>1010</v>
      </c>
      <c r="CA8" s="559"/>
      <c r="CB8" s="560"/>
      <c r="CC8" s="13"/>
      <c r="CD8" s="13" t="s">
        <v>264</v>
      </c>
      <c r="CF8" s="138" t="s">
        <v>282</v>
      </c>
      <c r="CG8" s="138" t="s">
        <v>278</v>
      </c>
      <c r="CH8" s="138">
        <v>27</v>
      </c>
      <c r="CI8" s="138" t="s">
        <v>978</v>
      </c>
      <c r="CJ8" s="558" t="s">
        <v>1010</v>
      </c>
      <c r="CK8" s="559"/>
      <c r="CL8" s="560"/>
      <c r="CM8" s="13"/>
      <c r="CN8" s="13" t="s">
        <v>264</v>
      </c>
      <c r="CP8" s="138" t="s">
        <v>282</v>
      </c>
      <c r="CQ8" s="138" t="s">
        <v>278</v>
      </c>
      <c r="CR8" s="138">
        <v>27</v>
      </c>
      <c r="CS8" s="138" t="s">
        <v>978</v>
      </c>
      <c r="CT8" s="558" t="s">
        <v>1010</v>
      </c>
      <c r="CU8" s="559"/>
      <c r="CV8" s="560"/>
      <c r="CW8" s="13"/>
      <c r="CX8" s="13" t="s">
        <v>264</v>
      </c>
      <c r="CZ8" s="138" t="s">
        <v>282</v>
      </c>
      <c r="DA8" s="138" t="s">
        <v>278</v>
      </c>
      <c r="DB8" s="138">
        <v>27</v>
      </c>
      <c r="DC8" s="138" t="s">
        <v>978</v>
      </c>
      <c r="DD8" s="558" t="s">
        <v>1010</v>
      </c>
      <c r="DE8" s="559"/>
      <c r="DF8" s="560"/>
      <c r="DG8" s="13"/>
      <c r="DH8" s="13" t="s">
        <v>264</v>
      </c>
      <c r="DJ8" s="138" t="s">
        <v>282</v>
      </c>
      <c r="DK8" s="138" t="s">
        <v>278</v>
      </c>
      <c r="DL8" s="138">
        <v>27</v>
      </c>
      <c r="DM8" s="138" t="s">
        <v>978</v>
      </c>
      <c r="DN8" s="558" t="s">
        <v>1010</v>
      </c>
      <c r="DO8" s="559"/>
      <c r="DP8" s="560"/>
      <c r="DQ8" s="13"/>
      <c r="DR8" s="13" t="s">
        <v>264</v>
      </c>
      <c r="DT8" s="138" t="s">
        <v>282</v>
      </c>
      <c r="DU8" s="138" t="s">
        <v>278</v>
      </c>
      <c r="DV8" s="138">
        <v>27</v>
      </c>
      <c r="DW8" s="138" t="s">
        <v>978</v>
      </c>
      <c r="DX8" s="558" t="s">
        <v>1010</v>
      </c>
      <c r="DY8" s="559"/>
      <c r="DZ8" s="560"/>
      <c r="EA8" s="13"/>
      <c r="EB8" s="13" t="s">
        <v>264</v>
      </c>
      <c r="ED8" s="138" t="s">
        <v>282</v>
      </c>
      <c r="EE8" s="138" t="s">
        <v>278</v>
      </c>
      <c r="EF8" s="138">
        <v>27</v>
      </c>
      <c r="EG8" s="138" t="s">
        <v>978</v>
      </c>
      <c r="EH8" s="558" t="s">
        <v>1010</v>
      </c>
      <c r="EI8" s="559"/>
      <c r="EJ8" s="560"/>
      <c r="EK8" s="13"/>
      <c r="EL8" s="13" t="s">
        <v>264</v>
      </c>
      <c r="EN8" s="138" t="s">
        <v>282</v>
      </c>
      <c r="EO8" s="138" t="s">
        <v>278</v>
      </c>
      <c r="EP8" s="138">
        <v>27</v>
      </c>
      <c r="EQ8" s="138" t="s">
        <v>978</v>
      </c>
      <c r="ER8" s="558" t="s">
        <v>1010</v>
      </c>
      <c r="ES8" s="559"/>
      <c r="ET8" s="560"/>
      <c r="EU8" s="13"/>
      <c r="EV8" s="13" t="s">
        <v>264</v>
      </c>
      <c r="EX8" s="138" t="s">
        <v>282</v>
      </c>
      <c r="EY8" s="138" t="s">
        <v>278</v>
      </c>
      <c r="EZ8" s="138">
        <v>27</v>
      </c>
      <c r="FA8" s="138" t="s">
        <v>978</v>
      </c>
      <c r="FB8" s="558" t="s">
        <v>1010</v>
      </c>
      <c r="FC8" s="559"/>
      <c r="FD8" s="560"/>
      <c r="FE8" s="13"/>
      <c r="FF8" s="13" t="s">
        <v>264</v>
      </c>
      <c r="FH8" s="138" t="s">
        <v>282</v>
      </c>
      <c r="FI8" s="138" t="s">
        <v>278</v>
      </c>
      <c r="FJ8" s="138">
        <v>27</v>
      </c>
      <c r="FK8" s="138" t="s">
        <v>978</v>
      </c>
      <c r="FL8" s="558" t="s">
        <v>1010</v>
      </c>
      <c r="FM8" s="559"/>
      <c r="FN8" s="560"/>
      <c r="FO8" s="13"/>
      <c r="FP8" s="13" t="s">
        <v>264</v>
      </c>
      <c r="FR8" s="138" t="s">
        <v>282</v>
      </c>
      <c r="FS8" s="138" t="s">
        <v>278</v>
      </c>
      <c r="FT8" s="138">
        <v>27</v>
      </c>
      <c r="FU8" s="138" t="s">
        <v>978</v>
      </c>
      <c r="FV8" s="558" t="s">
        <v>1010</v>
      </c>
      <c r="FW8" s="559"/>
      <c r="FX8" s="560"/>
      <c r="FY8" s="13"/>
      <c r="FZ8" s="13" t="s">
        <v>264</v>
      </c>
      <c r="GB8" s="138" t="s">
        <v>282</v>
      </c>
      <c r="GC8" s="138" t="s">
        <v>278</v>
      </c>
      <c r="GD8" s="138">
        <v>27</v>
      </c>
      <c r="GE8" s="138" t="s">
        <v>978</v>
      </c>
      <c r="GF8" s="558" t="s">
        <v>1010</v>
      </c>
      <c r="GG8" s="559"/>
      <c r="GH8" s="560"/>
      <c r="GI8" s="13"/>
      <c r="GJ8" s="13" t="s">
        <v>264</v>
      </c>
      <c r="GL8" s="138" t="s">
        <v>282</v>
      </c>
      <c r="GM8" s="138" t="s">
        <v>278</v>
      </c>
      <c r="GN8" s="138">
        <v>27</v>
      </c>
      <c r="GO8" s="138" t="s">
        <v>978</v>
      </c>
      <c r="GP8" s="558" t="s">
        <v>1010</v>
      </c>
      <c r="GQ8" s="559"/>
      <c r="GR8" s="560"/>
      <c r="GS8" s="13"/>
      <c r="GT8" s="13" t="s">
        <v>264</v>
      </c>
      <c r="GV8" s="138" t="s">
        <v>282</v>
      </c>
      <c r="GW8" s="138" t="s">
        <v>278</v>
      </c>
      <c r="GX8" s="138">
        <v>27</v>
      </c>
      <c r="GY8" s="138" t="s">
        <v>978</v>
      </c>
      <c r="GZ8" s="558" t="s">
        <v>1010</v>
      </c>
      <c r="HA8" s="559"/>
      <c r="HB8" s="560"/>
      <c r="HC8" s="13"/>
      <c r="HD8" s="13" t="s">
        <v>264</v>
      </c>
      <c r="HF8" s="138" t="s">
        <v>282</v>
      </c>
      <c r="HG8" s="138" t="s">
        <v>278</v>
      </c>
      <c r="HH8" s="138">
        <v>27</v>
      </c>
      <c r="HI8" s="138" t="s">
        <v>978</v>
      </c>
      <c r="HJ8" s="558" t="s">
        <v>1010</v>
      </c>
      <c r="HK8" s="559"/>
      <c r="HL8" s="560"/>
      <c r="HM8" s="13"/>
      <c r="HN8" s="13" t="s">
        <v>264</v>
      </c>
      <c r="HP8" s="138" t="s">
        <v>282</v>
      </c>
      <c r="HQ8" s="138" t="s">
        <v>278</v>
      </c>
      <c r="HR8" s="138">
        <v>27</v>
      </c>
      <c r="HS8" s="138" t="s">
        <v>978</v>
      </c>
      <c r="HT8" s="558" t="s">
        <v>1010</v>
      </c>
      <c r="HU8" s="559"/>
      <c r="HV8" s="560"/>
      <c r="HW8" s="13"/>
      <c r="HX8" s="13" t="s">
        <v>264</v>
      </c>
      <c r="HZ8" s="138" t="s">
        <v>282</v>
      </c>
      <c r="IA8" s="138" t="s">
        <v>278</v>
      </c>
      <c r="IB8" s="138">
        <v>27</v>
      </c>
      <c r="IC8" s="138" t="s">
        <v>978</v>
      </c>
      <c r="ID8" s="558" t="s">
        <v>1010</v>
      </c>
      <c r="IE8" s="559"/>
      <c r="IF8" s="560"/>
      <c r="IG8" s="13"/>
      <c r="IH8" s="13" t="s">
        <v>264</v>
      </c>
      <c r="IJ8" s="138" t="s">
        <v>282</v>
      </c>
      <c r="IK8" s="138" t="s">
        <v>278</v>
      </c>
      <c r="IL8" s="138">
        <v>27</v>
      </c>
      <c r="IM8" s="138" t="s">
        <v>978</v>
      </c>
      <c r="IN8" s="558" t="s">
        <v>1010</v>
      </c>
      <c r="IO8" s="559"/>
      <c r="IP8" s="560"/>
      <c r="IQ8" s="13"/>
      <c r="IR8" s="13" t="s">
        <v>264</v>
      </c>
      <c r="IT8" s="138" t="s">
        <v>282</v>
      </c>
      <c r="IU8" s="138" t="s">
        <v>278</v>
      </c>
      <c r="IV8" s="138">
        <v>27</v>
      </c>
      <c r="IW8" s="138" t="s">
        <v>978</v>
      </c>
      <c r="IX8" s="558" t="s">
        <v>1010</v>
      </c>
      <c r="IY8" s="559"/>
      <c r="IZ8" s="560"/>
      <c r="JA8" s="13"/>
      <c r="JB8" s="13" t="s">
        <v>264</v>
      </c>
      <c r="JD8" s="138" t="s">
        <v>282</v>
      </c>
      <c r="JE8" s="138" t="s">
        <v>278</v>
      </c>
      <c r="JF8" s="138">
        <v>27</v>
      </c>
      <c r="JG8" s="138" t="s">
        <v>978</v>
      </c>
      <c r="JH8" s="558" t="s">
        <v>1010</v>
      </c>
      <c r="JI8" s="559"/>
      <c r="JJ8" s="560"/>
      <c r="JK8" s="13"/>
      <c r="JL8" s="13" t="s">
        <v>264</v>
      </c>
      <c r="JN8" s="138" t="s">
        <v>282</v>
      </c>
      <c r="JO8" s="138" t="s">
        <v>278</v>
      </c>
      <c r="JP8" s="138">
        <v>27</v>
      </c>
      <c r="JQ8" s="138" t="s">
        <v>978</v>
      </c>
      <c r="JR8" s="558" t="s">
        <v>1010</v>
      </c>
      <c r="JS8" s="559"/>
      <c r="JT8" s="560"/>
      <c r="JU8" s="13"/>
      <c r="JV8" s="13" t="s">
        <v>264</v>
      </c>
      <c r="JX8" s="138" t="s">
        <v>282</v>
      </c>
      <c r="JY8" s="138" t="s">
        <v>278</v>
      </c>
      <c r="JZ8" s="138">
        <v>27</v>
      </c>
      <c r="KA8" s="138" t="s">
        <v>978</v>
      </c>
      <c r="KB8" s="558" t="s">
        <v>1010</v>
      </c>
      <c r="KC8" s="559"/>
      <c r="KD8" s="560"/>
      <c r="KE8" s="13"/>
      <c r="KF8" s="13" t="s">
        <v>264</v>
      </c>
      <c r="KH8" s="138" t="s">
        <v>282</v>
      </c>
      <c r="KI8" s="138" t="s">
        <v>278</v>
      </c>
      <c r="KJ8" s="138">
        <v>27</v>
      </c>
      <c r="KK8" s="138" t="s">
        <v>978</v>
      </c>
      <c r="KL8" s="558" t="s">
        <v>1010</v>
      </c>
      <c r="KM8" s="559"/>
      <c r="KN8" s="560"/>
      <c r="KO8" s="13"/>
      <c r="KP8" s="13" t="s">
        <v>264</v>
      </c>
    </row>
    <row r="9" spans="1:302" ht="13.15" customHeight="1">
      <c r="A9" s="434" t="s">
        <v>283</v>
      </c>
      <c r="B9" s="434"/>
      <c r="C9" s="434"/>
      <c r="D9" s="13" t="s">
        <v>946</v>
      </c>
      <c r="E9" s="47"/>
      <c r="F9" s="47"/>
      <c r="G9" s="567" t="s">
        <v>973</v>
      </c>
      <c r="H9" s="568" t="s">
        <v>229</v>
      </c>
      <c r="I9" s="557" t="s">
        <v>979</v>
      </c>
      <c r="J9" s="557" t="s">
        <v>974</v>
      </c>
      <c r="K9" s="557" t="s">
        <v>1006</v>
      </c>
      <c r="L9" s="557"/>
      <c r="M9" s="557"/>
      <c r="N9" s="557" t="s">
        <v>1007</v>
      </c>
      <c r="O9" s="557" t="s">
        <v>1008</v>
      </c>
      <c r="P9" s="141"/>
      <c r="Q9" s="129" t="s">
        <v>953</v>
      </c>
      <c r="R9" s="134">
        <f>FLOOR((_xll.qbEQ_SPT2025($D$10,$D$13,$D$14,$CQ$1,$CQ$1,$CR$3:$CS$16,$CR$19:$CS$108,$D$19,$CR$3:$CX$16,$D$12)*D22-_xll.fluEQ_SPT2025($D$10,$D$13,$D$14,$D$23,$D$16,$CQ$1,$CR$3:$CS$16,$CR$19:$CS$108,TRUE,FALSE,"",0,$D$18,$D$19,$CR$3:$CX$16,$D$12,$J$29)+_xll.fluEQ_SPT2025($D$10,$D$13,$D$14,$D$23,$D$16,$CQ$1,$CR$3:$CS$16,$CR$19:$CS$108,FALSE,TRUE,"",0,$D$18,$D$19,$CR$3:$CX$16,$D$12,$J$29))/($D$30*$D$29)-$D$32*$D$29,10)</f>
        <v>2120</v>
      </c>
      <c r="S9" s="129" t="s">
        <v>966</v>
      </c>
      <c r="T9" s="135">
        <f>FLOOR((_xll.qbEQ_SPT2025($D$10,$D$13,$D$14,$IA$1,$IA$1,$IB$3:$IC$16,$IB$19:$IC$108,$D$19,$IB$3:$IH$16,$D$12)*D22-_xll.fluEQ_SPT2025($D$10,$D$13,$D$14,$D$23,$D$16,$IA$1,$IB$3:$IC$16,$IB$19:$IC$108,TRUE,FALSE,"",0,$D$18,$D$19,$IB$3:$IH$16,$D$12,$J$29)+_xll.fluEQ_SPT2025($D$10,$D$13,$D$14,$D$23,$D$16,$IA$1,$IB$3:$IC$16,$IB$19:$IC$108,FALSE,TRUE,"",0,$D$18,$D$19,$IB$3:$IH$16,$D$12,$J$29))/($D$30*$D$29)-$D$32*$D$29,10)</f>
        <v>2120</v>
      </c>
      <c r="U9" s="136"/>
      <c r="V9" s="136"/>
      <c r="W9" s="136"/>
      <c r="X9" s="138" t="s">
        <v>289</v>
      </c>
      <c r="Y9" s="138" t="s">
        <v>278</v>
      </c>
      <c r="Z9" s="138">
        <v>38.200000000000003</v>
      </c>
      <c r="AA9" s="138" t="s">
        <v>978</v>
      </c>
      <c r="AB9" s="558" t="s">
        <v>1010</v>
      </c>
      <c r="AC9" s="559"/>
      <c r="AD9" s="560"/>
      <c r="AE9" s="13"/>
      <c r="AF9" s="13" t="s">
        <v>264</v>
      </c>
      <c r="AH9" s="138" t="s">
        <v>289</v>
      </c>
      <c r="AI9" s="138" t="s">
        <v>278</v>
      </c>
      <c r="AJ9" s="138">
        <v>40</v>
      </c>
      <c r="AK9" s="138" t="s">
        <v>978</v>
      </c>
      <c r="AL9" s="558" t="s">
        <v>1010</v>
      </c>
      <c r="AM9" s="559"/>
      <c r="AN9" s="560"/>
      <c r="AO9" s="13"/>
      <c r="AP9" s="13" t="s">
        <v>264</v>
      </c>
      <c r="AR9" s="138" t="s">
        <v>289</v>
      </c>
      <c r="AS9" s="138" t="s">
        <v>278</v>
      </c>
      <c r="AT9" s="138">
        <v>41</v>
      </c>
      <c r="AU9" s="138" t="s">
        <v>978</v>
      </c>
      <c r="AV9" s="558" t="s">
        <v>1010</v>
      </c>
      <c r="AW9" s="559"/>
      <c r="AX9" s="560"/>
      <c r="AY9" s="13"/>
      <c r="AZ9" s="13" t="s">
        <v>264</v>
      </c>
      <c r="BB9" s="138" t="s">
        <v>289</v>
      </c>
      <c r="BC9" s="138" t="s">
        <v>278</v>
      </c>
      <c r="BD9" s="138">
        <v>38.200000000000003</v>
      </c>
      <c r="BE9" s="138" t="s">
        <v>978</v>
      </c>
      <c r="BF9" s="558" t="s">
        <v>1010</v>
      </c>
      <c r="BG9" s="559"/>
      <c r="BH9" s="560"/>
      <c r="BI9" s="13"/>
      <c r="BJ9" s="13" t="s">
        <v>264</v>
      </c>
      <c r="BL9" s="138" t="s">
        <v>289</v>
      </c>
      <c r="BM9" s="138" t="s">
        <v>278</v>
      </c>
      <c r="BN9" s="138">
        <v>38.200000000000003</v>
      </c>
      <c r="BO9" s="138" t="s">
        <v>978</v>
      </c>
      <c r="BP9" s="558" t="s">
        <v>1010</v>
      </c>
      <c r="BQ9" s="559"/>
      <c r="BR9" s="560"/>
      <c r="BS9" s="13"/>
      <c r="BT9" s="13" t="s">
        <v>264</v>
      </c>
      <c r="BV9" s="138" t="s">
        <v>289</v>
      </c>
      <c r="BW9" s="138" t="s">
        <v>278</v>
      </c>
      <c r="BX9" s="138">
        <v>38.200000000000003</v>
      </c>
      <c r="BY9" s="138" t="s">
        <v>978</v>
      </c>
      <c r="BZ9" s="558" t="s">
        <v>1010</v>
      </c>
      <c r="CA9" s="559"/>
      <c r="CB9" s="560"/>
      <c r="CC9" s="13"/>
      <c r="CD9" s="13" t="s">
        <v>264</v>
      </c>
      <c r="CF9" s="138" t="s">
        <v>289</v>
      </c>
      <c r="CG9" s="138" t="s">
        <v>278</v>
      </c>
      <c r="CH9" s="138">
        <v>38.200000000000003</v>
      </c>
      <c r="CI9" s="138" t="s">
        <v>978</v>
      </c>
      <c r="CJ9" s="558" t="s">
        <v>1010</v>
      </c>
      <c r="CK9" s="559"/>
      <c r="CL9" s="560"/>
      <c r="CM9" s="13"/>
      <c r="CN9" s="13" t="s">
        <v>264</v>
      </c>
      <c r="CP9" s="138" t="s">
        <v>289</v>
      </c>
      <c r="CQ9" s="138" t="s">
        <v>278</v>
      </c>
      <c r="CR9" s="138">
        <v>38.200000000000003</v>
      </c>
      <c r="CS9" s="138" t="s">
        <v>978</v>
      </c>
      <c r="CT9" s="558" t="s">
        <v>1010</v>
      </c>
      <c r="CU9" s="559"/>
      <c r="CV9" s="560"/>
      <c r="CW9" s="13"/>
      <c r="CX9" s="13" t="s">
        <v>264</v>
      </c>
      <c r="CZ9" s="138" t="s">
        <v>289</v>
      </c>
      <c r="DA9" s="138" t="s">
        <v>278</v>
      </c>
      <c r="DB9" s="138">
        <v>38.200000000000003</v>
      </c>
      <c r="DC9" s="138" t="s">
        <v>978</v>
      </c>
      <c r="DD9" s="558" t="s">
        <v>1010</v>
      </c>
      <c r="DE9" s="559"/>
      <c r="DF9" s="560"/>
      <c r="DG9" s="13"/>
      <c r="DH9" s="13" t="s">
        <v>264</v>
      </c>
      <c r="DJ9" s="138" t="s">
        <v>289</v>
      </c>
      <c r="DK9" s="138" t="s">
        <v>278</v>
      </c>
      <c r="DL9" s="138">
        <v>38.200000000000003</v>
      </c>
      <c r="DM9" s="138" t="s">
        <v>978</v>
      </c>
      <c r="DN9" s="558" t="s">
        <v>1010</v>
      </c>
      <c r="DO9" s="559"/>
      <c r="DP9" s="560"/>
      <c r="DQ9" s="13"/>
      <c r="DR9" s="13" t="s">
        <v>264</v>
      </c>
      <c r="DT9" s="138" t="s">
        <v>289</v>
      </c>
      <c r="DU9" s="138" t="s">
        <v>278</v>
      </c>
      <c r="DV9" s="138">
        <v>38.200000000000003</v>
      </c>
      <c r="DW9" s="138" t="s">
        <v>978</v>
      </c>
      <c r="DX9" s="558" t="s">
        <v>1010</v>
      </c>
      <c r="DY9" s="559"/>
      <c r="DZ9" s="560"/>
      <c r="EA9" s="13"/>
      <c r="EB9" s="13" t="s">
        <v>264</v>
      </c>
      <c r="ED9" s="138" t="s">
        <v>289</v>
      </c>
      <c r="EE9" s="138" t="s">
        <v>278</v>
      </c>
      <c r="EF9" s="138">
        <v>38.200000000000003</v>
      </c>
      <c r="EG9" s="138" t="s">
        <v>978</v>
      </c>
      <c r="EH9" s="558" t="s">
        <v>1010</v>
      </c>
      <c r="EI9" s="559"/>
      <c r="EJ9" s="560"/>
      <c r="EK9" s="13"/>
      <c r="EL9" s="13" t="s">
        <v>264</v>
      </c>
      <c r="EN9" s="138" t="s">
        <v>289</v>
      </c>
      <c r="EO9" s="138" t="s">
        <v>278</v>
      </c>
      <c r="EP9" s="138">
        <v>38.200000000000003</v>
      </c>
      <c r="EQ9" s="138" t="s">
        <v>978</v>
      </c>
      <c r="ER9" s="558" t="s">
        <v>1010</v>
      </c>
      <c r="ES9" s="559"/>
      <c r="ET9" s="560"/>
      <c r="EU9" s="13"/>
      <c r="EV9" s="13" t="s">
        <v>264</v>
      </c>
      <c r="EX9" s="138" t="s">
        <v>289</v>
      </c>
      <c r="EY9" s="138" t="s">
        <v>278</v>
      </c>
      <c r="EZ9" s="138">
        <v>38.200000000000003</v>
      </c>
      <c r="FA9" s="138" t="s">
        <v>978</v>
      </c>
      <c r="FB9" s="558" t="s">
        <v>1010</v>
      </c>
      <c r="FC9" s="559"/>
      <c r="FD9" s="560"/>
      <c r="FE9" s="13"/>
      <c r="FF9" s="13" t="s">
        <v>264</v>
      </c>
      <c r="FH9" s="138" t="s">
        <v>289</v>
      </c>
      <c r="FI9" s="138" t="s">
        <v>278</v>
      </c>
      <c r="FJ9" s="138">
        <v>38.200000000000003</v>
      </c>
      <c r="FK9" s="138" t="s">
        <v>978</v>
      </c>
      <c r="FL9" s="558" t="s">
        <v>1010</v>
      </c>
      <c r="FM9" s="559"/>
      <c r="FN9" s="560"/>
      <c r="FO9" s="13"/>
      <c r="FP9" s="13" t="s">
        <v>264</v>
      </c>
      <c r="FR9" s="138" t="s">
        <v>289</v>
      </c>
      <c r="FS9" s="138" t="s">
        <v>278</v>
      </c>
      <c r="FT9" s="138">
        <v>38.200000000000003</v>
      </c>
      <c r="FU9" s="138" t="s">
        <v>978</v>
      </c>
      <c r="FV9" s="558" t="s">
        <v>1010</v>
      </c>
      <c r="FW9" s="559"/>
      <c r="FX9" s="560"/>
      <c r="FY9" s="13"/>
      <c r="FZ9" s="13" t="s">
        <v>264</v>
      </c>
      <c r="GB9" s="138" t="s">
        <v>289</v>
      </c>
      <c r="GC9" s="138" t="s">
        <v>278</v>
      </c>
      <c r="GD9" s="138">
        <v>38.200000000000003</v>
      </c>
      <c r="GE9" s="138" t="s">
        <v>978</v>
      </c>
      <c r="GF9" s="558" t="s">
        <v>1010</v>
      </c>
      <c r="GG9" s="559"/>
      <c r="GH9" s="560"/>
      <c r="GI9" s="13"/>
      <c r="GJ9" s="13" t="s">
        <v>264</v>
      </c>
      <c r="GL9" s="138" t="s">
        <v>289</v>
      </c>
      <c r="GM9" s="138" t="s">
        <v>278</v>
      </c>
      <c r="GN9" s="138">
        <v>38.200000000000003</v>
      </c>
      <c r="GO9" s="138" t="s">
        <v>978</v>
      </c>
      <c r="GP9" s="558" t="s">
        <v>1010</v>
      </c>
      <c r="GQ9" s="559"/>
      <c r="GR9" s="560"/>
      <c r="GS9" s="13"/>
      <c r="GT9" s="13" t="s">
        <v>264</v>
      </c>
      <c r="GV9" s="138" t="s">
        <v>289</v>
      </c>
      <c r="GW9" s="138" t="s">
        <v>278</v>
      </c>
      <c r="GX9" s="138">
        <v>38.200000000000003</v>
      </c>
      <c r="GY9" s="138" t="s">
        <v>978</v>
      </c>
      <c r="GZ9" s="558" t="s">
        <v>1010</v>
      </c>
      <c r="HA9" s="559"/>
      <c r="HB9" s="560"/>
      <c r="HC9" s="13"/>
      <c r="HD9" s="13" t="s">
        <v>264</v>
      </c>
      <c r="HF9" s="138" t="s">
        <v>289</v>
      </c>
      <c r="HG9" s="138" t="s">
        <v>278</v>
      </c>
      <c r="HH9" s="138">
        <v>38.200000000000003</v>
      </c>
      <c r="HI9" s="138" t="s">
        <v>978</v>
      </c>
      <c r="HJ9" s="558" t="s">
        <v>1010</v>
      </c>
      <c r="HK9" s="559"/>
      <c r="HL9" s="560"/>
      <c r="HM9" s="13"/>
      <c r="HN9" s="13" t="s">
        <v>264</v>
      </c>
      <c r="HP9" s="138" t="s">
        <v>289</v>
      </c>
      <c r="HQ9" s="138" t="s">
        <v>278</v>
      </c>
      <c r="HR9" s="138">
        <v>38.200000000000003</v>
      </c>
      <c r="HS9" s="138" t="s">
        <v>978</v>
      </c>
      <c r="HT9" s="558" t="s">
        <v>1010</v>
      </c>
      <c r="HU9" s="559"/>
      <c r="HV9" s="560"/>
      <c r="HW9" s="13"/>
      <c r="HX9" s="13" t="s">
        <v>264</v>
      </c>
      <c r="HZ9" s="138" t="s">
        <v>289</v>
      </c>
      <c r="IA9" s="138" t="s">
        <v>278</v>
      </c>
      <c r="IB9" s="138">
        <v>38.200000000000003</v>
      </c>
      <c r="IC9" s="138" t="s">
        <v>978</v>
      </c>
      <c r="ID9" s="558" t="s">
        <v>1010</v>
      </c>
      <c r="IE9" s="559"/>
      <c r="IF9" s="560"/>
      <c r="IG9" s="13"/>
      <c r="IH9" s="13" t="s">
        <v>264</v>
      </c>
      <c r="IJ9" s="138" t="s">
        <v>289</v>
      </c>
      <c r="IK9" s="138" t="s">
        <v>278</v>
      </c>
      <c r="IL9" s="138">
        <v>38.200000000000003</v>
      </c>
      <c r="IM9" s="138" t="s">
        <v>978</v>
      </c>
      <c r="IN9" s="558" t="s">
        <v>1010</v>
      </c>
      <c r="IO9" s="559"/>
      <c r="IP9" s="560"/>
      <c r="IQ9" s="13"/>
      <c r="IR9" s="13" t="s">
        <v>264</v>
      </c>
      <c r="IT9" s="138" t="s">
        <v>289</v>
      </c>
      <c r="IU9" s="138" t="s">
        <v>278</v>
      </c>
      <c r="IV9" s="138">
        <v>38.200000000000003</v>
      </c>
      <c r="IW9" s="138" t="s">
        <v>978</v>
      </c>
      <c r="IX9" s="558" t="s">
        <v>1010</v>
      </c>
      <c r="IY9" s="559"/>
      <c r="IZ9" s="560"/>
      <c r="JA9" s="13"/>
      <c r="JB9" s="13" t="s">
        <v>264</v>
      </c>
      <c r="JD9" s="138" t="s">
        <v>289</v>
      </c>
      <c r="JE9" s="138" t="s">
        <v>278</v>
      </c>
      <c r="JF9" s="138">
        <v>38.200000000000003</v>
      </c>
      <c r="JG9" s="138" t="s">
        <v>978</v>
      </c>
      <c r="JH9" s="558" t="s">
        <v>1010</v>
      </c>
      <c r="JI9" s="559"/>
      <c r="JJ9" s="560"/>
      <c r="JK9" s="13"/>
      <c r="JL9" s="13" t="s">
        <v>264</v>
      </c>
      <c r="JN9" s="138" t="s">
        <v>289</v>
      </c>
      <c r="JO9" s="138" t="s">
        <v>278</v>
      </c>
      <c r="JP9" s="138">
        <v>38.200000000000003</v>
      </c>
      <c r="JQ9" s="138" t="s">
        <v>978</v>
      </c>
      <c r="JR9" s="558" t="s">
        <v>1010</v>
      </c>
      <c r="JS9" s="559"/>
      <c r="JT9" s="560"/>
      <c r="JU9" s="13"/>
      <c r="JV9" s="13" t="s">
        <v>264</v>
      </c>
      <c r="JX9" s="138" t="s">
        <v>289</v>
      </c>
      <c r="JY9" s="138" t="s">
        <v>278</v>
      </c>
      <c r="JZ9" s="138">
        <v>38.200000000000003</v>
      </c>
      <c r="KA9" s="138" t="s">
        <v>978</v>
      </c>
      <c r="KB9" s="558" t="s">
        <v>1010</v>
      </c>
      <c r="KC9" s="559"/>
      <c r="KD9" s="560"/>
      <c r="KE9" s="13"/>
      <c r="KF9" s="13" t="s">
        <v>264</v>
      </c>
      <c r="KH9" s="138" t="s">
        <v>289</v>
      </c>
      <c r="KI9" s="138" t="s">
        <v>278</v>
      </c>
      <c r="KJ9" s="138">
        <v>38.200000000000003</v>
      </c>
      <c r="KK9" s="138" t="s">
        <v>978</v>
      </c>
      <c r="KL9" s="558" t="s">
        <v>1010</v>
      </c>
      <c r="KM9" s="559"/>
      <c r="KN9" s="560"/>
      <c r="KO9" s="13"/>
      <c r="KP9" s="13" t="s">
        <v>264</v>
      </c>
    </row>
    <row r="10" spans="1:302" ht="15.6" customHeight="1">
      <c r="A10" s="434" t="s">
        <v>980</v>
      </c>
      <c r="B10" s="434"/>
      <c r="C10" s="434"/>
      <c r="D10" s="13" t="s">
        <v>104</v>
      </c>
      <c r="E10" s="48"/>
      <c r="F10" s="48"/>
      <c r="G10" s="567"/>
      <c r="H10" s="569"/>
      <c r="I10" s="557"/>
      <c r="J10" s="557"/>
      <c r="K10" s="557"/>
      <c r="L10" s="557"/>
      <c r="M10" s="557"/>
      <c r="N10" s="557"/>
      <c r="O10" s="557"/>
      <c r="P10" s="141"/>
      <c r="Q10" s="129" t="s">
        <v>954</v>
      </c>
      <c r="R10" s="134">
        <f>FLOOR((_xll.qbEQ_SPT2025($D$10,$D$13,$D$14,$DA$1,$DA$1,$DB$3:$DC$16,$DB$19:$DC$108,$D$19,$DB$3:$DH$16,$D$12)*D22-_xll.fluEQ_SPT2025($D$10,$D$13,$D$14,$D$23,$D$16,$DA$1,$DB$3:$DC$16,$DB$19:$DC$108,TRUE,FALSE,"",0,$D$18,$D$19,$DB$3:$DH$16,$D$12,$J$29)+_xll.fluEQ_SPT2025($D$10,$D$13,$D$14,$D$23,$D$16,$DA$1,$DB$3:$DC$16,$DB$19:$DC$108,FALSE,TRUE,"",0,$D$18,$D$19,$DB$3:$DH$16,$D$12,$J$29))/($D$30*$D$29)-$D$32*$D$29,10)</f>
        <v>2120</v>
      </c>
      <c r="S10" s="129" t="s">
        <v>967</v>
      </c>
      <c r="T10" s="135">
        <f>FLOOR((_xll.qbEQ_SPT2025($D$10,$D$13,$D$14,$IK$1,$IK$1,$IL$3:$IM$16,$IL$19:$IM$108,$D$19,$IL$3:$IR$16,$D$12)*D22-_xll.fluEQ_SPT2025($D$10,$D$13,$D$14,$D$23,$D$16,$IK$1,$IL$3:$IM$16,$IL$19:$IM$108,TRUE,FALSE,"",0,$D$18,$D$19,$IL$3:$IR$16,$D$12,$J$29)+_xll.fluEQ_SPT2025($D$10,$D$13,$D$14,$D$23,$D$16,$IK$1,$IL$3:$IM$16,$IL$19:$IM$108,FALSE,TRUE,"",0,$D$18,$D$19,$IL$3:$IR$16,$D$12,$J$29))/($D$30*$D$29)-$D$32*$D$29,10)</f>
        <v>2120</v>
      </c>
      <c r="U10" s="136"/>
      <c r="V10" s="136"/>
      <c r="W10" s="136"/>
      <c r="X10" s="142"/>
      <c r="Y10" s="142"/>
      <c r="Z10" s="138"/>
      <c r="AA10" s="138"/>
      <c r="AB10" s="558"/>
      <c r="AC10" s="559"/>
      <c r="AD10" s="560"/>
      <c r="AE10" s="13"/>
      <c r="AF10" s="13"/>
      <c r="AH10" s="142"/>
      <c r="AI10" s="142"/>
      <c r="AJ10" s="138"/>
      <c r="AK10" s="138"/>
      <c r="AL10" s="558"/>
      <c r="AM10" s="559"/>
      <c r="AN10" s="560"/>
      <c r="AO10" s="13"/>
      <c r="AP10" s="13"/>
      <c r="AR10" s="142"/>
      <c r="AS10" s="142"/>
      <c r="AT10" s="138"/>
      <c r="AU10" s="138"/>
      <c r="AV10" s="558"/>
      <c r="AW10" s="559"/>
      <c r="AX10" s="560"/>
      <c r="AY10" s="13"/>
      <c r="AZ10" s="13"/>
      <c r="BB10" s="142"/>
      <c r="BC10" s="142"/>
      <c r="BD10" s="138"/>
      <c r="BE10" s="138"/>
      <c r="BF10" s="558"/>
      <c r="BG10" s="559"/>
      <c r="BH10" s="560"/>
      <c r="BI10" s="13"/>
      <c r="BJ10" s="13"/>
      <c r="BL10" s="142"/>
      <c r="BM10" s="142"/>
      <c r="BN10" s="138"/>
      <c r="BO10" s="138"/>
      <c r="BP10" s="558"/>
      <c r="BQ10" s="559"/>
      <c r="BR10" s="560"/>
      <c r="BS10" s="13"/>
      <c r="BT10" s="13"/>
      <c r="BV10" s="142"/>
      <c r="BW10" s="142"/>
      <c r="BX10" s="138"/>
      <c r="BY10" s="138"/>
      <c r="BZ10" s="558"/>
      <c r="CA10" s="559"/>
      <c r="CB10" s="560"/>
      <c r="CC10" s="13"/>
      <c r="CD10" s="13"/>
      <c r="CF10" s="142"/>
      <c r="CG10" s="142"/>
      <c r="CH10" s="138"/>
      <c r="CI10" s="138"/>
      <c r="CJ10" s="558"/>
      <c r="CK10" s="559"/>
      <c r="CL10" s="560"/>
      <c r="CM10" s="13"/>
      <c r="CN10" s="13"/>
      <c r="CP10" s="142"/>
      <c r="CQ10" s="142"/>
      <c r="CR10" s="138"/>
      <c r="CS10" s="138"/>
      <c r="CT10" s="558"/>
      <c r="CU10" s="559"/>
      <c r="CV10" s="560"/>
      <c r="CW10" s="13"/>
      <c r="CX10" s="13"/>
      <c r="CZ10" s="142"/>
      <c r="DA10" s="142"/>
      <c r="DB10" s="138"/>
      <c r="DC10" s="138"/>
      <c r="DD10" s="558"/>
      <c r="DE10" s="559"/>
      <c r="DF10" s="560"/>
      <c r="DG10" s="13"/>
      <c r="DH10" s="13"/>
      <c r="DJ10" s="142"/>
      <c r="DK10" s="142"/>
      <c r="DL10" s="138"/>
      <c r="DM10" s="138"/>
      <c r="DN10" s="558"/>
      <c r="DO10" s="559"/>
      <c r="DP10" s="560"/>
      <c r="DQ10" s="13"/>
      <c r="DR10" s="13"/>
      <c r="DT10" s="142"/>
      <c r="DU10" s="142"/>
      <c r="DV10" s="138"/>
      <c r="DW10" s="138"/>
      <c r="DX10" s="558"/>
      <c r="DY10" s="559"/>
      <c r="DZ10" s="560"/>
      <c r="EA10" s="13"/>
      <c r="EB10" s="13"/>
      <c r="ED10" s="142"/>
      <c r="EE10" s="142"/>
      <c r="EF10" s="138"/>
      <c r="EG10" s="138"/>
      <c r="EH10" s="558"/>
      <c r="EI10" s="559"/>
      <c r="EJ10" s="560"/>
      <c r="EK10" s="13"/>
      <c r="EL10" s="13"/>
      <c r="EN10" s="142"/>
      <c r="EO10" s="142"/>
      <c r="EP10" s="138"/>
      <c r="EQ10" s="138"/>
      <c r="ER10" s="558"/>
      <c r="ES10" s="559"/>
      <c r="ET10" s="560"/>
      <c r="EU10" s="13"/>
      <c r="EV10" s="13"/>
      <c r="EX10" s="142"/>
      <c r="EY10" s="142"/>
      <c r="EZ10" s="138"/>
      <c r="FA10" s="138"/>
      <c r="FB10" s="558"/>
      <c r="FC10" s="559"/>
      <c r="FD10" s="560"/>
      <c r="FE10" s="13"/>
      <c r="FF10" s="13"/>
      <c r="FH10" s="142"/>
      <c r="FI10" s="142"/>
      <c r="FJ10" s="138"/>
      <c r="FK10" s="138"/>
      <c r="FL10" s="558"/>
      <c r="FM10" s="559"/>
      <c r="FN10" s="560"/>
      <c r="FO10" s="13"/>
      <c r="FP10" s="13"/>
      <c r="FR10" s="142"/>
      <c r="FS10" s="142"/>
      <c r="FT10" s="138"/>
      <c r="FU10" s="138"/>
      <c r="FV10" s="558"/>
      <c r="FW10" s="559"/>
      <c r="FX10" s="560"/>
      <c r="FY10" s="13"/>
      <c r="FZ10" s="13"/>
      <c r="GB10" s="142"/>
      <c r="GC10" s="142"/>
      <c r="GD10" s="138"/>
      <c r="GE10" s="138"/>
      <c r="GF10" s="558"/>
      <c r="GG10" s="559"/>
      <c r="GH10" s="560"/>
      <c r="GI10" s="13"/>
      <c r="GJ10" s="13"/>
      <c r="GL10" s="142"/>
      <c r="GM10" s="142"/>
      <c r="GN10" s="138"/>
      <c r="GO10" s="138"/>
      <c r="GP10" s="558"/>
      <c r="GQ10" s="559"/>
      <c r="GR10" s="560"/>
      <c r="GS10" s="13"/>
      <c r="GT10" s="13"/>
      <c r="GV10" s="142"/>
      <c r="GW10" s="142"/>
      <c r="GX10" s="138"/>
      <c r="GY10" s="138"/>
      <c r="GZ10" s="558"/>
      <c r="HA10" s="559"/>
      <c r="HB10" s="560"/>
      <c r="HC10" s="13"/>
      <c r="HD10" s="13"/>
      <c r="HF10" s="142"/>
      <c r="HG10" s="142"/>
      <c r="HH10" s="138"/>
      <c r="HI10" s="138"/>
      <c r="HJ10" s="558"/>
      <c r="HK10" s="559"/>
      <c r="HL10" s="560"/>
      <c r="HM10" s="13"/>
      <c r="HN10" s="13"/>
      <c r="HP10" s="142"/>
      <c r="HQ10" s="142"/>
      <c r="HR10" s="138"/>
      <c r="HS10" s="138"/>
      <c r="HT10" s="558"/>
      <c r="HU10" s="559"/>
      <c r="HV10" s="560"/>
      <c r="HW10" s="13"/>
      <c r="HX10" s="13"/>
      <c r="HZ10" s="142"/>
      <c r="IA10" s="142"/>
      <c r="IB10" s="138"/>
      <c r="IC10" s="138"/>
      <c r="ID10" s="558"/>
      <c r="IE10" s="559"/>
      <c r="IF10" s="560"/>
      <c r="IG10" s="13"/>
      <c r="IH10" s="13"/>
      <c r="IJ10" s="142"/>
      <c r="IK10" s="142"/>
      <c r="IL10" s="138"/>
      <c r="IM10" s="138"/>
      <c r="IN10" s="558"/>
      <c r="IO10" s="559"/>
      <c r="IP10" s="560"/>
      <c r="IQ10" s="13"/>
      <c r="IR10" s="13"/>
      <c r="IT10" s="142"/>
      <c r="IU10" s="142"/>
      <c r="IV10" s="138"/>
      <c r="IW10" s="138"/>
      <c r="IX10" s="558"/>
      <c r="IY10" s="559"/>
      <c r="IZ10" s="560"/>
      <c r="JA10" s="13"/>
      <c r="JB10" s="13"/>
      <c r="JD10" s="142"/>
      <c r="JE10" s="142"/>
      <c r="JF10" s="138"/>
      <c r="JG10" s="138"/>
      <c r="JH10" s="558"/>
      <c r="JI10" s="559"/>
      <c r="JJ10" s="560"/>
      <c r="JK10" s="13"/>
      <c r="JL10" s="13"/>
      <c r="JN10" s="142"/>
      <c r="JO10" s="142"/>
      <c r="JP10" s="138"/>
      <c r="JQ10" s="138"/>
      <c r="JR10" s="558"/>
      <c r="JS10" s="559"/>
      <c r="JT10" s="560"/>
      <c r="JU10" s="13"/>
      <c r="JV10" s="13"/>
      <c r="JX10" s="142"/>
      <c r="JY10" s="142"/>
      <c r="JZ10" s="138"/>
      <c r="KA10" s="138"/>
      <c r="KB10" s="558"/>
      <c r="KC10" s="559"/>
      <c r="KD10" s="560"/>
      <c r="KE10" s="13"/>
      <c r="KF10" s="13"/>
      <c r="KH10" s="142"/>
      <c r="KI10" s="142"/>
      <c r="KJ10" s="138"/>
      <c r="KK10" s="138"/>
      <c r="KL10" s="558"/>
      <c r="KM10" s="559"/>
      <c r="KN10" s="560"/>
      <c r="KO10" s="13"/>
      <c r="KP10" s="13"/>
    </row>
    <row r="11" spans="1:302" ht="15.6" customHeight="1">
      <c r="A11" s="434" t="s">
        <v>981</v>
      </c>
      <c r="B11" s="434"/>
      <c r="C11" s="434"/>
      <c r="D11" s="13" t="s">
        <v>299</v>
      </c>
      <c r="E11" s="48"/>
      <c r="F11" s="48"/>
      <c r="G11" s="13" t="s">
        <v>262</v>
      </c>
      <c r="H11" s="8" t="s">
        <v>269</v>
      </c>
      <c r="I11" s="50">
        <v>0</v>
      </c>
      <c r="J11" s="50" t="s">
        <v>975</v>
      </c>
      <c r="K11" s="558" t="s">
        <v>1009</v>
      </c>
      <c r="L11" s="559"/>
      <c r="M11" s="560"/>
      <c r="N11" s="13">
        <v>0.4</v>
      </c>
      <c r="O11" s="13" t="s">
        <v>264</v>
      </c>
      <c r="P11" s="48"/>
      <c r="Q11" s="129" t="s">
        <v>955</v>
      </c>
      <c r="R11" s="134">
        <f>FLOOR((_xll.qbEQ_SPT2025($D$10,$D$13,$D$14,$DK$1,$DK$1,$DL$3:$DM$16,$DL$19:$DM$108,$D$19,$DL$3:$DR$16,$D$12)*D22-_xll.fluEQ_SPT2025($D$10,$D$13,$D$14,$D$23,$D$16,$DK$1,$DL$3:$DM$16,$DL$19:$DM$108,TRUE,FALSE,"",0,$D$18,$D$19,$DL$3:$DR$16,$D$12,$J$29)+_xll.fluEQ_SPT2025($D$10,$D$13,$D$14,$D$23,$D$16,$DK$1,$DL$3:$DM$16,$DL$19:$DM$108,FALSE,TRUE,"",0,$D$18,$D$19,$DL$3:$DR$16,$D$12,$J$29))/($D$30*$D$29)-$D$32*$D$29,10)</f>
        <v>2120</v>
      </c>
      <c r="S11" s="129" t="s">
        <v>968</v>
      </c>
      <c r="T11" s="135">
        <f>FLOOR((_xll.qbEQ_SPT2025($D$10,$D$13,$D$14,$IU$1,$IU$1,$IV$3:$IW$16,$IV$19:$IW$108,$D$19,$IV$3:$JB$16,$D$12)*D22-_xll.fluEQ_SPT2025($D$10,$D$13,$D$14,$D$23,$D$16,$IU$1,$IV$3:$IW$16,$IV$19:$IW$108,TRUE,FALSE,"",0,$D$18,$D$19,$IV$3:$JB$16,$D$12,$J$29)+_xll.fluEQ_SPT2025($D$10,$D$13,$D$14,$D$23,$D$16,$IU$1,$IV$3:$IW$16,$IV$19:$IW$108,FALSE,TRUE,"",0,$D$18,$D$19,$IV$3:$JB$16,$D$12,$J$29))/($D$30*$D$29)-$D$32*$D$29,10)</f>
        <v>2120</v>
      </c>
      <c r="U11" s="136"/>
      <c r="V11" s="136"/>
      <c r="W11" s="136"/>
      <c r="X11" s="142"/>
      <c r="Y11" s="142"/>
      <c r="Z11" s="138"/>
      <c r="AA11" s="138"/>
      <c r="AB11" s="558"/>
      <c r="AC11" s="559"/>
      <c r="AD11" s="560"/>
      <c r="AE11" s="13"/>
      <c r="AF11" s="13"/>
      <c r="AH11" s="142"/>
      <c r="AI11" s="142"/>
      <c r="AJ11" s="138"/>
      <c r="AK11" s="138"/>
      <c r="AL11" s="558"/>
      <c r="AM11" s="559"/>
      <c r="AN11" s="560"/>
      <c r="AO11" s="13"/>
      <c r="AP11" s="13"/>
      <c r="AR11" s="142"/>
      <c r="AS11" s="142"/>
      <c r="AT11" s="138"/>
      <c r="AU11" s="138"/>
      <c r="AV11" s="558"/>
      <c r="AW11" s="559"/>
      <c r="AX11" s="560"/>
      <c r="AY11" s="13"/>
      <c r="AZ11" s="13"/>
      <c r="BB11" s="142"/>
      <c r="BC11" s="142"/>
      <c r="BD11" s="138"/>
      <c r="BE11" s="138"/>
      <c r="BF11" s="558"/>
      <c r="BG11" s="559"/>
      <c r="BH11" s="560"/>
      <c r="BI11" s="13"/>
      <c r="BJ11" s="13"/>
      <c r="BL11" s="142"/>
      <c r="BM11" s="142"/>
      <c r="BN11" s="138"/>
      <c r="BO11" s="138"/>
      <c r="BP11" s="558"/>
      <c r="BQ11" s="559"/>
      <c r="BR11" s="560"/>
      <c r="BS11" s="13"/>
      <c r="BT11" s="13"/>
      <c r="BV11" s="142"/>
      <c r="BW11" s="142"/>
      <c r="BX11" s="138"/>
      <c r="BY11" s="138"/>
      <c r="BZ11" s="558"/>
      <c r="CA11" s="559"/>
      <c r="CB11" s="560"/>
      <c r="CC11" s="13"/>
      <c r="CD11" s="13"/>
      <c r="CF11" s="142"/>
      <c r="CG11" s="142"/>
      <c r="CH11" s="138"/>
      <c r="CI11" s="138"/>
      <c r="CJ11" s="558"/>
      <c r="CK11" s="559"/>
      <c r="CL11" s="560"/>
      <c r="CM11" s="13"/>
      <c r="CN11" s="13"/>
      <c r="CP11" s="142"/>
      <c r="CQ11" s="142"/>
      <c r="CR11" s="138"/>
      <c r="CS11" s="138"/>
      <c r="CT11" s="558"/>
      <c r="CU11" s="559"/>
      <c r="CV11" s="560"/>
      <c r="CW11" s="13"/>
      <c r="CX11" s="13"/>
      <c r="CZ11" s="142"/>
      <c r="DA11" s="142"/>
      <c r="DB11" s="138"/>
      <c r="DC11" s="138"/>
      <c r="DD11" s="558"/>
      <c r="DE11" s="559"/>
      <c r="DF11" s="560"/>
      <c r="DG11" s="13"/>
      <c r="DH11" s="13"/>
      <c r="DJ11" s="142"/>
      <c r="DK11" s="142"/>
      <c r="DL11" s="138"/>
      <c r="DM11" s="138"/>
      <c r="DN11" s="558"/>
      <c r="DO11" s="559"/>
      <c r="DP11" s="560"/>
      <c r="DQ11" s="13"/>
      <c r="DR11" s="13"/>
      <c r="DT11" s="142"/>
      <c r="DU11" s="142"/>
      <c r="DV11" s="138"/>
      <c r="DW11" s="138"/>
      <c r="DX11" s="558"/>
      <c r="DY11" s="559"/>
      <c r="DZ11" s="560"/>
      <c r="EA11" s="13"/>
      <c r="EB11" s="13"/>
      <c r="ED11" s="142"/>
      <c r="EE11" s="142"/>
      <c r="EF11" s="138"/>
      <c r="EG11" s="138"/>
      <c r="EH11" s="558"/>
      <c r="EI11" s="559"/>
      <c r="EJ11" s="560"/>
      <c r="EK11" s="13"/>
      <c r="EL11" s="13"/>
      <c r="EN11" s="142"/>
      <c r="EO11" s="142"/>
      <c r="EP11" s="138"/>
      <c r="EQ11" s="138"/>
      <c r="ER11" s="558"/>
      <c r="ES11" s="559"/>
      <c r="ET11" s="560"/>
      <c r="EU11" s="13"/>
      <c r="EV11" s="13"/>
      <c r="EX11" s="142"/>
      <c r="EY11" s="142"/>
      <c r="EZ11" s="138"/>
      <c r="FA11" s="138"/>
      <c r="FB11" s="558"/>
      <c r="FC11" s="559"/>
      <c r="FD11" s="560"/>
      <c r="FE11" s="13"/>
      <c r="FF11" s="13"/>
      <c r="FH11" s="142"/>
      <c r="FI11" s="142"/>
      <c r="FJ11" s="138"/>
      <c r="FK11" s="138"/>
      <c r="FL11" s="558"/>
      <c r="FM11" s="559"/>
      <c r="FN11" s="560"/>
      <c r="FO11" s="13"/>
      <c r="FP11" s="13"/>
      <c r="FR11" s="142"/>
      <c r="FS11" s="142"/>
      <c r="FT11" s="138"/>
      <c r="FU11" s="138"/>
      <c r="FV11" s="558"/>
      <c r="FW11" s="559"/>
      <c r="FX11" s="560"/>
      <c r="FY11" s="13"/>
      <c r="FZ11" s="13"/>
      <c r="GB11" s="142"/>
      <c r="GC11" s="142"/>
      <c r="GD11" s="138"/>
      <c r="GE11" s="138"/>
      <c r="GF11" s="558"/>
      <c r="GG11" s="559"/>
      <c r="GH11" s="560"/>
      <c r="GI11" s="13"/>
      <c r="GJ11" s="13"/>
      <c r="GL11" s="142"/>
      <c r="GM11" s="142"/>
      <c r="GN11" s="138"/>
      <c r="GO11" s="138"/>
      <c r="GP11" s="558"/>
      <c r="GQ11" s="559"/>
      <c r="GR11" s="560"/>
      <c r="GS11" s="13"/>
      <c r="GT11" s="13"/>
      <c r="GV11" s="142"/>
      <c r="GW11" s="142"/>
      <c r="GX11" s="138"/>
      <c r="GY11" s="138"/>
      <c r="GZ11" s="558"/>
      <c r="HA11" s="559"/>
      <c r="HB11" s="560"/>
      <c r="HC11" s="13"/>
      <c r="HD11" s="13"/>
      <c r="HF11" s="142"/>
      <c r="HG11" s="142"/>
      <c r="HH11" s="138"/>
      <c r="HI11" s="138"/>
      <c r="HJ11" s="558"/>
      <c r="HK11" s="559"/>
      <c r="HL11" s="560"/>
      <c r="HM11" s="13"/>
      <c r="HN11" s="13"/>
      <c r="HP11" s="142"/>
      <c r="HQ11" s="142"/>
      <c r="HR11" s="138"/>
      <c r="HS11" s="138"/>
      <c r="HT11" s="558"/>
      <c r="HU11" s="559"/>
      <c r="HV11" s="560"/>
      <c r="HW11" s="13"/>
      <c r="HX11" s="13"/>
      <c r="HZ11" s="142"/>
      <c r="IA11" s="142"/>
      <c r="IB11" s="138"/>
      <c r="IC11" s="138"/>
      <c r="ID11" s="558"/>
      <c r="IE11" s="559"/>
      <c r="IF11" s="560"/>
      <c r="IG11" s="13"/>
      <c r="IH11" s="13"/>
      <c r="IJ11" s="142"/>
      <c r="IK11" s="142"/>
      <c r="IL11" s="138"/>
      <c r="IM11" s="138"/>
      <c r="IN11" s="558"/>
      <c r="IO11" s="559"/>
      <c r="IP11" s="560"/>
      <c r="IQ11" s="13"/>
      <c r="IR11" s="13"/>
      <c r="IT11" s="142"/>
      <c r="IU11" s="142"/>
      <c r="IV11" s="138"/>
      <c r="IW11" s="138"/>
      <c r="IX11" s="558"/>
      <c r="IY11" s="559"/>
      <c r="IZ11" s="560"/>
      <c r="JA11" s="13"/>
      <c r="JB11" s="13"/>
      <c r="JD11" s="142"/>
      <c r="JE11" s="142"/>
      <c r="JF11" s="138"/>
      <c r="JG11" s="138"/>
      <c r="JH11" s="558"/>
      <c r="JI11" s="559"/>
      <c r="JJ11" s="560"/>
      <c r="JK11" s="13"/>
      <c r="JL11" s="13"/>
      <c r="JN11" s="142"/>
      <c r="JO11" s="142"/>
      <c r="JP11" s="138"/>
      <c r="JQ11" s="138"/>
      <c r="JR11" s="558"/>
      <c r="JS11" s="559"/>
      <c r="JT11" s="560"/>
      <c r="JU11" s="13"/>
      <c r="JV11" s="13"/>
      <c r="JX11" s="142"/>
      <c r="JY11" s="142"/>
      <c r="JZ11" s="138"/>
      <c r="KA11" s="138"/>
      <c r="KB11" s="558"/>
      <c r="KC11" s="559"/>
      <c r="KD11" s="560"/>
      <c r="KE11" s="13"/>
      <c r="KF11" s="13"/>
      <c r="KH11" s="142"/>
      <c r="KI11" s="142"/>
      <c r="KJ11" s="138"/>
      <c r="KK11" s="138"/>
      <c r="KL11" s="558"/>
      <c r="KM11" s="559"/>
      <c r="KN11" s="560"/>
      <c r="KO11" s="13"/>
      <c r="KP11" s="13"/>
    </row>
    <row r="12" spans="1:302" ht="15.6" customHeight="1">
      <c r="A12" s="546" t="s">
        <v>1011</v>
      </c>
      <c r="B12" s="547"/>
      <c r="C12" s="548"/>
      <c r="D12" s="13" t="s">
        <v>1012</v>
      </c>
      <c r="E12" s="54"/>
      <c r="F12" s="54"/>
      <c r="G12" s="13" t="s">
        <v>268</v>
      </c>
      <c r="H12" s="8" t="s">
        <v>269</v>
      </c>
      <c r="I12" s="50">
        <v>1.5</v>
      </c>
      <c r="J12" s="50" t="s">
        <v>975</v>
      </c>
      <c r="K12" s="558" t="s">
        <v>1009</v>
      </c>
      <c r="L12" s="559"/>
      <c r="M12" s="560"/>
      <c r="N12" s="13">
        <v>0.3</v>
      </c>
      <c r="O12" s="13" t="s">
        <v>264</v>
      </c>
      <c r="P12" s="48"/>
      <c r="Q12" s="129" t="s">
        <v>956</v>
      </c>
      <c r="R12" s="134">
        <f>FLOOR((_xll.qbEQ_SPT2025($D$10,$D$13,$D$14,$DU$1,$DU$1,$DV$3:$DW$16,$DV$19:$DW$108,$D$19,$DV$3:$EB$16,$D$12)*D22-_xll.fluEQ_SPT2025($D$10,$D$13,$D$14,$D$23,$D$16,$DU$1,$DV$3:$DW$16,$DV$19:$DW$108,TRUE,FALSE,"",0,$D$18,$D$19,$DV$3:$EB$16,$D$12,$J$29)+_xll.fluEQ_SPT2025($D$10,$D$13,$D$14,$D$23,$D$16,$DU$1,$DV$3:$DW$16,$DV$19:$DW$108,FALSE,TRUE,"",0,$D$18,$D$19,$DV$3:$EB$16,$D$12,$J$29))/($D$30*$D$29)-$D$32*$D$29,10)</f>
        <v>2120</v>
      </c>
      <c r="S12" s="129" t="s">
        <v>969</v>
      </c>
      <c r="T12" s="135">
        <f>FLOOR((_xll.qbEQ_SPT2025($D$10,$D$13,$D$14,$JE$1,$JE$1,$JF$3:$JG$16,$JF$19:$JG$108,$D$19,$JF$3:$JL$16,$D$12)*D22-_xll.fluEQ_SPT2025($D$10,$D$13,$D$14,$D$23,$D$16,$JE$1,$JF$3:$JG$16,$JF$19:$JG$108,TRUE,FALSE,"",0,$D$18,$D$19,$JF$3:$JL$16,$D$12,$J$29)+_xll.fluEQ_SPT2025($D$10,$D$13,$D$14,$D$23,$D$16,$JE$1,$JF$3:$JG$16,$JF$19:$JG$108,FALSE,TRUE,"",0,$D$18,$D$19,$JF$3:$JL$16,$D$12,$J$29))/($D$30*$D$29)-$D$32*$D$29,10)</f>
        <v>2120</v>
      </c>
      <c r="U12" s="136"/>
      <c r="V12" s="136"/>
      <c r="W12" s="136"/>
      <c r="X12" s="142"/>
      <c r="Y12" s="142"/>
      <c r="Z12" s="138"/>
      <c r="AA12" s="138"/>
      <c r="AB12" s="558"/>
      <c r="AC12" s="559"/>
      <c r="AD12" s="560"/>
      <c r="AE12" s="13"/>
      <c r="AF12" s="13"/>
      <c r="AH12" s="142"/>
      <c r="AI12" s="142"/>
      <c r="AJ12" s="138"/>
      <c r="AK12" s="138"/>
      <c r="AL12" s="558"/>
      <c r="AM12" s="559"/>
      <c r="AN12" s="560"/>
      <c r="AO12" s="13"/>
      <c r="AP12" s="13"/>
      <c r="AR12" s="142"/>
      <c r="AS12" s="142"/>
      <c r="AT12" s="138"/>
      <c r="AU12" s="138"/>
      <c r="AV12" s="558"/>
      <c r="AW12" s="559"/>
      <c r="AX12" s="560"/>
      <c r="AY12" s="13"/>
      <c r="AZ12" s="13"/>
      <c r="BB12" s="142"/>
      <c r="BC12" s="142"/>
      <c r="BD12" s="138"/>
      <c r="BE12" s="138"/>
      <c r="BF12" s="558"/>
      <c r="BG12" s="559"/>
      <c r="BH12" s="560"/>
      <c r="BI12" s="13"/>
      <c r="BJ12" s="13"/>
      <c r="BL12" s="142"/>
      <c r="BM12" s="142"/>
      <c r="BN12" s="138"/>
      <c r="BO12" s="138"/>
      <c r="BP12" s="558"/>
      <c r="BQ12" s="559"/>
      <c r="BR12" s="560"/>
      <c r="BS12" s="13"/>
      <c r="BT12" s="13"/>
      <c r="BV12" s="142"/>
      <c r="BW12" s="142"/>
      <c r="BX12" s="138"/>
      <c r="BY12" s="138"/>
      <c r="BZ12" s="558"/>
      <c r="CA12" s="559"/>
      <c r="CB12" s="560"/>
      <c r="CC12" s="13"/>
      <c r="CD12" s="13"/>
      <c r="CF12" s="142"/>
      <c r="CG12" s="142"/>
      <c r="CH12" s="138"/>
      <c r="CI12" s="138"/>
      <c r="CJ12" s="558"/>
      <c r="CK12" s="559"/>
      <c r="CL12" s="560"/>
      <c r="CM12" s="13"/>
      <c r="CN12" s="13"/>
      <c r="CP12" s="142"/>
      <c r="CQ12" s="142"/>
      <c r="CR12" s="138"/>
      <c r="CS12" s="138"/>
      <c r="CT12" s="558"/>
      <c r="CU12" s="559"/>
      <c r="CV12" s="560"/>
      <c r="CW12" s="13"/>
      <c r="CX12" s="13"/>
      <c r="CZ12" s="142"/>
      <c r="DA12" s="142"/>
      <c r="DB12" s="138"/>
      <c r="DC12" s="138"/>
      <c r="DD12" s="558"/>
      <c r="DE12" s="559"/>
      <c r="DF12" s="560"/>
      <c r="DG12" s="13"/>
      <c r="DH12" s="13"/>
      <c r="DJ12" s="142"/>
      <c r="DK12" s="142"/>
      <c r="DL12" s="138"/>
      <c r="DM12" s="138"/>
      <c r="DN12" s="558"/>
      <c r="DO12" s="559"/>
      <c r="DP12" s="560"/>
      <c r="DQ12" s="13"/>
      <c r="DR12" s="13"/>
      <c r="DT12" s="142"/>
      <c r="DU12" s="142"/>
      <c r="DV12" s="138"/>
      <c r="DW12" s="138"/>
      <c r="DX12" s="558"/>
      <c r="DY12" s="559"/>
      <c r="DZ12" s="560"/>
      <c r="EA12" s="13"/>
      <c r="EB12" s="13"/>
      <c r="ED12" s="142"/>
      <c r="EE12" s="142"/>
      <c r="EF12" s="138"/>
      <c r="EG12" s="138"/>
      <c r="EH12" s="558"/>
      <c r="EI12" s="559"/>
      <c r="EJ12" s="560"/>
      <c r="EK12" s="13"/>
      <c r="EL12" s="13"/>
      <c r="EN12" s="142"/>
      <c r="EO12" s="142"/>
      <c r="EP12" s="138"/>
      <c r="EQ12" s="138"/>
      <c r="ER12" s="558"/>
      <c r="ES12" s="559"/>
      <c r="ET12" s="560"/>
      <c r="EU12" s="13"/>
      <c r="EV12" s="13"/>
      <c r="EX12" s="142"/>
      <c r="EY12" s="142"/>
      <c r="EZ12" s="138"/>
      <c r="FA12" s="138"/>
      <c r="FB12" s="558"/>
      <c r="FC12" s="559"/>
      <c r="FD12" s="560"/>
      <c r="FE12" s="13"/>
      <c r="FF12" s="13"/>
      <c r="FH12" s="142"/>
      <c r="FI12" s="142"/>
      <c r="FJ12" s="138"/>
      <c r="FK12" s="138"/>
      <c r="FL12" s="558"/>
      <c r="FM12" s="559"/>
      <c r="FN12" s="560"/>
      <c r="FO12" s="13"/>
      <c r="FP12" s="13"/>
      <c r="FR12" s="142"/>
      <c r="FS12" s="142"/>
      <c r="FT12" s="138"/>
      <c r="FU12" s="138"/>
      <c r="FV12" s="558"/>
      <c r="FW12" s="559"/>
      <c r="FX12" s="560"/>
      <c r="FY12" s="13"/>
      <c r="FZ12" s="13"/>
      <c r="GB12" s="142"/>
      <c r="GC12" s="142"/>
      <c r="GD12" s="138"/>
      <c r="GE12" s="138"/>
      <c r="GF12" s="558"/>
      <c r="GG12" s="559"/>
      <c r="GH12" s="560"/>
      <c r="GI12" s="13"/>
      <c r="GJ12" s="13"/>
      <c r="GL12" s="142"/>
      <c r="GM12" s="142"/>
      <c r="GN12" s="138"/>
      <c r="GO12" s="138"/>
      <c r="GP12" s="558"/>
      <c r="GQ12" s="559"/>
      <c r="GR12" s="560"/>
      <c r="GS12" s="13"/>
      <c r="GT12" s="13"/>
      <c r="GV12" s="142"/>
      <c r="GW12" s="142"/>
      <c r="GX12" s="138"/>
      <c r="GY12" s="138"/>
      <c r="GZ12" s="558"/>
      <c r="HA12" s="559"/>
      <c r="HB12" s="560"/>
      <c r="HC12" s="13"/>
      <c r="HD12" s="13"/>
      <c r="HF12" s="142"/>
      <c r="HG12" s="142"/>
      <c r="HH12" s="138"/>
      <c r="HI12" s="138"/>
      <c r="HJ12" s="558"/>
      <c r="HK12" s="559"/>
      <c r="HL12" s="560"/>
      <c r="HM12" s="13"/>
      <c r="HN12" s="13"/>
      <c r="HP12" s="142"/>
      <c r="HQ12" s="142"/>
      <c r="HR12" s="138"/>
      <c r="HS12" s="138"/>
      <c r="HT12" s="558"/>
      <c r="HU12" s="559"/>
      <c r="HV12" s="560"/>
      <c r="HW12" s="13"/>
      <c r="HX12" s="13"/>
      <c r="HZ12" s="142"/>
      <c r="IA12" s="142"/>
      <c r="IB12" s="138"/>
      <c r="IC12" s="138"/>
      <c r="ID12" s="558"/>
      <c r="IE12" s="559"/>
      <c r="IF12" s="560"/>
      <c r="IG12" s="13"/>
      <c r="IH12" s="13"/>
      <c r="IJ12" s="142"/>
      <c r="IK12" s="142"/>
      <c r="IL12" s="138"/>
      <c r="IM12" s="138"/>
      <c r="IN12" s="558"/>
      <c r="IO12" s="559"/>
      <c r="IP12" s="560"/>
      <c r="IQ12" s="13"/>
      <c r="IR12" s="13"/>
      <c r="IT12" s="142"/>
      <c r="IU12" s="142"/>
      <c r="IV12" s="138"/>
      <c r="IW12" s="138"/>
      <c r="IX12" s="558"/>
      <c r="IY12" s="559"/>
      <c r="IZ12" s="560"/>
      <c r="JA12" s="13"/>
      <c r="JB12" s="13"/>
      <c r="JD12" s="142"/>
      <c r="JE12" s="142"/>
      <c r="JF12" s="138"/>
      <c r="JG12" s="138"/>
      <c r="JH12" s="558"/>
      <c r="JI12" s="559"/>
      <c r="JJ12" s="560"/>
      <c r="JK12" s="13"/>
      <c r="JL12" s="13"/>
      <c r="JN12" s="142"/>
      <c r="JO12" s="142"/>
      <c r="JP12" s="138"/>
      <c r="JQ12" s="138"/>
      <c r="JR12" s="558"/>
      <c r="JS12" s="559"/>
      <c r="JT12" s="560"/>
      <c r="JU12" s="13"/>
      <c r="JV12" s="13"/>
      <c r="JX12" s="142"/>
      <c r="JY12" s="142"/>
      <c r="JZ12" s="138"/>
      <c r="KA12" s="138"/>
      <c r="KB12" s="558"/>
      <c r="KC12" s="559"/>
      <c r="KD12" s="560"/>
      <c r="KE12" s="13"/>
      <c r="KF12" s="13"/>
      <c r="KH12" s="142"/>
      <c r="KI12" s="142"/>
      <c r="KJ12" s="138"/>
      <c r="KK12" s="138"/>
      <c r="KL12" s="558"/>
      <c r="KM12" s="559"/>
      <c r="KN12" s="560"/>
      <c r="KO12" s="13"/>
      <c r="KP12" s="13"/>
    </row>
    <row r="13" spans="1:302" ht="15.6" customHeight="1">
      <c r="A13" s="434" t="s">
        <v>298</v>
      </c>
      <c r="B13" s="434"/>
      <c r="C13" s="434"/>
      <c r="D13" s="18">
        <v>1</v>
      </c>
      <c r="E13" s="55"/>
      <c r="F13" s="55"/>
      <c r="G13" s="13" t="s">
        <v>270</v>
      </c>
      <c r="H13" s="8" t="s">
        <v>269</v>
      </c>
      <c r="I13" s="50">
        <v>7</v>
      </c>
      <c r="J13" s="50" t="s">
        <v>975</v>
      </c>
      <c r="K13" s="558" t="s">
        <v>1009</v>
      </c>
      <c r="L13" s="559"/>
      <c r="M13" s="560"/>
      <c r="N13" s="13">
        <v>0.2</v>
      </c>
      <c r="O13" s="13" t="s">
        <v>264</v>
      </c>
      <c r="P13" s="48"/>
      <c r="Q13" s="129" t="s">
        <v>957</v>
      </c>
      <c r="R13" s="134">
        <f>FLOOR((_xll.qbEQ_SPT2025($D$10,$D$13,$D$14,$EE$1,$EE$1,$EF$3:$EG$16,$EF$19:$EG$108,$D$19,$EF$3:$EL$16,$D$12)*D22-_xll.fluEQ_SPT2025($D$10,$D$13,$D$14,$D$23,$D$16,$EE$1,$EF$3:$EG$16,$EF$19:$EG$108,TRUE,FALSE,"",0,$D$18,$D$19,$EF$3:$EL$16,$D$12,$J$29)+_xll.fluEQ_SPT2025($D$10,$D$13,$D$14,$D$23,$D$16,$EE$1,$EF$3:$EG$16,$EF$19:$EG$108,FALSE,TRUE,"",0,$D$18,$D$19,$EF$3:$EL$16,$D$12,$J$29))/($D$30*$D$29)-$D$32*$D$29,10)</f>
        <v>2120</v>
      </c>
      <c r="S13" s="129" t="s">
        <v>970</v>
      </c>
      <c r="T13" s="135">
        <f>FLOOR((_xll.qbEQ_SPT2025($D$10,$D$13,$D$14,$JO$1,$JO$1,$JP$3:$JQ$16,$JP$19:$JQ$108,$D$19,$JP$3:$JV$16,$D$12)*D22-_xll.fluEQ_SPT2025($D$10,$D$13,$D$14,$D$23,$D$16,$JO$1,$JP$3:$JQ$16,$JP$19:$JQ$108,TRUE,FALSE,"",0,$D$18,$D$19,$JP$3:$JV$16,$D$12,$J$29)+_xll.fluEQ_SPT2025($D$10,$D$13,$D$14,$D$23,$D$16,$JO$1,$JP$3:$JQ$16,$JP$19:$JQ$108,FALSE,TRUE,"",0,$D$18,$D$19,$JP$3:$JV$16,$D$12,$J$29))/($D$30*$D$29)-$D$32*$D$29,10)</f>
        <v>2120</v>
      </c>
      <c r="U13" s="136"/>
      <c r="V13" s="136"/>
      <c r="W13" s="136"/>
      <c r="X13" s="142"/>
      <c r="Y13" s="142"/>
      <c r="Z13" s="138"/>
      <c r="AA13" s="138"/>
      <c r="AB13" s="558"/>
      <c r="AC13" s="559"/>
      <c r="AD13" s="560"/>
      <c r="AE13" s="13"/>
      <c r="AF13" s="13"/>
      <c r="AH13" s="142"/>
      <c r="AI13" s="142"/>
      <c r="AJ13" s="138"/>
      <c r="AK13" s="138"/>
      <c r="AL13" s="558"/>
      <c r="AM13" s="559"/>
      <c r="AN13" s="560"/>
      <c r="AO13" s="13"/>
      <c r="AP13" s="13"/>
      <c r="AR13" s="142"/>
      <c r="AS13" s="142"/>
      <c r="AT13" s="138"/>
      <c r="AU13" s="138"/>
      <c r="AV13" s="558"/>
      <c r="AW13" s="559"/>
      <c r="AX13" s="560"/>
      <c r="AY13" s="13"/>
      <c r="AZ13" s="13"/>
      <c r="BB13" s="142"/>
      <c r="BC13" s="142"/>
      <c r="BD13" s="138"/>
      <c r="BE13" s="138"/>
      <c r="BF13" s="558"/>
      <c r="BG13" s="559"/>
      <c r="BH13" s="560"/>
      <c r="BI13" s="13"/>
      <c r="BJ13" s="13"/>
      <c r="BL13" s="142"/>
      <c r="BM13" s="142"/>
      <c r="BN13" s="138"/>
      <c r="BO13" s="138"/>
      <c r="BP13" s="558"/>
      <c r="BQ13" s="559"/>
      <c r="BR13" s="560"/>
      <c r="BS13" s="13"/>
      <c r="BT13" s="13"/>
      <c r="BV13" s="142"/>
      <c r="BW13" s="142"/>
      <c r="BX13" s="138"/>
      <c r="BY13" s="138"/>
      <c r="BZ13" s="558"/>
      <c r="CA13" s="559"/>
      <c r="CB13" s="560"/>
      <c r="CC13" s="13"/>
      <c r="CD13" s="13"/>
      <c r="CF13" s="142"/>
      <c r="CG13" s="142"/>
      <c r="CH13" s="138"/>
      <c r="CI13" s="138"/>
      <c r="CJ13" s="558"/>
      <c r="CK13" s="559"/>
      <c r="CL13" s="560"/>
      <c r="CM13" s="13"/>
      <c r="CN13" s="13"/>
      <c r="CP13" s="142"/>
      <c r="CQ13" s="142"/>
      <c r="CR13" s="138"/>
      <c r="CS13" s="138"/>
      <c r="CT13" s="558"/>
      <c r="CU13" s="559"/>
      <c r="CV13" s="560"/>
      <c r="CW13" s="13"/>
      <c r="CX13" s="13"/>
      <c r="CZ13" s="142"/>
      <c r="DA13" s="142"/>
      <c r="DB13" s="138"/>
      <c r="DC13" s="138"/>
      <c r="DD13" s="558"/>
      <c r="DE13" s="559"/>
      <c r="DF13" s="560"/>
      <c r="DG13" s="13"/>
      <c r="DH13" s="13"/>
      <c r="DJ13" s="142"/>
      <c r="DK13" s="142"/>
      <c r="DL13" s="138"/>
      <c r="DM13" s="138"/>
      <c r="DN13" s="558"/>
      <c r="DO13" s="559"/>
      <c r="DP13" s="560"/>
      <c r="DQ13" s="13"/>
      <c r="DR13" s="13"/>
      <c r="DT13" s="142"/>
      <c r="DU13" s="142"/>
      <c r="DV13" s="138"/>
      <c r="DW13" s="138"/>
      <c r="DX13" s="558"/>
      <c r="DY13" s="559"/>
      <c r="DZ13" s="560"/>
      <c r="EA13" s="13"/>
      <c r="EB13" s="13"/>
      <c r="ED13" s="142"/>
      <c r="EE13" s="142"/>
      <c r="EF13" s="138"/>
      <c r="EG13" s="138"/>
      <c r="EH13" s="558"/>
      <c r="EI13" s="559"/>
      <c r="EJ13" s="560"/>
      <c r="EK13" s="13"/>
      <c r="EL13" s="13"/>
      <c r="EN13" s="142"/>
      <c r="EO13" s="142"/>
      <c r="EP13" s="138"/>
      <c r="EQ13" s="138"/>
      <c r="ER13" s="558"/>
      <c r="ES13" s="559"/>
      <c r="ET13" s="560"/>
      <c r="EU13" s="13"/>
      <c r="EV13" s="13"/>
      <c r="EX13" s="142"/>
      <c r="EY13" s="142"/>
      <c r="EZ13" s="138"/>
      <c r="FA13" s="138"/>
      <c r="FB13" s="558"/>
      <c r="FC13" s="559"/>
      <c r="FD13" s="560"/>
      <c r="FE13" s="13"/>
      <c r="FF13" s="13"/>
      <c r="FH13" s="142"/>
      <c r="FI13" s="142"/>
      <c r="FJ13" s="138"/>
      <c r="FK13" s="138"/>
      <c r="FL13" s="558"/>
      <c r="FM13" s="559"/>
      <c r="FN13" s="560"/>
      <c r="FO13" s="13"/>
      <c r="FP13" s="13"/>
      <c r="FR13" s="142"/>
      <c r="FS13" s="142"/>
      <c r="FT13" s="138"/>
      <c r="FU13" s="138"/>
      <c r="FV13" s="558"/>
      <c r="FW13" s="559"/>
      <c r="FX13" s="560"/>
      <c r="FY13" s="13"/>
      <c r="FZ13" s="13"/>
      <c r="GB13" s="142"/>
      <c r="GC13" s="142"/>
      <c r="GD13" s="138"/>
      <c r="GE13" s="138"/>
      <c r="GF13" s="558"/>
      <c r="GG13" s="559"/>
      <c r="GH13" s="560"/>
      <c r="GI13" s="13"/>
      <c r="GJ13" s="13"/>
      <c r="GL13" s="142"/>
      <c r="GM13" s="142"/>
      <c r="GN13" s="138"/>
      <c r="GO13" s="138"/>
      <c r="GP13" s="558"/>
      <c r="GQ13" s="559"/>
      <c r="GR13" s="560"/>
      <c r="GS13" s="13"/>
      <c r="GT13" s="13"/>
      <c r="GV13" s="142"/>
      <c r="GW13" s="142"/>
      <c r="GX13" s="138"/>
      <c r="GY13" s="138"/>
      <c r="GZ13" s="558"/>
      <c r="HA13" s="559"/>
      <c r="HB13" s="560"/>
      <c r="HC13" s="13"/>
      <c r="HD13" s="13"/>
      <c r="HF13" s="142"/>
      <c r="HG13" s="142"/>
      <c r="HH13" s="138"/>
      <c r="HI13" s="138"/>
      <c r="HJ13" s="558"/>
      <c r="HK13" s="559"/>
      <c r="HL13" s="560"/>
      <c r="HM13" s="13"/>
      <c r="HN13" s="13"/>
      <c r="HP13" s="142"/>
      <c r="HQ13" s="142"/>
      <c r="HR13" s="138"/>
      <c r="HS13" s="138"/>
      <c r="HT13" s="558"/>
      <c r="HU13" s="559"/>
      <c r="HV13" s="560"/>
      <c r="HW13" s="13"/>
      <c r="HX13" s="13"/>
      <c r="HZ13" s="142"/>
      <c r="IA13" s="142"/>
      <c r="IB13" s="138"/>
      <c r="IC13" s="138"/>
      <c r="ID13" s="558"/>
      <c r="IE13" s="559"/>
      <c r="IF13" s="560"/>
      <c r="IG13" s="13"/>
      <c r="IH13" s="13"/>
      <c r="IJ13" s="142"/>
      <c r="IK13" s="142"/>
      <c r="IL13" s="138"/>
      <c r="IM13" s="138"/>
      <c r="IN13" s="558"/>
      <c r="IO13" s="559"/>
      <c r="IP13" s="560"/>
      <c r="IQ13" s="13"/>
      <c r="IR13" s="13"/>
      <c r="IT13" s="142"/>
      <c r="IU13" s="142"/>
      <c r="IV13" s="138"/>
      <c r="IW13" s="138"/>
      <c r="IX13" s="558"/>
      <c r="IY13" s="559"/>
      <c r="IZ13" s="560"/>
      <c r="JA13" s="13"/>
      <c r="JB13" s="13"/>
      <c r="JD13" s="142"/>
      <c r="JE13" s="142"/>
      <c r="JF13" s="138"/>
      <c r="JG13" s="138"/>
      <c r="JH13" s="558"/>
      <c r="JI13" s="559"/>
      <c r="JJ13" s="560"/>
      <c r="JK13" s="13"/>
      <c r="JL13" s="13"/>
      <c r="JN13" s="142"/>
      <c r="JO13" s="142"/>
      <c r="JP13" s="138"/>
      <c r="JQ13" s="138"/>
      <c r="JR13" s="558"/>
      <c r="JS13" s="559"/>
      <c r="JT13" s="560"/>
      <c r="JU13" s="13"/>
      <c r="JV13" s="13"/>
      <c r="JX13" s="142"/>
      <c r="JY13" s="142"/>
      <c r="JZ13" s="138"/>
      <c r="KA13" s="138"/>
      <c r="KB13" s="558"/>
      <c r="KC13" s="559"/>
      <c r="KD13" s="560"/>
      <c r="KE13" s="13"/>
      <c r="KF13" s="13"/>
      <c r="KH13" s="142"/>
      <c r="KI13" s="142"/>
      <c r="KJ13" s="138"/>
      <c r="KK13" s="138"/>
      <c r="KL13" s="558"/>
      <c r="KM13" s="559"/>
      <c r="KN13" s="560"/>
      <c r="KO13" s="13"/>
      <c r="KP13" s="13"/>
    </row>
    <row r="14" spans="1:302">
      <c r="A14" s="545" t="s">
        <v>982</v>
      </c>
      <c r="B14" s="545"/>
      <c r="C14" s="545"/>
      <c r="D14" s="19">
        <v>0</v>
      </c>
      <c r="E14" s="48"/>
      <c r="F14" s="48"/>
      <c r="G14" s="13" t="s">
        <v>274</v>
      </c>
      <c r="H14" s="8" t="s">
        <v>269</v>
      </c>
      <c r="I14" s="50">
        <v>10.5</v>
      </c>
      <c r="J14" s="50" t="s">
        <v>975</v>
      </c>
      <c r="K14" s="558" t="s">
        <v>1009</v>
      </c>
      <c r="L14" s="559"/>
      <c r="M14" s="560"/>
      <c r="N14" s="13">
        <v>0.1</v>
      </c>
      <c r="O14" s="13" t="s">
        <v>264</v>
      </c>
      <c r="P14" s="48"/>
      <c r="Q14" s="129" t="s">
        <v>958</v>
      </c>
      <c r="R14" s="134">
        <f>FLOOR((_xll.qbEQ_SPT2025($D$10,$D$13,$D$14,$EO$1,$EO$1,$EP$3:$EQ$16,$EP$19:$EQ$108,$D$19,$EP$3:$EV$16,$D$12)*D22-_xll.fluEQ_SPT2025($D$10,$D$13,$D$14,$D$23,$D$16,$EO$1,$EP$3:$EQ$16,$EP$19:$EQ$108,TRUE,FALSE,"",0,$D$18,$D$19,$EP$3:$EV$16,$D$12,$J$29)+_xll.fluEQ_SPT2025($D$10,$D$13,$D$14,$D$23,$D$16,$EO$1,$EP$3:$EQ$16,$EP$19:$EQ$108,FALSE,TRUE,"",0,$D$18,$D$19,$EP$3:$EV$16,$D$12,$J$29))/($D$30*$D$29)-$D$32*$D$29,10)</f>
        <v>2120</v>
      </c>
      <c r="S14" s="129" t="s">
        <v>971</v>
      </c>
      <c r="T14" s="135">
        <f>FLOOR((_xll.qbEQ_SPT2025($D$10,$D$13,$D$14,$JY$1,$JY$1,$JZ$3:$KA$16,$JZ$19:$KA$108,$D$19,$JZ$3:$KF$16,$D$12)*D22-_xll.fluEQ_SPT2025($D$10,$D$13,$D$14,$D$23,$D$16,$JY$1,$JZ$3:$KA$16,$JZ$19:$KA$108,TRUE,FALSE,"",0,$D$18,$D$19,$JZ$3:$KF$16,$D$12,$J$29)+_xll.fluEQ_SPT2025($D$10,$D$13,$D$14,$D$23,$D$16,$JY$1,$JZ$3:$KA$16,$JZ$19:$KA$108,FALSE,TRUE,"",0,$D$18,$D$19,$JZ$3:$KF$16,$D$12,$J$29))/($D$30*$D$29)-$D$32*$D$29,10)</f>
        <v>2120</v>
      </c>
      <c r="U14" s="136"/>
      <c r="V14" s="136"/>
      <c r="W14" s="136"/>
      <c r="X14" s="142"/>
      <c r="Y14" s="142"/>
      <c r="Z14" s="138"/>
      <c r="AA14" s="138"/>
      <c r="AB14" s="558"/>
      <c r="AC14" s="559"/>
      <c r="AD14" s="560"/>
      <c r="AE14" s="13"/>
      <c r="AF14" s="13"/>
      <c r="AH14" s="142"/>
      <c r="AI14" s="142"/>
      <c r="AJ14" s="138"/>
      <c r="AK14" s="138"/>
      <c r="AL14" s="558"/>
      <c r="AM14" s="559"/>
      <c r="AN14" s="560"/>
      <c r="AO14" s="13"/>
      <c r="AP14" s="13"/>
      <c r="AR14" s="142"/>
      <c r="AS14" s="142"/>
      <c r="AT14" s="138"/>
      <c r="AU14" s="138"/>
      <c r="AV14" s="558"/>
      <c r="AW14" s="559"/>
      <c r="AX14" s="560"/>
      <c r="AY14" s="13"/>
      <c r="AZ14" s="13"/>
      <c r="BB14" s="142"/>
      <c r="BC14" s="142"/>
      <c r="BD14" s="138"/>
      <c r="BE14" s="138"/>
      <c r="BF14" s="558"/>
      <c r="BG14" s="559"/>
      <c r="BH14" s="560"/>
      <c r="BI14" s="13"/>
      <c r="BJ14" s="13"/>
      <c r="BL14" s="142"/>
      <c r="BM14" s="142"/>
      <c r="BN14" s="138"/>
      <c r="BO14" s="138"/>
      <c r="BP14" s="558"/>
      <c r="BQ14" s="559"/>
      <c r="BR14" s="560"/>
      <c r="BS14" s="13"/>
      <c r="BT14" s="13"/>
      <c r="BV14" s="142"/>
      <c r="BW14" s="142"/>
      <c r="BX14" s="138"/>
      <c r="BY14" s="138"/>
      <c r="BZ14" s="558"/>
      <c r="CA14" s="559"/>
      <c r="CB14" s="560"/>
      <c r="CC14" s="13"/>
      <c r="CD14" s="13"/>
      <c r="CF14" s="142"/>
      <c r="CG14" s="142"/>
      <c r="CH14" s="138"/>
      <c r="CI14" s="138"/>
      <c r="CJ14" s="558"/>
      <c r="CK14" s="559"/>
      <c r="CL14" s="560"/>
      <c r="CM14" s="13"/>
      <c r="CN14" s="13"/>
      <c r="CP14" s="142"/>
      <c r="CQ14" s="142"/>
      <c r="CR14" s="138"/>
      <c r="CS14" s="138"/>
      <c r="CT14" s="558"/>
      <c r="CU14" s="559"/>
      <c r="CV14" s="560"/>
      <c r="CW14" s="13"/>
      <c r="CX14" s="13"/>
      <c r="CZ14" s="142"/>
      <c r="DA14" s="142"/>
      <c r="DB14" s="138"/>
      <c r="DC14" s="138"/>
      <c r="DD14" s="558"/>
      <c r="DE14" s="559"/>
      <c r="DF14" s="560"/>
      <c r="DG14" s="13"/>
      <c r="DH14" s="13"/>
      <c r="DJ14" s="142"/>
      <c r="DK14" s="142"/>
      <c r="DL14" s="138"/>
      <c r="DM14" s="138"/>
      <c r="DN14" s="558"/>
      <c r="DO14" s="559"/>
      <c r="DP14" s="560"/>
      <c r="DQ14" s="13"/>
      <c r="DR14" s="13"/>
      <c r="DT14" s="142"/>
      <c r="DU14" s="142"/>
      <c r="DV14" s="138"/>
      <c r="DW14" s="138"/>
      <c r="DX14" s="558"/>
      <c r="DY14" s="559"/>
      <c r="DZ14" s="560"/>
      <c r="EA14" s="13"/>
      <c r="EB14" s="13"/>
      <c r="ED14" s="142"/>
      <c r="EE14" s="142"/>
      <c r="EF14" s="138"/>
      <c r="EG14" s="138"/>
      <c r="EH14" s="558"/>
      <c r="EI14" s="559"/>
      <c r="EJ14" s="560"/>
      <c r="EK14" s="13"/>
      <c r="EL14" s="13"/>
      <c r="EN14" s="142"/>
      <c r="EO14" s="142"/>
      <c r="EP14" s="138"/>
      <c r="EQ14" s="138"/>
      <c r="ER14" s="558"/>
      <c r="ES14" s="559"/>
      <c r="ET14" s="560"/>
      <c r="EU14" s="13"/>
      <c r="EV14" s="13"/>
      <c r="EX14" s="142"/>
      <c r="EY14" s="142"/>
      <c r="EZ14" s="138"/>
      <c r="FA14" s="138"/>
      <c r="FB14" s="558"/>
      <c r="FC14" s="559"/>
      <c r="FD14" s="560"/>
      <c r="FE14" s="13"/>
      <c r="FF14" s="13"/>
      <c r="FH14" s="142"/>
      <c r="FI14" s="142"/>
      <c r="FJ14" s="138"/>
      <c r="FK14" s="138"/>
      <c r="FL14" s="558"/>
      <c r="FM14" s="559"/>
      <c r="FN14" s="560"/>
      <c r="FO14" s="13"/>
      <c r="FP14" s="13"/>
      <c r="FR14" s="142"/>
      <c r="FS14" s="142"/>
      <c r="FT14" s="138"/>
      <c r="FU14" s="138"/>
      <c r="FV14" s="558"/>
      <c r="FW14" s="559"/>
      <c r="FX14" s="560"/>
      <c r="FY14" s="13"/>
      <c r="FZ14" s="13"/>
      <c r="GB14" s="142"/>
      <c r="GC14" s="142"/>
      <c r="GD14" s="138"/>
      <c r="GE14" s="138"/>
      <c r="GF14" s="558"/>
      <c r="GG14" s="559"/>
      <c r="GH14" s="560"/>
      <c r="GI14" s="13"/>
      <c r="GJ14" s="13"/>
      <c r="GL14" s="142"/>
      <c r="GM14" s="142"/>
      <c r="GN14" s="138"/>
      <c r="GO14" s="138"/>
      <c r="GP14" s="558"/>
      <c r="GQ14" s="559"/>
      <c r="GR14" s="560"/>
      <c r="GS14" s="13"/>
      <c r="GT14" s="13"/>
      <c r="GV14" s="142"/>
      <c r="GW14" s="142"/>
      <c r="GX14" s="138"/>
      <c r="GY14" s="138"/>
      <c r="GZ14" s="558"/>
      <c r="HA14" s="559"/>
      <c r="HB14" s="560"/>
      <c r="HC14" s="13"/>
      <c r="HD14" s="13"/>
      <c r="HF14" s="142"/>
      <c r="HG14" s="142"/>
      <c r="HH14" s="138"/>
      <c r="HI14" s="138"/>
      <c r="HJ14" s="558"/>
      <c r="HK14" s="559"/>
      <c r="HL14" s="560"/>
      <c r="HM14" s="13"/>
      <c r="HN14" s="13"/>
      <c r="HP14" s="142"/>
      <c r="HQ14" s="142"/>
      <c r="HR14" s="138"/>
      <c r="HS14" s="138"/>
      <c r="HT14" s="558"/>
      <c r="HU14" s="559"/>
      <c r="HV14" s="560"/>
      <c r="HW14" s="13"/>
      <c r="HX14" s="13"/>
      <c r="HZ14" s="142"/>
      <c r="IA14" s="142"/>
      <c r="IB14" s="138"/>
      <c r="IC14" s="138"/>
      <c r="ID14" s="558"/>
      <c r="IE14" s="559"/>
      <c r="IF14" s="560"/>
      <c r="IG14" s="13"/>
      <c r="IH14" s="13"/>
      <c r="IJ14" s="142"/>
      <c r="IK14" s="142"/>
      <c r="IL14" s="138"/>
      <c r="IM14" s="138"/>
      <c r="IN14" s="558"/>
      <c r="IO14" s="559"/>
      <c r="IP14" s="560"/>
      <c r="IQ14" s="13"/>
      <c r="IR14" s="13"/>
      <c r="IT14" s="142"/>
      <c r="IU14" s="142"/>
      <c r="IV14" s="138"/>
      <c r="IW14" s="138"/>
      <c r="IX14" s="558"/>
      <c r="IY14" s="559"/>
      <c r="IZ14" s="560"/>
      <c r="JA14" s="13"/>
      <c r="JB14" s="13"/>
      <c r="JD14" s="142"/>
      <c r="JE14" s="142"/>
      <c r="JF14" s="138"/>
      <c r="JG14" s="138"/>
      <c r="JH14" s="558"/>
      <c r="JI14" s="559"/>
      <c r="JJ14" s="560"/>
      <c r="JK14" s="13"/>
      <c r="JL14" s="13"/>
      <c r="JN14" s="142"/>
      <c r="JO14" s="142"/>
      <c r="JP14" s="138"/>
      <c r="JQ14" s="138"/>
      <c r="JR14" s="558"/>
      <c r="JS14" s="559"/>
      <c r="JT14" s="560"/>
      <c r="JU14" s="13"/>
      <c r="JV14" s="13"/>
      <c r="JX14" s="142"/>
      <c r="JY14" s="142"/>
      <c r="JZ14" s="138"/>
      <c r="KA14" s="138"/>
      <c r="KB14" s="558"/>
      <c r="KC14" s="559"/>
      <c r="KD14" s="560"/>
      <c r="KE14" s="13"/>
      <c r="KF14" s="13"/>
      <c r="KH14" s="142"/>
      <c r="KI14" s="142"/>
      <c r="KJ14" s="138"/>
      <c r="KK14" s="138"/>
      <c r="KL14" s="558"/>
      <c r="KM14" s="559"/>
      <c r="KN14" s="560"/>
      <c r="KO14" s="13"/>
      <c r="KP14" s="13"/>
    </row>
    <row r="15" spans="1:302" ht="15.6" customHeight="1">
      <c r="A15" s="545" t="s">
        <v>983</v>
      </c>
      <c r="B15" s="545"/>
      <c r="C15" s="545"/>
      <c r="D15" s="19">
        <v>0</v>
      </c>
      <c r="E15" s="56"/>
      <c r="F15" s="56"/>
      <c r="G15" s="13" t="s">
        <v>277</v>
      </c>
      <c r="H15" s="8" t="s">
        <v>278</v>
      </c>
      <c r="I15" s="50">
        <v>12.2</v>
      </c>
      <c r="J15" s="50" t="s">
        <v>978</v>
      </c>
      <c r="K15" s="558" t="s">
        <v>1010</v>
      </c>
      <c r="L15" s="559"/>
      <c r="M15" s="560"/>
      <c r="N15" s="13"/>
      <c r="O15" s="13" t="s">
        <v>264</v>
      </c>
      <c r="P15" s="48"/>
      <c r="Q15" s="129" t="s">
        <v>959</v>
      </c>
      <c r="R15" s="134">
        <f>FLOOR((_xll.qbEQ_SPT2025($D$10,$D$13,$D$14,$EY$1,$EY$1,$EZ$3:$FA$16,$EZ$19:$FA$108,$D$19,$EZ$3:$FF$16,$D$12)*D22-_xll.fluEQ_SPT2025($D$10,$D$13,$D$14,$D$23,$D$16,$EY$1,$EZ$3:$FA$16,$EZ$19:$FA$108,TRUE,FALSE,"",0,$D$18,$D$19,$EZ$3:$FF$16,$D$12,$J$29)+_xll.fluEQ_SPT2025($D$10,$D$13,$D$14,$D$23,$D$16,$EY$1,$EZ$3:$FA$16,$EZ$19:$FA$108,FALSE,TRUE,"",0,$D$18,$D$19,$EZ$3:$FF$16,$D$12,$J$29))/($D$30*$D$29)-$D$32*$D$29,10)</f>
        <v>2120</v>
      </c>
      <c r="S15" s="129" t="s">
        <v>972</v>
      </c>
      <c r="T15" s="135">
        <f>FLOOR((_xll.qbEQ_SPT2025($D$10,$D$13,$D$14,$KI$1,$KI$1,$KJ$3:$KK$16,$KJ$19:$KK$108,$D$19,$KJ$3:$KP$16,$D$12)*D22-_xll.fluEQ_SPT2025($D$10,$D$13,$D$14,$D$23,$D$16,$KI$1,$KJ$3:$KK$16,$KJ$19:$KK$108,TRUE,FALSE,"",0,$D$18,$D$19,$KJ$3:$KP$16,$D$12,$J$29)+_xll.fluEQ_SPT2025($D$10,$D$13,$D$14,$D$23,$D$16,$KI$1,$KJ$3:$KK$16,$KJ$19:$KK$108,FALSE,TRUE,"",0,$D$18,$D$19,$KJ$3:$KP$16,$D$12,$J$29))/($D$30*$D$29)-$D$32*$D$29,10)</f>
        <v>2120</v>
      </c>
      <c r="U15" s="136"/>
      <c r="V15" s="136"/>
      <c r="W15" s="136"/>
      <c r="X15" s="142"/>
      <c r="Y15" s="142"/>
      <c r="Z15" s="138"/>
      <c r="AA15" s="138"/>
      <c r="AB15" s="558"/>
      <c r="AC15" s="559"/>
      <c r="AD15" s="560"/>
      <c r="AE15" s="13"/>
      <c r="AF15" s="13"/>
      <c r="AH15" s="142"/>
      <c r="AI15" s="142"/>
      <c r="AJ15" s="138"/>
      <c r="AK15" s="138"/>
      <c r="AL15" s="558"/>
      <c r="AM15" s="559"/>
      <c r="AN15" s="560"/>
      <c r="AO15" s="13"/>
      <c r="AP15" s="13"/>
      <c r="AR15" s="142"/>
      <c r="AS15" s="142"/>
      <c r="AT15" s="138"/>
      <c r="AU15" s="138"/>
      <c r="AV15" s="558"/>
      <c r="AW15" s="559"/>
      <c r="AX15" s="560"/>
      <c r="AY15" s="13"/>
      <c r="AZ15" s="13"/>
      <c r="BB15" s="142"/>
      <c r="BC15" s="142"/>
      <c r="BD15" s="138"/>
      <c r="BE15" s="138"/>
      <c r="BF15" s="558"/>
      <c r="BG15" s="559"/>
      <c r="BH15" s="560"/>
      <c r="BI15" s="13"/>
      <c r="BJ15" s="13"/>
      <c r="BL15" s="142"/>
      <c r="BM15" s="142"/>
      <c r="BN15" s="138"/>
      <c r="BO15" s="138"/>
      <c r="BP15" s="558"/>
      <c r="BQ15" s="559"/>
      <c r="BR15" s="560"/>
      <c r="BS15" s="13"/>
      <c r="BT15" s="13"/>
      <c r="BV15" s="142"/>
      <c r="BW15" s="142"/>
      <c r="BX15" s="138"/>
      <c r="BY15" s="138"/>
      <c r="BZ15" s="558"/>
      <c r="CA15" s="559"/>
      <c r="CB15" s="560"/>
      <c r="CC15" s="13"/>
      <c r="CD15" s="13"/>
      <c r="CF15" s="142"/>
      <c r="CG15" s="142"/>
      <c r="CH15" s="138"/>
      <c r="CI15" s="138"/>
      <c r="CJ15" s="558"/>
      <c r="CK15" s="559"/>
      <c r="CL15" s="560"/>
      <c r="CM15" s="13"/>
      <c r="CN15" s="13"/>
      <c r="CP15" s="142"/>
      <c r="CQ15" s="142"/>
      <c r="CR15" s="138"/>
      <c r="CS15" s="138"/>
      <c r="CT15" s="558"/>
      <c r="CU15" s="559"/>
      <c r="CV15" s="560"/>
      <c r="CW15" s="13"/>
      <c r="CX15" s="13"/>
      <c r="CZ15" s="142"/>
      <c r="DA15" s="142"/>
      <c r="DB15" s="138"/>
      <c r="DC15" s="138"/>
      <c r="DD15" s="558"/>
      <c r="DE15" s="559"/>
      <c r="DF15" s="560"/>
      <c r="DG15" s="13"/>
      <c r="DH15" s="13"/>
      <c r="DJ15" s="142"/>
      <c r="DK15" s="142"/>
      <c r="DL15" s="138"/>
      <c r="DM15" s="138"/>
      <c r="DN15" s="558"/>
      <c r="DO15" s="559"/>
      <c r="DP15" s="560"/>
      <c r="DQ15" s="13"/>
      <c r="DR15" s="13"/>
      <c r="DT15" s="142"/>
      <c r="DU15" s="142"/>
      <c r="DV15" s="138"/>
      <c r="DW15" s="138"/>
      <c r="DX15" s="558"/>
      <c r="DY15" s="559"/>
      <c r="DZ15" s="560"/>
      <c r="EA15" s="13"/>
      <c r="EB15" s="13"/>
      <c r="ED15" s="142"/>
      <c r="EE15" s="142"/>
      <c r="EF15" s="138"/>
      <c r="EG15" s="138"/>
      <c r="EH15" s="558"/>
      <c r="EI15" s="559"/>
      <c r="EJ15" s="560"/>
      <c r="EK15" s="13"/>
      <c r="EL15" s="13"/>
      <c r="EN15" s="142"/>
      <c r="EO15" s="142"/>
      <c r="EP15" s="138"/>
      <c r="EQ15" s="138"/>
      <c r="ER15" s="558"/>
      <c r="ES15" s="559"/>
      <c r="ET15" s="560"/>
      <c r="EU15" s="13"/>
      <c r="EV15" s="13"/>
      <c r="EX15" s="142"/>
      <c r="EY15" s="142"/>
      <c r="EZ15" s="138"/>
      <c r="FA15" s="138"/>
      <c r="FB15" s="558"/>
      <c r="FC15" s="559"/>
      <c r="FD15" s="560"/>
      <c r="FE15" s="13"/>
      <c r="FF15" s="13"/>
      <c r="FH15" s="142"/>
      <c r="FI15" s="142"/>
      <c r="FJ15" s="138"/>
      <c r="FK15" s="138"/>
      <c r="FL15" s="558"/>
      <c r="FM15" s="559"/>
      <c r="FN15" s="560"/>
      <c r="FO15" s="13"/>
      <c r="FP15" s="13"/>
      <c r="FR15" s="142"/>
      <c r="FS15" s="142"/>
      <c r="FT15" s="138"/>
      <c r="FU15" s="138"/>
      <c r="FV15" s="558"/>
      <c r="FW15" s="559"/>
      <c r="FX15" s="560"/>
      <c r="FY15" s="13"/>
      <c r="FZ15" s="13"/>
      <c r="GB15" s="142"/>
      <c r="GC15" s="142"/>
      <c r="GD15" s="138"/>
      <c r="GE15" s="138"/>
      <c r="GF15" s="558"/>
      <c r="GG15" s="559"/>
      <c r="GH15" s="560"/>
      <c r="GI15" s="13"/>
      <c r="GJ15" s="13"/>
      <c r="GL15" s="142"/>
      <c r="GM15" s="142"/>
      <c r="GN15" s="138"/>
      <c r="GO15" s="138"/>
      <c r="GP15" s="558"/>
      <c r="GQ15" s="559"/>
      <c r="GR15" s="560"/>
      <c r="GS15" s="13"/>
      <c r="GT15" s="13"/>
      <c r="GV15" s="142"/>
      <c r="GW15" s="142"/>
      <c r="GX15" s="138"/>
      <c r="GY15" s="138"/>
      <c r="GZ15" s="558"/>
      <c r="HA15" s="559"/>
      <c r="HB15" s="560"/>
      <c r="HC15" s="13"/>
      <c r="HD15" s="13"/>
      <c r="HF15" s="142"/>
      <c r="HG15" s="142"/>
      <c r="HH15" s="138"/>
      <c r="HI15" s="138"/>
      <c r="HJ15" s="558"/>
      <c r="HK15" s="559"/>
      <c r="HL15" s="560"/>
      <c r="HM15" s="13"/>
      <c r="HN15" s="13"/>
      <c r="HP15" s="142"/>
      <c r="HQ15" s="142"/>
      <c r="HR15" s="138"/>
      <c r="HS15" s="138"/>
      <c r="HT15" s="558"/>
      <c r="HU15" s="559"/>
      <c r="HV15" s="560"/>
      <c r="HW15" s="13"/>
      <c r="HX15" s="13"/>
      <c r="HZ15" s="142"/>
      <c r="IA15" s="142"/>
      <c r="IB15" s="138"/>
      <c r="IC15" s="138"/>
      <c r="ID15" s="558"/>
      <c r="IE15" s="559"/>
      <c r="IF15" s="560"/>
      <c r="IG15" s="13"/>
      <c r="IH15" s="13"/>
      <c r="IJ15" s="142"/>
      <c r="IK15" s="142"/>
      <c r="IL15" s="138"/>
      <c r="IM15" s="138"/>
      <c r="IN15" s="558"/>
      <c r="IO15" s="559"/>
      <c r="IP15" s="560"/>
      <c r="IQ15" s="13"/>
      <c r="IR15" s="13"/>
      <c r="IT15" s="142"/>
      <c r="IU15" s="142"/>
      <c r="IV15" s="138"/>
      <c r="IW15" s="138"/>
      <c r="IX15" s="558"/>
      <c r="IY15" s="559"/>
      <c r="IZ15" s="560"/>
      <c r="JA15" s="13"/>
      <c r="JB15" s="13"/>
      <c r="JD15" s="142"/>
      <c r="JE15" s="142"/>
      <c r="JF15" s="138"/>
      <c r="JG15" s="138"/>
      <c r="JH15" s="558"/>
      <c r="JI15" s="559"/>
      <c r="JJ15" s="560"/>
      <c r="JK15" s="13"/>
      <c r="JL15" s="13"/>
      <c r="JN15" s="142"/>
      <c r="JO15" s="142"/>
      <c r="JP15" s="138"/>
      <c r="JQ15" s="138"/>
      <c r="JR15" s="558"/>
      <c r="JS15" s="559"/>
      <c r="JT15" s="560"/>
      <c r="JU15" s="13"/>
      <c r="JV15" s="13"/>
      <c r="JX15" s="142"/>
      <c r="JY15" s="142"/>
      <c r="JZ15" s="138"/>
      <c r="KA15" s="138"/>
      <c r="KB15" s="558"/>
      <c r="KC15" s="559"/>
      <c r="KD15" s="560"/>
      <c r="KE15" s="13"/>
      <c r="KF15" s="13"/>
      <c r="KH15" s="142"/>
      <c r="KI15" s="142"/>
      <c r="KJ15" s="138"/>
      <c r="KK15" s="138"/>
      <c r="KL15" s="558"/>
      <c r="KM15" s="559"/>
      <c r="KN15" s="560"/>
      <c r="KO15" s="13"/>
      <c r="KP15" s="13"/>
    </row>
    <row r="16" spans="1:302" ht="15.6" customHeight="1">
      <c r="A16" s="434" t="s">
        <v>307</v>
      </c>
      <c r="B16" s="434"/>
      <c r="C16" s="434"/>
      <c r="D16" s="13">
        <v>15</v>
      </c>
      <c r="E16" s="56">
        <f>D17</f>
        <v>40</v>
      </c>
      <c r="F16" s="56"/>
      <c r="G16" s="13" t="s">
        <v>282</v>
      </c>
      <c r="H16" s="8" t="s">
        <v>278</v>
      </c>
      <c r="I16" s="50">
        <v>27</v>
      </c>
      <c r="J16" s="50" t="s">
        <v>978</v>
      </c>
      <c r="K16" s="558" t="s">
        <v>1010</v>
      </c>
      <c r="L16" s="559"/>
      <c r="M16" s="560"/>
      <c r="N16" s="13"/>
      <c r="O16" s="13" t="s">
        <v>264</v>
      </c>
      <c r="P16" s="1"/>
      <c r="Q16" s="43"/>
      <c r="R16" s="37"/>
      <c r="T16" s="128"/>
      <c r="W16" s="43"/>
      <c r="X16" s="43"/>
      <c r="Y16" s="43"/>
    </row>
    <row r="17" spans="1:297">
      <c r="A17" s="434" t="s">
        <v>305</v>
      </c>
      <c r="B17" s="434"/>
      <c r="C17" s="434"/>
      <c r="D17" s="13">
        <v>40</v>
      </c>
      <c r="E17" s="58"/>
      <c r="F17" s="58"/>
      <c r="G17" s="13" t="s">
        <v>289</v>
      </c>
      <c r="H17" s="8" t="s">
        <v>278</v>
      </c>
      <c r="I17" s="50">
        <v>38.200000000000003</v>
      </c>
      <c r="J17" s="50" t="s">
        <v>978</v>
      </c>
      <c r="K17" s="558" t="s">
        <v>1010</v>
      </c>
      <c r="L17" s="559"/>
      <c r="M17" s="560"/>
      <c r="N17" s="13"/>
      <c r="O17" s="13" t="s">
        <v>264</v>
      </c>
      <c r="P17" s="48"/>
      <c r="R17" s="132" t="s">
        <v>287</v>
      </c>
      <c r="S17" s="132" t="s">
        <v>985</v>
      </c>
      <c r="Z17" s="132" t="s">
        <v>287</v>
      </c>
      <c r="AA17" s="132" t="s">
        <v>985</v>
      </c>
      <c r="AB17" s="143"/>
      <c r="AC17" s="143"/>
      <c r="AD17" s="143"/>
      <c r="AE17" s="143"/>
      <c r="AF17" s="143"/>
      <c r="AJ17" s="132" t="s">
        <v>287</v>
      </c>
      <c r="AK17" s="132" t="s">
        <v>985</v>
      </c>
      <c r="AL17" s="143"/>
      <c r="AM17" s="143"/>
      <c r="AN17" s="143"/>
      <c r="AO17" s="143"/>
      <c r="AP17" s="143"/>
      <c r="AT17" s="132" t="s">
        <v>287</v>
      </c>
      <c r="AU17" s="132" t="s">
        <v>985</v>
      </c>
      <c r="AV17" s="143"/>
      <c r="AW17" s="143"/>
      <c r="AX17" s="143"/>
      <c r="AY17" s="143"/>
      <c r="AZ17" s="143"/>
      <c r="BD17" s="132" t="s">
        <v>287</v>
      </c>
      <c r="BE17" s="132" t="s">
        <v>985</v>
      </c>
      <c r="BF17" s="143"/>
      <c r="BG17" s="143"/>
      <c r="BH17" s="143"/>
      <c r="BI17" s="143"/>
      <c r="BJ17" s="143"/>
      <c r="BN17" s="132" t="s">
        <v>287</v>
      </c>
      <c r="BO17" s="132" t="s">
        <v>985</v>
      </c>
      <c r="BP17" s="143"/>
      <c r="BQ17" s="143"/>
      <c r="BR17" s="143"/>
      <c r="BS17" s="143"/>
      <c r="BT17" s="143"/>
      <c r="BX17" s="132" t="s">
        <v>287</v>
      </c>
      <c r="BY17" s="132" t="s">
        <v>985</v>
      </c>
      <c r="BZ17" s="143"/>
      <c r="CA17" s="143"/>
      <c r="CB17" s="143"/>
      <c r="CC17" s="143"/>
      <c r="CD17" s="143"/>
      <c r="CH17" s="132" t="s">
        <v>287</v>
      </c>
      <c r="CI17" s="132" t="s">
        <v>985</v>
      </c>
      <c r="CJ17" s="143"/>
      <c r="CK17" s="143"/>
      <c r="CL17" s="143"/>
      <c r="CM17" s="143"/>
      <c r="CN17" s="143"/>
      <c r="CR17" s="132" t="s">
        <v>287</v>
      </c>
      <c r="CS17" s="132" t="s">
        <v>985</v>
      </c>
      <c r="CT17" s="143"/>
      <c r="CU17" s="143"/>
      <c r="CV17" s="143"/>
      <c r="CW17" s="143"/>
      <c r="CX17" s="143"/>
      <c r="DB17" s="132" t="s">
        <v>287</v>
      </c>
      <c r="DC17" s="132" t="s">
        <v>985</v>
      </c>
      <c r="DD17" s="143"/>
      <c r="DE17" s="143"/>
      <c r="DF17" s="143"/>
      <c r="DG17" s="143"/>
      <c r="DH17" s="143"/>
      <c r="DL17" s="132" t="s">
        <v>287</v>
      </c>
      <c r="DM17" s="132" t="s">
        <v>985</v>
      </c>
      <c r="DN17" s="143"/>
      <c r="DO17" s="143"/>
      <c r="DP17" s="143"/>
      <c r="DQ17" s="143"/>
      <c r="DR17" s="143"/>
      <c r="DV17" s="132" t="s">
        <v>287</v>
      </c>
      <c r="DW17" s="132" t="s">
        <v>985</v>
      </c>
      <c r="DX17" s="143"/>
      <c r="DY17" s="143"/>
      <c r="DZ17" s="143"/>
      <c r="EA17" s="143"/>
      <c r="EB17" s="143"/>
      <c r="EF17" s="132" t="s">
        <v>287</v>
      </c>
      <c r="EG17" s="132" t="s">
        <v>985</v>
      </c>
      <c r="EH17" s="143"/>
      <c r="EI17" s="143"/>
      <c r="EJ17" s="143"/>
      <c r="EK17" s="143"/>
      <c r="EL17" s="143"/>
      <c r="EP17" s="132" t="s">
        <v>287</v>
      </c>
      <c r="EQ17" s="132" t="s">
        <v>985</v>
      </c>
      <c r="ER17" s="143"/>
      <c r="ES17" s="143"/>
      <c r="ET17" s="143"/>
      <c r="EU17" s="143"/>
      <c r="EV17" s="143"/>
      <c r="EZ17" s="132" t="s">
        <v>287</v>
      </c>
      <c r="FA17" s="132" t="s">
        <v>985</v>
      </c>
      <c r="FB17" s="143"/>
      <c r="FC17" s="143"/>
      <c r="FD17" s="143"/>
      <c r="FE17" s="143"/>
      <c r="FF17" s="143"/>
      <c r="FJ17" s="132" t="s">
        <v>287</v>
      </c>
      <c r="FK17" s="132" t="s">
        <v>985</v>
      </c>
      <c r="FL17" s="143"/>
      <c r="FM17" s="143"/>
      <c r="FN17" s="143"/>
      <c r="FO17" s="143"/>
      <c r="FP17" s="143"/>
      <c r="FT17" s="132" t="s">
        <v>287</v>
      </c>
      <c r="FU17" s="132" t="s">
        <v>985</v>
      </c>
      <c r="FV17" s="143"/>
      <c r="FW17" s="143"/>
      <c r="FX17" s="143"/>
      <c r="FY17" s="143"/>
      <c r="FZ17" s="143"/>
      <c r="GD17" s="132" t="s">
        <v>287</v>
      </c>
      <c r="GE17" s="132" t="s">
        <v>985</v>
      </c>
      <c r="GF17" s="143"/>
      <c r="GG17" s="143"/>
      <c r="GH17" s="143"/>
      <c r="GI17" s="143"/>
      <c r="GJ17" s="143"/>
      <c r="GN17" s="132" t="s">
        <v>287</v>
      </c>
      <c r="GO17" s="132" t="s">
        <v>985</v>
      </c>
      <c r="GP17" s="143"/>
      <c r="GQ17" s="143"/>
      <c r="GR17" s="143"/>
      <c r="GS17" s="143"/>
      <c r="GT17" s="143"/>
      <c r="GX17" s="132" t="s">
        <v>287</v>
      </c>
      <c r="GY17" s="132" t="s">
        <v>985</v>
      </c>
      <c r="GZ17" s="143"/>
      <c r="HA17" s="143"/>
      <c r="HB17" s="143"/>
      <c r="HC17" s="143"/>
      <c r="HD17" s="143"/>
      <c r="HH17" s="132" t="s">
        <v>287</v>
      </c>
      <c r="HI17" s="132" t="s">
        <v>985</v>
      </c>
      <c r="HJ17" s="143"/>
      <c r="HK17" s="143"/>
      <c r="HL17" s="143"/>
      <c r="HM17" s="143"/>
      <c r="HN17" s="143"/>
      <c r="HR17" s="132" t="s">
        <v>287</v>
      </c>
      <c r="HS17" s="132" t="s">
        <v>985</v>
      </c>
      <c r="HT17" s="143"/>
      <c r="HU17" s="143"/>
      <c r="HV17" s="143"/>
      <c r="HW17" s="143"/>
      <c r="HX17" s="143"/>
      <c r="IB17" s="132" t="s">
        <v>287</v>
      </c>
      <c r="IC17" s="132" t="s">
        <v>985</v>
      </c>
      <c r="ID17" s="143"/>
      <c r="IE17" s="143"/>
      <c r="IF17" s="143"/>
      <c r="IG17" s="143"/>
      <c r="IH17" s="143"/>
      <c r="IL17" s="132" t="s">
        <v>287</v>
      </c>
      <c r="IM17" s="132" t="s">
        <v>985</v>
      </c>
      <c r="IN17" s="143"/>
      <c r="IO17" s="143"/>
      <c r="IP17" s="143"/>
      <c r="IQ17" s="143"/>
      <c r="IR17" s="143"/>
      <c r="IV17" s="132" t="s">
        <v>287</v>
      </c>
      <c r="IW17" s="132" t="s">
        <v>985</v>
      </c>
      <c r="IX17" s="143"/>
      <c r="IY17" s="143"/>
      <c r="IZ17" s="143"/>
      <c r="JA17" s="143"/>
      <c r="JB17" s="143"/>
      <c r="JF17" s="132" t="s">
        <v>287</v>
      </c>
      <c r="JG17" s="132" t="s">
        <v>985</v>
      </c>
      <c r="JH17" s="143"/>
      <c r="JI17" s="143"/>
      <c r="JJ17" s="143"/>
      <c r="JK17" s="143"/>
      <c r="JL17" s="143"/>
      <c r="JP17" s="132" t="s">
        <v>287</v>
      </c>
      <c r="JQ17" s="132" t="s">
        <v>985</v>
      </c>
      <c r="JR17" s="143"/>
      <c r="JS17" s="143"/>
      <c r="JT17" s="143"/>
      <c r="JU17" s="143"/>
      <c r="JV17" s="143"/>
      <c r="JZ17" s="132" t="s">
        <v>287</v>
      </c>
      <c r="KA17" s="132" t="s">
        <v>985</v>
      </c>
      <c r="KB17" s="143"/>
      <c r="KC17" s="143"/>
      <c r="KD17" s="143"/>
      <c r="KE17" s="143"/>
      <c r="KF17" s="143"/>
      <c r="KJ17" s="132" t="s">
        <v>287</v>
      </c>
      <c r="KK17" s="132" t="s">
        <v>985</v>
      </c>
    </row>
    <row r="18" spans="1:297" ht="15.6" customHeight="1">
      <c r="A18" s="546" t="s">
        <v>984</v>
      </c>
      <c r="B18" s="547"/>
      <c r="C18" s="548"/>
      <c r="D18" s="57">
        <v>1</v>
      </c>
      <c r="E18" s="58"/>
      <c r="F18" s="58"/>
      <c r="G18" s="13"/>
      <c r="H18" s="8"/>
      <c r="I18" s="50"/>
      <c r="J18" s="50"/>
      <c r="K18" s="558"/>
      <c r="L18" s="559"/>
      <c r="M18" s="560"/>
      <c r="N18" s="13"/>
      <c r="O18" s="13"/>
      <c r="P18" s="48"/>
      <c r="R18" s="129" t="s">
        <v>275</v>
      </c>
      <c r="S18" s="132" t="s">
        <v>254</v>
      </c>
      <c r="Z18" s="129" t="s">
        <v>275</v>
      </c>
      <c r="AA18" s="132" t="s">
        <v>254</v>
      </c>
      <c r="AB18" s="143"/>
      <c r="AC18" s="143"/>
      <c r="AD18" s="143"/>
      <c r="AE18" s="143"/>
      <c r="AF18" s="143"/>
      <c r="AJ18" s="129" t="s">
        <v>275</v>
      </c>
      <c r="AK18" s="132" t="s">
        <v>254</v>
      </c>
      <c r="AL18" s="143"/>
      <c r="AM18" s="143"/>
      <c r="AN18" s="143"/>
      <c r="AO18" s="143"/>
      <c r="AP18" s="143"/>
      <c r="AT18" s="129" t="s">
        <v>275</v>
      </c>
      <c r="AU18" s="132" t="s">
        <v>254</v>
      </c>
      <c r="AV18" s="143"/>
      <c r="AW18" s="143"/>
      <c r="AX18" s="143"/>
      <c r="AY18" s="143"/>
      <c r="AZ18" s="143"/>
      <c r="BD18" s="129" t="s">
        <v>275</v>
      </c>
      <c r="BE18" s="132" t="s">
        <v>254</v>
      </c>
      <c r="BF18" s="143"/>
      <c r="BG18" s="143"/>
      <c r="BH18" s="143"/>
      <c r="BI18" s="143"/>
      <c r="BJ18" s="143"/>
      <c r="BN18" s="129" t="s">
        <v>275</v>
      </c>
      <c r="BO18" s="132" t="s">
        <v>254</v>
      </c>
      <c r="BP18" s="143"/>
      <c r="BQ18" s="143"/>
      <c r="BR18" s="143"/>
      <c r="BS18" s="143"/>
      <c r="BT18" s="143"/>
      <c r="BX18" s="129" t="s">
        <v>275</v>
      </c>
      <c r="BY18" s="132" t="s">
        <v>254</v>
      </c>
      <c r="BZ18" s="143"/>
      <c r="CA18" s="143"/>
      <c r="CB18" s="143"/>
      <c r="CC18" s="143"/>
      <c r="CD18" s="143"/>
      <c r="CH18" s="129" t="s">
        <v>275</v>
      </c>
      <c r="CI18" s="132" t="s">
        <v>254</v>
      </c>
      <c r="CJ18" s="143"/>
      <c r="CK18" s="143"/>
      <c r="CL18" s="143"/>
      <c r="CM18" s="143"/>
      <c r="CN18" s="143"/>
      <c r="CR18" s="129" t="s">
        <v>275</v>
      </c>
      <c r="CS18" s="132" t="s">
        <v>254</v>
      </c>
      <c r="CT18" s="143"/>
      <c r="CU18" s="143"/>
      <c r="CV18" s="143"/>
      <c r="CW18" s="143"/>
      <c r="CX18" s="143"/>
      <c r="DB18" s="129" t="s">
        <v>275</v>
      </c>
      <c r="DC18" s="132" t="s">
        <v>254</v>
      </c>
      <c r="DD18" s="143"/>
      <c r="DE18" s="143"/>
      <c r="DF18" s="143"/>
      <c r="DG18" s="143"/>
      <c r="DH18" s="143"/>
      <c r="DL18" s="129" t="s">
        <v>275</v>
      </c>
      <c r="DM18" s="132" t="s">
        <v>254</v>
      </c>
      <c r="DN18" s="143"/>
      <c r="DO18" s="143"/>
      <c r="DP18" s="143"/>
      <c r="DQ18" s="143"/>
      <c r="DR18" s="143"/>
      <c r="DV18" s="129" t="s">
        <v>275</v>
      </c>
      <c r="DW18" s="132" t="s">
        <v>254</v>
      </c>
      <c r="DX18" s="143"/>
      <c r="DY18" s="143"/>
      <c r="DZ18" s="143"/>
      <c r="EA18" s="143"/>
      <c r="EB18" s="143"/>
      <c r="EF18" s="129" t="s">
        <v>275</v>
      </c>
      <c r="EG18" s="132" t="s">
        <v>254</v>
      </c>
      <c r="EH18" s="143"/>
      <c r="EI18" s="143"/>
      <c r="EJ18" s="143"/>
      <c r="EK18" s="143"/>
      <c r="EL18" s="143"/>
      <c r="EP18" s="129" t="s">
        <v>275</v>
      </c>
      <c r="EQ18" s="132" t="s">
        <v>254</v>
      </c>
      <c r="ER18" s="143"/>
      <c r="ES18" s="143"/>
      <c r="ET18" s="143"/>
      <c r="EU18" s="143"/>
      <c r="EV18" s="143"/>
      <c r="EZ18" s="129" t="s">
        <v>275</v>
      </c>
      <c r="FA18" s="132" t="s">
        <v>254</v>
      </c>
      <c r="FB18" s="143"/>
      <c r="FC18" s="143"/>
      <c r="FD18" s="143"/>
      <c r="FE18" s="143"/>
      <c r="FF18" s="143"/>
      <c r="FJ18" s="129" t="s">
        <v>275</v>
      </c>
      <c r="FK18" s="132" t="s">
        <v>254</v>
      </c>
      <c r="FL18" s="143"/>
      <c r="FM18" s="143"/>
      <c r="FN18" s="143"/>
      <c r="FO18" s="143"/>
      <c r="FP18" s="143"/>
      <c r="FT18" s="129" t="s">
        <v>275</v>
      </c>
      <c r="FU18" s="132" t="s">
        <v>254</v>
      </c>
      <c r="FV18" s="143"/>
      <c r="FW18" s="143"/>
      <c r="FX18" s="143"/>
      <c r="FY18" s="143"/>
      <c r="FZ18" s="143"/>
      <c r="GD18" s="129" t="s">
        <v>275</v>
      </c>
      <c r="GE18" s="132" t="s">
        <v>254</v>
      </c>
      <c r="GF18" s="143"/>
      <c r="GG18" s="143"/>
      <c r="GH18" s="143"/>
      <c r="GI18" s="143"/>
      <c r="GJ18" s="143"/>
      <c r="GN18" s="129" t="s">
        <v>275</v>
      </c>
      <c r="GO18" s="132" t="s">
        <v>254</v>
      </c>
      <c r="GP18" s="143"/>
      <c r="GQ18" s="143"/>
      <c r="GR18" s="143"/>
      <c r="GS18" s="143"/>
      <c r="GT18" s="143"/>
      <c r="GX18" s="129" t="s">
        <v>275</v>
      </c>
      <c r="GY18" s="132" t="s">
        <v>254</v>
      </c>
      <c r="GZ18" s="143"/>
      <c r="HA18" s="143"/>
      <c r="HB18" s="143"/>
      <c r="HC18" s="143"/>
      <c r="HD18" s="143"/>
      <c r="HH18" s="129" t="s">
        <v>275</v>
      </c>
      <c r="HI18" s="132" t="s">
        <v>254</v>
      </c>
      <c r="HJ18" s="143"/>
      <c r="HK18" s="143"/>
      <c r="HL18" s="143"/>
      <c r="HM18" s="143"/>
      <c r="HN18" s="143"/>
      <c r="HR18" s="129" t="s">
        <v>275</v>
      </c>
      <c r="HS18" s="132" t="s">
        <v>254</v>
      </c>
      <c r="HT18" s="143"/>
      <c r="HU18" s="143"/>
      <c r="HV18" s="143"/>
      <c r="HW18" s="143"/>
      <c r="HX18" s="143"/>
      <c r="IB18" s="129" t="s">
        <v>275</v>
      </c>
      <c r="IC18" s="132" t="s">
        <v>254</v>
      </c>
      <c r="ID18" s="143"/>
      <c r="IE18" s="143"/>
      <c r="IF18" s="143"/>
      <c r="IG18" s="143"/>
      <c r="IH18" s="143"/>
      <c r="IL18" s="129" t="s">
        <v>275</v>
      </c>
      <c r="IM18" s="132" t="s">
        <v>254</v>
      </c>
      <c r="IN18" s="143"/>
      <c r="IO18" s="143"/>
      <c r="IP18" s="143"/>
      <c r="IQ18" s="143"/>
      <c r="IR18" s="143"/>
      <c r="IV18" s="129" t="s">
        <v>275</v>
      </c>
      <c r="IW18" s="132" t="s">
        <v>254</v>
      </c>
      <c r="IX18" s="143"/>
      <c r="IY18" s="143"/>
      <c r="IZ18" s="143"/>
      <c r="JA18" s="143"/>
      <c r="JB18" s="143"/>
      <c r="JF18" s="129" t="s">
        <v>275</v>
      </c>
      <c r="JG18" s="132" t="s">
        <v>254</v>
      </c>
      <c r="JH18" s="143"/>
      <c r="JI18" s="143"/>
      <c r="JJ18" s="143"/>
      <c r="JK18" s="143"/>
      <c r="JL18" s="143"/>
      <c r="JP18" s="129" t="s">
        <v>275</v>
      </c>
      <c r="JQ18" s="132" t="s">
        <v>254</v>
      </c>
      <c r="JR18" s="143"/>
      <c r="JS18" s="143"/>
      <c r="JT18" s="143"/>
      <c r="JU18" s="143"/>
      <c r="JV18" s="143"/>
      <c r="JZ18" s="129" t="s">
        <v>275</v>
      </c>
      <c r="KA18" s="132" t="s">
        <v>254</v>
      </c>
      <c r="KB18" s="143"/>
      <c r="KC18" s="143"/>
      <c r="KD18" s="143"/>
      <c r="KE18" s="143"/>
      <c r="KF18" s="143"/>
      <c r="KJ18" s="129" t="s">
        <v>275</v>
      </c>
      <c r="KK18" s="132" t="s">
        <v>254</v>
      </c>
    </row>
    <row r="19" spans="1:297" ht="15.75">
      <c r="A19" s="546" t="s">
        <v>1013</v>
      </c>
      <c r="B19" s="547"/>
      <c r="C19" s="548"/>
      <c r="D19" s="59">
        <v>8.48E-2</v>
      </c>
      <c r="E19" s="60"/>
      <c r="F19" s="60"/>
      <c r="G19" s="13"/>
      <c r="H19" s="8"/>
      <c r="I19" s="50"/>
      <c r="J19" s="50"/>
      <c r="K19" s="558"/>
      <c r="L19" s="559"/>
      <c r="M19" s="560"/>
      <c r="N19" s="13"/>
      <c r="O19" s="13"/>
      <c r="P19" s="48"/>
      <c r="R19" s="138">
        <v>0</v>
      </c>
      <c r="S19" s="138">
        <v>0</v>
      </c>
      <c r="U19" s="144">
        <v>1</v>
      </c>
      <c r="V19" s="138" t="s">
        <v>946</v>
      </c>
      <c r="Z19" s="138">
        <v>0</v>
      </c>
      <c r="AA19" s="138">
        <v>0</v>
      </c>
      <c r="AB19" s="128"/>
      <c r="AC19" s="128"/>
      <c r="AD19" s="128"/>
      <c r="AE19" s="128"/>
      <c r="AF19" s="128"/>
      <c r="AJ19" s="138">
        <v>0</v>
      </c>
      <c r="AK19" s="138">
        <v>1</v>
      </c>
      <c r="AL19" s="128"/>
      <c r="AM19" s="128"/>
      <c r="AN19" s="128"/>
      <c r="AO19" s="128"/>
      <c r="AP19" s="128"/>
      <c r="AT19" s="138">
        <v>0</v>
      </c>
      <c r="AU19" s="138">
        <v>5</v>
      </c>
      <c r="AV19" s="128"/>
      <c r="AW19" s="128"/>
      <c r="AX19" s="128"/>
      <c r="AY19" s="128"/>
      <c r="AZ19" s="128"/>
      <c r="BD19" s="138">
        <v>0</v>
      </c>
      <c r="BE19" s="138">
        <v>0</v>
      </c>
      <c r="BF19" s="128"/>
      <c r="BG19" s="128"/>
      <c r="BH19" s="128"/>
      <c r="BI19" s="128"/>
      <c r="BJ19" s="128"/>
      <c r="BN19" s="138">
        <v>0</v>
      </c>
      <c r="BO19" s="138">
        <v>0</v>
      </c>
      <c r="BP19" s="128"/>
      <c r="BQ19" s="128"/>
      <c r="BR19" s="128"/>
      <c r="BS19" s="128"/>
      <c r="BT19" s="128"/>
      <c r="BX19" s="138">
        <v>0</v>
      </c>
      <c r="BY19" s="138">
        <v>0</v>
      </c>
      <c r="BZ19" s="128"/>
      <c r="CA19" s="128"/>
      <c r="CB19" s="128"/>
      <c r="CC19" s="128"/>
      <c r="CD19" s="128"/>
      <c r="CH19" s="138">
        <v>0</v>
      </c>
      <c r="CI19" s="138">
        <v>0</v>
      </c>
      <c r="CJ19" s="128"/>
      <c r="CK19" s="128"/>
      <c r="CL19" s="128"/>
      <c r="CM19" s="128"/>
      <c r="CN19" s="128"/>
      <c r="CR19" s="138">
        <v>0</v>
      </c>
      <c r="CS19" s="138">
        <v>0</v>
      </c>
      <c r="CT19" s="128"/>
      <c r="CU19" s="128"/>
      <c r="CV19" s="128"/>
      <c r="CW19" s="128"/>
      <c r="CX19" s="128"/>
      <c r="DB19" s="138">
        <v>0</v>
      </c>
      <c r="DC19" s="138">
        <v>0</v>
      </c>
      <c r="DD19" s="128"/>
      <c r="DE19" s="128"/>
      <c r="DF19" s="128"/>
      <c r="DG19" s="128"/>
      <c r="DH19" s="128"/>
      <c r="DL19" s="138">
        <v>0</v>
      </c>
      <c r="DM19" s="138">
        <v>0</v>
      </c>
      <c r="DN19" s="128"/>
      <c r="DO19" s="128"/>
      <c r="DP19" s="128"/>
      <c r="DQ19" s="128"/>
      <c r="DR19" s="128"/>
      <c r="DV19" s="138">
        <v>0</v>
      </c>
      <c r="DW19" s="138">
        <v>0</v>
      </c>
      <c r="DX19" s="128"/>
      <c r="DY19" s="128"/>
      <c r="DZ19" s="128"/>
      <c r="EA19" s="128"/>
      <c r="EB19" s="128"/>
      <c r="EF19" s="138">
        <v>0</v>
      </c>
      <c r="EG19" s="138">
        <v>0</v>
      </c>
      <c r="EH19" s="128"/>
      <c r="EI19" s="128"/>
      <c r="EJ19" s="128"/>
      <c r="EK19" s="128"/>
      <c r="EL19" s="128"/>
      <c r="EP19" s="138">
        <v>0</v>
      </c>
      <c r="EQ19" s="138">
        <v>0</v>
      </c>
      <c r="ER19" s="128"/>
      <c r="ES19" s="128"/>
      <c r="ET19" s="128"/>
      <c r="EU19" s="128"/>
      <c r="EV19" s="128"/>
      <c r="EZ19" s="138">
        <v>0</v>
      </c>
      <c r="FA19" s="138">
        <v>0</v>
      </c>
      <c r="FB19" s="128"/>
      <c r="FC19" s="128"/>
      <c r="FD19" s="128"/>
      <c r="FE19" s="128"/>
      <c r="FF19" s="128"/>
      <c r="FJ19" s="138">
        <v>0</v>
      </c>
      <c r="FK19" s="138">
        <v>0</v>
      </c>
      <c r="FL19" s="128"/>
      <c r="FM19" s="128"/>
      <c r="FN19" s="128"/>
      <c r="FO19" s="128"/>
      <c r="FP19" s="128"/>
      <c r="FT19" s="138">
        <v>0</v>
      </c>
      <c r="FU19" s="138">
        <v>0</v>
      </c>
      <c r="FV19" s="128"/>
      <c r="FW19" s="128"/>
      <c r="FX19" s="128"/>
      <c r="FY19" s="128"/>
      <c r="FZ19" s="128"/>
      <c r="GD19" s="138">
        <v>0</v>
      </c>
      <c r="GE19" s="138">
        <v>0</v>
      </c>
      <c r="GF19" s="128"/>
      <c r="GG19" s="128"/>
      <c r="GH19" s="128"/>
      <c r="GI19" s="128"/>
      <c r="GJ19" s="128"/>
      <c r="GN19" s="138">
        <v>0</v>
      </c>
      <c r="GO19" s="138">
        <v>0</v>
      </c>
      <c r="GP19" s="128"/>
      <c r="GQ19" s="128"/>
      <c r="GR19" s="128"/>
      <c r="GS19" s="128"/>
      <c r="GT19" s="128"/>
      <c r="GX19" s="138">
        <v>0</v>
      </c>
      <c r="GY19" s="138">
        <v>0</v>
      </c>
      <c r="GZ19" s="128"/>
      <c r="HA19" s="128"/>
      <c r="HB19" s="128"/>
      <c r="HC19" s="128"/>
      <c r="HD19" s="128"/>
      <c r="HH19" s="138">
        <v>0</v>
      </c>
      <c r="HI19" s="138">
        <v>0</v>
      </c>
      <c r="HJ19" s="128"/>
      <c r="HK19" s="128"/>
      <c r="HL19" s="128"/>
      <c r="HM19" s="128"/>
      <c r="HN19" s="128"/>
      <c r="HR19" s="138">
        <v>0</v>
      </c>
      <c r="HS19" s="138">
        <v>0</v>
      </c>
      <c r="HT19" s="128"/>
      <c r="HU19" s="128"/>
      <c r="HV19" s="128"/>
      <c r="HW19" s="128"/>
      <c r="HX19" s="128"/>
      <c r="IB19" s="138">
        <v>0</v>
      </c>
      <c r="IC19" s="138">
        <v>0</v>
      </c>
      <c r="ID19" s="128"/>
      <c r="IE19" s="128"/>
      <c r="IF19" s="128"/>
      <c r="IG19" s="128"/>
      <c r="IH19" s="128"/>
      <c r="IL19" s="138">
        <v>0</v>
      </c>
      <c r="IM19" s="138">
        <v>0</v>
      </c>
      <c r="IN19" s="128"/>
      <c r="IO19" s="128"/>
      <c r="IP19" s="128"/>
      <c r="IQ19" s="128"/>
      <c r="IR19" s="128"/>
      <c r="IV19" s="138">
        <v>0</v>
      </c>
      <c r="IW19" s="138">
        <v>0</v>
      </c>
      <c r="IX19" s="128"/>
      <c r="IY19" s="128"/>
      <c r="IZ19" s="128"/>
      <c r="JA19" s="128"/>
      <c r="JB19" s="128"/>
      <c r="JF19" s="138">
        <v>0</v>
      </c>
      <c r="JG19" s="138">
        <v>0</v>
      </c>
      <c r="JH19" s="128"/>
      <c r="JI19" s="128"/>
      <c r="JJ19" s="128"/>
      <c r="JK19" s="128"/>
      <c r="JL19" s="128"/>
      <c r="JP19" s="138">
        <v>0</v>
      </c>
      <c r="JQ19" s="138">
        <v>0</v>
      </c>
      <c r="JR19" s="128"/>
      <c r="JS19" s="128"/>
      <c r="JT19" s="128"/>
      <c r="JU19" s="128"/>
      <c r="JV19" s="128"/>
      <c r="JZ19" s="138">
        <v>0</v>
      </c>
      <c r="KA19" s="138">
        <v>0</v>
      </c>
      <c r="KB19" s="128"/>
      <c r="KC19" s="128"/>
      <c r="KD19" s="128"/>
      <c r="KE19" s="128"/>
      <c r="KF19" s="128"/>
      <c r="KJ19" s="138">
        <v>0</v>
      </c>
      <c r="KK19" s="138">
        <v>0</v>
      </c>
    </row>
    <row r="20" spans="1:297">
      <c r="A20" s="546" t="s">
        <v>1014</v>
      </c>
      <c r="B20" s="547"/>
      <c r="C20" s="548"/>
      <c r="D20" s="57" t="s">
        <v>1015</v>
      </c>
      <c r="E20" s="61"/>
      <c r="F20" s="61"/>
      <c r="G20" s="13"/>
      <c r="H20" s="8"/>
      <c r="I20" s="50"/>
      <c r="J20" s="50"/>
      <c r="K20" s="558"/>
      <c r="L20" s="559"/>
      <c r="M20" s="560"/>
      <c r="N20" s="13"/>
      <c r="O20" s="13"/>
      <c r="P20" s="48"/>
      <c r="R20" s="138">
        <v>1.5</v>
      </c>
      <c r="S20" s="138">
        <v>4</v>
      </c>
      <c r="U20" s="144">
        <v>2</v>
      </c>
      <c r="V20" s="138" t="s">
        <v>947</v>
      </c>
      <c r="Z20" s="138">
        <v>1.5</v>
      </c>
      <c r="AA20" s="138">
        <v>4</v>
      </c>
      <c r="AJ20" s="138">
        <v>1.5</v>
      </c>
      <c r="AK20" s="138">
        <v>2</v>
      </c>
      <c r="AL20" s="128"/>
      <c r="AM20" s="128"/>
      <c r="AN20" s="128"/>
      <c r="AO20" s="128"/>
      <c r="AP20" s="128"/>
      <c r="AT20" s="138">
        <v>1.5</v>
      </c>
      <c r="AU20" s="138">
        <v>10</v>
      </c>
      <c r="AV20" s="128"/>
      <c r="AW20" s="128"/>
      <c r="AX20" s="128"/>
      <c r="AY20" s="128"/>
      <c r="AZ20" s="128"/>
      <c r="BD20" s="138">
        <v>1.5</v>
      </c>
      <c r="BE20" s="138">
        <v>4</v>
      </c>
      <c r="BF20" s="128"/>
      <c r="BG20" s="128"/>
      <c r="BH20" s="128"/>
      <c r="BI20" s="128"/>
      <c r="BJ20" s="128"/>
      <c r="BN20" s="138">
        <v>1.5</v>
      </c>
      <c r="BO20" s="138">
        <v>4</v>
      </c>
      <c r="BP20" s="128"/>
      <c r="BQ20" s="128"/>
      <c r="BR20" s="128"/>
      <c r="BS20" s="128"/>
      <c r="BT20" s="128"/>
      <c r="BX20" s="138">
        <v>1.5</v>
      </c>
      <c r="BY20" s="138">
        <v>4</v>
      </c>
      <c r="BZ20" s="128"/>
      <c r="CA20" s="128"/>
      <c r="CB20" s="128"/>
      <c r="CC20" s="128"/>
      <c r="CD20" s="128"/>
      <c r="CH20" s="138">
        <v>1.5</v>
      </c>
      <c r="CI20" s="138">
        <v>4</v>
      </c>
      <c r="CJ20" s="128"/>
      <c r="CK20" s="128"/>
      <c r="CL20" s="128"/>
      <c r="CM20" s="128"/>
      <c r="CN20" s="128"/>
      <c r="CR20" s="138">
        <v>1.5</v>
      </c>
      <c r="CS20" s="138">
        <v>4</v>
      </c>
      <c r="CT20" s="128"/>
      <c r="CU20" s="128"/>
      <c r="CV20" s="128"/>
      <c r="CW20" s="128"/>
      <c r="CX20" s="128"/>
      <c r="DB20" s="138">
        <v>1.5</v>
      </c>
      <c r="DC20" s="138">
        <v>4</v>
      </c>
      <c r="DD20" s="128"/>
      <c r="DE20" s="128"/>
      <c r="DF20" s="128"/>
      <c r="DG20" s="128"/>
      <c r="DH20" s="128"/>
      <c r="DL20" s="138">
        <v>1.5</v>
      </c>
      <c r="DM20" s="138">
        <v>4</v>
      </c>
      <c r="DN20" s="128"/>
      <c r="DO20" s="128"/>
      <c r="DP20" s="128"/>
      <c r="DQ20" s="128"/>
      <c r="DR20" s="128"/>
      <c r="DV20" s="138">
        <v>1.5</v>
      </c>
      <c r="DW20" s="138">
        <v>4</v>
      </c>
      <c r="DX20" s="128"/>
      <c r="DY20" s="128"/>
      <c r="DZ20" s="128"/>
      <c r="EA20" s="128"/>
      <c r="EB20" s="128"/>
      <c r="EF20" s="138">
        <v>1.5</v>
      </c>
      <c r="EG20" s="138">
        <v>4</v>
      </c>
      <c r="EH20" s="128"/>
      <c r="EI20" s="128"/>
      <c r="EJ20" s="128"/>
      <c r="EK20" s="128"/>
      <c r="EL20" s="128"/>
      <c r="EP20" s="138">
        <v>1.5</v>
      </c>
      <c r="EQ20" s="138">
        <v>4</v>
      </c>
      <c r="ER20" s="128"/>
      <c r="ES20" s="128"/>
      <c r="ET20" s="128"/>
      <c r="EU20" s="128"/>
      <c r="EV20" s="128"/>
      <c r="EZ20" s="138">
        <v>1.5</v>
      </c>
      <c r="FA20" s="138">
        <v>4</v>
      </c>
      <c r="FB20" s="128"/>
      <c r="FC20" s="128"/>
      <c r="FD20" s="128"/>
      <c r="FE20" s="128"/>
      <c r="FF20" s="128"/>
      <c r="FJ20" s="138">
        <v>1.5</v>
      </c>
      <c r="FK20" s="138">
        <v>4</v>
      </c>
      <c r="FL20" s="128"/>
      <c r="FM20" s="128"/>
      <c r="FN20" s="128"/>
      <c r="FO20" s="128"/>
      <c r="FP20" s="128"/>
      <c r="FT20" s="138">
        <v>1.5</v>
      </c>
      <c r="FU20" s="138">
        <v>4</v>
      </c>
      <c r="FV20" s="128"/>
      <c r="FW20" s="128"/>
      <c r="FX20" s="128"/>
      <c r="FY20" s="128"/>
      <c r="FZ20" s="128"/>
      <c r="GD20" s="138">
        <v>1.5</v>
      </c>
      <c r="GE20" s="138">
        <v>4</v>
      </c>
      <c r="GF20" s="128"/>
      <c r="GG20" s="128"/>
      <c r="GH20" s="128"/>
      <c r="GI20" s="128"/>
      <c r="GJ20" s="128"/>
      <c r="GN20" s="138">
        <v>1.5</v>
      </c>
      <c r="GO20" s="138">
        <v>4</v>
      </c>
      <c r="GP20" s="128"/>
      <c r="GQ20" s="128"/>
      <c r="GR20" s="128"/>
      <c r="GS20" s="128"/>
      <c r="GT20" s="128"/>
      <c r="GX20" s="138">
        <v>1.5</v>
      </c>
      <c r="GY20" s="138">
        <v>4</v>
      </c>
      <c r="GZ20" s="128"/>
      <c r="HA20" s="128"/>
      <c r="HB20" s="128"/>
      <c r="HC20" s="128"/>
      <c r="HD20" s="128"/>
      <c r="HH20" s="138">
        <v>1.5</v>
      </c>
      <c r="HI20" s="138">
        <v>4</v>
      </c>
      <c r="HJ20" s="128"/>
      <c r="HK20" s="128"/>
      <c r="HL20" s="128"/>
      <c r="HM20" s="128"/>
      <c r="HN20" s="128"/>
      <c r="HR20" s="138">
        <v>1.5</v>
      </c>
      <c r="HS20" s="138">
        <v>4</v>
      </c>
      <c r="HT20" s="128"/>
      <c r="HU20" s="128"/>
      <c r="HV20" s="128"/>
      <c r="HW20" s="128"/>
      <c r="HX20" s="128"/>
      <c r="IB20" s="138">
        <v>1.5</v>
      </c>
      <c r="IC20" s="138">
        <v>4</v>
      </c>
      <c r="ID20" s="128"/>
      <c r="IE20" s="128"/>
      <c r="IF20" s="128"/>
      <c r="IG20" s="128"/>
      <c r="IH20" s="128"/>
      <c r="IL20" s="138">
        <v>1.5</v>
      </c>
      <c r="IM20" s="138">
        <v>4</v>
      </c>
      <c r="IN20" s="128"/>
      <c r="IO20" s="128"/>
      <c r="IP20" s="128"/>
      <c r="IQ20" s="128"/>
      <c r="IR20" s="128"/>
      <c r="IV20" s="138">
        <v>1.5</v>
      </c>
      <c r="IW20" s="138">
        <v>4</v>
      </c>
      <c r="IX20" s="128"/>
      <c r="IY20" s="128"/>
      <c r="IZ20" s="128"/>
      <c r="JA20" s="128"/>
      <c r="JB20" s="128"/>
      <c r="JF20" s="138">
        <v>1.5</v>
      </c>
      <c r="JG20" s="138">
        <v>4</v>
      </c>
      <c r="JH20" s="128"/>
      <c r="JI20" s="128"/>
      <c r="JJ20" s="128"/>
      <c r="JK20" s="128"/>
      <c r="JL20" s="128"/>
      <c r="JP20" s="138">
        <v>1.5</v>
      </c>
      <c r="JQ20" s="138">
        <v>4</v>
      </c>
      <c r="JR20" s="128"/>
      <c r="JS20" s="128"/>
      <c r="JT20" s="128"/>
      <c r="JU20" s="128"/>
      <c r="JV20" s="128"/>
      <c r="JZ20" s="138">
        <v>1.5</v>
      </c>
      <c r="KA20" s="138">
        <v>4</v>
      </c>
      <c r="KB20" s="128"/>
      <c r="KC20" s="128"/>
      <c r="KD20" s="128"/>
      <c r="KE20" s="128"/>
      <c r="KF20" s="128"/>
      <c r="KJ20" s="138">
        <v>1.5</v>
      </c>
      <c r="KK20" s="138">
        <v>4</v>
      </c>
    </row>
    <row r="21" spans="1:297">
      <c r="A21" s="434" t="s">
        <v>316</v>
      </c>
      <c r="B21" s="434"/>
      <c r="C21" s="434"/>
      <c r="D21" s="11">
        <f>ABS(D17-D16)</f>
        <v>25</v>
      </c>
      <c r="E21" s="61"/>
      <c r="F21" s="61"/>
      <c r="G21" s="13"/>
      <c r="H21" s="8"/>
      <c r="I21" s="50"/>
      <c r="J21" s="50"/>
      <c r="K21" s="558"/>
      <c r="L21" s="559"/>
      <c r="M21" s="560"/>
      <c r="N21" s="13"/>
      <c r="O21" s="13"/>
      <c r="P21" s="48"/>
      <c r="R21" s="138">
        <v>3.5</v>
      </c>
      <c r="S21" s="138">
        <v>3</v>
      </c>
      <c r="U21" s="144">
        <v>3</v>
      </c>
      <c r="V21" s="138" t="s">
        <v>948</v>
      </c>
      <c r="Z21" s="138">
        <v>3.5</v>
      </c>
      <c r="AA21" s="138">
        <v>3</v>
      </c>
      <c r="AJ21" s="138">
        <v>3.5</v>
      </c>
      <c r="AK21" s="138">
        <v>3</v>
      </c>
      <c r="AL21" s="128"/>
      <c r="AM21" s="128"/>
      <c r="AN21" s="128"/>
      <c r="AO21" s="128"/>
      <c r="AP21" s="128"/>
      <c r="AT21" s="138">
        <v>3.5</v>
      </c>
      <c r="AU21" s="138">
        <v>15</v>
      </c>
      <c r="AV21" s="128"/>
      <c r="AW21" s="128"/>
      <c r="AX21" s="128"/>
      <c r="AY21" s="128"/>
      <c r="AZ21" s="128"/>
      <c r="BD21" s="138">
        <v>3.5</v>
      </c>
      <c r="BE21" s="138">
        <v>3</v>
      </c>
      <c r="BF21" s="128"/>
      <c r="BG21" s="128"/>
      <c r="BH21" s="128"/>
      <c r="BI21" s="128"/>
      <c r="BJ21" s="128"/>
      <c r="BN21" s="138">
        <v>3.5</v>
      </c>
      <c r="BO21" s="138">
        <v>3</v>
      </c>
      <c r="BP21" s="128"/>
      <c r="BQ21" s="128"/>
      <c r="BR21" s="128"/>
      <c r="BS21" s="128"/>
      <c r="BT21" s="128"/>
      <c r="BX21" s="138">
        <v>3.5</v>
      </c>
      <c r="BY21" s="138">
        <v>3</v>
      </c>
      <c r="BZ21" s="128"/>
      <c r="CA21" s="128"/>
      <c r="CB21" s="128"/>
      <c r="CC21" s="128"/>
      <c r="CD21" s="128"/>
      <c r="CH21" s="138">
        <v>3.5</v>
      </c>
      <c r="CI21" s="138">
        <v>3</v>
      </c>
      <c r="CJ21" s="128"/>
      <c r="CK21" s="128"/>
      <c r="CL21" s="128"/>
      <c r="CM21" s="128"/>
      <c r="CN21" s="128"/>
      <c r="CR21" s="138">
        <v>3.5</v>
      </c>
      <c r="CS21" s="138">
        <v>3</v>
      </c>
      <c r="CT21" s="128"/>
      <c r="CU21" s="128"/>
      <c r="CV21" s="128"/>
      <c r="CW21" s="128"/>
      <c r="CX21" s="128"/>
      <c r="DB21" s="138">
        <v>3.5</v>
      </c>
      <c r="DC21" s="138">
        <v>3</v>
      </c>
      <c r="DD21" s="128"/>
      <c r="DE21" s="128"/>
      <c r="DF21" s="128"/>
      <c r="DG21" s="128"/>
      <c r="DH21" s="128"/>
      <c r="DL21" s="138">
        <v>3.5</v>
      </c>
      <c r="DM21" s="138">
        <v>3</v>
      </c>
      <c r="DN21" s="128"/>
      <c r="DO21" s="128"/>
      <c r="DP21" s="128"/>
      <c r="DQ21" s="128"/>
      <c r="DR21" s="128"/>
      <c r="DV21" s="138">
        <v>3.5</v>
      </c>
      <c r="DW21" s="138">
        <v>3</v>
      </c>
      <c r="DX21" s="128"/>
      <c r="DY21" s="128"/>
      <c r="DZ21" s="128"/>
      <c r="EA21" s="128"/>
      <c r="EB21" s="128"/>
      <c r="EF21" s="138">
        <v>3.5</v>
      </c>
      <c r="EG21" s="138">
        <v>3</v>
      </c>
      <c r="EH21" s="128"/>
      <c r="EI21" s="128"/>
      <c r="EJ21" s="128"/>
      <c r="EK21" s="128"/>
      <c r="EL21" s="128"/>
      <c r="EP21" s="138">
        <v>3.5</v>
      </c>
      <c r="EQ21" s="138">
        <v>3</v>
      </c>
      <c r="ER21" s="128"/>
      <c r="ES21" s="128"/>
      <c r="ET21" s="128"/>
      <c r="EU21" s="128"/>
      <c r="EV21" s="128"/>
      <c r="EZ21" s="138">
        <v>3.5</v>
      </c>
      <c r="FA21" s="138">
        <v>3</v>
      </c>
      <c r="FB21" s="128"/>
      <c r="FC21" s="128"/>
      <c r="FD21" s="128"/>
      <c r="FE21" s="128"/>
      <c r="FF21" s="128"/>
      <c r="FJ21" s="138">
        <v>3.5</v>
      </c>
      <c r="FK21" s="138">
        <v>3</v>
      </c>
      <c r="FL21" s="128"/>
      <c r="FM21" s="128"/>
      <c r="FN21" s="128"/>
      <c r="FO21" s="128"/>
      <c r="FP21" s="128"/>
      <c r="FT21" s="138">
        <v>3.5</v>
      </c>
      <c r="FU21" s="138">
        <v>3</v>
      </c>
      <c r="FV21" s="128"/>
      <c r="FW21" s="128"/>
      <c r="FX21" s="128"/>
      <c r="FY21" s="128"/>
      <c r="FZ21" s="128"/>
      <c r="GD21" s="138">
        <v>3.5</v>
      </c>
      <c r="GE21" s="138">
        <v>3</v>
      </c>
      <c r="GF21" s="128"/>
      <c r="GG21" s="128"/>
      <c r="GH21" s="128"/>
      <c r="GI21" s="128"/>
      <c r="GJ21" s="128"/>
      <c r="GN21" s="138">
        <v>3.5</v>
      </c>
      <c r="GO21" s="138">
        <v>3</v>
      </c>
      <c r="GP21" s="128"/>
      <c r="GQ21" s="128"/>
      <c r="GR21" s="128"/>
      <c r="GS21" s="128"/>
      <c r="GT21" s="128"/>
      <c r="GX21" s="138">
        <v>3.5</v>
      </c>
      <c r="GY21" s="138">
        <v>3</v>
      </c>
      <c r="GZ21" s="128"/>
      <c r="HA21" s="128"/>
      <c r="HB21" s="128"/>
      <c r="HC21" s="128"/>
      <c r="HD21" s="128"/>
      <c r="HH21" s="138">
        <v>3.5</v>
      </c>
      <c r="HI21" s="138">
        <v>3</v>
      </c>
      <c r="HJ21" s="128"/>
      <c r="HK21" s="128"/>
      <c r="HL21" s="128"/>
      <c r="HM21" s="128"/>
      <c r="HN21" s="128"/>
      <c r="HR21" s="138">
        <v>3.5</v>
      </c>
      <c r="HS21" s="138">
        <v>3</v>
      </c>
      <c r="HT21" s="128"/>
      <c r="HU21" s="128"/>
      <c r="HV21" s="128"/>
      <c r="HW21" s="128"/>
      <c r="HX21" s="128"/>
      <c r="IB21" s="138">
        <v>3.5</v>
      </c>
      <c r="IC21" s="138">
        <v>3</v>
      </c>
      <c r="ID21" s="128"/>
      <c r="IE21" s="128"/>
      <c r="IF21" s="128"/>
      <c r="IG21" s="128"/>
      <c r="IH21" s="128"/>
      <c r="IL21" s="138">
        <v>3.5</v>
      </c>
      <c r="IM21" s="138">
        <v>3</v>
      </c>
      <c r="IN21" s="128"/>
      <c r="IO21" s="128"/>
      <c r="IP21" s="128"/>
      <c r="IQ21" s="128"/>
      <c r="IR21" s="128"/>
      <c r="IV21" s="138">
        <v>3.5</v>
      </c>
      <c r="IW21" s="138">
        <v>3</v>
      </c>
      <c r="IX21" s="128"/>
      <c r="IY21" s="128"/>
      <c r="IZ21" s="128"/>
      <c r="JA21" s="128"/>
      <c r="JB21" s="128"/>
      <c r="JF21" s="138">
        <v>3.5</v>
      </c>
      <c r="JG21" s="138">
        <v>3</v>
      </c>
      <c r="JH21" s="128"/>
      <c r="JI21" s="128"/>
      <c r="JJ21" s="128"/>
      <c r="JK21" s="128"/>
      <c r="JL21" s="128"/>
      <c r="JP21" s="138">
        <v>3.5</v>
      </c>
      <c r="JQ21" s="138">
        <v>3</v>
      </c>
      <c r="JR21" s="128"/>
      <c r="JS21" s="128"/>
      <c r="JT21" s="128"/>
      <c r="JU21" s="128"/>
      <c r="JV21" s="128"/>
      <c r="JZ21" s="138">
        <v>3.5</v>
      </c>
      <c r="KA21" s="138">
        <v>3</v>
      </c>
      <c r="KB21" s="128"/>
      <c r="KC21" s="128"/>
      <c r="KD21" s="128"/>
      <c r="KE21" s="128"/>
      <c r="KF21" s="128"/>
      <c r="KJ21" s="138">
        <v>3.5</v>
      </c>
      <c r="KK21" s="138">
        <v>3</v>
      </c>
    </row>
    <row r="22" spans="1:297" ht="15.75">
      <c r="A22" s="434" t="s">
        <v>986</v>
      </c>
      <c r="B22" s="434"/>
      <c r="C22" s="434"/>
      <c r="D22" s="20">
        <f>IF(D11="Cọc tròn",PI()*(D13^2-D14^2)/4,D13^2)</f>
        <v>0.78539816339744795</v>
      </c>
      <c r="E22" s="61"/>
      <c r="F22" s="61"/>
      <c r="G22" s="13"/>
      <c r="H22" s="8"/>
      <c r="I22" s="50"/>
      <c r="J22" s="50"/>
      <c r="K22" s="558"/>
      <c r="L22" s="559"/>
      <c r="M22" s="560"/>
      <c r="N22" s="13"/>
      <c r="O22" s="13"/>
      <c r="R22" s="138">
        <v>5.5</v>
      </c>
      <c r="S22" s="138">
        <v>3</v>
      </c>
      <c r="U22" s="144">
        <v>4</v>
      </c>
      <c r="V22" s="138" t="s">
        <v>949</v>
      </c>
      <c r="Z22" s="138">
        <v>5.5</v>
      </c>
      <c r="AA22" s="138">
        <v>3</v>
      </c>
      <c r="AJ22" s="138">
        <v>5.5</v>
      </c>
      <c r="AK22" s="138">
        <v>4</v>
      </c>
      <c r="AL22" s="128"/>
      <c r="AM22" s="128"/>
      <c r="AN22" s="128"/>
      <c r="AO22" s="128"/>
      <c r="AP22" s="128"/>
      <c r="AT22" s="138">
        <v>5.5</v>
      </c>
      <c r="AU22" s="138">
        <v>20</v>
      </c>
      <c r="AV22" s="128"/>
      <c r="AW22" s="128"/>
      <c r="AX22" s="128"/>
      <c r="AY22" s="128"/>
      <c r="AZ22" s="128"/>
      <c r="BD22" s="138">
        <v>5.5</v>
      </c>
      <c r="BE22" s="138">
        <v>3</v>
      </c>
      <c r="BF22" s="128"/>
      <c r="BG22" s="128"/>
      <c r="BH22" s="128"/>
      <c r="BI22" s="128"/>
      <c r="BJ22" s="128"/>
      <c r="BN22" s="138">
        <v>5.5</v>
      </c>
      <c r="BO22" s="138">
        <v>3</v>
      </c>
      <c r="BP22" s="128"/>
      <c r="BQ22" s="128"/>
      <c r="BR22" s="128"/>
      <c r="BS22" s="128"/>
      <c r="BT22" s="128"/>
      <c r="BX22" s="138">
        <v>5.5</v>
      </c>
      <c r="BY22" s="138">
        <v>3</v>
      </c>
      <c r="BZ22" s="128"/>
      <c r="CA22" s="128"/>
      <c r="CB22" s="128"/>
      <c r="CC22" s="128"/>
      <c r="CD22" s="128"/>
      <c r="CH22" s="138">
        <v>5.5</v>
      </c>
      <c r="CI22" s="138">
        <v>3</v>
      </c>
      <c r="CJ22" s="128"/>
      <c r="CK22" s="128"/>
      <c r="CL22" s="128"/>
      <c r="CM22" s="128"/>
      <c r="CN22" s="128"/>
      <c r="CR22" s="138">
        <v>5.5</v>
      </c>
      <c r="CS22" s="138">
        <v>3</v>
      </c>
      <c r="CT22" s="128"/>
      <c r="CU22" s="128"/>
      <c r="CV22" s="128"/>
      <c r="CW22" s="128"/>
      <c r="CX22" s="128"/>
      <c r="DB22" s="138">
        <v>5.5</v>
      </c>
      <c r="DC22" s="138">
        <v>3</v>
      </c>
      <c r="DD22" s="128"/>
      <c r="DE22" s="128"/>
      <c r="DF22" s="128"/>
      <c r="DG22" s="128"/>
      <c r="DH22" s="128"/>
      <c r="DL22" s="138">
        <v>5.5</v>
      </c>
      <c r="DM22" s="138">
        <v>3</v>
      </c>
      <c r="DN22" s="128"/>
      <c r="DO22" s="128"/>
      <c r="DP22" s="128"/>
      <c r="DQ22" s="128"/>
      <c r="DR22" s="128"/>
      <c r="DV22" s="138">
        <v>5.5</v>
      </c>
      <c r="DW22" s="138">
        <v>3</v>
      </c>
      <c r="DX22" s="128"/>
      <c r="DY22" s="128"/>
      <c r="DZ22" s="128"/>
      <c r="EA22" s="128"/>
      <c r="EB22" s="128"/>
      <c r="EF22" s="138">
        <v>5.5</v>
      </c>
      <c r="EG22" s="138">
        <v>3</v>
      </c>
      <c r="EH22" s="128"/>
      <c r="EI22" s="128"/>
      <c r="EJ22" s="128"/>
      <c r="EK22" s="128"/>
      <c r="EL22" s="128"/>
      <c r="EP22" s="138">
        <v>5.5</v>
      </c>
      <c r="EQ22" s="138">
        <v>3</v>
      </c>
      <c r="ER22" s="128"/>
      <c r="ES22" s="128"/>
      <c r="ET22" s="128"/>
      <c r="EU22" s="128"/>
      <c r="EV22" s="128"/>
      <c r="EZ22" s="138">
        <v>5.5</v>
      </c>
      <c r="FA22" s="138">
        <v>3</v>
      </c>
      <c r="FB22" s="128"/>
      <c r="FC22" s="128"/>
      <c r="FD22" s="128"/>
      <c r="FE22" s="128"/>
      <c r="FF22" s="128"/>
      <c r="FJ22" s="138">
        <v>5.5</v>
      </c>
      <c r="FK22" s="138">
        <v>3</v>
      </c>
      <c r="FL22" s="128"/>
      <c r="FM22" s="128"/>
      <c r="FN22" s="128"/>
      <c r="FO22" s="128"/>
      <c r="FP22" s="128"/>
      <c r="FT22" s="138">
        <v>5.5</v>
      </c>
      <c r="FU22" s="138">
        <v>3</v>
      </c>
      <c r="FV22" s="128"/>
      <c r="FW22" s="128"/>
      <c r="FX22" s="128"/>
      <c r="FY22" s="128"/>
      <c r="FZ22" s="128"/>
      <c r="GD22" s="138">
        <v>5.5</v>
      </c>
      <c r="GE22" s="138">
        <v>3</v>
      </c>
      <c r="GF22" s="128"/>
      <c r="GG22" s="128"/>
      <c r="GH22" s="128"/>
      <c r="GI22" s="128"/>
      <c r="GJ22" s="128"/>
      <c r="GN22" s="138">
        <v>5.5</v>
      </c>
      <c r="GO22" s="138">
        <v>3</v>
      </c>
      <c r="GP22" s="128"/>
      <c r="GQ22" s="128"/>
      <c r="GR22" s="128"/>
      <c r="GS22" s="128"/>
      <c r="GT22" s="128"/>
      <c r="GX22" s="138">
        <v>5.5</v>
      </c>
      <c r="GY22" s="138">
        <v>3</v>
      </c>
      <c r="GZ22" s="128"/>
      <c r="HA22" s="128"/>
      <c r="HB22" s="128"/>
      <c r="HC22" s="128"/>
      <c r="HD22" s="128"/>
      <c r="HH22" s="138">
        <v>5.5</v>
      </c>
      <c r="HI22" s="138">
        <v>3</v>
      </c>
      <c r="HJ22" s="128"/>
      <c r="HK22" s="128"/>
      <c r="HL22" s="128"/>
      <c r="HM22" s="128"/>
      <c r="HN22" s="128"/>
      <c r="HR22" s="138">
        <v>5.5</v>
      </c>
      <c r="HS22" s="138">
        <v>3</v>
      </c>
      <c r="HT22" s="128"/>
      <c r="HU22" s="128"/>
      <c r="HV22" s="128"/>
      <c r="HW22" s="128"/>
      <c r="HX22" s="128"/>
      <c r="IB22" s="138">
        <v>5.5</v>
      </c>
      <c r="IC22" s="138">
        <v>3</v>
      </c>
      <c r="ID22" s="128"/>
      <c r="IE22" s="128"/>
      <c r="IF22" s="128"/>
      <c r="IG22" s="128"/>
      <c r="IH22" s="128"/>
      <c r="IL22" s="138">
        <v>5.5</v>
      </c>
      <c r="IM22" s="138">
        <v>3</v>
      </c>
      <c r="IN22" s="128"/>
      <c r="IO22" s="128"/>
      <c r="IP22" s="128"/>
      <c r="IQ22" s="128"/>
      <c r="IR22" s="128"/>
      <c r="IV22" s="138">
        <v>5.5</v>
      </c>
      <c r="IW22" s="138">
        <v>3</v>
      </c>
      <c r="IX22" s="128"/>
      <c r="IY22" s="128"/>
      <c r="IZ22" s="128"/>
      <c r="JA22" s="128"/>
      <c r="JB22" s="128"/>
      <c r="JF22" s="138">
        <v>5.5</v>
      </c>
      <c r="JG22" s="138">
        <v>3</v>
      </c>
      <c r="JH22" s="128"/>
      <c r="JI22" s="128"/>
      <c r="JJ22" s="128"/>
      <c r="JK22" s="128"/>
      <c r="JL22" s="128"/>
      <c r="JP22" s="138">
        <v>5.5</v>
      </c>
      <c r="JQ22" s="138">
        <v>3</v>
      </c>
      <c r="JR22" s="128"/>
      <c r="JS22" s="128"/>
      <c r="JT22" s="128"/>
      <c r="JU22" s="128"/>
      <c r="JV22" s="128"/>
      <c r="JZ22" s="138">
        <v>5.5</v>
      </c>
      <c r="KA22" s="138">
        <v>3</v>
      </c>
      <c r="KB22" s="128"/>
      <c r="KC22" s="128"/>
      <c r="KD22" s="128"/>
      <c r="KE22" s="128"/>
      <c r="KF22" s="128"/>
      <c r="KJ22" s="138">
        <v>5.5</v>
      </c>
      <c r="KK22" s="138">
        <v>3</v>
      </c>
    </row>
    <row r="23" spans="1:297">
      <c r="A23" s="434" t="s">
        <v>313</v>
      </c>
      <c r="B23" s="434"/>
      <c r="C23" s="434"/>
      <c r="D23" s="20">
        <f>IF(D11="Cọc tròn",PI()*D13,4*D13)</f>
        <v>3.14159265358979</v>
      </c>
      <c r="E23" s="61"/>
      <c r="F23" s="61"/>
      <c r="G23" s="13"/>
      <c r="H23" s="8"/>
      <c r="I23" s="50"/>
      <c r="J23" s="50"/>
      <c r="K23" s="558"/>
      <c r="L23" s="559"/>
      <c r="M23" s="560"/>
      <c r="N23" s="13"/>
      <c r="O23" s="13"/>
      <c r="P23" s="48"/>
      <c r="R23" s="138">
        <v>7</v>
      </c>
      <c r="S23" s="138">
        <v>2</v>
      </c>
      <c r="U23" s="144">
        <v>5</v>
      </c>
      <c r="V23" s="138"/>
      <c r="Z23" s="138">
        <v>7</v>
      </c>
      <c r="AA23" s="138">
        <v>2</v>
      </c>
      <c r="AJ23" s="138">
        <v>7</v>
      </c>
      <c r="AK23" s="138">
        <v>5</v>
      </c>
      <c r="AL23" s="128"/>
      <c r="AM23" s="128"/>
      <c r="AN23" s="128"/>
      <c r="AO23" s="128"/>
      <c r="AP23" s="128"/>
      <c r="AT23" s="138">
        <v>7</v>
      </c>
      <c r="AU23" s="138">
        <v>25</v>
      </c>
      <c r="AV23" s="128"/>
      <c r="AW23" s="128"/>
      <c r="AX23" s="128"/>
      <c r="AY23" s="128"/>
      <c r="AZ23" s="128"/>
      <c r="BD23" s="138">
        <v>7</v>
      </c>
      <c r="BE23" s="138">
        <v>2</v>
      </c>
      <c r="BF23" s="128"/>
      <c r="BG23" s="128"/>
      <c r="BH23" s="128"/>
      <c r="BI23" s="128"/>
      <c r="BJ23" s="128"/>
      <c r="BN23" s="138">
        <v>7</v>
      </c>
      <c r="BO23" s="138">
        <v>2</v>
      </c>
      <c r="BP23" s="128"/>
      <c r="BQ23" s="128"/>
      <c r="BR23" s="128"/>
      <c r="BS23" s="128"/>
      <c r="BT23" s="128"/>
      <c r="BX23" s="138">
        <v>7</v>
      </c>
      <c r="BY23" s="138">
        <v>2</v>
      </c>
      <c r="BZ23" s="128"/>
      <c r="CA23" s="128"/>
      <c r="CB23" s="128"/>
      <c r="CC23" s="128"/>
      <c r="CD23" s="128"/>
      <c r="CH23" s="138">
        <v>7</v>
      </c>
      <c r="CI23" s="138">
        <v>2</v>
      </c>
      <c r="CJ23" s="128"/>
      <c r="CK23" s="128"/>
      <c r="CL23" s="128"/>
      <c r="CM23" s="128"/>
      <c r="CN23" s="128"/>
      <c r="CR23" s="138">
        <v>7</v>
      </c>
      <c r="CS23" s="138">
        <v>2</v>
      </c>
      <c r="CT23" s="128"/>
      <c r="CU23" s="128"/>
      <c r="CV23" s="128"/>
      <c r="CW23" s="128"/>
      <c r="CX23" s="128"/>
      <c r="DB23" s="138">
        <v>7</v>
      </c>
      <c r="DC23" s="138">
        <v>2</v>
      </c>
      <c r="DD23" s="128"/>
      <c r="DE23" s="128"/>
      <c r="DF23" s="128"/>
      <c r="DG23" s="128"/>
      <c r="DH23" s="128"/>
      <c r="DL23" s="138">
        <v>7</v>
      </c>
      <c r="DM23" s="138">
        <v>2</v>
      </c>
      <c r="DN23" s="128"/>
      <c r="DO23" s="128"/>
      <c r="DP23" s="128"/>
      <c r="DQ23" s="128"/>
      <c r="DR23" s="128"/>
      <c r="DV23" s="138">
        <v>7</v>
      </c>
      <c r="DW23" s="138">
        <v>2</v>
      </c>
      <c r="DX23" s="128"/>
      <c r="DY23" s="128"/>
      <c r="DZ23" s="128"/>
      <c r="EA23" s="128"/>
      <c r="EB23" s="128"/>
      <c r="EF23" s="138">
        <v>7</v>
      </c>
      <c r="EG23" s="138">
        <v>2</v>
      </c>
      <c r="EH23" s="128"/>
      <c r="EI23" s="128"/>
      <c r="EJ23" s="128"/>
      <c r="EK23" s="128"/>
      <c r="EL23" s="128"/>
      <c r="EP23" s="138">
        <v>7</v>
      </c>
      <c r="EQ23" s="138">
        <v>2</v>
      </c>
      <c r="ER23" s="128"/>
      <c r="ES23" s="128"/>
      <c r="ET23" s="128"/>
      <c r="EU23" s="128"/>
      <c r="EV23" s="128"/>
      <c r="EZ23" s="138">
        <v>7</v>
      </c>
      <c r="FA23" s="138">
        <v>2</v>
      </c>
      <c r="FB23" s="128"/>
      <c r="FC23" s="128"/>
      <c r="FD23" s="128"/>
      <c r="FE23" s="128"/>
      <c r="FF23" s="128"/>
      <c r="FJ23" s="138">
        <v>7</v>
      </c>
      <c r="FK23" s="138">
        <v>2</v>
      </c>
      <c r="FL23" s="128"/>
      <c r="FM23" s="128"/>
      <c r="FN23" s="128"/>
      <c r="FO23" s="128"/>
      <c r="FP23" s="128"/>
      <c r="FT23" s="138">
        <v>7</v>
      </c>
      <c r="FU23" s="138">
        <v>2</v>
      </c>
      <c r="FV23" s="128"/>
      <c r="FW23" s="128"/>
      <c r="FX23" s="128"/>
      <c r="FY23" s="128"/>
      <c r="FZ23" s="128"/>
      <c r="GD23" s="138">
        <v>7</v>
      </c>
      <c r="GE23" s="138">
        <v>2</v>
      </c>
      <c r="GF23" s="128"/>
      <c r="GG23" s="128"/>
      <c r="GH23" s="128"/>
      <c r="GI23" s="128"/>
      <c r="GJ23" s="128"/>
      <c r="GN23" s="138">
        <v>7</v>
      </c>
      <c r="GO23" s="138">
        <v>2</v>
      </c>
      <c r="GP23" s="128"/>
      <c r="GQ23" s="128"/>
      <c r="GR23" s="128"/>
      <c r="GS23" s="128"/>
      <c r="GT23" s="128"/>
      <c r="GX23" s="138">
        <v>7</v>
      </c>
      <c r="GY23" s="138">
        <v>2</v>
      </c>
      <c r="GZ23" s="128"/>
      <c r="HA23" s="128"/>
      <c r="HB23" s="128"/>
      <c r="HC23" s="128"/>
      <c r="HD23" s="128"/>
      <c r="HH23" s="138">
        <v>7</v>
      </c>
      <c r="HI23" s="138">
        <v>2</v>
      </c>
      <c r="HJ23" s="128"/>
      <c r="HK23" s="128"/>
      <c r="HL23" s="128"/>
      <c r="HM23" s="128"/>
      <c r="HN23" s="128"/>
      <c r="HR23" s="138">
        <v>7</v>
      </c>
      <c r="HS23" s="138">
        <v>2</v>
      </c>
      <c r="HT23" s="128"/>
      <c r="HU23" s="128"/>
      <c r="HV23" s="128"/>
      <c r="HW23" s="128"/>
      <c r="HX23" s="128"/>
      <c r="IB23" s="138">
        <v>7</v>
      </c>
      <c r="IC23" s="138">
        <v>2</v>
      </c>
      <c r="ID23" s="128"/>
      <c r="IE23" s="128"/>
      <c r="IF23" s="128"/>
      <c r="IG23" s="128"/>
      <c r="IH23" s="128"/>
      <c r="IL23" s="138">
        <v>7</v>
      </c>
      <c r="IM23" s="138">
        <v>2</v>
      </c>
      <c r="IN23" s="128"/>
      <c r="IO23" s="128"/>
      <c r="IP23" s="128"/>
      <c r="IQ23" s="128"/>
      <c r="IR23" s="128"/>
      <c r="IV23" s="138">
        <v>7</v>
      </c>
      <c r="IW23" s="138">
        <v>2</v>
      </c>
      <c r="IX23" s="128"/>
      <c r="IY23" s="128"/>
      <c r="IZ23" s="128"/>
      <c r="JA23" s="128"/>
      <c r="JB23" s="128"/>
      <c r="JF23" s="138">
        <v>7</v>
      </c>
      <c r="JG23" s="138">
        <v>2</v>
      </c>
      <c r="JH23" s="128"/>
      <c r="JI23" s="128"/>
      <c r="JJ23" s="128"/>
      <c r="JK23" s="128"/>
      <c r="JL23" s="128"/>
      <c r="JP23" s="138">
        <v>7</v>
      </c>
      <c r="JQ23" s="138">
        <v>2</v>
      </c>
      <c r="JR23" s="128"/>
      <c r="JS23" s="128"/>
      <c r="JT23" s="128"/>
      <c r="JU23" s="128"/>
      <c r="JV23" s="128"/>
      <c r="JZ23" s="138">
        <v>7</v>
      </c>
      <c r="KA23" s="138">
        <v>2</v>
      </c>
      <c r="KB23" s="128"/>
      <c r="KC23" s="128"/>
      <c r="KD23" s="128"/>
      <c r="KE23" s="128"/>
      <c r="KF23" s="128"/>
      <c r="KJ23" s="138">
        <v>7</v>
      </c>
      <c r="KK23" s="138">
        <v>2</v>
      </c>
    </row>
    <row r="24" spans="1:297">
      <c r="A24" s="434" t="s">
        <v>987</v>
      </c>
      <c r="B24" s="434"/>
      <c r="C24" s="434"/>
      <c r="D24" s="21">
        <f>_xll.qbEQ_SPT2025($D$10,$D$13,$D$14,$D$17,$D$17,$I$11:$J$25,$R$19:$S$108,$D$19,$I$11:$O$25,$D$12,"",$D$20)*D22</f>
        <v>1562.1071841698899</v>
      </c>
      <c r="E24" s="61"/>
      <c r="F24" s="61"/>
      <c r="G24" s="13"/>
      <c r="H24" s="8"/>
      <c r="I24" s="50"/>
      <c r="J24" s="50"/>
      <c r="K24" s="558"/>
      <c r="L24" s="559"/>
      <c r="M24" s="560"/>
      <c r="N24" s="13"/>
      <c r="O24" s="13"/>
      <c r="P24" s="48"/>
      <c r="R24" s="138">
        <v>9</v>
      </c>
      <c r="S24" s="138">
        <v>6</v>
      </c>
      <c r="U24" s="144">
        <v>6</v>
      </c>
      <c r="V24" s="138"/>
      <c r="Z24" s="138">
        <v>9</v>
      </c>
      <c r="AA24" s="138">
        <v>6</v>
      </c>
      <c r="AJ24" s="138">
        <v>9</v>
      </c>
      <c r="AK24" s="138">
        <v>6</v>
      </c>
      <c r="AL24" s="128"/>
      <c r="AM24" s="128"/>
      <c r="AN24" s="128"/>
      <c r="AO24" s="128"/>
      <c r="AP24" s="128"/>
      <c r="AT24" s="138">
        <v>9</v>
      </c>
      <c r="AU24" s="138">
        <v>30</v>
      </c>
      <c r="AV24" s="128"/>
      <c r="AW24" s="128"/>
      <c r="AX24" s="128"/>
      <c r="AY24" s="128"/>
      <c r="AZ24" s="128"/>
      <c r="BD24" s="138">
        <v>9</v>
      </c>
      <c r="BE24" s="138">
        <v>6</v>
      </c>
      <c r="BF24" s="128"/>
      <c r="BG24" s="128"/>
      <c r="BH24" s="128"/>
      <c r="BI24" s="128"/>
      <c r="BJ24" s="128"/>
      <c r="BN24" s="138">
        <v>9</v>
      </c>
      <c r="BO24" s="138">
        <v>6</v>
      </c>
      <c r="BP24" s="128"/>
      <c r="BQ24" s="128"/>
      <c r="BR24" s="128"/>
      <c r="BS24" s="128"/>
      <c r="BT24" s="128"/>
      <c r="BX24" s="138">
        <v>9</v>
      </c>
      <c r="BY24" s="138">
        <v>6</v>
      </c>
      <c r="BZ24" s="128"/>
      <c r="CA24" s="128"/>
      <c r="CB24" s="128"/>
      <c r="CC24" s="128"/>
      <c r="CD24" s="128"/>
      <c r="CH24" s="138">
        <v>9</v>
      </c>
      <c r="CI24" s="138">
        <v>6</v>
      </c>
      <c r="CJ24" s="128"/>
      <c r="CK24" s="128"/>
      <c r="CL24" s="128"/>
      <c r="CM24" s="128"/>
      <c r="CN24" s="128"/>
      <c r="CR24" s="138">
        <v>9</v>
      </c>
      <c r="CS24" s="138">
        <v>6</v>
      </c>
      <c r="CT24" s="128"/>
      <c r="CU24" s="128"/>
      <c r="CV24" s="128"/>
      <c r="CW24" s="128"/>
      <c r="CX24" s="128"/>
      <c r="DB24" s="138">
        <v>9</v>
      </c>
      <c r="DC24" s="138">
        <v>6</v>
      </c>
      <c r="DD24" s="128"/>
      <c r="DE24" s="128"/>
      <c r="DF24" s="128"/>
      <c r="DG24" s="128"/>
      <c r="DH24" s="128"/>
      <c r="DL24" s="138">
        <v>9</v>
      </c>
      <c r="DM24" s="138">
        <v>6</v>
      </c>
      <c r="DN24" s="128"/>
      <c r="DO24" s="128"/>
      <c r="DP24" s="128"/>
      <c r="DQ24" s="128"/>
      <c r="DR24" s="128"/>
      <c r="DV24" s="138">
        <v>9</v>
      </c>
      <c r="DW24" s="138">
        <v>6</v>
      </c>
      <c r="DX24" s="128"/>
      <c r="DY24" s="128"/>
      <c r="DZ24" s="128"/>
      <c r="EA24" s="128"/>
      <c r="EB24" s="128"/>
      <c r="EF24" s="138">
        <v>9</v>
      </c>
      <c r="EG24" s="138">
        <v>6</v>
      </c>
      <c r="EH24" s="128"/>
      <c r="EI24" s="128"/>
      <c r="EJ24" s="128"/>
      <c r="EK24" s="128"/>
      <c r="EL24" s="128"/>
      <c r="EP24" s="138">
        <v>9</v>
      </c>
      <c r="EQ24" s="138">
        <v>6</v>
      </c>
      <c r="ER24" s="128"/>
      <c r="ES24" s="128"/>
      <c r="ET24" s="128"/>
      <c r="EU24" s="128"/>
      <c r="EV24" s="128"/>
      <c r="EZ24" s="138">
        <v>9</v>
      </c>
      <c r="FA24" s="138">
        <v>6</v>
      </c>
      <c r="FB24" s="128"/>
      <c r="FC24" s="128"/>
      <c r="FD24" s="128"/>
      <c r="FE24" s="128"/>
      <c r="FF24" s="128"/>
      <c r="FJ24" s="138">
        <v>9</v>
      </c>
      <c r="FK24" s="138">
        <v>6</v>
      </c>
      <c r="FL24" s="128"/>
      <c r="FM24" s="128"/>
      <c r="FN24" s="128"/>
      <c r="FO24" s="128"/>
      <c r="FP24" s="128"/>
      <c r="FT24" s="138">
        <v>9</v>
      </c>
      <c r="FU24" s="138">
        <v>6</v>
      </c>
      <c r="FV24" s="128"/>
      <c r="FW24" s="128"/>
      <c r="FX24" s="128"/>
      <c r="FY24" s="128"/>
      <c r="FZ24" s="128"/>
      <c r="GD24" s="138">
        <v>9</v>
      </c>
      <c r="GE24" s="138">
        <v>6</v>
      </c>
      <c r="GF24" s="128"/>
      <c r="GG24" s="128"/>
      <c r="GH24" s="128"/>
      <c r="GI24" s="128"/>
      <c r="GJ24" s="128"/>
      <c r="GN24" s="138">
        <v>9</v>
      </c>
      <c r="GO24" s="138">
        <v>6</v>
      </c>
      <c r="GP24" s="128"/>
      <c r="GQ24" s="128"/>
      <c r="GR24" s="128"/>
      <c r="GS24" s="128"/>
      <c r="GT24" s="128"/>
      <c r="GX24" s="138">
        <v>9</v>
      </c>
      <c r="GY24" s="138">
        <v>6</v>
      </c>
      <c r="GZ24" s="128"/>
      <c r="HA24" s="128"/>
      <c r="HB24" s="128"/>
      <c r="HC24" s="128"/>
      <c r="HD24" s="128"/>
      <c r="HH24" s="138">
        <v>9</v>
      </c>
      <c r="HI24" s="138">
        <v>6</v>
      </c>
      <c r="HJ24" s="128"/>
      <c r="HK24" s="128"/>
      <c r="HL24" s="128"/>
      <c r="HM24" s="128"/>
      <c r="HN24" s="128"/>
      <c r="HR24" s="138">
        <v>9</v>
      </c>
      <c r="HS24" s="138">
        <v>6</v>
      </c>
      <c r="HT24" s="128"/>
      <c r="HU24" s="128"/>
      <c r="HV24" s="128"/>
      <c r="HW24" s="128"/>
      <c r="HX24" s="128"/>
      <c r="IB24" s="138">
        <v>9</v>
      </c>
      <c r="IC24" s="138">
        <v>6</v>
      </c>
      <c r="ID24" s="128"/>
      <c r="IE24" s="128"/>
      <c r="IF24" s="128"/>
      <c r="IG24" s="128"/>
      <c r="IH24" s="128"/>
      <c r="IL24" s="138">
        <v>9</v>
      </c>
      <c r="IM24" s="138">
        <v>6</v>
      </c>
      <c r="IN24" s="128"/>
      <c r="IO24" s="128"/>
      <c r="IP24" s="128"/>
      <c r="IQ24" s="128"/>
      <c r="IR24" s="128"/>
      <c r="IV24" s="138">
        <v>9</v>
      </c>
      <c r="IW24" s="138">
        <v>6</v>
      </c>
      <c r="IX24" s="128"/>
      <c r="IY24" s="128"/>
      <c r="IZ24" s="128"/>
      <c r="JA24" s="128"/>
      <c r="JB24" s="128"/>
      <c r="JF24" s="138">
        <v>9</v>
      </c>
      <c r="JG24" s="138">
        <v>6</v>
      </c>
      <c r="JH24" s="128"/>
      <c r="JI24" s="128"/>
      <c r="JJ24" s="128"/>
      <c r="JK24" s="128"/>
      <c r="JL24" s="128"/>
      <c r="JP24" s="138">
        <v>9</v>
      </c>
      <c r="JQ24" s="138">
        <v>6</v>
      </c>
      <c r="JR24" s="128"/>
      <c r="JS24" s="128"/>
      <c r="JT24" s="128"/>
      <c r="JU24" s="128"/>
      <c r="JV24" s="128"/>
      <c r="JZ24" s="138">
        <v>9</v>
      </c>
      <c r="KA24" s="138">
        <v>6</v>
      </c>
      <c r="KB24" s="128"/>
      <c r="KC24" s="128"/>
      <c r="KD24" s="128"/>
      <c r="KE24" s="128"/>
      <c r="KF24" s="128"/>
      <c r="KJ24" s="138">
        <v>9</v>
      </c>
      <c r="KK24" s="138">
        <v>6</v>
      </c>
    </row>
    <row r="25" spans="1:297">
      <c r="A25" s="434" t="s">
        <v>988</v>
      </c>
      <c r="B25" s="434"/>
      <c r="C25" s="434"/>
      <c r="D25" s="21">
        <f>_xll.fluEQ_SPT2025($D$10,$D$13,$D$14,$D$23,$D$16,$D$17,$I$11:$J$25,$R$19:$S$108,TRUE,FALSE,"",0,$D$18,$D$19,$I$11:$O$25,$D$12,$J$29,$D$20)</f>
        <v>690.68938071801995</v>
      </c>
      <c r="E25" s="61"/>
      <c r="F25" s="61"/>
      <c r="G25" s="13" t="str">
        <f>IF(H25&lt;&gt;"","Lớp 15","")</f>
        <v/>
      </c>
      <c r="H25" s="8" t="str">
        <f t="shared" ref="H25" si="0">IF(I25&lt;&gt;"",IF(J25="Đất dính","Sét","Cát"),"")</f>
        <v/>
      </c>
      <c r="I25" s="50"/>
      <c r="J25" s="50"/>
      <c r="K25" s="558"/>
      <c r="L25" s="559"/>
      <c r="M25" s="560"/>
      <c r="N25" s="13"/>
      <c r="O25" s="13"/>
      <c r="P25" s="48"/>
      <c r="R25" s="138">
        <v>10.5</v>
      </c>
      <c r="S25" s="138">
        <v>8</v>
      </c>
      <c r="U25" s="144">
        <v>7</v>
      </c>
      <c r="V25" s="138"/>
      <c r="Z25" s="138">
        <v>10.5</v>
      </c>
      <c r="AA25" s="138">
        <v>8</v>
      </c>
      <c r="AJ25" s="138">
        <v>10.5</v>
      </c>
      <c r="AK25" s="138">
        <v>7</v>
      </c>
      <c r="AL25" s="128"/>
      <c r="AM25" s="128"/>
      <c r="AN25" s="128"/>
      <c r="AO25" s="128"/>
      <c r="AP25" s="128"/>
      <c r="AT25" s="138">
        <v>10.5</v>
      </c>
      <c r="AU25" s="138">
        <v>35</v>
      </c>
      <c r="AV25" s="128"/>
      <c r="AW25" s="128"/>
      <c r="AX25" s="128"/>
      <c r="AY25" s="128"/>
      <c r="AZ25" s="128"/>
      <c r="BD25" s="138">
        <v>10.5</v>
      </c>
      <c r="BE25" s="138">
        <v>8</v>
      </c>
      <c r="BF25" s="128"/>
      <c r="BG25" s="128"/>
      <c r="BH25" s="128"/>
      <c r="BI25" s="128"/>
      <c r="BJ25" s="128"/>
      <c r="BN25" s="138">
        <v>10.5</v>
      </c>
      <c r="BO25" s="138">
        <v>8</v>
      </c>
      <c r="BP25" s="128"/>
      <c r="BQ25" s="128"/>
      <c r="BR25" s="128"/>
      <c r="BS25" s="128"/>
      <c r="BT25" s="128"/>
      <c r="BX25" s="138">
        <v>10.5</v>
      </c>
      <c r="BY25" s="138">
        <v>8</v>
      </c>
      <c r="BZ25" s="128"/>
      <c r="CA25" s="128"/>
      <c r="CB25" s="128"/>
      <c r="CC25" s="128"/>
      <c r="CD25" s="128"/>
      <c r="CH25" s="138">
        <v>10.5</v>
      </c>
      <c r="CI25" s="138">
        <v>8</v>
      </c>
      <c r="CJ25" s="128"/>
      <c r="CK25" s="128"/>
      <c r="CL25" s="128"/>
      <c r="CM25" s="128"/>
      <c r="CN25" s="128"/>
      <c r="CR25" s="138">
        <v>10.5</v>
      </c>
      <c r="CS25" s="138">
        <v>8</v>
      </c>
      <c r="CT25" s="128"/>
      <c r="CU25" s="128"/>
      <c r="CV25" s="128"/>
      <c r="CW25" s="128"/>
      <c r="CX25" s="128"/>
      <c r="DB25" s="138">
        <v>10.5</v>
      </c>
      <c r="DC25" s="138">
        <v>8</v>
      </c>
      <c r="DD25" s="128"/>
      <c r="DE25" s="128"/>
      <c r="DF25" s="128"/>
      <c r="DG25" s="128"/>
      <c r="DH25" s="128"/>
      <c r="DL25" s="138">
        <v>10.5</v>
      </c>
      <c r="DM25" s="138">
        <v>8</v>
      </c>
      <c r="DN25" s="128"/>
      <c r="DO25" s="128"/>
      <c r="DP25" s="128"/>
      <c r="DQ25" s="128"/>
      <c r="DR25" s="128"/>
      <c r="DV25" s="138">
        <v>10.5</v>
      </c>
      <c r="DW25" s="138">
        <v>8</v>
      </c>
      <c r="DX25" s="128"/>
      <c r="DY25" s="128"/>
      <c r="DZ25" s="128"/>
      <c r="EA25" s="128"/>
      <c r="EB25" s="128"/>
      <c r="EF25" s="138">
        <v>10.5</v>
      </c>
      <c r="EG25" s="138">
        <v>8</v>
      </c>
      <c r="EH25" s="128"/>
      <c r="EI25" s="128"/>
      <c r="EJ25" s="128"/>
      <c r="EK25" s="128"/>
      <c r="EL25" s="128"/>
      <c r="EP25" s="138">
        <v>10.5</v>
      </c>
      <c r="EQ25" s="138">
        <v>8</v>
      </c>
      <c r="ER25" s="128"/>
      <c r="ES25" s="128"/>
      <c r="ET25" s="128"/>
      <c r="EU25" s="128"/>
      <c r="EV25" s="128"/>
      <c r="EZ25" s="138">
        <v>10.5</v>
      </c>
      <c r="FA25" s="138">
        <v>8</v>
      </c>
      <c r="FB25" s="128"/>
      <c r="FC25" s="128"/>
      <c r="FD25" s="128"/>
      <c r="FE25" s="128"/>
      <c r="FF25" s="128"/>
      <c r="FJ25" s="138">
        <v>10.5</v>
      </c>
      <c r="FK25" s="138">
        <v>8</v>
      </c>
      <c r="FL25" s="128"/>
      <c r="FM25" s="128"/>
      <c r="FN25" s="128"/>
      <c r="FO25" s="128"/>
      <c r="FP25" s="128"/>
      <c r="FT25" s="138">
        <v>10.5</v>
      </c>
      <c r="FU25" s="138">
        <v>8</v>
      </c>
      <c r="FV25" s="128"/>
      <c r="FW25" s="128"/>
      <c r="FX25" s="128"/>
      <c r="FY25" s="128"/>
      <c r="FZ25" s="128"/>
      <c r="GD25" s="138">
        <v>10.5</v>
      </c>
      <c r="GE25" s="138">
        <v>8</v>
      </c>
      <c r="GF25" s="128"/>
      <c r="GG25" s="128"/>
      <c r="GH25" s="128"/>
      <c r="GI25" s="128"/>
      <c r="GJ25" s="128"/>
      <c r="GN25" s="138">
        <v>10.5</v>
      </c>
      <c r="GO25" s="138">
        <v>8</v>
      </c>
      <c r="GP25" s="128"/>
      <c r="GQ25" s="128"/>
      <c r="GR25" s="128"/>
      <c r="GS25" s="128"/>
      <c r="GT25" s="128"/>
      <c r="GX25" s="138">
        <v>10.5</v>
      </c>
      <c r="GY25" s="138">
        <v>8</v>
      </c>
      <c r="GZ25" s="128"/>
      <c r="HA25" s="128"/>
      <c r="HB25" s="128"/>
      <c r="HC25" s="128"/>
      <c r="HD25" s="128"/>
      <c r="HH25" s="138">
        <v>10.5</v>
      </c>
      <c r="HI25" s="138">
        <v>8</v>
      </c>
      <c r="HJ25" s="128"/>
      <c r="HK25" s="128"/>
      <c r="HL25" s="128"/>
      <c r="HM25" s="128"/>
      <c r="HN25" s="128"/>
      <c r="HR25" s="138">
        <v>10.5</v>
      </c>
      <c r="HS25" s="138">
        <v>8</v>
      </c>
      <c r="HT25" s="128"/>
      <c r="HU25" s="128"/>
      <c r="HV25" s="128"/>
      <c r="HW25" s="128"/>
      <c r="HX25" s="128"/>
      <c r="IB25" s="138">
        <v>10.5</v>
      </c>
      <c r="IC25" s="138">
        <v>8</v>
      </c>
      <c r="ID25" s="128"/>
      <c r="IE25" s="128"/>
      <c r="IF25" s="128"/>
      <c r="IG25" s="128"/>
      <c r="IH25" s="128"/>
      <c r="IL25" s="138">
        <v>10.5</v>
      </c>
      <c r="IM25" s="138">
        <v>8</v>
      </c>
      <c r="IN25" s="128"/>
      <c r="IO25" s="128"/>
      <c r="IP25" s="128"/>
      <c r="IQ25" s="128"/>
      <c r="IR25" s="128"/>
      <c r="IV25" s="138">
        <v>10.5</v>
      </c>
      <c r="IW25" s="138">
        <v>8</v>
      </c>
      <c r="IX25" s="128"/>
      <c r="IY25" s="128"/>
      <c r="IZ25" s="128"/>
      <c r="JA25" s="128"/>
      <c r="JB25" s="128"/>
      <c r="JF25" s="138">
        <v>10.5</v>
      </c>
      <c r="JG25" s="138">
        <v>8</v>
      </c>
      <c r="JH25" s="128"/>
      <c r="JI25" s="128"/>
      <c r="JJ25" s="128"/>
      <c r="JK25" s="128"/>
      <c r="JL25" s="128"/>
      <c r="JP25" s="138">
        <v>10.5</v>
      </c>
      <c r="JQ25" s="138">
        <v>8</v>
      </c>
      <c r="JR25" s="128"/>
      <c r="JS25" s="128"/>
      <c r="JT25" s="128"/>
      <c r="JU25" s="128"/>
      <c r="JV25" s="128"/>
      <c r="JZ25" s="138">
        <v>10.5</v>
      </c>
      <c r="KA25" s="138">
        <v>8</v>
      </c>
      <c r="KB25" s="128"/>
      <c r="KC25" s="128"/>
      <c r="KD25" s="128"/>
      <c r="KE25" s="128"/>
      <c r="KF25" s="128"/>
      <c r="KJ25" s="138">
        <v>10.5</v>
      </c>
      <c r="KK25" s="138">
        <v>8</v>
      </c>
    </row>
    <row r="26" spans="1:297" ht="15.75">
      <c r="A26" s="438" t="s">
        <v>989</v>
      </c>
      <c r="B26" s="438"/>
      <c r="C26" s="438"/>
      <c r="D26" s="21">
        <f>_xll.fluEQ_SPT2025($D$10,$D$13,$D$14,$D$23,$D$16,$D$17,$I$11:$J$25,$R$19:$S$108,FALSE,TRUE,"",0,$D$18,$D$19,$I$11:$O$25,$D$12,$J$29,$D$20)</f>
        <v>3039.8285047484001</v>
      </c>
      <c r="E26" s="61"/>
      <c r="F26" s="61"/>
      <c r="G26" s="563" t="s">
        <v>1016</v>
      </c>
      <c r="H26" s="563"/>
      <c r="I26" s="563"/>
      <c r="J26" s="69">
        <f>IF($D$13&gt;=0.8,$D$13+1,1.5*$D$13+0.5)</f>
        <v>2</v>
      </c>
      <c r="K26" s="563" t="s">
        <v>1017</v>
      </c>
      <c r="L26" s="563"/>
      <c r="M26" s="563"/>
      <c r="N26" s="70">
        <v>30</v>
      </c>
      <c r="O26" s="48"/>
      <c r="P26" s="48"/>
      <c r="R26" s="138">
        <v>12.2</v>
      </c>
      <c r="S26" s="138">
        <v>12</v>
      </c>
      <c r="U26" s="144">
        <v>8</v>
      </c>
      <c r="V26" s="138"/>
      <c r="Z26" s="138">
        <v>12.2</v>
      </c>
      <c r="AA26" s="138">
        <v>12</v>
      </c>
      <c r="AJ26" s="138">
        <v>12.2</v>
      </c>
      <c r="AK26" s="138">
        <v>8</v>
      </c>
      <c r="AL26" s="128"/>
      <c r="AM26" s="128"/>
      <c r="AN26" s="128"/>
      <c r="AO26" s="128"/>
      <c r="AP26" s="128"/>
      <c r="AT26" s="138">
        <v>12.2</v>
      </c>
      <c r="AU26" s="138">
        <v>40</v>
      </c>
      <c r="AV26" s="128"/>
      <c r="AW26" s="128"/>
      <c r="AX26" s="128"/>
      <c r="AY26" s="128"/>
      <c r="AZ26" s="128"/>
      <c r="BD26" s="138">
        <v>12.2</v>
      </c>
      <c r="BE26" s="138">
        <v>12</v>
      </c>
      <c r="BF26" s="128"/>
      <c r="BG26" s="128"/>
      <c r="BH26" s="128"/>
      <c r="BI26" s="128"/>
      <c r="BJ26" s="128"/>
      <c r="BN26" s="138">
        <v>12.2</v>
      </c>
      <c r="BO26" s="138">
        <v>12</v>
      </c>
      <c r="BP26" s="128"/>
      <c r="BQ26" s="128"/>
      <c r="BR26" s="128"/>
      <c r="BS26" s="128"/>
      <c r="BT26" s="128"/>
      <c r="BX26" s="138">
        <v>12.2</v>
      </c>
      <c r="BY26" s="138">
        <v>12</v>
      </c>
      <c r="BZ26" s="128"/>
      <c r="CA26" s="128"/>
      <c r="CB26" s="128"/>
      <c r="CC26" s="128"/>
      <c r="CD26" s="128"/>
      <c r="CH26" s="138">
        <v>12.2</v>
      </c>
      <c r="CI26" s="138">
        <v>12</v>
      </c>
      <c r="CJ26" s="128"/>
      <c r="CK26" s="128"/>
      <c r="CL26" s="128"/>
      <c r="CM26" s="128"/>
      <c r="CN26" s="128"/>
      <c r="CR26" s="138">
        <v>12.2</v>
      </c>
      <c r="CS26" s="138">
        <v>12</v>
      </c>
      <c r="CT26" s="128"/>
      <c r="CU26" s="128"/>
      <c r="CV26" s="128"/>
      <c r="CW26" s="128"/>
      <c r="CX26" s="128"/>
      <c r="DB26" s="138">
        <v>12.2</v>
      </c>
      <c r="DC26" s="138">
        <v>12</v>
      </c>
      <c r="DD26" s="128"/>
      <c r="DE26" s="128"/>
      <c r="DF26" s="128"/>
      <c r="DG26" s="128"/>
      <c r="DH26" s="128"/>
      <c r="DL26" s="138">
        <v>12.2</v>
      </c>
      <c r="DM26" s="138">
        <v>12</v>
      </c>
      <c r="DN26" s="128"/>
      <c r="DO26" s="128"/>
      <c r="DP26" s="128"/>
      <c r="DQ26" s="128"/>
      <c r="DR26" s="128"/>
      <c r="DV26" s="138">
        <v>12.2</v>
      </c>
      <c r="DW26" s="138">
        <v>12</v>
      </c>
      <c r="DX26" s="128"/>
      <c r="DY26" s="128"/>
      <c r="DZ26" s="128"/>
      <c r="EA26" s="128"/>
      <c r="EB26" s="128"/>
      <c r="EF26" s="138">
        <v>12.2</v>
      </c>
      <c r="EG26" s="138">
        <v>12</v>
      </c>
      <c r="EH26" s="128"/>
      <c r="EI26" s="128"/>
      <c r="EJ26" s="128"/>
      <c r="EK26" s="128"/>
      <c r="EL26" s="128"/>
      <c r="EP26" s="138">
        <v>12.2</v>
      </c>
      <c r="EQ26" s="138">
        <v>12</v>
      </c>
      <c r="ER26" s="128"/>
      <c r="ES26" s="128"/>
      <c r="ET26" s="128"/>
      <c r="EU26" s="128"/>
      <c r="EV26" s="128"/>
      <c r="EZ26" s="138">
        <v>12.2</v>
      </c>
      <c r="FA26" s="138">
        <v>12</v>
      </c>
      <c r="FB26" s="128"/>
      <c r="FC26" s="128"/>
      <c r="FD26" s="128"/>
      <c r="FE26" s="128"/>
      <c r="FF26" s="128"/>
      <c r="FJ26" s="138">
        <v>12.2</v>
      </c>
      <c r="FK26" s="138">
        <v>12</v>
      </c>
      <c r="FL26" s="128"/>
      <c r="FM26" s="128"/>
      <c r="FN26" s="128"/>
      <c r="FO26" s="128"/>
      <c r="FP26" s="128"/>
      <c r="FT26" s="138">
        <v>12.2</v>
      </c>
      <c r="FU26" s="138">
        <v>12</v>
      </c>
      <c r="FV26" s="128"/>
      <c r="FW26" s="128"/>
      <c r="FX26" s="128"/>
      <c r="FY26" s="128"/>
      <c r="FZ26" s="128"/>
      <c r="GD26" s="138">
        <v>12.2</v>
      </c>
      <c r="GE26" s="138">
        <v>12</v>
      </c>
      <c r="GF26" s="128"/>
      <c r="GG26" s="128"/>
      <c r="GH26" s="128"/>
      <c r="GI26" s="128"/>
      <c r="GJ26" s="128"/>
      <c r="GN26" s="138">
        <v>12.2</v>
      </c>
      <c r="GO26" s="138">
        <v>12</v>
      </c>
      <c r="GP26" s="128"/>
      <c r="GQ26" s="128"/>
      <c r="GR26" s="128"/>
      <c r="GS26" s="128"/>
      <c r="GT26" s="128"/>
      <c r="GX26" s="138">
        <v>12.2</v>
      </c>
      <c r="GY26" s="138">
        <v>12</v>
      </c>
      <c r="GZ26" s="128"/>
      <c r="HA26" s="128"/>
      <c r="HB26" s="128"/>
      <c r="HC26" s="128"/>
      <c r="HD26" s="128"/>
      <c r="HH26" s="138">
        <v>12.2</v>
      </c>
      <c r="HI26" s="138">
        <v>12</v>
      </c>
      <c r="HJ26" s="128"/>
      <c r="HK26" s="128"/>
      <c r="HL26" s="128"/>
      <c r="HM26" s="128"/>
      <c r="HN26" s="128"/>
      <c r="HR26" s="138">
        <v>12.2</v>
      </c>
      <c r="HS26" s="138">
        <v>12</v>
      </c>
      <c r="HT26" s="128"/>
      <c r="HU26" s="128"/>
      <c r="HV26" s="128"/>
      <c r="HW26" s="128"/>
      <c r="HX26" s="128"/>
      <c r="IB26" s="138">
        <v>12.2</v>
      </c>
      <c r="IC26" s="138">
        <v>12</v>
      </c>
      <c r="ID26" s="128"/>
      <c r="IE26" s="128"/>
      <c r="IF26" s="128"/>
      <c r="IG26" s="128"/>
      <c r="IH26" s="128"/>
      <c r="IL26" s="138">
        <v>12.2</v>
      </c>
      <c r="IM26" s="138">
        <v>12</v>
      </c>
      <c r="IN26" s="128"/>
      <c r="IO26" s="128"/>
      <c r="IP26" s="128"/>
      <c r="IQ26" s="128"/>
      <c r="IR26" s="128"/>
      <c r="IV26" s="138">
        <v>12.2</v>
      </c>
      <c r="IW26" s="138">
        <v>12</v>
      </c>
      <c r="IX26" s="128"/>
      <c r="IY26" s="128"/>
      <c r="IZ26" s="128"/>
      <c r="JA26" s="128"/>
      <c r="JB26" s="128"/>
      <c r="JF26" s="138">
        <v>12.2</v>
      </c>
      <c r="JG26" s="138">
        <v>12</v>
      </c>
      <c r="JH26" s="128"/>
      <c r="JI26" s="128"/>
      <c r="JJ26" s="128"/>
      <c r="JK26" s="128"/>
      <c r="JL26" s="128"/>
      <c r="JP26" s="138">
        <v>12.2</v>
      </c>
      <c r="JQ26" s="138">
        <v>12</v>
      </c>
      <c r="JR26" s="128"/>
      <c r="JS26" s="128"/>
      <c r="JT26" s="128"/>
      <c r="JU26" s="128"/>
      <c r="JV26" s="128"/>
      <c r="JZ26" s="138">
        <v>12.2</v>
      </c>
      <c r="KA26" s="138">
        <v>12</v>
      </c>
      <c r="KB26" s="128"/>
      <c r="KC26" s="128"/>
      <c r="KD26" s="128"/>
      <c r="KE26" s="128"/>
      <c r="KF26" s="128"/>
      <c r="KJ26" s="138">
        <v>12.2</v>
      </c>
      <c r="KK26" s="138">
        <v>12</v>
      </c>
    </row>
    <row r="27" spans="1:297" ht="15.75">
      <c r="A27" s="17" t="s">
        <v>990</v>
      </c>
      <c r="B27" s="73">
        <v>0</v>
      </c>
      <c r="C27" s="74">
        <f>+D26+D24</f>
        <v>4601.93568891829</v>
      </c>
      <c r="D27" s="75">
        <f>$D$24+$D$26-D25</f>
        <v>3911.2463082002701</v>
      </c>
      <c r="E27" s="61"/>
      <c r="F27" s="61"/>
      <c r="G27" s="563" t="s">
        <v>1018</v>
      </c>
      <c r="H27" s="563"/>
      <c r="I27" s="563"/>
      <c r="J27" s="71">
        <v>10000</v>
      </c>
      <c r="K27" s="563" t="s">
        <v>1019</v>
      </c>
      <c r="L27" s="563"/>
      <c r="M27" s="563"/>
      <c r="N27" s="68">
        <f>VLOOKUP(N26,B2.Betongcoc,5)*1000</f>
        <v>32500000</v>
      </c>
      <c r="O27" s="48"/>
      <c r="P27" s="48"/>
      <c r="R27" s="138">
        <v>14.2</v>
      </c>
      <c r="S27" s="138">
        <v>13</v>
      </c>
      <c r="U27" s="144">
        <v>9</v>
      </c>
      <c r="V27" s="138"/>
      <c r="Z27" s="138">
        <v>14.2</v>
      </c>
      <c r="AA27" s="138">
        <v>13</v>
      </c>
      <c r="AJ27" s="138">
        <v>14.2</v>
      </c>
      <c r="AK27" s="138">
        <v>9</v>
      </c>
      <c r="AL27" s="128"/>
      <c r="AM27" s="128"/>
      <c r="AN27" s="128"/>
      <c r="AO27" s="128"/>
      <c r="AP27" s="128"/>
      <c r="AT27" s="138">
        <v>14.2</v>
      </c>
      <c r="AU27" s="138">
        <v>45</v>
      </c>
      <c r="AV27" s="128"/>
      <c r="AW27" s="128"/>
      <c r="AX27" s="128"/>
      <c r="AY27" s="128"/>
      <c r="AZ27" s="128"/>
      <c r="BD27" s="138">
        <v>14.2</v>
      </c>
      <c r="BE27" s="138">
        <v>13</v>
      </c>
      <c r="BF27" s="128"/>
      <c r="BG27" s="128"/>
      <c r="BH27" s="128"/>
      <c r="BI27" s="128"/>
      <c r="BJ27" s="128"/>
      <c r="BN27" s="138">
        <v>14.2</v>
      </c>
      <c r="BO27" s="138">
        <v>13</v>
      </c>
      <c r="BP27" s="128"/>
      <c r="BQ27" s="128"/>
      <c r="BR27" s="128"/>
      <c r="BS27" s="128"/>
      <c r="BT27" s="128"/>
      <c r="BX27" s="138">
        <v>14.2</v>
      </c>
      <c r="BY27" s="138">
        <v>13</v>
      </c>
      <c r="BZ27" s="128"/>
      <c r="CA27" s="128"/>
      <c r="CB27" s="128"/>
      <c r="CC27" s="128"/>
      <c r="CD27" s="128"/>
      <c r="CH27" s="138">
        <v>14.2</v>
      </c>
      <c r="CI27" s="138">
        <v>13</v>
      </c>
      <c r="CJ27" s="128"/>
      <c r="CK27" s="128"/>
      <c r="CL27" s="128"/>
      <c r="CM27" s="128"/>
      <c r="CN27" s="128"/>
      <c r="CR27" s="138">
        <v>14.2</v>
      </c>
      <c r="CS27" s="138">
        <v>13</v>
      </c>
      <c r="CT27" s="128"/>
      <c r="CU27" s="128"/>
      <c r="CV27" s="128"/>
      <c r="CW27" s="128"/>
      <c r="CX27" s="128"/>
      <c r="DB27" s="138">
        <v>14.2</v>
      </c>
      <c r="DC27" s="138">
        <v>13</v>
      </c>
      <c r="DD27" s="128"/>
      <c r="DE27" s="128"/>
      <c r="DF27" s="128"/>
      <c r="DG27" s="128"/>
      <c r="DH27" s="128"/>
      <c r="DL27" s="138">
        <v>14.2</v>
      </c>
      <c r="DM27" s="138">
        <v>13</v>
      </c>
      <c r="DN27" s="128"/>
      <c r="DO27" s="128"/>
      <c r="DP27" s="128"/>
      <c r="DQ27" s="128"/>
      <c r="DR27" s="128"/>
      <c r="DV27" s="138">
        <v>14.2</v>
      </c>
      <c r="DW27" s="138">
        <v>13</v>
      </c>
      <c r="DX27" s="128"/>
      <c r="DY27" s="128"/>
      <c r="DZ27" s="128"/>
      <c r="EA27" s="128"/>
      <c r="EB27" s="128"/>
      <c r="EF27" s="138">
        <v>14.2</v>
      </c>
      <c r="EG27" s="138">
        <v>13</v>
      </c>
      <c r="EH27" s="128"/>
      <c r="EI27" s="128"/>
      <c r="EJ27" s="128"/>
      <c r="EK27" s="128"/>
      <c r="EL27" s="128"/>
      <c r="EP27" s="138">
        <v>14.2</v>
      </c>
      <c r="EQ27" s="138">
        <v>13</v>
      </c>
      <c r="ER27" s="128"/>
      <c r="ES27" s="128"/>
      <c r="ET27" s="128"/>
      <c r="EU27" s="128"/>
      <c r="EV27" s="128"/>
      <c r="EZ27" s="138">
        <v>14.2</v>
      </c>
      <c r="FA27" s="138">
        <v>13</v>
      </c>
      <c r="FB27" s="128"/>
      <c r="FC27" s="128"/>
      <c r="FD27" s="128"/>
      <c r="FE27" s="128"/>
      <c r="FF27" s="128"/>
      <c r="FJ27" s="138">
        <v>14.2</v>
      </c>
      <c r="FK27" s="138">
        <v>13</v>
      </c>
      <c r="FL27" s="128"/>
      <c r="FM27" s="128"/>
      <c r="FN27" s="128"/>
      <c r="FO27" s="128"/>
      <c r="FP27" s="128"/>
      <c r="FT27" s="138">
        <v>14.2</v>
      </c>
      <c r="FU27" s="138">
        <v>13</v>
      </c>
      <c r="FV27" s="128"/>
      <c r="FW27" s="128"/>
      <c r="FX27" s="128"/>
      <c r="FY27" s="128"/>
      <c r="FZ27" s="128"/>
      <c r="GD27" s="138">
        <v>14.2</v>
      </c>
      <c r="GE27" s="138">
        <v>13</v>
      </c>
      <c r="GF27" s="128"/>
      <c r="GG27" s="128"/>
      <c r="GH27" s="128"/>
      <c r="GI27" s="128"/>
      <c r="GJ27" s="128"/>
      <c r="GN27" s="138">
        <v>14.2</v>
      </c>
      <c r="GO27" s="138">
        <v>13</v>
      </c>
      <c r="GP27" s="128"/>
      <c r="GQ27" s="128"/>
      <c r="GR27" s="128"/>
      <c r="GS27" s="128"/>
      <c r="GT27" s="128"/>
      <c r="GX27" s="138">
        <v>14.2</v>
      </c>
      <c r="GY27" s="138">
        <v>13</v>
      </c>
      <c r="GZ27" s="128"/>
      <c r="HA27" s="128"/>
      <c r="HB27" s="128"/>
      <c r="HC27" s="128"/>
      <c r="HD27" s="128"/>
      <c r="HH27" s="138">
        <v>14.2</v>
      </c>
      <c r="HI27" s="138">
        <v>13</v>
      </c>
      <c r="HJ27" s="128"/>
      <c r="HK27" s="128"/>
      <c r="HL27" s="128"/>
      <c r="HM27" s="128"/>
      <c r="HN27" s="128"/>
      <c r="HR27" s="138">
        <v>14.2</v>
      </c>
      <c r="HS27" s="138">
        <v>13</v>
      </c>
      <c r="HT27" s="128"/>
      <c r="HU27" s="128"/>
      <c r="HV27" s="128"/>
      <c r="HW27" s="128"/>
      <c r="HX27" s="128"/>
      <c r="IB27" s="138">
        <v>14.2</v>
      </c>
      <c r="IC27" s="138">
        <v>13</v>
      </c>
      <c r="ID27" s="128"/>
      <c r="IE27" s="128"/>
      <c r="IF27" s="128"/>
      <c r="IG27" s="128"/>
      <c r="IH27" s="128"/>
      <c r="IL27" s="138">
        <v>14.2</v>
      </c>
      <c r="IM27" s="138">
        <v>13</v>
      </c>
      <c r="IN27" s="128"/>
      <c r="IO27" s="128"/>
      <c r="IP27" s="128"/>
      <c r="IQ27" s="128"/>
      <c r="IR27" s="128"/>
      <c r="IV27" s="138">
        <v>14.2</v>
      </c>
      <c r="IW27" s="138">
        <v>13</v>
      </c>
      <c r="IX27" s="128"/>
      <c r="IY27" s="128"/>
      <c r="IZ27" s="128"/>
      <c r="JA27" s="128"/>
      <c r="JB27" s="128"/>
      <c r="JF27" s="138">
        <v>14.2</v>
      </c>
      <c r="JG27" s="138">
        <v>13</v>
      </c>
      <c r="JH27" s="128"/>
      <c r="JI27" s="128"/>
      <c r="JJ27" s="128"/>
      <c r="JK27" s="128"/>
      <c r="JL27" s="128"/>
      <c r="JP27" s="138">
        <v>14.2</v>
      </c>
      <c r="JQ27" s="138">
        <v>13</v>
      </c>
      <c r="JR27" s="128"/>
      <c r="JS27" s="128"/>
      <c r="JT27" s="128"/>
      <c r="JU27" s="128"/>
      <c r="JV27" s="128"/>
      <c r="JZ27" s="138">
        <v>14.2</v>
      </c>
      <c r="KA27" s="138">
        <v>13</v>
      </c>
      <c r="KB27" s="128"/>
      <c r="KC27" s="128"/>
      <c r="KD27" s="128"/>
      <c r="KE27" s="128"/>
      <c r="KF27" s="128"/>
      <c r="KJ27" s="138">
        <v>14.2</v>
      </c>
      <c r="KK27" s="138">
        <v>13</v>
      </c>
    </row>
    <row r="28" spans="1:297" ht="15.75">
      <c r="A28" s="549" t="str">
        <f>"Cấp hậu quả của công trình:"</f>
        <v>Cấp hậu quả của công trình:</v>
      </c>
      <c r="B28" s="549"/>
      <c r="C28" s="549"/>
      <c r="D28" s="78" t="s">
        <v>182</v>
      </c>
      <c r="E28" s="61"/>
      <c r="F28" s="61"/>
      <c r="G28" s="563" t="s">
        <v>1020</v>
      </c>
      <c r="H28" s="563"/>
      <c r="I28" s="563"/>
      <c r="J28" s="68">
        <f>($J$27*$J$26/$N$27/$N$28)^(1/5)</f>
        <v>0.41651950845242902</v>
      </c>
      <c r="K28" s="563" t="s">
        <v>1021</v>
      </c>
      <c r="L28" s="563"/>
      <c r="M28" s="563"/>
      <c r="N28" s="68">
        <f>IF(D11="Cọc Tròn",PI()*(D13^4-D15^4)/64,D13^4/12)</f>
        <v>4.9087385212340497E-2</v>
      </c>
      <c r="O28" s="48"/>
      <c r="P28" s="48"/>
      <c r="R28" s="138">
        <v>16.2</v>
      </c>
      <c r="S28" s="138">
        <v>13</v>
      </c>
      <c r="U28" s="144">
        <v>10</v>
      </c>
      <c r="V28" s="138"/>
      <c r="Z28" s="138">
        <v>16.2</v>
      </c>
      <c r="AA28" s="138">
        <v>13</v>
      </c>
      <c r="AJ28" s="138">
        <v>16.2</v>
      </c>
      <c r="AK28" s="138">
        <v>10</v>
      </c>
      <c r="AL28" s="128"/>
      <c r="AM28" s="128"/>
      <c r="AN28" s="128"/>
      <c r="AO28" s="128"/>
      <c r="AP28" s="128"/>
      <c r="AT28" s="138">
        <v>16.2</v>
      </c>
      <c r="AU28" s="138">
        <v>50</v>
      </c>
      <c r="AV28" s="128"/>
      <c r="AW28" s="128"/>
      <c r="AX28" s="128"/>
      <c r="AY28" s="128"/>
      <c r="AZ28" s="128"/>
      <c r="BD28" s="138">
        <v>16.2</v>
      </c>
      <c r="BE28" s="138">
        <v>13</v>
      </c>
      <c r="BF28" s="128"/>
      <c r="BG28" s="128"/>
      <c r="BH28" s="128"/>
      <c r="BI28" s="128"/>
      <c r="BJ28" s="128"/>
      <c r="BN28" s="138">
        <v>16.2</v>
      </c>
      <c r="BO28" s="138">
        <v>13</v>
      </c>
      <c r="BP28" s="128"/>
      <c r="BQ28" s="128"/>
      <c r="BR28" s="128"/>
      <c r="BS28" s="128"/>
      <c r="BT28" s="128"/>
      <c r="BX28" s="138">
        <v>16.2</v>
      </c>
      <c r="BY28" s="138">
        <v>13</v>
      </c>
      <c r="BZ28" s="128"/>
      <c r="CA28" s="128"/>
      <c r="CB28" s="128"/>
      <c r="CC28" s="128"/>
      <c r="CD28" s="128"/>
      <c r="CH28" s="138">
        <v>16.2</v>
      </c>
      <c r="CI28" s="138">
        <v>13</v>
      </c>
      <c r="CJ28" s="128"/>
      <c r="CK28" s="128"/>
      <c r="CL28" s="128"/>
      <c r="CM28" s="128"/>
      <c r="CN28" s="128"/>
      <c r="CR28" s="138">
        <v>16.2</v>
      </c>
      <c r="CS28" s="138">
        <v>13</v>
      </c>
      <c r="CT28" s="128"/>
      <c r="CU28" s="128"/>
      <c r="CV28" s="128"/>
      <c r="CW28" s="128"/>
      <c r="CX28" s="128"/>
      <c r="DB28" s="138">
        <v>16.2</v>
      </c>
      <c r="DC28" s="138">
        <v>13</v>
      </c>
      <c r="DD28" s="128"/>
      <c r="DE28" s="128"/>
      <c r="DF28" s="128"/>
      <c r="DG28" s="128"/>
      <c r="DH28" s="128"/>
      <c r="DL28" s="138">
        <v>16.2</v>
      </c>
      <c r="DM28" s="138">
        <v>13</v>
      </c>
      <c r="DN28" s="128"/>
      <c r="DO28" s="128"/>
      <c r="DP28" s="128"/>
      <c r="DQ28" s="128"/>
      <c r="DR28" s="128"/>
      <c r="DV28" s="138">
        <v>16.2</v>
      </c>
      <c r="DW28" s="138">
        <v>13</v>
      </c>
      <c r="DX28" s="128"/>
      <c r="DY28" s="128"/>
      <c r="DZ28" s="128"/>
      <c r="EA28" s="128"/>
      <c r="EB28" s="128"/>
      <c r="EF28" s="138">
        <v>16.2</v>
      </c>
      <c r="EG28" s="138">
        <v>13</v>
      </c>
      <c r="EH28" s="128"/>
      <c r="EI28" s="128"/>
      <c r="EJ28" s="128"/>
      <c r="EK28" s="128"/>
      <c r="EL28" s="128"/>
      <c r="EP28" s="138">
        <v>16.2</v>
      </c>
      <c r="EQ28" s="138">
        <v>13</v>
      </c>
      <c r="ER28" s="128"/>
      <c r="ES28" s="128"/>
      <c r="ET28" s="128"/>
      <c r="EU28" s="128"/>
      <c r="EV28" s="128"/>
      <c r="EZ28" s="138">
        <v>16.2</v>
      </c>
      <c r="FA28" s="138">
        <v>13</v>
      </c>
      <c r="FB28" s="128"/>
      <c r="FC28" s="128"/>
      <c r="FD28" s="128"/>
      <c r="FE28" s="128"/>
      <c r="FF28" s="128"/>
      <c r="FJ28" s="138">
        <v>16.2</v>
      </c>
      <c r="FK28" s="138">
        <v>13</v>
      </c>
      <c r="FL28" s="128"/>
      <c r="FM28" s="128"/>
      <c r="FN28" s="128"/>
      <c r="FO28" s="128"/>
      <c r="FP28" s="128"/>
      <c r="FT28" s="138">
        <v>16.2</v>
      </c>
      <c r="FU28" s="138">
        <v>13</v>
      </c>
      <c r="FV28" s="128"/>
      <c r="FW28" s="128"/>
      <c r="FX28" s="128"/>
      <c r="FY28" s="128"/>
      <c r="FZ28" s="128"/>
      <c r="GD28" s="138">
        <v>16.2</v>
      </c>
      <c r="GE28" s="138">
        <v>13</v>
      </c>
      <c r="GF28" s="128"/>
      <c r="GG28" s="128"/>
      <c r="GH28" s="128"/>
      <c r="GI28" s="128"/>
      <c r="GJ28" s="128"/>
      <c r="GN28" s="138">
        <v>16.2</v>
      </c>
      <c r="GO28" s="138">
        <v>13</v>
      </c>
      <c r="GP28" s="128"/>
      <c r="GQ28" s="128"/>
      <c r="GR28" s="128"/>
      <c r="GS28" s="128"/>
      <c r="GT28" s="128"/>
      <c r="GX28" s="138">
        <v>16.2</v>
      </c>
      <c r="GY28" s="138">
        <v>13</v>
      </c>
      <c r="GZ28" s="128"/>
      <c r="HA28" s="128"/>
      <c r="HB28" s="128"/>
      <c r="HC28" s="128"/>
      <c r="HD28" s="128"/>
      <c r="HH28" s="138">
        <v>16.2</v>
      </c>
      <c r="HI28" s="138">
        <v>13</v>
      </c>
      <c r="HJ28" s="128"/>
      <c r="HK28" s="128"/>
      <c r="HL28" s="128"/>
      <c r="HM28" s="128"/>
      <c r="HN28" s="128"/>
      <c r="HR28" s="138">
        <v>16.2</v>
      </c>
      <c r="HS28" s="138">
        <v>13</v>
      </c>
      <c r="HT28" s="128"/>
      <c r="HU28" s="128"/>
      <c r="HV28" s="128"/>
      <c r="HW28" s="128"/>
      <c r="HX28" s="128"/>
      <c r="IB28" s="138">
        <v>16.2</v>
      </c>
      <c r="IC28" s="138">
        <v>13</v>
      </c>
      <c r="ID28" s="128"/>
      <c r="IE28" s="128"/>
      <c r="IF28" s="128"/>
      <c r="IG28" s="128"/>
      <c r="IH28" s="128"/>
      <c r="IL28" s="138">
        <v>16.2</v>
      </c>
      <c r="IM28" s="138">
        <v>13</v>
      </c>
      <c r="IN28" s="128"/>
      <c r="IO28" s="128"/>
      <c r="IP28" s="128"/>
      <c r="IQ28" s="128"/>
      <c r="IR28" s="128"/>
      <c r="IV28" s="138">
        <v>16.2</v>
      </c>
      <c r="IW28" s="138">
        <v>13</v>
      </c>
      <c r="IX28" s="128"/>
      <c r="IY28" s="128"/>
      <c r="IZ28" s="128"/>
      <c r="JA28" s="128"/>
      <c r="JB28" s="128"/>
      <c r="JF28" s="138">
        <v>16.2</v>
      </c>
      <c r="JG28" s="138">
        <v>13</v>
      </c>
      <c r="JH28" s="128"/>
      <c r="JI28" s="128"/>
      <c r="JJ28" s="128"/>
      <c r="JK28" s="128"/>
      <c r="JL28" s="128"/>
      <c r="JP28" s="138">
        <v>16.2</v>
      </c>
      <c r="JQ28" s="138">
        <v>13</v>
      </c>
      <c r="JR28" s="128"/>
      <c r="JS28" s="128"/>
      <c r="JT28" s="128"/>
      <c r="JU28" s="128"/>
      <c r="JV28" s="128"/>
      <c r="JZ28" s="138">
        <v>16.2</v>
      </c>
      <c r="KA28" s="138">
        <v>13</v>
      </c>
      <c r="KB28" s="128"/>
      <c r="KC28" s="128"/>
      <c r="KD28" s="128"/>
      <c r="KE28" s="128"/>
      <c r="KF28" s="128"/>
      <c r="KJ28" s="138">
        <v>16.2</v>
      </c>
      <c r="KK28" s="138">
        <v>13</v>
      </c>
    </row>
    <row r="29" spans="1:297" ht="15" customHeight="1">
      <c r="A29" s="550" t="s">
        <v>894</v>
      </c>
      <c r="B29" s="550"/>
      <c r="C29" s="550"/>
      <c r="D29" s="83">
        <f>IF(D28="C1",1,IF(D28="C2",1.15,1.2))</f>
        <v>1.2</v>
      </c>
      <c r="E29" s="61"/>
      <c r="F29" s="61"/>
      <c r="G29" s="564" t="s">
        <v>1022</v>
      </c>
      <c r="H29" s="565"/>
      <c r="I29" s="566"/>
      <c r="J29" s="71">
        <f>3/J28</f>
        <v>7.2025437923578801</v>
      </c>
      <c r="K29" s="563"/>
      <c r="L29" s="563"/>
      <c r="M29" s="563"/>
      <c r="N29" s="68"/>
      <c r="O29" s="48"/>
      <c r="P29" s="48"/>
      <c r="R29" s="138">
        <v>18.2</v>
      </c>
      <c r="S29" s="138">
        <v>13</v>
      </c>
      <c r="U29" s="144">
        <v>11</v>
      </c>
      <c r="V29" s="138"/>
      <c r="Z29" s="138">
        <v>18.2</v>
      </c>
      <c r="AA29" s="138">
        <v>13</v>
      </c>
      <c r="AJ29" s="138">
        <v>18.2</v>
      </c>
      <c r="AK29" s="138">
        <v>11</v>
      </c>
      <c r="AL29" s="128"/>
      <c r="AM29" s="128"/>
      <c r="AN29" s="128"/>
      <c r="AO29" s="128"/>
      <c r="AP29" s="128"/>
      <c r="AT29" s="138">
        <v>18.2</v>
      </c>
      <c r="AU29" s="138">
        <v>55</v>
      </c>
      <c r="AV29" s="128"/>
      <c r="AW29" s="128"/>
      <c r="AX29" s="128"/>
      <c r="AY29" s="128"/>
      <c r="AZ29" s="128"/>
      <c r="BD29" s="138">
        <v>18.2</v>
      </c>
      <c r="BE29" s="138">
        <v>13</v>
      </c>
      <c r="BF29" s="128"/>
      <c r="BG29" s="128"/>
      <c r="BH29" s="128"/>
      <c r="BI29" s="128"/>
      <c r="BJ29" s="128"/>
      <c r="BN29" s="138">
        <v>18.2</v>
      </c>
      <c r="BO29" s="138">
        <v>13</v>
      </c>
      <c r="BP29" s="128"/>
      <c r="BQ29" s="128"/>
      <c r="BR29" s="128"/>
      <c r="BS29" s="128"/>
      <c r="BT29" s="128"/>
      <c r="BX29" s="138">
        <v>18.2</v>
      </c>
      <c r="BY29" s="138">
        <v>13</v>
      </c>
      <c r="BZ29" s="128"/>
      <c r="CA29" s="128"/>
      <c r="CB29" s="128"/>
      <c r="CC29" s="128"/>
      <c r="CD29" s="128"/>
      <c r="CH29" s="138">
        <v>18.2</v>
      </c>
      <c r="CI29" s="138">
        <v>13</v>
      </c>
      <c r="CJ29" s="128"/>
      <c r="CK29" s="128"/>
      <c r="CL29" s="128"/>
      <c r="CM29" s="128"/>
      <c r="CN29" s="128"/>
      <c r="CR29" s="138">
        <v>18.2</v>
      </c>
      <c r="CS29" s="138">
        <v>13</v>
      </c>
      <c r="CT29" s="128"/>
      <c r="CU29" s="128"/>
      <c r="CV29" s="128"/>
      <c r="CW29" s="128"/>
      <c r="CX29" s="128"/>
      <c r="DB29" s="138">
        <v>18.2</v>
      </c>
      <c r="DC29" s="138">
        <v>13</v>
      </c>
      <c r="DD29" s="128"/>
      <c r="DE29" s="128"/>
      <c r="DF29" s="128"/>
      <c r="DG29" s="128"/>
      <c r="DH29" s="128"/>
      <c r="DL29" s="138">
        <v>18.2</v>
      </c>
      <c r="DM29" s="138">
        <v>13</v>
      </c>
      <c r="DN29" s="128"/>
      <c r="DO29" s="128"/>
      <c r="DP29" s="128"/>
      <c r="DQ29" s="128"/>
      <c r="DR29" s="128"/>
      <c r="DV29" s="138">
        <v>18.2</v>
      </c>
      <c r="DW29" s="138">
        <v>13</v>
      </c>
      <c r="DX29" s="128"/>
      <c r="DY29" s="128"/>
      <c r="DZ29" s="128"/>
      <c r="EA29" s="128"/>
      <c r="EB29" s="128"/>
      <c r="EF29" s="138">
        <v>18.2</v>
      </c>
      <c r="EG29" s="138">
        <v>13</v>
      </c>
      <c r="EH29" s="128"/>
      <c r="EI29" s="128"/>
      <c r="EJ29" s="128"/>
      <c r="EK29" s="128"/>
      <c r="EL29" s="128"/>
      <c r="EP29" s="138">
        <v>18.2</v>
      </c>
      <c r="EQ29" s="138">
        <v>13</v>
      </c>
      <c r="ER29" s="128"/>
      <c r="ES29" s="128"/>
      <c r="ET29" s="128"/>
      <c r="EU29" s="128"/>
      <c r="EV29" s="128"/>
      <c r="EZ29" s="138">
        <v>18.2</v>
      </c>
      <c r="FA29" s="138">
        <v>13</v>
      </c>
      <c r="FB29" s="128"/>
      <c r="FC29" s="128"/>
      <c r="FD29" s="128"/>
      <c r="FE29" s="128"/>
      <c r="FF29" s="128"/>
      <c r="FJ29" s="138">
        <v>18.2</v>
      </c>
      <c r="FK29" s="138">
        <v>13</v>
      </c>
      <c r="FL29" s="128"/>
      <c r="FM29" s="128"/>
      <c r="FN29" s="128"/>
      <c r="FO29" s="128"/>
      <c r="FP29" s="128"/>
      <c r="FT29" s="138">
        <v>18.2</v>
      </c>
      <c r="FU29" s="138">
        <v>13</v>
      </c>
      <c r="FV29" s="128"/>
      <c r="FW29" s="128"/>
      <c r="FX29" s="128"/>
      <c r="FY29" s="128"/>
      <c r="FZ29" s="128"/>
      <c r="GD29" s="138">
        <v>18.2</v>
      </c>
      <c r="GE29" s="138">
        <v>13</v>
      </c>
      <c r="GF29" s="128"/>
      <c r="GG29" s="128"/>
      <c r="GH29" s="128"/>
      <c r="GI29" s="128"/>
      <c r="GJ29" s="128"/>
      <c r="GN29" s="138">
        <v>18.2</v>
      </c>
      <c r="GO29" s="138">
        <v>13</v>
      </c>
      <c r="GP29" s="128"/>
      <c r="GQ29" s="128"/>
      <c r="GR29" s="128"/>
      <c r="GS29" s="128"/>
      <c r="GT29" s="128"/>
      <c r="GX29" s="138">
        <v>18.2</v>
      </c>
      <c r="GY29" s="138">
        <v>13</v>
      </c>
      <c r="GZ29" s="128"/>
      <c r="HA29" s="128"/>
      <c r="HB29" s="128"/>
      <c r="HC29" s="128"/>
      <c r="HD29" s="128"/>
      <c r="HH29" s="138">
        <v>18.2</v>
      </c>
      <c r="HI29" s="138">
        <v>13</v>
      </c>
      <c r="HJ29" s="128"/>
      <c r="HK29" s="128"/>
      <c r="HL29" s="128"/>
      <c r="HM29" s="128"/>
      <c r="HN29" s="128"/>
      <c r="HR29" s="138">
        <v>18.2</v>
      </c>
      <c r="HS29" s="138">
        <v>13</v>
      </c>
      <c r="HT29" s="128"/>
      <c r="HU29" s="128"/>
      <c r="HV29" s="128"/>
      <c r="HW29" s="128"/>
      <c r="HX29" s="128"/>
      <c r="IB29" s="138">
        <v>18.2</v>
      </c>
      <c r="IC29" s="138">
        <v>13</v>
      </c>
      <c r="ID29" s="128"/>
      <c r="IE29" s="128"/>
      <c r="IF29" s="128"/>
      <c r="IG29" s="128"/>
      <c r="IH29" s="128"/>
      <c r="IL29" s="138">
        <v>18.2</v>
      </c>
      <c r="IM29" s="138">
        <v>13</v>
      </c>
      <c r="IN29" s="128"/>
      <c r="IO29" s="128"/>
      <c r="IP29" s="128"/>
      <c r="IQ29" s="128"/>
      <c r="IR29" s="128"/>
      <c r="IV29" s="138">
        <v>18.2</v>
      </c>
      <c r="IW29" s="138">
        <v>13</v>
      </c>
      <c r="IX29" s="128"/>
      <c r="IY29" s="128"/>
      <c r="IZ29" s="128"/>
      <c r="JA29" s="128"/>
      <c r="JB29" s="128"/>
      <c r="JF29" s="138">
        <v>18.2</v>
      </c>
      <c r="JG29" s="138">
        <v>13</v>
      </c>
      <c r="JH29" s="128"/>
      <c r="JI29" s="128"/>
      <c r="JJ29" s="128"/>
      <c r="JK29" s="128"/>
      <c r="JL29" s="128"/>
      <c r="JP29" s="138">
        <v>18.2</v>
      </c>
      <c r="JQ29" s="138">
        <v>13</v>
      </c>
      <c r="JR29" s="128"/>
      <c r="JS29" s="128"/>
      <c r="JT29" s="128"/>
      <c r="JU29" s="128"/>
      <c r="JV29" s="128"/>
      <c r="JZ29" s="138">
        <v>18.2</v>
      </c>
      <c r="KA29" s="138">
        <v>13</v>
      </c>
      <c r="KB29" s="128"/>
      <c r="KC29" s="128"/>
      <c r="KD29" s="128"/>
      <c r="KE29" s="128"/>
      <c r="KF29" s="128"/>
      <c r="KJ29" s="138">
        <v>18.2</v>
      </c>
      <c r="KK29" s="138">
        <v>13</v>
      </c>
    </row>
    <row r="30" spans="1:297" ht="15" customHeight="1">
      <c r="A30" s="550" t="s">
        <v>991</v>
      </c>
      <c r="B30" s="525"/>
      <c r="C30" s="525"/>
      <c r="D30" s="84">
        <v>1.5</v>
      </c>
      <c r="E30" s="61"/>
      <c r="F30" s="145"/>
      <c r="G30" s="570" t="s">
        <v>1023</v>
      </c>
      <c r="H30" s="570"/>
      <c r="I30" s="570"/>
      <c r="J30" s="570"/>
      <c r="K30" s="570"/>
      <c r="L30" s="570"/>
      <c r="M30" s="570"/>
      <c r="N30" s="570"/>
      <c r="O30" s="145"/>
      <c r="P30" s="48"/>
      <c r="R30" s="138">
        <v>20.2</v>
      </c>
      <c r="S30" s="138">
        <v>14</v>
      </c>
      <c r="U30" s="144">
        <v>12</v>
      </c>
      <c r="V30" s="138"/>
      <c r="Z30" s="138">
        <v>20.2</v>
      </c>
      <c r="AA30" s="138">
        <v>14</v>
      </c>
      <c r="AJ30" s="138">
        <v>20.2</v>
      </c>
      <c r="AK30" s="138">
        <v>12</v>
      </c>
      <c r="AL30" s="128"/>
      <c r="AM30" s="128"/>
      <c r="AN30" s="128"/>
      <c r="AO30" s="128"/>
      <c r="AP30" s="128"/>
      <c r="AT30" s="138">
        <v>20.2</v>
      </c>
      <c r="AU30" s="138">
        <v>60</v>
      </c>
      <c r="AV30" s="128"/>
      <c r="AW30" s="128"/>
      <c r="AX30" s="128"/>
      <c r="AY30" s="128"/>
      <c r="AZ30" s="128"/>
      <c r="BD30" s="138">
        <v>20.2</v>
      </c>
      <c r="BE30" s="138">
        <v>14</v>
      </c>
      <c r="BF30" s="128"/>
      <c r="BG30" s="128"/>
      <c r="BH30" s="128"/>
      <c r="BI30" s="128"/>
      <c r="BJ30" s="128"/>
      <c r="BN30" s="138">
        <v>20.2</v>
      </c>
      <c r="BO30" s="138">
        <v>14</v>
      </c>
      <c r="BP30" s="128"/>
      <c r="BQ30" s="128"/>
      <c r="BR30" s="128"/>
      <c r="BS30" s="128"/>
      <c r="BT30" s="128"/>
      <c r="BX30" s="138">
        <v>20.2</v>
      </c>
      <c r="BY30" s="138">
        <v>14</v>
      </c>
      <c r="BZ30" s="128"/>
      <c r="CA30" s="128"/>
      <c r="CB30" s="128"/>
      <c r="CC30" s="128"/>
      <c r="CD30" s="128"/>
      <c r="CH30" s="138">
        <v>20.2</v>
      </c>
      <c r="CI30" s="138">
        <v>14</v>
      </c>
      <c r="CJ30" s="128"/>
      <c r="CK30" s="128"/>
      <c r="CL30" s="128"/>
      <c r="CM30" s="128"/>
      <c r="CN30" s="128"/>
      <c r="CR30" s="138">
        <v>20.2</v>
      </c>
      <c r="CS30" s="138">
        <v>14</v>
      </c>
      <c r="CT30" s="128"/>
      <c r="CU30" s="128"/>
      <c r="CV30" s="128"/>
      <c r="CW30" s="128"/>
      <c r="CX30" s="128"/>
      <c r="DB30" s="138">
        <v>20.2</v>
      </c>
      <c r="DC30" s="138">
        <v>14</v>
      </c>
      <c r="DD30" s="128"/>
      <c r="DE30" s="128"/>
      <c r="DF30" s="128"/>
      <c r="DG30" s="128"/>
      <c r="DH30" s="128"/>
      <c r="DL30" s="138">
        <v>20.2</v>
      </c>
      <c r="DM30" s="138">
        <v>14</v>
      </c>
      <c r="DN30" s="128"/>
      <c r="DO30" s="128"/>
      <c r="DP30" s="128"/>
      <c r="DQ30" s="128"/>
      <c r="DR30" s="128"/>
      <c r="DV30" s="138">
        <v>20.2</v>
      </c>
      <c r="DW30" s="138">
        <v>14</v>
      </c>
      <c r="DX30" s="128"/>
      <c r="DY30" s="128"/>
      <c r="DZ30" s="128"/>
      <c r="EA30" s="128"/>
      <c r="EB30" s="128"/>
      <c r="EF30" s="138">
        <v>20.2</v>
      </c>
      <c r="EG30" s="138">
        <v>14</v>
      </c>
      <c r="EH30" s="128"/>
      <c r="EI30" s="128"/>
      <c r="EJ30" s="128"/>
      <c r="EK30" s="128"/>
      <c r="EL30" s="128"/>
      <c r="EP30" s="138">
        <v>20.2</v>
      </c>
      <c r="EQ30" s="138">
        <v>14</v>
      </c>
      <c r="ER30" s="128"/>
      <c r="ES30" s="128"/>
      <c r="ET30" s="128"/>
      <c r="EU30" s="128"/>
      <c r="EV30" s="128"/>
      <c r="EZ30" s="138">
        <v>20.2</v>
      </c>
      <c r="FA30" s="138">
        <v>14</v>
      </c>
      <c r="FB30" s="128"/>
      <c r="FC30" s="128"/>
      <c r="FD30" s="128"/>
      <c r="FE30" s="128"/>
      <c r="FF30" s="128"/>
      <c r="FJ30" s="138">
        <v>20.2</v>
      </c>
      <c r="FK30" s="138">
        <v>14</v>
      </c>
      <c r="FL30" s="128"/>
      <c r="FM30" s="128"/>
      <c r="FN30" s="128"/>
      <c r="FO30" s="128"/>
      <c r="FP30" s="128"/>
      <c r="FT30" s="138">
        <v>20.2</v>
      </c>
      <c r="FU30" s="138">
        <v>14</v>
      </c>
      <c r="FV30" s="128"/>
      <c r="FW30" s="128"/>
      <c r="FX30" s="128"/>
      <c r="FY30" s="128"/>
      <c r="FZ30" s="128"/>
      <c r="GD30" s="138">
        <v>20.2</v>
      </c>
      <c r="GE30" s="138">
        <v>14</v>
      </c>
      <c r="GF30" s="128"/>
      <c r="GG30" s="128"/>
      <c r="GH30" s="128"/>
      <c r="GI30" s="128"/>
      <c r="GJ30" s="128"/>
      <c r="GN30" s="138">
        <v>20.2</v>
      </c>
      <c r="GO30" s="138">
        <v>14</v>
      </c>
      <c r="GP30" s="128"/>
      <c r="GQ30" s="128"/>
      <c r="GR30" s="128"/>
      <c r="GS30" s="128"/>
      <c r="GT30" s="128"/>
      <c r="GX30" s="138">
        <v>20.2</v>
      </c>
      <c r="GY30" s="138">
        <v>14</v>
      </c>
      <c r="GZ30" s="128"/>
      <c r="HA30" s="128"/>
      <c r="HB30" s="128"/>
      <c r="HC30" s="128"/>
      <c r="HD30" s="128"/>
      <c r="HH30" s="138">
        <v>20.2</v>
      </c>
      <c r="HI30" s="138">
        <v>14</v>
      </c>
      <c r="HJ30" s="128"/>
      <c r="HK30" s="128"/>
      <c r="HL30" s="128"/>
      <c r="HM30" s="128"/>
      <c r="HN30" s="128"/>
      <c r="HR30" s="138">
        <v>20.2</v>
      </c>
      <c r="HS30" s="138">
        <v>14</v>
      </c>
      <c r="HT30" s="128"/>
      <c r="HU30" s="128"/>
      <c r="HV30" s="128"/>
      <c r="HW30" s="128"/>
      <c r="HX30" s="128"/>
      <c r="IB30" s="138">
        <v>20.2</v>
      </c>
      <c r="IC30" s="138">
        <v>14</v>
      </c>
      <c r="ID30" s="128"/>
      <c r="IE30" s="128"/>
      <c r="IF30" s="128"/>
      <c r="IG30" s="128"/>
      <c r="IH30" s="128"/>
      <c r="IL30" s="138">
        <v>20.2</v>
      </c>
      <c r="IM30" s="138">
        <v>14</v>
      </c>
      <c r="IN30" s="128"/>
      <c r="IO30" s="128"/>
      <c r="IP30" s="128"/>
      <c r="IQ30" s="128"/>
      <c r="IR30" s="128"/>
      <c r="IV30" s="138">
        <v>20.2</v>
      </c>
      <c r="IW30" s="138">
        <v>14</v>
      </c>
      <c r="IX30" s="128"/>
      <c r="IY30" s="128"/>
      <c r="IZ30" s="128"/>
      <c r="JA30" s="128"/>
      <c r="JB30" s="128"/>
      <c r="JF30" s="138">
        <v>20.2</v>
      </c>
      <c r="JG30" s="138">
        <v>14</v>
      </c>
      <c r="JH30" s="128"/>
      <c r="JI30" s="128"/>
      <c r="JJ30" s="128"/>
      <c r="JK30" s="128"/>
      <c r="JL30" s="128"/>
      <c r="JP30" s="138">
        <v>20.2</v>
      </c>
      <c r="JQ30" s="138">
        <v>14</v>
      </c>
      <c r="JR30" s="128"/>
      <c r="JS30" s="128"/>
      <c r="JT30" s="128"/>
      <c r="JU30" s="128"/>
      <c r="JV30" s="128"/>
      <c r="JZ30" s="138">
        <v>20.2</v>
      </c>
      <c r="KA30" s="138">
        <v>14</v>
      </c>
      <c r="KB30" s="128"/>
      <c r="KC30" s="128"/>
      <c r="KD30" s="128"/>
      <c r="KE30" s="128"/>
      <c r="KF30" s="128"/>
      <c r="KJ30" s="138">
        <v>20.2</v>
      </c>
      <c r="KK30" s="138">
        <v>14</v>
      </c>
    </row>
    <row r="31" spans="1:297" ht="15" customHeight="1">
      <c r="A31" s="546" t="s">
        <v>992</v>
      </c>
      <c r="B31" s="547"/>
      <c r="C31" s="548"/>
      <c r="D31" s="57" t="s">
        <v>993</v>
      </c>
      <c r="E31" s="145"/>
      <c r="F31" s="145"/>
      <c r="G31" s="571"/>
      <c r="H31" s="571"/>
      <c r="I31" s="571"/>
      <c r="J31" s="571"/>
      <c r="K31" s="571"/>
      <c r="L31" s="571"/>
      <c r="M31" s="571"/>
      <c r="N31" s="571"/>
      <c r="O31" s="145"/>
      <c r="P31" s="48"/>
      <c r="R31" s="138">
        <v>22.2</v>
      </c>
      <c r="S31" s="138">
        <v>14</v>
      </c>
      <c r="U31" s="144">
        <v>13</v>
      </c>
      <c r="V31" s="138"/>
      <c r="Z31" s="138">
        <v>22.2</v>
      </c>
      <c r="AA31" s="138">
        <v>14</v>
      </c>
      <c r="AJ31" s="138">
        <v>22.2</v>
      </c>
      <c r="AK31" s="138">
        <v>13</v>
      </c>
      <c r="AL31" s="128"/>
      <c r="AM31" s="128"/>
      <c r="AN31" s="128"/>
      <c r="AO31" s="128"/>
      <c r="AP31" s="128"/>
      <c r="AT31" s="138">
        <v>22.2</v>
      </c>
      <c r="AU31" s="138">
        <v>65</v>
      </c>
      <c r="AV31" s="128"/>
      <c r="AW31" s="128"/>
      <c r="AX31" s="128"/>
      <c r="AY31" s="128"/>
      <c r="AZ31" s="128"/>
      <c r="BD31" s="138">
        <v>22.2</v>
      </c>
      <c r="BE31" s="138">
        <v>14</v>
      </c>
      <c r="BF31" s="128"/>
      <c r="BG31" s="128"/>
      <c r="BH31" s="128"/>
      <c r="BI31" s="128"/>
      <c r="BJ31" s="128"/>
      <c r="BN31" s="138">
        <v>22.2</v>
      </c>
      <c r="BO31" s="138">
        <v>14</v>
      </c>
      <c r="BP31" s="128"/>
      <c r="BQ31" s="128"/>
      <c r="BR31" s="128"/>
      <c r="BS31" s="128"/>
      <c r="BT31" s="128"/>
      <c r="BX31" s="138">
        <v>22.2</v>
      </c>
      <c r="BY31" s="138">
        <v>14</v>
      </c>
      <c r="BZ31" s="128"/>
      <c r="CA31" s="128"/>
      <c r="CB31" s="128"/>
      <c r="CC31" s="128"/>
      <c r="CD31" s="128"/>
      <c r="CH31" s="138">
        <v>22.2</v>
      </c>
      <c r="CI31" s="138">
        <v>14</v>
      </c>
      <c r="CJ31" s="128"/>
      <c r="CK31" s="128"/>
      <c r="CL31" s="128"/>
      <c r="CM31" s="128"/>
      <c r="CN31" s="128"/>
      <c r="CR31" s="138">
        <v>22.2</v>
      </c>
      <c r="CS31" s="138">
        <v>14</v>
      </c>
      <c r="CT31" s="128"/>
      <c r="CU31" s="128"/>
      <c r="CV31" s="128"/>
      <c r="CW31" s="128"/>
      <c r="CX31" s="128"/>
      <c r="DB31" s="138">
        <v>22.2</v>
      </c>
      <c r="DC31" s="138">
        <v>14</v>
      </c>
      <c r="DD31" s="128"/>
      <c r="DE31" s="128"/>
      <c r="DF31" s="128"/>
      <c r="DG31" s="128"/>
      <c r="DH31" s="128"/>
      <c r="DL31" s="138">
        <v>22.2</v>
      </c>
      <c r="DM31" s="138">
        <v>14</v>
      </c>
      <c r="DN31" s="128"/>
      <c r="DO31" s="128"/>
      <c r="DP31" s="128"/>
      <c r="DQ31" s="128"/>
      <c r="DR31" s="128"/>
      <c r="DV31" s="138">
        <v>22.2</v>
      </c>
      <c r="DW31" s="138">
        <v>14</v>
      </c>
      <c r="DX31" s="128"/>
      <c r="DY31" s="128"/>
      <c r="DZ31" s="128"/>
      <c r="EA31" s="128"/>
      <c r="EB31" s="128"/>
      <c r="EF31" s="138">
        <v>22.2</v>
      </c>
      <c r="EG31" s="138">
        <v>14</v>
      </c>
      <c r="EH31" s="128"/>
      <c r="EI31" s="128"/>
      <c r="EJ31" s="128"/>
      <c r="EK31" s="128"/>
      <c r="EL31" s="128"/>
      <c r="EP31" s="138">
        <v>22.2</v>
      </c>
      <c r="EQ31" s="138">
        <v>14</v>
      </c>
      <c r="ER31" s="128"/>
      <c r="ES31" s="128"/>
      <c r="ET31" s="128"/>
      <c r="EU31" s="128"/>
      <c r="EV31" s="128"/>
      <c r="EZ31" s="138">
        <v>22.2</v>
      </c>
      <c r="FA31" s="138">
        <v>14</v>
      </c>
      <c r="FB31" s="128"/>
      <c r="FC31" s="128"/>
      <c r="FD31" s="128"/>
      <c r="FE31" s="128"/>
      <c r="FF31" s="128"/>
      <c r="FJ31" s="138">
        <v>22.2</v>
      </c>
      <c r="FK31" s="138">
        <v>14</v>
      </c>
      <c r="FL31" s="128"/>
      <c r="FM31" s="128"/>
      <c r="FN31" s="128"/>
      <c r="FO31" s="128"/>
      <c r="FP31" s="128"/>
      <c r="FT31" s="138">
        <v>22.2</v>
      </c>
      <c r="FU31" s="138">
        <v>14</v>
      </c>
      <c r="FV31" s="128"/>
      <c r="FW31" s="128"/>
      <c r="FX31" s="128"/>
      <c r="FY31" s="128"/>
      <c r="FZ31" s="128"/>
      <c r="GD31" s="138">
        <v>22.2</v>
      </c>
      <c r="GE31" s="138">
        <v>14</v>
      </c>
      <c r="GF31" s="128"/>
      <c r="GG31" s="128"/>
      <c r="GH31" s="128"/>
      <c r="GI31" s="128"/>
      <c r="GJ31" s="128"/>
      <c r="GN31" s="138">
        <v>22.2</v>
      </c>
      <c r="GO31" s="138">
        <v>14</v>
      </c>
      <c r="GP31" s="128"/>
      <c r="GQ31" s="128"/>
      <c r="GR31" s="128"/>
      <c r="GS31" s="128"/>
      <c r="GT31" s="128"/>
      <c r="GX31" s="138">
        <v>22.2</v>
      </c>
      <c r="GY31" s="138">
        <v>14</v>
      </c>
      <c r="GZ31" s="128"/>
      <c r="HA31" s="128"/>
      <c r="HB31" s="128"/>
      <c r="HC31" s="128"/>
      <c r="HD31" s="128"/>
      <c r="HH31" s="138">
        <v>22.2</v>
      </c>
      <c r="HI31" s="138">
        <v>14</v>
      </c>
      <c r="HJ31" s="128"/>
      <c r="HK31" s="128"/>
      <c r="HL31" s="128"/>
      <c r="HM31" s="128"/>
      <c r="HN31" s="128"/>
      <c r="HR31" s="138">
        <v>22.2</v>
      </c>
      <c r="HS31" s="138">
        <v>14</v>
      </c>
      <c r="HT31" s="128"/>
      <c r="HU31" s="128"/>
      <c r="HV31" s="128"/>
      <c r="HW31" s="128"/>
      <c r="HX31" s="128"/>
      <c r="IB31" s="138">
        <v>22.2</v>
      </c>
      <c r="IC31" s="138">
        <v>14</v>
      </c>
      <c r="ID31" s="128"/>
      <c r="IE31" s="128"/>
      <c r="IF31" s="128"/>
      <c r="IG31" s="128"/>
      <c r="IH31" s="128"/>
      <c r="IL31" s="138">
        <v>22.2</v>
      </c>
      <c r="IM31" s="138">
        <v>14</v>
      </c>
      <c r="IN31" s="128"/>
      <c r="IO31" s="128"/>
      <c r="IP31" s="128"/>
      <c r="IQ31" s="128"/>
      <c r="IR31" s="128"/>
      <c r="IV31" s="138">
        <v>22.2</v>
      </c>
      <c r="IW31" s="138">
        <v>14</v>
      </c>
      <c r="IX31" s="128"/>
      <c r="IY31" s="128"/>
      <c r="IZ31" s="128"/>
      <c r="JA31" s="128"/>
      <c r="JB31" s="128"/>
      <c r="JF31" s="138">
        <v>22.2</v>
      </c>
      <c r="JG31" s="138">
        <v>14</v>
      </c>
      <c r="JH31" s="128"/>
      <c r="JI31" s="128"/>
      <c r="JJ31" s="128"/>
      <c r="JK31" s="128"/>
      <c r="JL31" s="128"/>
      <c r="JP31" s="138">
        <v>22.2</v>
      </c>
      <c r="JQ31" s="138">
        <v>14</v>
      </c>
      <c r="JR31" s="128"/>
      <c r="JS31" s="128"/>
      <c r="JT31" s="128"/>
      <c r="JU31" s="128"/>
      <c r="JV31" s="128"/>
      <c r="JZ31" s="138">
        <v>22.2</v>
      </c>
      <c r="KA31" s="138">
        <v>14</v>
      </c>
      <c r="KB31" s="128"/>
      <c r="KC31" s="128"/>
      <c r="KD31" s="128"/>
      <c r="KE31" s="128"/>
      <c r="KF31" s="128"/>
      <c r="KJ31" s="138">
        <v>22.2</v>
      </c>
      <c r="KK31" s="138">
        <v>14</v>
      </c>
    </row>
    <row r="32" spans="1:297" ht="15.75">
      <c r="A32" s="550" t="s">
        <v>995</v>
      </c>
      <c r="B32" s="550"/>
      <c r="C32" s="550"/>
      <c r="D32" s="21">
        <f>IF(D31="Yes",IF(D11="Cọc tròn",PI()*(D13^2-D15^2)/4,D13^2)*D21*2.5*10*IF($D$28="C1",1.1,IF(D28="C2",1.1,1.1)),0)</f>
        <v>539.96123733574598</v>
      </c>
      <c r="E32" s="145"/>
      <c r="F32" s="145"/>
      <c r="G32" s="552" t="s">
        <v>991</v>
      </c>
      <c r="H32" s="552"/>
      <c r="I32" s="552"/>
      <c r="J32" s="556">
        <v>1.6</v>
      </c>
      <c r="K32" s="550" t="s">
        <v>996</v>
      </c>
      <c r="L32" s="525"/>
      <c r="M32" s="525"/>
      <c r="N32" s="146">
        <f>FLOOR(D27/J32-D32,10)</f>
        <v>1900</v>
      </c>
      <c r="O32" s="145"/>
      <c r="P32" s="121"/>
      <c r="R32" s="138">
        <v>24.2</v>
      </c>
      <c r="S32" s="138">
        <v>15</v>
      </c>
      <c r="U32" s="144">
        <v>14</v>
      </c>
      <c r="V32" s="138"/>
      <c r="Z32" s="138">
        <v>24.2</v>
      </c>
      <c r="AA32" s="138">
        <v>15</v>
      </c>
      <c r="AJ32" s="138">
        <v>24.2</v>
      </c>
      <c r="AK32" s="138">
        <v>14</v>
      </c>
      <c r="AL32" s="128"/>
      <c r="AM32" s="128"/>
      <c r="AN32" s="128"/>
      <c r="AO32" s="128"/>
      <c r="AP32" s="128"/>
      <c r="AT32" s="138">
        <v>24.2</v>
      </c>
      <c r="AU32" s="138">
        <v>70</v>
      </c>
      <c r="AV32" s="128"/>
      <c r="AW32" s="128"/>
      <c r="AX32" s="128"/>
      <c r="AY32" s="128"/>
      <c r="AZ32" s="128"/>
      <c r="BD32" s="138">
        <v>24.2</v>
      </c>
      <c r="BE32" s="138">
        <v>15</v>
      </c>
      <c r="BF32" s="128"/>
      <c r="BG32" s="128"/>
      <c r="BH32" s="128"/>
      <c r="BI32" s="128"/>
      <c r="BJ32" s="128"/>
      <c r="BN32" s="138">
        <v>24.2</v>
      </c>
      <c r="BO32" s="138">
        <v>15</v>
      </c>
      <c r="BP32" s="128"/>
      <c r="BQ32" s="128"/>
      <c r="BR32" s="128"/>
      <c r="BS32" s="128"/>
      <c r="BT32" s="128"/>
      <c r="BX32" s="138">
        <v>24.2</v>
      </c>
      <c r="BY32" s="138">
        <v>15</v>
      </c>
      <c r="BZ32" s="128"/>
      <c r="CA32" s="128"/>
      <c r="CB32" s="128"/>
      <c r="CC32" s="128"/>
      <c r="CD32" s="128"/>
      <c r="CH32" s="138">
        <v>24.2</v>
      </c>
      <c r="CI32" s="138">
        <v>15</v>
      </c>
      <c r="CJ32" s="128"/>
      <c r="CK32" s="128"/>
      <c r="CL32" s="128"/>
      <c r="CM32" s="128"/>
      <c r="CN32" s="128"/>
      <c r="CR32" s="138">
        <v>24.2</v>
      </c>
      <c r="CS32" s="138">
        <v>15</v>
      </c>
      <c r="CT32" s="128"/>
      <c r="CU32" s="128"/>
      <c r="CV32" s="128"/>
      <c r="CW32" s="128"/>
      <c r="CX32" s="128"/>
      <c r="DB32" s="138">
        <v>24.2</v>
      </c>
      <c r="DC32" s="138">
        <v>15</v>
      </c>
      <c r="DD32" s="128"/>
      <c r="DE32" s="128"/>
      <c r="DF32" s="128"/>
      <c r="DG32" s="128"/>
      <c r="DH32" s="128"/>
      <c r="DL32" s="138">
        <v>24.2</v>
      </c>
      <c r="DM32" s="138">
        <v>15</v>
      </c>
      <c r="DN32" s="128"/>
      <c r="DO32" s="128"/>
      <c r="DP32" s="128"/>
      <c r="DQ32" s="128"/>
      <c r="DR32" s="128"/>
      <c r="DV32" s="138">
        <v>24.2</v>
      </c>
      <c r="DW32" s="138">
        <v>15</v>
      </c>
      <c r="DX32" s="128"/>
      <c r="DY32" s="128"/>
      <c r="DZ32" s="128"/>
      <c r="EA32" s="128"/>
      <c r="EB32" s="128"/>
      <c r="EF32" s="138">
        <v>24.2</v>
      </c>
      <c r="EG32" s="138">
        <v>15</v>
      </c>
      <c r="EH32" s="128"/>
      <c r="EI32" s="128"/>
      <c r="EJ32" s="128"/>
      <c r="EK32" s="128"/>
      <c r="EL32" s="128"/>
      <c r="EP32" s="138">
        <v>24.2</v>
      </c>
      <c r="EQ32" s="138">
        <v>15</v>
      </c>
      <c r="ER32" s="128"/>
      <c r="ES32" s="128"/>
      <c r="ET32" s="128"/>
      <c r="EU32" s="128"/>
      <c r="EV32" s="128"/>
      <c r="EZ32" s="138">
        <v>24.2</v>
      </c>
      <c r="FA32" s="138">
        <v>15</v>
      </c>
      <c r="FB32" s="128"/>
      <c r="FC32" s="128"/>
      <c r="FD32" s="128"/>
      <c r="FE32" s="128"/>
      <c r="FF32" s="128"/>
      <c r="FJ32" s="138">
        <v>24.2</v>
      </c>
      <c r="FK32" s="138">
        <v>15</v>
      </c>
      <c r="FL32" s="128"/>
      <c r="FM32" s="128"/>
      <c r="FN32" s="128"/>
      <c r="FO32" s="128"/>
      <c r="FP32" s="128"/>
      <c r="FT32" s="138">
        <v>24.2</v>
      </c>
      <c r="FU32" s="138">
        <v>15</v>
      </c>
      <c r="FV32" s="128"/>
      <c r="FW32" s="128"/>
      <c r="FX32" s="128"/>
      <c r="FY32" s="128"/>
      <c r="FZ32" s="128"/>
      <c r="GD32" s="138">
        <v>24.2</v>
      </c>
      <c r="GE32" s="138">
        <v>15</v>
      </c>
      <c r="GF32" s="128"/>
      <c r="GG32" s="128"/>
      <c r="GH32" s="128"/>
      <c r="GI32" s="128"/>
      <c r="GJ32" s="128"/>
      <c r="GN32" s="138">
        <v>24.2</v>
      </c>
      <c r="GO32" s="138">
        <v>15</v>
      </c>
      <c r="GP32" s="128"/>
      <c r="GQ32" s="128"/>
      <c r="GR32" s="128"/>
      <c r="GS32" s="128"/>
      <c r="GT32" s="128"/>
      <c r="GX32" s="138">
        <v>24.2</v>
      </c>
      <c r="GY32" s="138">
        <v>15</v>
      </c>
      <c r="GZ32" s="128"/>
      <c r="HA32" s="128"/>
      <c r="HB32" s="128"/>
      <c r="HC32" s="128"/>
      <c r="HD32" s="128"/>
      <c r="HH32" s="138">
        <v>24.2</v>
      </c>
      <c r="HI32" s="138">
        <v>15</v>
      </c>
      <c r="HJ32" s="128"/>
      <c r="HK32" s="128"/>
      <c r="HL32" s="128"/>
      <c r="HM32" s="128"/>
      <c r="HN32" s="128"/>
      <c r="HR32" s="138">
        <v>24.2</v>
      </c>
      <c r="HS32" s="138">
        <v>15</v>
      </c>
      <c r="HT32" s="128"/>
      <c r="HU32" s="128"/>
      <c r="HV32" s="128"/>
      <c r="HW32" s="128"/>
      <c r="HX32" s="128"/>
      <c r="IB32" s="138">
        <v>24.2</v>
      </c>
      <c r="IC32" s="138">
        <v>15</v>
      </c>
      <c r="ID32" s="128"/>
      <c r="IE32" s="128"/>
      <c r="IF32" s="128"/>
      <c r="IG32" s="128"/>
      <c r="IH32" s="128"/>
      <c r="IL32" s="138">
        <v>24.2</v>
      </c>
      <c r="IM32" s="138">
        <v>15</v>
      </c>
      <c r="IN32" s="128"/>
      <c r="IO32" s="128"/>
      <c r="IP32" s="128"/>
      <c r="IQ32" s="128"/>
      <c r="IR32" s="128"/>
      <c r="IV32" s="138">
        <v>24.2</v>
      </c>
      <c r="IW32" s="138">
        <v>15</v>
      </c>
      <c r="IX32" s="128"/>
      <c r="IY32" s="128"/>
      <c r="IZ32" s="128"/>
      <c r="JA32" s="128"/>
      <c r="JB32" s="128"/>
      <c r="JF32" s="138">
        <v>24.2</v>
      </c>
      <c r="JG32" s="138">
        <v>15</v>
      </c>
      <c r="JH32" s="128"/>
      <c r="JI32" s="128"/>
      <c r="JJ32" s="128"/>
      <c r="JK32" s="128"/>
      <c r="JL32" s="128"/>
      <c r="JP32" s="138">
        <v>24.2</v>
      </c>
      <c r="JQ32" s="138">
        <v>15</v>
      </c>
      <c r="JR32" s="128"/>
      <c r="JS32" s="128"/>
      <c r="JT32" s="128"/>
      <c r="JU32" s="128"/>
      <c r="JV32" s="128"/>
      <c r="JZ32" s="138">
        <v>24.2</v>
      </c>
      <c r="KA32" s="138">
        <v>15</v>
      </c>
      <c r="KB32" s="128"/>
      <c r="KC32" s="128"/>
      <c r="KD32" s="128"/>
      <c r="KE32" s="128"/>
      <c r="KF32" s="128"/>
      <c r="KJ32" s="138">
        <v>24.2</v>
      </c>
      <c r="KK32" s="138">
        <v>15</v>
      </c>
    </row>
    <row r="33" spans="1:297" ht="12.75" customHeight="1">
      <c r="A33" s="550" t="s">
        <v>996</v>
      </c>
      <c r="B33" s="525"/>
      <c r="C33" s="525"/>
      <c r="D33" s="85">
        <f>FLOOR(D27/D30-D32,10)</f>
        <v>2060</v>
      </c>
      <c r="E33" s="61"/>
      <c r="F33" s="61"/>
      <c r="G33" s="552"/>
      <c r="H33" s="552"/>
      <c r="I33" s="552"/>
      <c r="J33" s="556"/>
      <c r="K33" s="550" t="s">
        <v>997</v>
      </c>
      <c r="L33" s="525"/>
      <c r="M33" s="525"/>
      <c r="N33" s="147">
        <f>FLOOR(D27/(D29*J32)-D32,10)</f>
        <v>1490</v>
      </c>
      <c r="O33" s="148"/>
      <c r="P33" s="149"/>
      <c r="R33" s="138">
        <v>26.2</v>
      </c>
      <c r="S33" s="138">
        <v>15</v>
      </c>
      <c r="U33" s="144">
        <v>15</v>
      </c>
      <c r="V33" s="138"/>
      <c r="Z33" s="138">
        <v>26.2</v>
      </c>
      <c r="AA33" s="138">
        <v>15</v>
      </c>
      <c r="AJ33" s="138">
        <v>26.2</v>
      </c>
      <c r="AK33" s="138">
        <v>15</v>
      </c>
      <c r="AL33" s="128"/>
      <c r="AM33" s="128"/>
      <c r="AN33" s="128"/>
      <c r="AO33" s="128"/>
      <c r="AP33" s="128"/>
      <c r="AT33" s="138">
        <v>26.2</v>
      </c>
      <c r="AU33" s="138">
        <v>75</v>
      </c>
      <c r="AV33" s="128"/>
      <c r="AW33" s="128"/>
      <c r="AX33" s="128"/>
      <c r="AY33" s="128"/>
      <c r="AZ33" s="128"/>
      <c r="BD33" s="138">
        <v>26.2</v>
      </c>
      <c r="BE33" s="138">
        <v>15</v>
      </c>
      <c r="BF33" s="128"/>
      <c r="BG33" s="128"/>
      <c r="BH33" s="128"/>
      <c r="BI33" s="128"/>
      <c r="BJ33" s="128"/>
      <c r="BN33" s="138">
        <v>26.2</v>
      </c>
      <c r="BO33" s="138">
        <v>15</v>
      </c>
      <c r="BP33" s="128"/>
      <c r="BQ33" s="128"/>
      <c r="BR33" s="128"/>
      <c r="BS33" s="128"/>
      <c r="BT33" s="128"/>
      <c r="BX33" s="138">
        <v>26.2</v>
      </c>
      <c r="BY33" s="138">
        <v>15</v>
      </c>
      <c r="BZ33" s="128"/>
      <c r="CA33" s="128"/>
      <c r="CB33" s="128"/>
      <c r="CC33" s="128"/>
      <c r="CD33" s="128"/>
      <c r="CH33" s="138">
        <v>26.2</v>
      </c>
      <c r="CI33" s="138">
        <v>15</v>
      </c>
      <c r="CJ33" s="128"/>
      <c r="CK33" s="128"/>
      <c r="CL33" s="128"/>
      <c r="CM33" s="128"/>
      <c r="CN33" s="128"/>
      <c r="CR33" s="138">
        <v>26.2</v>
      </c>
      <c r="CS33" s="138">
        <v>15</v>
      </c>
      <c r="CT33" s="128"/>
      <c r="CU33" s="128"/>
      <c r="CV33" s="128"/>
      <c r="CW33" s="128"/>
      <c r="CX33" s="128"/>
      <c r="DB33" s="138">
        <v>26.2</v>
      </c>
      <c r="DC33" s="138">
        <v>15</v>
      </c>
      <c r="DD33" s="128"/>
      <c r="DE33" s="128"/>
      <c r="DF33" s="128"/>
      <c r="DG33" s="128"/>
      <c r="DH33" s="128"/>
      <c r="DL33" s="138">
        <v>26.2</v>
      </c>
      <c r="DM33" s="138">
        <v>15</v>
      </c>
      <c r="DN33" s="128"/>
      <c r="DO33" s="128"/>
      <c r="DP33" s="128"/>
      <c r="DQ33" s="128"/>
      <c r="DR33" s="128"/>
      <c r="DV33" s="138">
        <v>26.2</v>
      </c>
      <c r="DW33" s="138">
        <v>15</v>
      </c>
      <c r="DX33" s="128"/>
      <c r="DY33" s="128"/>
      <c r="DZ33" s="128"/>
      <c r="EA33" s="128"/>
      <c r="EB33" s="128"/>
      <c r="EF33" s="138">
        <v>26.2</v>
      </c>
      <c r="EG33" s="138">
        <v>15</v>
      </c>
      <c r="EH33" s="128"/>
      <c r="EI33" s="128"/>
      <c r="EJ33" s="128"/>
      <c r="EK33" s="128"/>
      <c r="EL33" s="128"/>
      <c r="EP33" s="138">
        <v>26.2</v>
      </c>
      <c r="EQ33" s="138">
        <v>15</v>
      </c>
      <c r="ER33" s="128"/>
      <c r="ES33" s="128"/>
      <c r="ET33" s="128"/>
      <c r="EU33" s="128"/>
      <c r="EV33" s="128"/>
      <c r="EZ33" s="138">
        <v>26.2</v>
      </c>
      <c r="FA33" s="138">
        <v>15</v>
      </c>
      <c r="FB33" s="128"/>
      <c r="FC33" s="128"/>
      <c r="FD33" s="128"/>
      <c r="FE33" s="128"/>
      <c r="FF33" s="128"/>
      <c r="FJ33" s="138">
        <v>26.2</v>
      </c>
      <c r="FK33" s="138">
        <v>15</v>
      </c>
      <c r="FL33" s="128"/>
      <c r="FM33" s="128"/>
      <c r="FN33" s="128"/>
      <c r="FO33" s="128"/>
      <c r="FP33" s="128"/>
      <c r="FT33" s="138">
        <v>26.2</v>
      </c>
      <c r="FU33" s="138">
        <v>15</v>
      </c>
      <c r="FV33" s="128"/>
      <c r="FW33" s="128"/>
      <c r="FX33" s="128"/>
      <c r="FY33" s="128"/>
      <c r="FZ33" s="128"/>
      <c r="GD33" s="138">
        <v>26.2</v>
      </c>
      <c r="GE33" s="138">
        <v>15</v>
      </c>
      <c r="GF33" s="128"/>
      <c r="GG33" s="128"/>
      <c r="GH33" s="128"/>
      <c r="GI33" s="128"/>
      <c r="GJ33" s="128"/>
      <c r="GN33" s="138">
        <v>26.2</v>
      </c>
      <c r="GO33" s="138">
        <v>15</v>
      </c>
      <c r="GP33" s="128"/>
      <c r="GQ33" s="128"/>
      <c r="GR33" s="128"/>
      <c r="GS33" s="128"/>
      <c r="GT33" s="128"/>
      <c r="GX33" s="138">
        <v>26.2</v>
      </c>
      <c r="GY33" s="138">
        <v>15</v>
      </c>
      <c r="GZ33" s="128"/>
      <c r="HA33" s="128"/>
      <c r="HB33" s="128"/>
      <c r="HC33" s="128"/>
      <c r="HD33" s="128"/>
      <c r="HH33" s="138">
        <v>26.2</v>
      </c>
      <c r="HI33" s="138">
        <v>15</v>
      </c>
      <c r="HJ33" s="128"/>
      <c r="HK33" s="128"/>
      <c r="HL33" s="128"/>
      <c r="HM33" s="128"/>
      <c r="HN33" s="128"/>
      <c r="HR33" s="138">
        <v>26.2</v>
      </c>
      <c r="HS33" s="138">
        <v>15</v>
      </c>
      <c r="HT33" s="128"/>
      <c r="HU33" s="128"/>
      <c r="HV33" s="128"/>
      <c r="HW33" s="128"/>
      <c r="HX33" s="128"/>
      <c r="IB33" s="138">
        <v>26.2</v>
      </c>
      <c r="IC33" s="138">
        <v>15</v>
      </c>
      <c r="ID33" s="128"/>
      <c r="IE33" s="128"/>
      <c r="IF33" s="128"/>
      <c r="IG33" s="128"/>
      <c r="IH33" s="128"/>
      <c r="IL33" s="138">
        <v>26.2</v>
      </c>
      <c r="IM33" s="138">
        <v>15</v>
      </c>
      <c r="IN33" s="128"/>
      <c r="IO33" s="128"/>
      <c r="IP33" s="128"/>
      <c r="IQ33" s="128"/>
      <c r="IR33" s="128"/>
      <c r="IV33" s="138">
        <v>26.2</v>
      </c>
      <c r="IW33" s="138">
        <v>15</v>
      </c>
      <c r="IX33" s="128"/>
      <c r="IY33" s="128"/>
      <c r="IZ33" s="128"/>
      <c r="JA33" s="128"/>
      <c r="JB33" s="128"/>
      <c r="JF33" s="138">
        <v>26.2</v>
      </c>
      <c r="JG33" s="138">
        <v>15</v>
      </c>
      <c r="JH33" s="128"/>
      <c r="JI33" s="128"/>
      <c r="JJ33" s="128"/>
      <c r="JK33" s="128"/>
      <c r="JL33" s="128"/>
      <c r="JP33" s="138">
        <v>26.2</v>
      </c>
      <c r="JQ33" s="138">
        <v>15</v>
      </c>
      <c r="JR33" s="128"/>
      <c r="JS33" s="128"/>
      <c r="JT33" s="128"/>
      <c r="JU33" s="128"/>
      <c r="JV33" s="128"/>
      <c r="JZ33" s="138">
        <v>26.2</v>
      </c>
      <c r="KA33" s="138">
        <v>15</v>
      </c>
      <c r="KB33" s="128"/>
      <c r="KC33" s="128"/>
      <c r="KD33" s="128"/>
      <c r="KE33" s="128"/>
      <c r="KF33" s="128"/>
      <c r="KJ33" s="138">
        <v>26.2</v>
      </c>
      <c r="KK33" s="138">
        <v>15</v>
      </c>
    </row>
    <row r="34" spans="1:297" ht="15.75">
      <c r="A34" s="550" t="s">
        <v>997</v>
      </c>
      <c r="B34" s="525"/>
      <c r="C34" s="525"/>
      <c r="D34" s="86">
        <f>FLOOR(D27/(D29*D30)-D32*D29,10)</f>
        <v>1520</v>
      </c>
      <c r="E34" s="61"/>
      <c r="F34" s="61"/>
      <c r="G34" s="65"/>
      <c r="H34" s="65"/>
      <c r="I34" s="65"/>
      <c r="J34" s="92"/>
      <c r="K34" s="79"/>
      <c r="L34" s="90"/>
      <c r="M34" s="90"/>
      <c r="N34" s="148"/>
      <c r="O34" s="148"/>
      <c r="P34" s="149"/>
      <c r="R34" s="138">
        <v>27</v>
      </c>
      <c r="S34" s="138">
        <v>17</v>
      </c>
      <c r="U34" s="144">
        <v>16</v>
      </c>
      <c r="V34" s="138"/>
      <c r="Z34" s="138">
        <v>27</v>
      </c>
      <c r="AA34" s="138">
        <v>17</v>
      </c>
      <c r="AJ34" s="138">
        <v>27</v>
      </c>
      <c r="AK34" s="138">
        <v>16</v>
      </c>
      <c r="AL34" s="128"/>
      <c r="AM34" s="128"/>
      <c r="AN34" s="128"/>
      <c r="AO34" s="128"/>
      <c r="AP34" s="128"/>
      <c r="AT34" s="138">
        <v>27</v>
      </c>
      <c r="AU34" s="138">
        <v>80</v>
      </c>
      <c r="AV34" s="128"/>
      <c r="AW34" s="128"/>
      <c r="AX34" s="128"/>
      <c r="AY34" s="128"/>
      <c r="AZ34" s="128"/>
      <c r="BD34" s="138">
        <v>27</v>
      </c>
      <c r="BE34" s="138">
        <v>17</v>
      </c>
      <c r="BF34" s="128"/>
      <c r="BG34" s="128"/>
      <c r="BH34" s="128"/>
      <c r="BI34" s="128"/>
      <c r="BJ34" s="128"/>
      <c r="BN34" s="138">
        <v>27</v>
      </c>
      <c r="BO34" s="138">
        <v>17</v>
      </c>
      <c r="BP34" s="128"/>
      <c r="BQ34" s="128"/>
      <c r="BR34" s="128"/>
      <c r="BS34" s="128"/>
      <c r="BT34" s="128"/>
      <c r="BX34" s="138">
        <v>27</v>
      </c>
      <c r="BY34" s="138">
        <v>17</v>
      </c>
      <c r="BZ34" s="128"/>
      <c r="CA34" s="128"/>
      <c r="CB34" s="128"/>
      <c r="CC34" s="128"/>
      <c r="CD34" s="128"/>
      <c r="CH34" s="138">
        <v>27</v>
      </c>
      <c r="CI34" s="138">
        <v>17</v>
      </c>
      <c r="CJ34" s="128"/>
      <c r="CK34" s="128"/>
      <c r="CL34" s="128"/>
      <c r="CM34" s="128"/>
      <c r="CN34" s="128"/>
      <c r="CR34" s="138">
        <v>27</v>
      </c>
      <c r="CS34" s="138">
        <v>17</v>
      </c>
      <c r="CT34" s="128"/>
      <c r="CU34" s="128"/>
      <c r="CV34" s="128"/>
      <c r="CW34" s="128"/>
      <c r="CX34" s="128"/>
      <c r="DB34" s="138">
        <v>27</v>
      </c>
      <c r="DC34" s="138">
        <v>17</v>
      </c>
      <c r="DD34" s="128"/>
      <c r="DE34" s="128"/>
      <c r="DF34" s="128"/>
      <c r="DG34" s="128"/>
      <c r="DH34" s="128"/>
      <c r="DL34" s="138">
        <v>27</v>
      </c>
      <c r="DM34" s="138">
        <v>17</v>
      </c>
      <c r="DN34" s="128"/>
      <c r="DO34" s="128"/>
      <c r="DP34" s="128"/>
      <c r="DQ34" s="128"/>
      <c r="DR34" s="128"/>
      <c r="DV34" s="138">
        <v>27</v>
      </c>
      <c r="DW34" s="138">
        <v>17</v>
      </c>
      <c r="DX34" s="128"/>
      <c r="DY34" s="128"/>
      <c r="DZ34" s="128"/>
      <c r="EA34" s="128"/>
      <c r="EB34" s="128"/>
      <c r="EF34" s="138">
        <v>27</v>
      </c>
      <c r="EG34" s="138">
        <v>17</v>
      </c>
      <c r="EH34" s="128"/>
      <c r="EI34" s="128"/>
      <c r="EJ34" s="128"/>
      <c r="EK34" s="128"/>
      <c r="EL34" s="128"/>
      <c r="EP34" s="138">
        <v>27</v>
      </c>
      <c r="EQ34" s="138">
        <v>17</v>
      </c>
      <c r="ER34" s="128"/>
      <c r="ES34" s="128"/>
      <c r="ET34" s="128"/>
      <c r="EU34" s="128"/>
      <c r="EV34" s="128"/>
      <c r="EZ34" s="138">
        <v>27</v>
      </c>
      <c r="FA34" s="138">
        <v>17</v>
      </c>
      <c r="FB34" s="128"/>
      <c r="FC34" s="128"/>
      <c r="FD34" s="128"/>
      <c r="FE34" s="128"/>
      <c r="FF34" s="128"/>
      <c r="FJ34" s="138">
        <v>27</v>
      </c>
      <c r="FK34" s="138">
        <v>17</v>
      </c>
      <c r="FL34" s="128"/>
      <c r="FM34" s="128"/>
      <c r="FN34" s="128"/>
      <c r="FO34" s="128"/>
      <c r="FP34" s="128"/>
      <c r="FT34" s="138">
        <v>27</v>
      </c>
      <c r="FU34" s="138">
        <v>17</v>
      </c>
      <c r="FV34" s="128"/>
      <c r="FW34" s="128"/>
      <c r="FX34" s="128"/>
      <c r="FY34" s="128"/>
      <c r="FZ34" s="128"/>
      <c r="GD34" s="138">
        <v>27</v>
      </c>
      <c r="GE34" s="138">
        <v>17</v>
      </c>
      <c r="GF34" s="128"/>
      <c r="GG34" s="128"/>
      <c r="GH34" s="128"/>
      <c r="GI34" s="128"/>
      <c r="GJ34" s="128"/>
      <c r="GN34" s="138">
        <v>27</v>
      </c>
      <c r="GO34" s="138">
        <v>17</v>
      </c>
      <c r="GP34" s="128"/>
      <c r="GQ34" s="128"/>
      <c r="GR34" s="128"/>
      <c r="GS34" s="128"/>
      <c r="GT34" s="128"/>
      <c r="GX34" s="138">
        <v>27</v>
      </c>
      <c r="GY34" s="138">
        <v>17</v>
      </c>
      <c r="GZ34" s="128"/>
      <c r="HA34" s="128"/>
      <c r="HB34" s="128"/>
      <c r="HC34" s="128"/>
      <c r="HD34" s="128"/>
      <c r="HH34" s="138">
        <v>27</v>
      </c>
      <c r="HI34" s="138">
        <v>17</v>
      </c>
      <c r="HJ34" s="128"/>
      <c r="HK34" s="128"/>
      <c r="HL34" s="128"/>
      <c r="HM34" s="128"/>
      <c r="HN34" s="128"/>
      <c r="HR34" s="138">
        <v>27</v>
      </c>
      <c r="HS34" s="138">
        <v>17</v>
      </c>
      <c r="HT34" s="128"/>
      <c r="HU34" s="128"/>
      <c r="HV34" s="128"/>
      <c r="HW34" s="128"/>
      <c r="HX34" s="128"/>
      <c r="IB34" s="138">
        <v>27</v>
      </c>
      <c r="IC34" s="138">
        <v>17</v>
      </c>
      <c r="ID34" s="128"/>
      <c r="IE34" s="128"/>
      <c r="IF34" s="128"/>
      <c r="IG34" s="128"/>
      <c r="IH34" s="128"/>
      <c r="IL34" s="138">
        <v>27</v>
      </c>
      <c r="IM34" s="138">
        <v>17</v>
      </c>
      <c r="IN34" s="128"/>
      <c r="IO34" s="128"/>
      <c r="IP34" s="128"/>
      <c r="IQ34" s="128"/>
      <c r="IR34" s="128"/>
      <c r="IV34" s="138">
        <v>27</v>
      </c>
      <c r="IW34" s="138">
        <v>17</v>
      </c>
      <c r="IX34" s="128"/>
      <c r="IY34" s="128"/>
      <c r="IZ34" s="128"/>
      <c r="JA34" s="128"/>
      <c r="JB34" s="128"/>
      <c r="JF34" s="138">
        <v>27</v>
      </c>
      <c r="JG34" s="138">
        <v>17</v>
      </c>
      <c r="JH34" s="128"/>
      <c r="JI34" s="128"/>
      <c r="JJ34" s="128"/>
      <c r="JK34" s="128"/>
      <c r="JL34" s="128"/>
      <c r="JP34" s="138">
        <v>27</v>
      </c>
      <c r="JQ34" s="138">
        <v>17</v>
      </c>
      <c r="JR34" s="128"/>
      <c r="JS34" s="128"/>
      <c r="JT34" s="128"/>
      <c r="JU34" s="128"/>
      <c r="JV34" s="128"/>
      <c r="JZ34" s="138">
        <v>27</v>
      </c>
      <c r="KA34" s="138">
        <v>17</v>
      </c>
      <c r="KB34" s="128"/>
      <c r="KC34" s="128"/>
      <c r="KD34" s="128"/>
      <c r="KE34" s="128"/>
      <c r="KF34" s="128"/>
      <c r="KJ34" s="138">
        <v>27</v>
      </c>
      <c r="KK34" s="138">
        <v>17</v>
      </c>
    </row>
    <row r="35" spans="1:297">
      <c r="A35" s="554" t="s">
        <v>394</v>
      </c>
      <c r="B35" s="551" t="s">
        <v>998</v>
      </c>
      <c r="C35" s="555" t="s">
        <v>973</v>
      </c>
      <c r="D35" s="551" t="s">
        <v>999</v>
      </c>
      <c r="E35" s="551" t="s">
        <v>288</v>
      </c>
      <c r="F35" s="551" t="s">
        <v>1024</v>
      </c>
      <c r="G35" s="551" t="s">
        <v>1000</v>
      </c>
      <c r="H35" s="551"/>
      <c r="I35" s="551" t="s">
        <v>1001</v>
      </c>
      <c r="J35" s="551" t="s">
        <v>1002</v>
      </c>
      <c r="K35" s="551" t="s">
        <v>1025</v>
      </c>
      <c r="L35" s="551" t="s">
        <v>1003</v>
      </c>
      <c r="M35" s="551"/>
      <c r="N35" s="551" t="s">
        <v>1004</v>
      </c>
      <c r="O35" s="551" t="s">
        <v>1005</v>
      </c>
      <c r="P35" s="65"/>
      <c r="R35" s="138">
        <v>29</v>
      </c>
      <c r="S35" s="138">
        <v>20</v>
      </c>
      <c r="U35" s="144">
        <v>17</v>
      </c>
      <c r="V35" s="138"/>
      <c r="Z35" s="138">
        <v>29</v>
      </c>
      <c r="AA35" s="138">
        <v>20</v>
      </c>
      <c r="AJ35" s="138">
        <v>29</v>
      </c>
      <c r="AK35" s="138">
        <v>17</v>
      </c>
      <c r="AL35" s="128"/>
      <c r="AM35" s="128"/>
      <c r="AN35" s="128"/>
      <c r="AO35" s="128"/>
      <c r="AP35" s="128"/>
      <c r="AT35" s="138">
        <v>29</v>
      </c>
      <c r="AU35" s="138">
        <v>85</v>
      </c>
      <c r="AV35" s="128"/>
      <c r="AW35" s="128"/>
      <c r="AX35" s="128"/>
      <c r="AY35" s="128"/>
      <c r="AZ35" s="128"/>
      <c r="BD35" s="138">
        <v>29</v>
      </c>
      <c r="BE35" s="138">
        <v>20</v>
      </c>
      <c r="BF35" s="128"/>
      <c r="BG35" s="128"/>
      <c r="BH35" s="128"/>
      <c r="BI35" s="128"/>
      <c r="BJ35" s="128"/>
      <c r="BN35" s="138">
        <v>29</v>
      </c>
      <c r="BO35" s="138">
        <v>20</v>
      </c>
      <c r="BP35" s="128"/>
      <c r="BQ35" s="128"/>
      <c r="BR35" s="128"/>
      <c r="BS35" s="128"/>
      <c r="BT35" s="128"/>
      <c r="BX35" s="138">
        <v>29</v>
      </c>
      <c r="BY35" s="138">
        <v>20</v>
      </c>
      <c r="BZ35" s="128"/>
      <c r="CA35" s="128"/>
      <c r="CB35" s="128"/>
      <c r="CC35" s="128"/>
      <c r="CD35" s="128"/>
      <c r="CH35" s="138">
        <v>29</v>
      </c>
      <c r="CI35" s="138">
        <v>20</v>
      </c>
      <c r="CJ35" s="128"/>
      <c r="CK35" s="128"/>
      <c r="CL35" s="128"/>
      <c r="CM35" s="128"/>
      <c r="CN35" s="128"/>
      <c r="CR35" s="138">
        <v>29</v>
      </c>
      <c r="CS35" s="138">
        <v>20</v>
      </c>
      <c r="CT35" s="128"/>
      <c r="CU35" s="128"/>
      <c r="CV35" s="128"/>
      <c r="CW35" s="128"/>
      <c r="CX35" s="128"/>
      <c r="DB35" s="138">
        <v>29</v>
      </c>
      <c r="DC35" s="138">
        <v>20</v>
      </c>
      <c r="DD35" s="128"/>
      <c r="DE35" s="128"/>
      <c r="DF35" s="128"/>
      <c r="DG35" s="128"/>
      <c r="DH35" s="128"/>
      <c r="DL35" s="138">
        <v>29</v>
      </c>
      <c r="DM35" s="138">
        <v>20</v>
      </c>
      <c r="DN35" s="128"/>
      <c r="DO35" s="128"/>
      <c r="DP35" s="128"/>
      <c r="DQ35" s="128"/>
      <c r="DR35" s="128"/>
      <c r="DV35" s="138">
        <v>29</v>
      </c>
      <c r="DW35" s="138">
        <v>20</v>
      </c>
      <c r="DX35" s="128"/>
      <c r="DY35" s="128"/>
      <c r="DZ35" s="128"/>
      <c r="EA35" s="128"/>
      <c r="EB35" s="128"/>
      <c r="EF35" s="138">
        <v>29</v>
      </c>
      <c r="EG35" s="138">
        <v>20</v>
      </c>
      <c r="EH35" s="128"/>
      <c r="EI35" s="128"/>
      <c r="EJ35" s="128"/>
      <c r="EK35" s="128"/>
      <c r="EL35" s="128"/>
      <c r="EP35" s="138">
        <v>29</v>
      </c>
      <c r="EQ35" s="138">
        <v>20</v>
      </c>
      <c r="ER35" s="128"/>
      <c r="ES35" s="128"/>
      <c r="ET35" s="128"/>
      <c r="EU35" s="128"/>
      <c r="EV35" s="128"/>
      <c r="EZ35" s="138">
        <v>29</v>
      </c>
      <c r="FA35" s="138">
        <v>20</v>
      </c>
      <c r="FB35" s="128"/>
      <c r="FC35" s="128"/>
      <c r="FD35" s="128"/>
      <c r="FE35" s="128"/>
      <c r="FF35" s="128"/>
      <c r="FJ35" s="138">
        <v>29</v>
      </c>
      <c r="FK35" s="138">
        <v>20</v>
      </c>
      <c r="FL35" s="128"/>
      <c r="FM35" s="128"/>
      <c r="FN35" s="128"/>
      <c r="FO35" s="128"/>
      <c r="FP35" s="128"/>
      <c r="FT35" s="138">
        <v>29</v>
      </c>
      <c r="FU35" s="138">
        <v>20</v>
      </c>
      <c r="FV35" s="128"/>
      <c r="FW35" s="128"/>
      <c r="FX35" s="128"/>
      <c r="FY35" s="128"/>
      <c r="FZ35" s="128"/>
      <c r="GD35" s="138">
        <v>29</v>
      </c>
      <c r="GE35" s="138">
        <v>20</v>
      </c>
      <c r="GF35" s="128"/>
      <c r="GG35" s="128"/>
      <c r="GH35" s="128"/>
      <c r="GI35" s="128"/>
      <c r="GJ35" s="128"/>
      <c r="GN35" s="138">
        <v>29</v>
      </c>
      <c r="GO35" s="138">
        <v>20</v>
      </c>
      <c r="GP35" s="128"/>
      <c r="GQ35" s="128"/>
      <c r="GR35" s="128"/>
      <c r="GS35" s="128"/>
      <c r="GT35" s="128"/>
      <c r="GX35" s="138">
        <v>29</v>
      </c>
      <c r="GY35" s="138">
        <v>20</v>
      </c>
      <c r="GZ35" s="128"/>
      <c r="HA35" s="128"/>
      <c r="HB35" s="128"/>
      <c r="HC35" s="128"/>
      <c r="HD35" s="128"/>
      <c r="HH35" s="138">
        <v>29</v>
      </c>
      <c r="HI35" s="138">
        <v>20</v>
      </c>
      <c r="HJ35" s="128"/>
      <c r="HK35" s="128"/>
      <c r="HL35" s="128"/>
      <c r="HM35" s="128"/>
      <c r="HN35" s="128"/>
      <c r="HR35" s="138">
        <v>29</v>
      </c>
      <c r="HS35" s="138">
        <v>20</v>
      </c>
      <c r="HT35" s="128"/>
      <c r="HU35" s="128"/>
      <c r="HV35" s="128"/>
      <c r="HW35" s="128"/>
      <c r="HX35" s="128"/>
      <c r="IB35" s="138">
        <v>29</v>
      </c>
      <c r="IC35" s="138">
        <v>20</v>
      </c>
      <c r="ID35" s="128"/>
      <c r="IE35" s="128"/>
      <c r="IF35" s="128"/>
      <c r="IG35" s="128"/>
      <c r="IH35" s="128"/>
      <c r="IL35" s="138">
        <v>29</v>
      </c>
      <c r="IM35" s="138">
        <v>20</v>
      </c>
      <c r="IN35" s="128"/>
      <c r="IO35" s="128"/>
      <c r="IP35" s="128"/>
      <c r="IQ35" s="128"/>
      <c r="IR35" s="128"/>
      <c r="IV35" s="138">
        <v>29</v>
      </c>
      <c r="IW35" s="138">
        <v>20</v>
      </c>
      <c r="IX35" s="128"/>
      <c r="IY35" s="128"/>
      <c r="IZ35" s="128"/>
      <c r="JA35" s="128"/>
      <c r="JB35" s="128"/>
      <c r="JF35" s="138">
        <v>29</v>
      </c>
      <c r="JG35" s="138">
        <v>20</v>
      </c>
      <c r="JH35" s="128"/>
      <c r="JI35" s="128"/>
      <c r="JJ35" s="128"/>
      <c r="JK35" s="128"/>
      <c r="JL35" s="128"/>
      <c r="JP35" s="138">
        <v>29</v>
      </c>
      <c r="JQ35" s="138">
        <v>20</v>
      </c>
      <c r="JR35" s="128"/>
      <c r="JS35" s="128"/>
      <c r="JT35" s="128"/>
      <c r="JU35" s="128"/>
      <c r="JV35" s="128"/>
      <c r="JZ35" s="138">
        <v>29</v>
      </c>
      <c r="KA35" s="138">
        <v>20</v>
      </c>
      <c r="KB35" s="128"/>
      <c r="KC35" s="128"/>
      <c r="KD35" s="128"/>
      <c r="KE35" s="128"/>
      <c r="KF35" s="128"/>
      <c r="KJ35" s="138">
        <v>29</v>
      </c>
      <c r="KK35" s="138">
        <v>20</v>
      </c>
    </row>
    <row r="36" spans="1:297">
      <c r="A36" s="554"/>
      <c r="B36" s="551"/>
      <c r="C36" s="555"/>
      <c r="D36" s="551"/>
      <c r="E36" s="551"/>
      <c r="F36" s="551"/>
      <c r="G36" s="94" t="s">
        <v>978</v>
      </c>
      <c r="H36" s="94" t="s">
        <v>975</v>
      </c>
      <c r="I36" s="551"/>
      <c r="J36" s="551"/>
      <c r="K36" s="551"/>
      <c r="L36" s="94" t="s">
        <v>978</v>
      </c>
      <c r="M36" s="94" t="s">
        <v>975</v>
      </c>
      <c r="N36" s="551"/>
      <c r="O36" s="551"/>
      <c r="P36" s="65"/>
      <c r="R36" s="138">
        <v>31</v>
      </c>
      <c r="S36" s="138">
        <v>25</v>
      </c>
      <c r="U36" s="144">
        <v>18</v>
      </c>
      <c r="V36" s="138"/>
      <c r="Z36" s="138">
        <v>31</v>
      </c>
      <c r="AA36" s="138">
        <v>25</v>
      </c>
      <c r="AJ36" s="138">
        <v>31</v>
      </c>
      <c r="AK36" s="138">
        <v>18</v>
      </c>
      <c r="AL36" s="128"/>
      <c r="AM36" s="128"/>
      <c r="AN36" s="128"/>
      <c r="AO36" s="128"/>
      <c r="AP36" s="128"/>
      <c r="AT36" s="138">
        <v>31</v>
      </c>
      <c r="AU36" s="138">
        <v>90</v>
      </c>
      <c r="AV36" s="128"/>
      <c r="AW36" s="128"/>
      <c r="AX36" s="128"/>
      <c r="AY36" s="128"/>
      <c r="AZ36" s="128"/>
      <c r="BD36" s="138">
        <v>31</v>
      </c>
      <c r="BE36" s="138">
        <v>25</v>
      </c>
      <c r="BF36" s="128"/>
      <c r="BG36" s="128"/>
      <c r="BH36" s="128"/>
      <c r="BI36" s="128"/>
      <c r="BJ36" s="128"/>
      <c r="BN36" s="138">
        <v>31</v>
      </c>
      <c r="BO36" s="138">
        <v>25</v>
      </c>
      <c r="BP36" s="128"/>
      <c r="BQ36" s="128"/>
      <c r="BR36" s="128"/>
      <c r="BS36" s="128"/>
      <c r="BT36" s="128"/>
      <c r="BX36" s="138">
        <v>31</v>
      </c>
      <c r="BY36" s="138">
        <v>25</v>
      </c>
      <c r="BZ36" s="128"/>
      <c r="CA36" s="128"/>
      <c r="CB36" s="128"/>
      <c r="CC36" s="128"/>
      <c r="CD36" s="128"/>
      <c r="CH36" s="138">
        <v>31</v>
      </c>
      <c r="CI36" s="138">
        <v>25</v>
      </c>
      <c r="CJ36" s="128"/>
      <c r="CK36" s="128"/>
      <c r="CL36" s="128"/>
      <c r="CM36" s="128"/>
      <c r="CN36" s="128"/>
      <c r="CR36" s="138">
        <v>31</v>
      </c>
      <c r="CS36" s="138">
        <v>25</v>
      </c>
      <c r="CT36" s="128"/>
      <c r="CU36" s="128"/>
      <c r="CV36" s="128"/>
      <c r="CW36" s="128"/>
      <c r="CX36" s="128"/>
      <c r="DB36" s="138">
        <v>31</v>
      </c>
      <c r="DC36" s="138">
        <v>25</v>
      </c>
      <c r="DD36" s="128"/>
      <c r="DE36" s="128"/>
      <c r="DF36" s="128"/>
      <c r="DG36" s="128"/>
      <c r="DH36" s="128"/>
      <c r="DL36" s="138">
        <v>31</v>
      </c>
      <c r="DM36" s="138">
        <v>25</v>
      </c>
      <c r="DN36" s="128"/>
      <c r="DO36" s="128"/>
      <c r="DP36" s="128"/>
      <c r="DQ36" s="128"/>
      <c r="DR36" s="128"/>
      <c r="DV36" s="138">
        <v>31</v>
      </c>
      <c r="DW36" s="138">
        <v>25</v>
      </c>
      <c r="DX36" s="128"/>
      <c r="DY36" s="128"/>
      <c r="DZ36" s="128"/>
      <c r="EA36" s="128"/>
      <c r="EB36" s="128"/>
      <c r="EF36" s="138">
        <v>31</v>
      </c>
      <c r="EG36" s="138">
        <v>25</v>
      </c>
      <c r="EH36" s="128"/>
      <c r="EI36" s="128"/>
      <c r="EJ36" s="128"/>
      <c r="EK36" s="128"/>
      <c r="EL36" s="128"/>
      <c r="EP36" s="138">
        <v>31</v>
      </c>
      <c r="EQ36" s="138">
        <v>25</v>
      </c>
      <c r="ER36" s="128"/>
      <c r="ES36" s="128"/>
      <c r="ET36" s="128"/>
      <c r="EU36" s="128"/>
      <c r="EV36" s="128"/>
      <c r="EZ36" s="138">
        <v>31</v>
      </c>
      <c r="FA36" s="138">
        <v>25</v>
      </c>
      <c r="FB36" s="128"/>
      <c r="FC36" s="128"/>
      <c r="FD36" s="128"/>
      <c r="FE36" s="128"/>
      <c r="FF36" s="128"/>
      <c r="FJ36" s="138">
        <v>31</v>
      </c>
      <c r="FK36" s="138">
        <v>25</v>
      </c>
      <c r="FL36" s="128"/>
      <c r="FM36" s="128"/>
      <c r="FN36" s="128"/>
      <c r="FO36" s="128"/>
      <c r="FP36" s="128"/>
      <c r="FT36" s="138">
        <v>31</v>
      </c>
      <c r="FU36" s="138">
        <v>25</v>
      </c>
      <c r="FV36" s="128"/>
      <c r="FW36" s="128"/>
      <c r="FX36" s="128"/>
      <c r="FY36" s="128"/>
      <c r="FZ36" s="128"/>
      <c r="GD36" s="138">
        <v>31</v>
      </c>
      <c r="GE36" s="138">
        <v>25</v>
      </c>
      <c r="GF36" s="128"/>
      <c r="GG36" s="128"/>
      <c r="GH36" s="128"/>
      <c r="GI36" s="128"/>
      <c r="GJ36" s="128"/>
      <c r="GN36" s="138">
        <v>31</v>
      </c>
      <c r="GO36" s="138">
        <v>25</v>
      </c>
      <c r="GP36" s="128"/>
      <c r="GQ36" s="128"/>
      <c r="GR36" s="128"/>
      <c r="GS36" s="128"/>
      <c r="GT36" s="128"/>
      <c r="GX36" s="138">
        <v>31</v>
      </c>
      <c r="GY36" s="138">
        <v>25</v>
      </c>
      <c r="GZ36" s="128"/>
      <c r="HA36" s="128"/>
      <c r="HB36" s="128"/>
      <c r="HC36" s="128"/>
      <c r="HD36" s="128"/>
      <c r="HH36" s="138">
        <v>31</v>
      </c>
      <c r="HI36" s="138">
        <v>25</v>
      </c>
      <c r="HJ36" s="128"/>
      <c r="HK36" s="128"/>
      <c r="HL36" s="128"/>
      <c r="HM36" s="128"/>
      <c r="HN36" s="128"/>
      <c r="HR36" s="138">
        <v>31</v>
      </c>
      <c r="HS36" s="138">
        <v>25</v>
      </c>
      <c r="HT36" s="128"/>
      <c r="HU36" s="128"/>
      <c r="HV36" s="128"/>
      <c r="HW36" s="128"/>
      <c r="HX36" s="128"/>
      <c r="IB36" s="138">
        <v>31</v>
      </c>
      <c r="IC36" s="138">
        <v>25</v>
      </c>
      <c r="ID36" s="128"/>
      <c r="IE36" s="128"/>
      <c r="IF36" s="128"/>
      <c r="IG36" s="128"/>
      <c r="IH36" s="128"/>
      <c r="IL36" s="138">
        <v>31</v>
      </c>
      <c r="IM36" s="138">
        <v>25</v>
      </c>
      <c r="IN36" s="128"/>
      <c r="IO36" s="128"/>
      <c r="IP36" s="128"/>
      <c r="IQ36" s="128"/>
      <c r="IR36" s="128"/>
      <c r="IV36" s="138">
        <v>31</v>
      </c>
      <c r="IW36" s="138">
        <v>25</v>
      </c>
      <c r="IX36" s="128"/>
      <c r="IY36" s="128"/>
      <c r="IZ36" s="128"/>
      <c r="JA36" s="128"/>
      <c r="JB36" s="128"/>
      <c r="JF36" s="138">
        <v>31</v>
      </c>
      <c r="JG36" s="138">
        <v>25</v>
      </c>
      <c r="JH36" s="128"/>
      <c r="JI36" s="128"/>
      <c r="JJ36" s="128"/>
      <c r="JK36" s="128"/>
      <c r="JL36" s="128"/>
      <c r="JP36" s="138">
        <v>31</v>
      </c>
      <c r="JQ36" s="138">
        <v>25</v>
      </c>
      <c r="JR36" s="128"/>
      <c r="JS36" s="128"/>
      <c r="JT36" s="128"/>
      <c r="JU36" s="128"/>
      <c r="JV36" s="128"/>
      <c r="JZ36" s="138">
        <v>31</v>
      </c>
      <c r="KA36" s="138">
        <v>25</v>
      </c>
      <c r="KB36" s="128"/>
      <c r="KC36" s="128"/>
      <c r="KD36" s="128"/>
      <c r="KE36" s="128"/>
      <c r="KF36" s="128"/>
      <c r="KJ36" s="138">
        <v>31</v>
      </c>
      <c r="KK36" s="138">
        <v>25</v>
      </c>
    </row>
    <row r="37" spans="1:297">
      <c r="A37" s="87">
        <v>0</v>
      </c>
      <c r="B37" s="83">
        <f>_xll.flu_SPT2025($D$10,$D$13,$D$14,$D$23,$D$16,$D$17,$I$11:$J$25,$R$19:$S$108,FALSE,FALSE,"Cao độ",A37,$D$18)</f>
        <v>0</v>
      </c>
      <c r="C37" s="87" t="str">
        <f>IF(B37="","",_xll.TimTenLoaiDat(B37,$G$11:$I$25))</f>
        <v>Lớp 1</v>
      </c>
      <c r="D37" s="87" t="str">
        <f>IF(B37="","",_xll.TimTinhChatDat(B37,$I$11:$J$25))</f>
        <v>Đất dính</v>
      </c>
      <c r="E37" s="95">
        <f>IF(B37="","",_xll.NoiSuySPT(B37,$R$19:$S$108,$D$17,$D$13,0,0))</f>
        <v>0</v>
      </c>
      <c r="F37" s="125">
        <f>IF(B37="","",_xll.qbEQ_SPT2025($D$10,$D$13,$D$14,B37,$D$17,$I$11:$J$25,$R$19:$S$108,$D$19,$I$11:$O$25,$D$12,"ganmaqb",$D$20))</f>
        <v>0.88551999999999997</v>
      </c>
      <c r="G37" s="95" t="str">
        <f>IF(B37="","",IF(D37="Đất dính","-",_xll.qbEQ_SPT2025($D$10,$D$13,$D$14,B37,$D$17,$I$11:$J$25,$R$19:$S$108,$D$19,$I$11:$O$25,$D$12,"",$D$20)))</f>
        <v>-</v>
      </c>
      <c r="H37" s="95">
        <f>IF(B37="","",IF(D37="Đất dính",_xll.qbEQ_SPT2025($D$10,$D$13,$D$14,B37,$D$17,$I$11:$J$25,$R$19:$S$108,$D$19,$I$11:$O$25,$D$12,"",$D$20),"-"))</f>
        <v>0</v>
      </c>
      <c r="I37" s="95">
        <f>IF(B37="","",MAX(G37,H37)*$D$22)</f>
        <v>0</v>
      </c>
      <c r="J37" s="96">
        <f>_xll.flu_SPT2025($D$10,$D$13,$D$14,$D$23,$D$16,$D$17,$I$11:$J$25,$R$19:$S$108,FALSE,FALSE,"Li",A37,$D$18)</f>
        <v>1</v>
      </c>
      <c r="K37" s="150">
        <f>IF(B37="","",_xll.fluEQ_SPT2025($D$10,$D$13,$D$14,$D$23,$D$16,$D$17,$I$11:$J$25,$R$19:$S$108,FALSE,FALSE,"ganmafl",A37,$D$18,$D$19,$I$11:$O$25,$D$12,$J$29,$D$20))</f>
        <v>0.78552</v>
      </c>
      <c r="L37" s="95" t="str">
        <f>IF(D37="Đất dính","-",_xll.fluEQ_SPT2025($D$10,$D$13,$D$14,$D$23,$D$16,$D$17,$I$11:$J$25,$R$19:$S$108,FALSE,FALSE,"f",A37,$D$18,$D$19,$I$11:$O$25,$D$12,$J$29,$D$20))</f>
        <v>-</v>
      </c>
      <c r="M37" s="95">
        <f>IF(B37="","",IF(D37="Đất dính",_xll.fluEQ_SPT2025($D$10,$D$13,$D$14,$D$23,$D$16,$D$17,$I$11:$J$25,$R$19:$S$108,FALSE,FALSE,"f",A37,$D$18,$D$19,$I$11:$O$25,$D$12,$J$29,$D$20),"-"))</f>
        <v>0</v>
      </c>
      <c r="N37" s="95">
        <f>_xll.fluEQ_SPT2025($D$10,$D$13,$D$14,$D$23,$D$16,$D$17,$I$11:$J$25,$R$19:$S$108,FALSE,FALSE,"flu",A37,$D$18,$D$19,$I$11:$O$25,$D$12,$J$29,$D$20)</f>
        <v>0</v>
      </c>
      <c r="O37" s="87">
        <f>IF(B37="",NA(),N37+I37)</f>
        <v>0</v>
      </c>
      <c r="P37" s="65"/>
      <c r="R37" s="138">
        <v>33</v>
      </c>
      <c r="S37" s="138">
        <v>20</v>
      </c>
      <c r="U37" s="144">
        <v>19</v>
      </c>
      <c r="V37" s="138"/>
      <c r="Z37" s="138">
        <v>33</v>
      </c>
      <c r="AA37" s="138">
        <v>20</v>
      </c>
      <c r="AJ37" s="138">
        <v>33</v>
      </c>
      <c r="AK37" s="138">
        <v>19</v>
      </c>
      <c r="AL37" s="128"/>
      <c r="AM37" s="128"/>
      <c r="AN37" s="128"/>
      <c r="AO37" s="128"/>
      <c r="AP37" s="128"/>
      <c r="AT37" s="138">
        <v>33</v>
      </c>
      <c r="AU37" s="138">
        <v>95</v>
      </c>
      <c r="AV37" s="128"/>
      <c r="AW37" s="128"/>
      <c r="AX37" s="128"/>
      <c r="AY37" s="128"/>
      <c r="AZ37" s="128"/>
      <c r="BD37" s="138">
        <v>33</v>
      </c>
      <c r="BE37" s="138">
        <v>20</v>
      </c>
      <c r="BF37" s="128"/>
      <c r="BG37" s="128"/>
      <c r="BH37" s="128"/>
      <c r="BI37" s="128"/>
      <c r="BJ37" s="128"/>
      <c r="BN37" s="138">
        <v>33</v>
      </c>
      <c r="BO37" s="138">
        <v>20</v>
      </c>
      <c r="BP37" s="128"/>
      <c r="BQ37" s="128"/>
      <c r="BR37" s="128"/>
      <c r="BS37" s="128"/>
      <c r="BT37" s="128"/>
      <c r="BX37" s="138">
        <v>33</v>
      </c>
      <c r="BY37" s="138">
        <v>20</v>
      </c>
      <c r="BZ37" s="128"/>
      <c r="CA37" s="128"/>
      <c r="CB37" s="128"/>
      <c r="CC37" s="128"/>
      <c r="CD37" s="128"/>
      <c r="CH37" s="138">
        <v>33</v>
      </c>
      <c r="CI37" s="138">
        <v>20</v>
      </c>
      <c r="CJ37" s="128"/>
      <c r="CK37" s="128"/>
      <c r="CL37" s="128"/>
      <c r="CM37" s="128"/>
      <c r="CN37" s="128"/>
      <c r="CR37" s="138">
        <v>33</v>
      </c>
      <c r="CS37" s="138">
        <v>20</v>
      </c>
      <c r="CT37" s="128"/>
      <c r="CU37" s="128"/>
      <c r="CV37" s="128"/>
      <c r="CW37" s="128"/>
      <c r="CX37" s="128"/>
      <c r="DB37" s="138">
        <v>33</v>
      </c>
      <c r="DC37" s="138">
        <v>20</v>
      </c>
      <c r="DD37" s="128"/>
      <c r="DE37" s="128"/>
      <c r="DF37" s="128"/>
      <c r="DG37" s="128"/>
      <c r="DH37" s="128"/>
      <c r="DL37" s="138">
        <v>33</v>
      </c>
      <c r="DM37" s="138">
        <v>20</v>
      </c>
      <c r="DN37" s="128"/>
      <c r="DO37" s="128"/>
      <c r="DP37" s="128"/>
      <c r="DQ37" s="128"/>
      <c r="DR37" s="128"/>
      <c r="DV37" s="138">
        <v>33</v>
      </c>
      <c r="DW37" s="138">
        <v>20</v>
      </c>
      <c r="DX37" s="128"/>
      <c r="DY37" s="128"/>
      <c r="DZ37" s="128"/>
      <c r="EA37" s="128"/>
      <c r="EB37" s="128"/>
      <c r="EF37" s="138">
        <v>33</v>
      </c>
      <c r="EG37" s="138">
        <v>20</v>
      </c>
      <c r="EH37" s="128"/>
      <c r="EI37" s="128"/>
      <c r="EJ37" s="128"/>
      <c r="EK37" s="128"/>
      <c r="EL37" s="128"/>
      <c r="EP37" s="138">
        <v>33</v>
      </c>
      <c r="EQ37" s="138">
        <v>20</v>
      </c>
      <c r="ER37" s="128"/>
      <c r="ES37" s="128"/>
      <c r="ET37" s="128"/>
      <c r="EU37" s="128"/>
      <c r="EV37" s="128"/>
      <c r="EZ37" s="138">
        <v>33</v>
      </c>
      <c r="FA37" s="138">
        <v>20</v>
      </c>
      <c r="FB37" s="128"/>
      <c r="FC37" s="128"/>
      <c r="FD37" s="128"/>
      <c r="FE37" s="128"/>
      <c r="FF37" s="128"/>
      <c r="FJ37" s="138">
        <v>33</v>
      </c>
      <c r="FK37" s="138">
        <v>20</v>
      </c>
      <c r="FL37" s="128"/>
      <c r="FM37" s="128"/>
      <c r="FN37" s="128"/>
      <c r="FO37" s="128"/>
      <c r="FP37" s="128"/>
      <c r="FT37" s="138">
        <v>33</v>
      </c>
      <c r="FU37" s="138">
        <v>20</v>
      </c>
      <c r="FV37" s="128"/>
      <c r="FW37" s="128"/>
      <c r="FX37" s="128"/>
      <c r="FY37" s="128"/>
      <c r="FZ37" s="128"/>
      <c r="GD37" s="138">
        <v>33</v>
      </c>
      <c r="GE37" s="138">
        <v>20</v>
      </c>
      <c r="GF37" s="128"/>
      <c r="GG37" s="128"/>
      <c r="GH37" s="128"/>
      <c r="GI37" s="128"/>
      <c r="GJ37" s="128"/>
      <c r="GN37" s="138">
        <v>33</v>
      </c>
      <c r="GO37" s="138">
        <v>20</v>
      </c>
      <c r="GP37" s="128"/>
      <c r="GQ37" s="128"/>
      <c r="GR37" s="128"/>
      <c r="GS37" s="128"/>
      <c r="GT37" s="128"/>
      <c r="GX37" s="138">
        <v>33</v>
      </c>
      <c r="GY37" s="138">
        <v>20</v>
      </c>
      <c r="GZ37" s="128"/>
      <c r="HA37" s="128"/>
      <c r="HB37" s="128"/>
      <c r="HC37" s="128"/>
      <c r="HD37" s="128"/>
      <c r="HH37" s="138">
        <v>33</v>
      </c>
      <c r="HI37" s="138">
        <v>20</v>
      </c>
      <c r="HJ37" s="128"/>
      <c r="HK37" s="128"/>
      <c r="HL37" s="128"/>
      <c r="HM37" s="128"/>
      <c r="HN37" s="128"/>
      <c r="HR37" s="138">
        <v>33</v>
      </c>
      <c r="HS37" s="138">
        <v>20</v>
      </c>
      <c r="HT37" s="128"/>
      <c r="HU37" s="128"/>
      <c r="HV37" s="128"/>
      <c r="HW37" s="128"/>
      <c r="HX37" s="128"/>
      <c r="IB37" s="138">
        <v>33</v>
      </c>
      <c r="IC37" s="138">
        <v>20</v>
      </c>
      <c r="ID37" s="128"/>
      <c r="IE37" s="128"/>
      <c r="IF37" s="128"/>
      <c r="IG37" s="128"/>
      <c r="IH37" s="128"/>
      <c r="IL37" s="138">
        <v>33</v>
      </c>
      <c r="IM37" s="138">
        <v>20</v>
      </c>
      <c r="IN37" s="128"/>
      <c r="IO37" s="128"/>
      <c r="IP37" s="128"/>
      <c r="IQ37" s="128"/>
      <c r="IR37" s="128"/>
      <c r="IV37" s="138">
        <v>33</v>
      </c>
      <c r="IW37" s="138">
        <v>20</v>
      </c>
      <c r="IX37" s="128"/>
      <c r="IY37" s="128"/>
      <c r="IZ37" s="128"/>
      <c r="JA37" s="128"/>
      <c r="JB37" s="128"/>
      <c r="JF37" s="138">
        <v>33</v>
      </c>
      <c r="JG37" s="138">
        <v>20</v>
      </c>
      <c r="JH37" s="128"/>
      <c r="JI37" s="128"/>
      <c r="JJ37" s="128"/>
      <c r="JK37" s="128"/>
      <c r="JL37" s="128"/>
      <c r="JP37" s="138">
        <v>33</v>
      </c>
      <c r="JQ37" s="138">
        <v>20</v>
      </c>
      <c r="JR37" s="128"/>
      <c r="JS37" s="128"/>
      <c r="JT37" s="128"/>
      <c r="JU37" s="128"/>
      <c r="JV37" s="128"/>
      <c r="JZ37" s="138">
        <v>33</v>
      </c>
      <c r="KA37" s="138">
        <v>20</v>
      </c>
      <c r="KB37" s="128"/>
      <c r="KC37" s="128"/>
      <c r="KD37" s="128"/>
      <c r="KE37" s="128"/>
      <c r="KF37" s="128"/>
      <c r="KJ37" s="138">
        <v>33</v>
      </c>
      <c r="KK37" s="138">
        <v>20</v>
      </c>
    </row>
    <row r="38" spans="1:297">
      <c r="A38" s="87">
        <f t="shared" ref="A38:A101" si="1">+A37+1</f>
        <v>1</v>
      </c>
      <c r="B38" s="83">
        <f>_xll.flu_SPT2025($D$10,$D$13,$D$14,$D$23,$D$16,$D$17,$I$11:$J$25,$R$19:$S$108,FALSE,FALSE,"Cao độ",A38,$D$18)</f>
        <v>1</v>
      </c>
      <c r="C38" s="87" t="str">
        <f>IF(B38="","",_xll.TimTenLoaiDat(B38,$G$11:$I$25))</f>
        <v>Lớp 1</v>
      </c>
      <c r="D38" s="87" t="str">
        <f>IF(B38="","",_xll.TimTinhChatDat(B38,$I$11:$J$25))</f>
        <v>Đất dính</v>
      </c>
      <c r="E38" s="95">
        <f>IF(B38="","",_xll.NoiSuySPT(B38,$R$19:$S$108,$D$17,$D$13,0,0))</f>
        <v>2.6666666666666701</v>
      </c>
      <c r="F38" s="125">
        <f>IF(B38="","",_xll.qbEQ_SPT2025($D$10,$D$13,$D$14,B38,$D$17,$I$11:$J$25,$R$19:$S$108,$D$19,$I$11:$O$25,$D$12,"ganmaqb",$D$20))</f>
        <v>0.88551999999999997</v>
      </c>
      <c r="G38" s="95" t="str">
        <f>IF(B38="","",IF(D38="Đất dính","-",_xll.qbEQ_SPT2025($D$10,$D$13,$D$14,B38,$D$17,$I$11:$J$25,$R$19:$S$108,$D$19,$I$11:$O$25,$D$12,"",$D$20)))</f>
        <v>-</v>
      </c>
      <c r="H38" s="95">
        <f>IF(B38="","",IF(D38="Đất dính",_xll.qbEQ_SPT2025($D$10,$D$13,$D$14,B38,$D$17,$I$11:$J$25,$R$19:$S$108,$D$19,$I$11:$O$25,$D$12,"",$D$20),"-"))</f>
        <v>88.552000000000007</v>
      </c>
      <c r="I38" s="95">
        <f t="shared" ref="I38:I68" si="2">IF(B38="","",MAX(G38,H38)*$D$22)</f>
        <v>69.548578165170795</v>
      </c>
      <c r="J38" s="96">
        <f>_xll.flu_SPT2025($D$10,$D$13,$D$14,$D$23,$D$16,$D$17,$I$11:$J$25,$R$19:$S$108,FALSE,FALSE,"Li",A38,$D$18)</f>
        <v>0.5</v>
      </c>
      <c r="K38" s="150">
        <f>IF(B38="","",_xll.fluEQ_SPT2025($D$10,$D$13,$D$14,$D$23,$D$16,$D$17,$I$11:$J$25,$R$19:$S$108,FALSE,FALSE,"ganmafl",A38,$D$18,$D$19,$I$11:$O$25,$D$12,$J$29,$D$20))</f>
        <v>0.78552</v>
      </c>
      <c r="L38" s="95" t="str">
        <f>IF(D38="Đất dính","-",_xll.fluEQ_SPT2025($D$10,$D$13,$D$14,$D$23,$D$16,$D$17,$I$11:$J$25,$R$19:$S$108,FALSE,FALSE,"f",A38,$D$18,$D$19,$I$11:$O$25,$D$12,$J$29,$D$20))</f>
        <v>-</v>
      </c>
      <c r="M38" s="95">
        <f>IF(B38="","",IF(D38="Đất dính",_xll.fluEQ_SPT2025($D$10,$D$13,$D$14,$D$23,$D$16,$D$17,$I$11:$J$25,$R$19:$S$108,FALSE,FALSE,"f",A38,$D$18,$D$19,$I$11:$O$25,$D$12,$J$29,$D$20),"-"))</f>
        <v>0</v>
      </c>
      <c r="N38" s="95">
        <f>_xll.fluEQ_SPT2025($D$10,$D$13,$D$14,$D$23,$D$16,$D$17,$I$11:$J$25,$R$19:$S$108,FALSE,FALSE,"flu",A38,$D$18,$D$19,$I$11:$O$25,$D$12,$J$29,$D$20)</f>
        <v>0</v>
      </c>
      <c r="O38" s="87">
        <f t="shared" ref="O38:O101" si="3">IF(B38="",NA(),N38+I38)</f>
        <v>69.548578165170795</v>
      </c>
      <c r="P38" s="65"/>
      <c r="R38" s="138">
        <v>35</v>
      </c>
      <c r="S38" s="138">
        <v>27</v>
      </c>
      <c r="U38" s="144">
        <v>20</v>
      </c>
      <c r="V38" s="138"/>
      <c r="Z38" s="138">
        <v>35</v>
      </c>
      <c r="AA38" s="138">
        <v>27</v>
      </c>
      <c r="AJ38" s="138">
        <v>35</v>
      </c>
      <c r="AK38" s="138">
        <v>20</v>
      </c>
      <c r="AL38" s="128"/>
      <c r="AM38" s="128"/>
      <c r="AN38" s="128"/>
      <c r="AO38" s="128"/>
      <c r="AP38" s="128"/>
      <c r="AT38" s="138">
        <v>35</v>
      </c>
      <c r="AU38" s="138">
        <v>100</v>
      </c>
      <c r="AV38" s="128"/>
      <c r="AW38" s="128"/>
      <c r="AX38" s="128"/>
      <c r="AY38" s="128"/>
      <c r="AZ38" s="128"/>
      <c r="BD38" s="138">
        <v>35</v>
      </c>
      <c r="BE38" s="138">
        <v>27</v>
      </c>
      <c r="BF38" s="128"/>
      <c r="BG38" s="128"/>
      <c r="BH38" s="128"/>
      <c r="BI38" s="128"/>
      <c r="BJ38" s="128"/>
      <c r="BN38" s="138">
        <v>35</v>
      </c>
      <c r="BO38" s="138">
        <v>27</v>
      </c>
      <c r="BP38" s="128"/>
      <c r="BQ38" s="128"/>
      <c r="BR38" s="128"/>
      <c r="BS38" s="128"/>
      <c r="BT38" s="128"/>
      <c r="BX38" s="138">
        <v>35</v>
      </c>
      <c r="BY38" s="138">
        <v>27</v>
      </c>
      <c r="BZ38" s="128"/>
      <c r="CA38" s="128"/>
      <c r="CB38" s="128"/>
      <c r="CC38" s="128"/>
      <c r="CD38" s="128"/>
      <c r="CH38" s="138">
        <v>35</v>
      </c>
      <c r="CI38" s="138">
        <v>27</v>
      </c>
      <c r="CJ38" s="128"/>
      <c r="CK38" s="128"/>
      <c r="CL38" s="128"/>
      <c r="CM38" s="128"/>
      <c r="CN38" s="128"/>
      <c r="CR38" s="138">
        <v>35</v>
      </c>
      <c r="CS38" s="138">
        <v>27</v>
      </c>
      <c r="CT38" s="128"/>
      <c r="CU38" s="128"/>
      <c r="CV38" s="128"/>
      <c r="CW38" s="128"/>
      <c r="CX38" s="128"/>
      <c r="DB38" s="138">
        <v>35</v>
      </c>
      <c r="DC38" s="138">
        <v>27</v>
      </c>
      <c r="DD38" s="128"/>
      <c r="DE38" s="128"/>
      <c r="DF38" s="128"/>
      <c r="DG38" s="128"/>
      <c r="DH38" s="128"/>
      <c r="DL38" s="138">
        <v>35</v>
      </c>
      <c r="DM38" s="138">
        <v>27</v>
      </c>
      <c r="DN38" s="128"/>
      <c r="DO38" s="128"/>
      <c r="DP38" s="128"/>
      <c r="DQ38" s="128"/>
      <c r="DR38" s="128"/>
      <c r="DV38" s="138">
        <v>35</v>
      </c>
      <c r="DW38" s="138">
        <v>27</v>
      </c>
      <c r="DX38" s="128"/>
      <c r="DY38" s="128"/>
      <c r="DZ38" s="128"/>
      <c r="EA38" s="128"/>
      <c r="EB38" s="128"/>
      <c r="EF38" s="138">
        <v>35</v>
      </c>
      <c r="EG38" s="138">
        <v>27</v>
      </c>
      <c r="EH38" s="128"/>
      <c r="EI38" s="128"/>
      <c r="EJ38" s="128"/>
      <c r="EK38" s="128"/>
      <c r="EL38" s="128"/>
      <c r="EP38" s="138">
        <v>35</v>
      </c>
      <c r="EQ38" s="138">
        <v>27</v>
      </c>
      <c r="ER38" s="128"/>
      <c r="ES38" s="128"/>
      <c r="ET38" s="128"/>
      <c r="EU38" s="128"/>
      <c r="EV38" s="128"/>
      <c r="EZ38" s="138">
        <v>35</v>
      </c>
      <c r="FA38" s="138">
        <v>27</v>
      </c>
      <c r="FB38" s="128"/>
      <c r="FC38" s="128"/>
      <c r="FD38" s="128"/>
      <c r="FE38" s="128"/>
      <c r="FF38" s="128"/>
      <c r="FJ38" s="138">
        <v>35</v>
      </c>
      <c r="FK38" s="138">
        <v>27</v>
      </c>
      <c r="FL38" s="128"/>
      <c r="FM38" s="128"/>
      <c r="FN38" s="128"/>
      <c r="FO38" s="128"/>
      <c r="FP38" s="128"/>
      <c r="FT38" s="138">
        <v>35</v>
      </c>
      <c r="FU38" s="138">
        <v>27</v>
      </c>
      <c r="FV38" s="128"/>
      <c r="FW38" s="128"/>
      <c r="FX38" s="128"/>
      <c r="FY38" s="128"/>
      <c r="FZ38" s="128"/>
      <c r="GD38" s="138">
        <v>35</v>
      </c>
      <c r="GE38" s="138">
        <v>27</v>
      </c>
      <c r="GF38" s="128"/>
      <c r="GG38" s="128"/>
      <c r="GH38" s="128"/>
      <c r="GI38" s="128"/>
      <c r="GJ38" s="128"/>
      <c r="GN38" s="138">
        <v>35</v>
      </c>
      <c r="GO38" s="138">
        <v>27</v>
      </c>
      <c r="GP38" s="128"/>
      <c r="GQ38" s="128"/>
      <c r="GR38" s="128"/>
      <c r="GS38" s="128"/>
      <c r="GT38" s="128"/>
      <c r="GX38" s="138">
        <v>35</v>
      </c>
      <c r="GY38" s="138">
        <v>27</v>
      </c>
      <c r="GZ38" s="128"/>
      <c r="HA38" s="128"/>
      <c r="HB38" s="128"/>
      <c r="HC38" s="128"/>
      <c r="HD38" s="128"/>
      <c r="HH38" s="138">
        <v>35</v>
      </c>
      <c r="HI38" s="138">
        <v>27</v>
      </c>
      <c r="HJ38" s="128"/>
      <c r="HK38" s="128"/>
      <c r="HL38" s="128"/>
      <c r="HM38" s="128"/>
      <c r="HN38" s="128"/>
      <c r="HR38" s="138">
        <v>35</v>
      </c>
      <c r="HS38" s="138">
        <v>27</v>
      </c>
      <c r="HT38" s="128"/>
      <c r="HU38" s="128"/>
      <c r="HV38" s="128"/>
      <c r="HW38" s="128"/>
      <c r="HX38" s="128"/>
      <c r="IB38" s="138">
        <v>35</v>
      </c>
      <c r="IC38" s="138">
        <v>27</v>
      </c>
      <c r="ID38" s="128"/>
      <c r="IE38" s="128"/>
      <c r="IF38" s="128"/>
      <c r="IG38" s="128"/>
      <c r="IH38" s="128"/>
      <c r="IL38" s="138">
        <v>35</v>
      </c>
      <c r="IM38" s="138">
        <v>27</v>
      </c>
      <c r="IN38" s="128"/>
      <c r="IO38" s="128"/>
      <c r="IP38" s="128"/>
      <c r="IQ38" s="128"/>
      <c r="IR38" s="128"/>
      <c r="IV38" s="138">
        <v>35</v>
      </c>
      <c r="IW38" s="138">
        <v>27</v>
      </c>
      <c r="IX38" s="128"/>
      <c r="IY38" s="128"/>
      <c r="IZ38" s="128"/>
      <c r="JA38" s="128"/>
      <c r="JB38" s="128"/>
      <c r="JF38" s="138">
        <v>35</v>
      </c>
      <c r="JG38" s="138">
        <v>27</v>
      </c>
      <c r="JH38" s="128"/>
      <c r="JI38" s="128"/>
      <c r="JJ38" s="128"/>
      <c r="JK38" s="128"/>
      <c r="JL38" s="128"/>
      <c r="JP38" s="138">
        <v>35</v>
      </c>
      <c r="JQ38" s="138">
        <v>27</v>
      </c>
      <c r="JR38" s="128"/>
      <c r="JS38" s="128"/>
      <c r="JT38" s="128"/>
      <c r="JU38" s="128"/>
      <c r="JV38" s="128"/>
      <c r="JZ38" s="138">
        <v>35</v>
      </c>
      <c r="KA38" s="138">
        <v>27</v>
      </c>
      <c r="KB38" s="128"/>
      <c r="KC38" s="128"/>
      <c r="KD38" s="128"/>
      <c r="KE38" s="128"/>
      <c r="KF38" s="128"/>
      <c r="KJ38" s="138">
        <v>35</v>
      </c>
      <c r="KK38" s="138">
        <v>27</v>
      </c>
    </row>
    <row r="39" spans="1:297" s="35" customFormat="1">
      <c r="A39" s="87">
        <f t="shared" si="1"/>
        <v>2</v>
      </c>
      <c r="B39" s="83">
        <f>_xll.flu_SPT2025($D$10,$D$13,$D$14,$D$23,$D$16,$D$17,$I$11:$J$25,$R$19:$S$108,FALSE,FALSE,"Cao độ",A39,$D$18)</f>
        <v>1.5</v>
      </c>
      <c r="C39" s="87" t="str">
        <f>IF(B39="","",_xll.TimTenLoaiDat(B39,$G$11:$I$25))</f>
        <v>Lớp 2</v>
      </c>
      <c r="D39" s="87" t="str">
        <f>IF(B39="","",_xll.TimTinhChatDat(B39,$I$11:$J$25))</f>
        <v>Đất dính</v>
      </c>
      <c r="E39" s="95">
        <f>IF(B39="","",_xll.NoiSuySPT(B39,$R$19:$S$108,$D$17,$D$13,0,0))</f>
        <v>4</v>
      </c>
      <c r="F39" s="125">
        <f>IF(B39="","",_xll.qbEQ_SPT2025($D$10,$D$13,$D$14,B39,$D$17,$I$11:$J$25,$R$19:$S$108,$D$19,$I$11:$O$25,$D$12,"ganmaqb",$D$20))</f>
        <v>0.88551999999999997</v>
      </c>
      <c r="G39" s="95" t="str">
        <f>IF(B39="","",IF(D39="Đất dính","-",_xll.qbEQ_SPT2025($D$10,$D$13,$D$14,B39,$D$17,$I$11:$J$25,$R$19:$S$108,$D$19,$I$11:$O$25,$D$12,"",$D$20)))</f>
        <v>-</v>
      </c>
      <c r="H39" s="95">
        <f>IF(B39="","",IF(D39="Đất dính",_xll.qbEQ_SPT2025($D$10,$D$13,$D$14,B39,$D$17,$I$11:$J$25,$R$19:$S$108,$D$19,$I$11:$O$25,$D$12,"",$D$20),"-"))</f>
        <v>132.828</v>
      </c>
      <c r="I39" s="95">
        <f t="shared" si="2"/>
        <v>104.32286724775599</v>
      </c>
      <c r="J39" s="96">
        <f>_xll.flu_SPT2025($D$10,$D$13,$D$14,$D$23,$D$16,$D$17,$I$11:$J$25,$R$19:$S$108,FALSE,FALSE,"Li",A39,$D$18)</f>
        <v>0.5</v>
      </c>
      <c r="K39" s="150">
        <f>IF(B39="","",_xll.fluEQ_SPT2025($D$10,$D$13,$D$14,$D$23,$D$16,$D$17,$I$11:$J$25,$R$19:$S$108,FALSE,FALSE,"ganmafl",A39,$D$18,$D$19,$I$11:$O$25,$D$12,$J$29,$D$20))</f>
        <v>0.78552</v>
      </c>
      <c r="L39" s="95" t="str">
        <f>IF(D39="Đất dính","-",_xll.fluEQ_SPT2025($D$10,$D$13,$D$14,$D$23,$D$16,$D$17,$I$11:$J$25,$R$19:$S$108,FALSE,FALSE,"f",A39,$D$18,$D$19,$I$11:$O$25,$D$12,$J$29,$D$20))</f>
        <v>-</v>
      </c>
      <c r="M39" s="95">
        <f>IF(B39="","",IF(D39="Đất dính",_xll.fluEQ_SPT2025($D$10,$D$13,$D$14,$D$23,$D$16,$D$17,$I$11:$J$25,$R$19:$S$108,FALSE,FALSE,"f",A39,$D$18,$D$19,$I$11:$O$25,$D$12,$J$29,$D$20),"-"))</f>
        <v>0</v>
      </c>
      <c r="N39" s="95">
        <f>_xll.fluEQ_SPT2025($D$10,$D$13,$D$14,$D$23,$D$16,$D$17,$I$11:$J$25,$R$19:$S$108,FALSE,FALSE,"flu",A39,$D$18,$D$19,$I$11:$O$25,$D$12,$J$29,$D$20)</f>
        <v>0</v>
      </c>
      <c r="O39" s="87">
        <f t="shared" si="3"/>
        <v>104.32286724775599</v>
      </c>
      <c r="P39" s="65"/>
      <c r="Q39" s="151"/>
      <c r="R39" s="138">
        <v>37</v>
      </c>
      <c r="S39" s="138">
        <v>30</v>
      </c>
      <c r="U39" s="144">
        <v>21</v>
      </c>
      <c r="V39" s="138"/>
      <c r="W39" s="136"/>
      <c r="X39" s="136"/>
      <c r="Y39" s="136"/>
      <c r="Z39" s="138">
        <v>37</v>
      </c>
      <c r="AA39" s="138">
        <v>30</v>
      </c>
      <c r="AJ39" s="138">
        <v>37</v>
      </c>
      <c r="AK39" s="138">
        <v>21</v>
      </c>
      <c r="AL39" s="128"/>
      <c r="AM39" s="128"/>
      <c r="AN39" s="128"/>
      <c r="AO39" s="128"/>
      <c r="AP39" s="128"/>
      <c r="AT39" s="138">
        <v>37</v>
      </c>
      <c r="AU39" s="138">
        <v>105</v>
      </c>
      <c r="AV39" s="128"/>
      <c r="AW39" s="128"/>
      <c r="AX39" s="128"/>
      <c r="AY39" s="128"/>
      <c r="AZ39" s="128"/>
      <c r="BD39" s="138">
        <v>37</v>
      </c>
      <c r="BE39" s="138">
        <v>30</v>
      </c>
      <c r="BF39" s="128"/>
      <c r="BG39" s="128"/>
      <c r="BH39" s="128"/>
      <c r="BI39" s="128"/>
      <c r="BJ39" s="128"/>
      <c r="BN39" s="138">
        <v>37</v>
      </c>
      <c r="BO39" s="138">
        <v>30</v>
      </c>
      <c r="BP39" s="128"/>
      <c r="BQ39" s="128"/>
      <c r="BR39" s="128"/>
      <c r="BS39" s="128"/>
      <c r="BT39" s="128"/>
      <c r="BX39" s="138">
        <v>37</v>
      </c>
      <c r="BY39" s="138">
        <v>30</v>
      </c>
      <c r="BZ39" s="128"/>
      <c r="CA39" s="128"/>
      <c r="CB39" s="128"/>
      <c r="CC39" s="128"/>
      <c r="CD39" s="128"/>
      <c r="CH39" s="138">
        <v>37</v>
      </c>
      <c r="CI39" s="138">
        <v>30</v>
      </c>
      <c r="CJ39" s="128"/>
      <c r="CK39" s="128"/>
      <c r="CL39" s="128"/>
      <c r="CM39" s="128"/>
      <c r="CN39" s="128"/>
      <c r="CR39" s="138">
        <v>37</v>
      </c>
      <c r="CS39" s="138">
        <v>30</v>
      </c>
      <c r="CT39" s="128"/>
      <c r="CU39" s="128"/>
      <c r="CV39" s="128"/>
      <c r="CW39" s="128"/>
      <c r="CX39" s="128"/>
      <c r="DB39" s="138">
        <v>37</v>
      </c>
      <c r="DC39" s="138">
        <v>30</v>
      </c>
      <c r="DD39" s="128"/>
      <c r="DE39" s="128"/>
      <c r="DF39" s="128"/>
      <c r="DG39" s="128"/>
      <c r="DH39" s="128"/>
      <c r="DL39" s="138">
        <v>37</v>
      </c>
      <c r="DM39" s="138">
        <v>30</v>
      </c>
      <c r="DN39" s="128"/>
      <c r="DO39" s="128"/>
      <c r="DP39" s="128"/>
      <c r="DQ39" s="128"/>
      <c r="DR39" s="128"/>
      <c r="DV39" s="138">
        <v>37</v>
      </c>
      <c r="DW39" s="138">
        <v>30</v>
      </c>
      <c r="DX39" s="128"/>
      <c r="DY39" s="128"/>
      <c r="DZ39" s="128"/>
      <c r="EA39" s="128"/>
      <c r="EB39" s="128"/>
      <c r="EF39" s="138">
        <v>37</v>
      </c>
      <c r="EG39" s="138">
        <v>30</v>
      </c>
      <c r="EH39" s="128"/>
      <c r="EI39" s="128"/>
      <c r="EJ39" s="128"/>
      <c r="EK39" s="128"/>
      <c r="EL39" s="128"/>
      <c r="EP39" s="138">
        <v>37</v>
      </c>
      <c r="EQ39" s="138">
        <v>30</v>
      </c>
      <c r="ER39" s="128"/>
      <c r="ES39" s="128"/>
      <c r="ET39" s="128"/>
      <c r="EU39" s="128"/>
      <c r="EV39" s="128"/>
      <c r="EZ39" s="138">
        <v>37</v>
      </c>
      <c r="FA39" s="138">
        <v>30</v>
      </c>
      <c r="FB39" s="128"/>
      <c r="FC39" s="128"/>
      <c r="FD39" s="128"/>
      <c r="FE39" s="128"/>
      <c r="FF39" s="128"/>
      <c r="FJ39" s="138">
        <v>37</v>
      </c>
      <c r="FK39" s="138">
        <v>30</v>
      </c>
      <c r="FL39" s="128"/>
      <c r="FM39" s="128"/>
      <c r="FN39" s="128"/>
      <c r="FO39" s="128"/>
      <c r="FP39" s="128"/>
      <c r="FT39" s="138">
        <v>37</v>
      </c>
      <c r="FU39" s="138">
        <v>30</v>
      </c>
      <c r="FV39" s="128"/>
      <c r="FW39" s="128"/>
      <c r="FX39" s="128"/>
      <c r="FY39" s="128"/>
      <c r="FZ39" s="128"/>
      <c r="GD39" s="138">
        <v>37</v>
      </c>
      <c r="GE39" s="138">
        <v>30</v>
      </c>
      <c r="GF39" s="128"/>
      <c r="GG39" s="128"/>
      <c r="GH39" s="128"/>
      <c r="GI39" s="128"/>
      <c r="GJ39" s="128"/>
      <c r="GN39" s="138">
        <v>37</v>
      </c>
      <c r="GO39" s="138">
        <v>30</v>
      </c>
      <c r="GP39" s="128"/>
      <c r="GQ39" s="128"/>
      <c r="GR39" s="128"/>
      <c r="GS39" s="128"/>
      <c r="GT39" s="128"/>
      <c r="GX39" s="138">
        <v>37</v>
      </c>
      <c r="GY39" s="138">
        <v>30</v>
      </c>
      <c r="GZ39" s="128"/>
      <c r="HA39" s="128"/>
      <c r="HB39" s="128"/>
      <c r="HC39" s="128"/>
      <c r="HD39" s="128"/>
      <c r="HH39" s="138">
        <v>37</v>
      </c>
      <c r="HI39" s="138">
        <v>30</v>
      </c>
      <c r="HJ39" s="128"/>
      <c r="HK39" s="128"/>
      <c r="HL39" s="128"/>
      <c r="HM39" s="128"/>
      <c r="HN39" s="128"/>
      <c r="HR39" s="138">
        <v>37</v>
      </c>
      <c r="HS39" s="138">
        <v>30</v>
      </c>
      <c r="HT39" s="128"/>
      <c r="HU39" s="128"/>
      <c r="HV39" s="128"/>
      <c r="HW39" s="128"/>
      <c r="HX39" s="128"/>
      <c r="IB39" s="138">
        <v>37</v>
      </c>
      <c r="IC39" s="138">
        <v>30</v>
      </c>
      <c r="ID39" s="128"/>
      <c r="IE39" s="128"/>
      <c r="IF39" s="128"/>
      <c r="IG39" s="128"/>
      <c r="IH39" s="128"/>
      <c r="IL39" s="138">
        <v>37</v>
      </c>
      <c r="IM39" s="138">
        <v>30</v>
      </c>
      <c r="IN39" s="128"/>
      <c r="IO39" s="128"/>
      <c r="IP39" s="128"/>
      <c r="IQ39" s="128"/>
      <c r="IR39" s="128"/>
      <c r="IV39" s="138">
        <v>37</v>
      </c>
      <c r="IW39" s="138">
        <v>30</v>
      </c>
      <c r="IX39" s="128"/>
      <c r="IY39" s="128"/>
      <c r="IZ39" s="128"/>
      <c r="JA39" s="128"/>
      <c r="JB39" s="128"/>
      <c r="JF39" s="138">
        <v>37</v>
      </c>
      <c r="JG39" s="138">
        <v>30</v>
      </c>
      <c r="JH39" s="128"/>
      <c r="JI39" s="128"/>
      <c r="JJ39" s="128"/>
      <c r="JK39" s="128"/>
      <c r="JL39" s="128"/>
      <c r="JP39" s="138">
        <v>37</v>
      </c>
      <c r="JQ39" s="138">
        <v>30</v>
      </c>
      <c r="JR39" s="128"/>
      <c r="JS39" s="128"/>
      <c r="JT39" s="128"/>
      <c r="JU39" s="128"/>
      <c r="JV39" s="128"/>
      <c r="JZ39" s="138">
        <v>37</v>
      </c>
      <c r="KA39" s="138">
        <v>30</v>
      </c>
      <c r="KB39" s="128"/>
      <c r="KC39" s="128"/>
      <c r="KD39" s="128"/>
      <c r="KE39" s="128"/>
      <c r="KF39" s="128"/>
      <c r="KJ39" s="138">
        <v>37</v>
      </c>
      <c r="KK39" s="138">
        <v>30</v>
      </c>
    </row>
    <row r="40" spans="1:297" s="35" customFormat="1">
      <c r="A40" s="87">
        <f t="shared" si="1"/>
        <v>3</v>
      </c>
      <c r="B40" s="83">
        <f>_xll.flu_SPT2025($D$10,$D$13,$D$14,$D$23,$D$16,$D$17,$I$11:$J$25,$R$19:$S$108,FALSE,FALSE,"Cao độ",A40,$D$18)</f>
        <v>2</v>
      </c>
      <c r="C40" s="87" t="str">
        <f>IF(B40="","",_xll.TimTenLoaiDat(B40,$G$11:$I$25))</f>
        <v>Lớp 2</v>
      </c>
      <c r="D40" s="87" t="str">
        <f>IF(B40="","",_xll.TimTinhChatDat(B40,$I$11:$J$25))</f>
        <v>Đất dính</v>
      </c>
      <c r="E40" s="95">
        <f>IF(B40="","",_xll.NoiSuySPT(B40,$R$19:$S$108,$D$17,$D$13,0,0))</f>
        <v>3.75</v>
      </c>
      <c r="F40" s="125">
        <f>IF(B40="","",_xll.qbEQ_SPT2025($D$10,$D$13,$D$14,B40,$D$17,$I$11:$J$25,$R$19:$S$108,$D$19,$I$11:$O$25,$D$12,"ganmaqb",$D$20))</f>
        <v>0.88551999999999997</v>
      </c>
      <c r="G40" s="95" t="str">
        <f>IF(B40="","",IF(D40="Đất dính","-",_xll.qbEQ_SPT2025($D$10,$D$13,$D$14,B40,$D$17,$I$11:$J$25,$R$19:$S$108,$D$19,$I$11:$O$25,$D$12,"",$D$20)))</f>
        <v>-</v>
      </c>
      <c r="H40" s="95">
        <f>IF(B40="","",IF(D40="Đất dính",_xll.qbEQ_SPT2025($D$10,$D$13,$D$14,B40,$D$17,$I$11:$J$25,$R$19:$S$108,$D$19,$I$11:$O$25,$D$12,"",$D$20),"-"))</f>
        <v>124.52625</v>
      </c>
      <c r="I40" s="95">
        <f t="shared" si="2"/>
        <v>97.8026880447715</v>
      </c>
      <c r="J40" s="96">
        <f>_xll.flu_SPT2025($D$10,$D$13,$D$14,$D$23,$D$16,$D$17,$I$11:$J$25,$R$19:$S$108,FALSE,FALSE,"Li",A40,$D$18)</f>
        <v>1</v>
      </c>
      <c r="K40" s="150">
        <f>IF(B40="","",_xll.fluEQ_SPT2025($D$10,$D$13,$D$14,$D$23,$D$16,$D$17,$I$11:$J$25,$R$19:$S$108,FALSE,FALSE,"ganmafl",A40,$D$18,$D$19,$I$11:$O$25,$D$12,$J$29,$D$20))</f>
        <v>0.78552</v>
      </c>
      <c r="L40" s="95" t="str">
        <f>IF(D40="Đất dính","-",_xll.fluEQ_SPT2025($D$10,$D$13,$D$14,$D$23,$D$16,$D$17,$I$11:$J$25,$R$19:$S$108,FALSE,FALSE,"f",A40,$D$18,$D$19,$I$11:$O$25,$D$12,$J$29,$D$20))</f>
        <v>-</v>
      </c>
      <c r="M40" s="95">
        <f>IF(B40="","",IF(D40="Đất dính",_xll.fluEQ_SPT2025($D$10,$D$13,$D$14,$D$23,$D$16,$D$17,$I$11:$J$25,$R$19:$S$108,FALSE,FALSE,"f",A40,$D$18,$D$19,$I$11:$O$25,$D$12,$J$29,$D$20),"-"))</f>
        <v>0</v>
      </c>
      <c r="N40" s="95">
        <f>_xll.fluEQ_SPT2025($D$10,$D$13,$D$14,$D$23,$D$16,$D$17,$I$11:$J$25,$R$19:$S$108,FALSE,FALSE,"flu",A40,$D$18,$D$19,$I$11:$O$25,$D$12,$J$29,$D$20)</f>
        <v>0</v>
      </c>
      <c r="O40" s="87">
        <f t="shared" si="3"/>
        <v>97.8026880447715</v>
      </c>
      <c r="P40" s="65"/>
      <c r="Q40" s="151"/>
      <c r="R40" s="138">
        <v>38.200000000000003</v>
      </c>
      <c r="S40" s="138">
        <v>24</v>
      </c>
      <c r="U40" s="144">
        <v>22</v>
      </c>
      <c r="V40" s="138"/>
      <c r="W40" s="136"/>
      <c r="X40" s="136"/>
      <c r="Y40" s="136"/>
      <c r="Z40" s="138">
        <v>38.200000000000003</v>
      </c>
      <c r="AA40" s="138">
        <v>24</v>
      </c>
      <c r="AB40" s="128"/>
      <c r="AC40" s="128"/>
      <c r="AD40" s="128"/>
      <c r="AE40" s="128"/>
      <c r="AF40" s="128"/>
      <c r="AJ40" s="138">
        <v>38.200000000000003</v>
      </c>
      <c r="AK40" s="138">
        <v>22</v>
      </c>
      <c r="AL40" s="128"/>
      <c r="AM40" s="128"/>
      <c r="AN40" s="128"/>
      <c r="AO40" s="128"/>
      <c r="AP40" s="128"/>
      <c r="AT40" s="138">
        <v>38.200000000000003</v>
      </c>
      <c r="AU40" s="138">
        <v>110</v>
      </c>
      <c r="AV40" s="128"/>
      <c r="AW40" s="128"/>
      <c r="AX40" s="128"/>
      <c r="AY40" s="128"/>
      <c r="AZ40" s="128"/>
      <c r="BD40" s="138">
        <v>38.200000000000003</v>
      </c>
      <c r="BE40" s="138">
        <v>24</v>
      </c>
      <c r="BF40" s="128"/>
      <c r="BG40" s="128"/>
      <c r="BH40" s="128"/>
      <c r="BI40" s="128"/>
      <c r="BJ40" s="128"/>
      <c r="BN40" s="138">
        <v>38.200000000000003</v>
      </c>
      <c r="BO40" s="138">
        <v>24</v>
      </c>
      <c r="BP40" s="128"/>
      <c r="BQ40" s="128"/>
      <c r="BR40" s="128"/>
      <c r="BS40" s="128"/>
      <c r="BT40" s="128"/>
      <c r="BX40" s="138">
        <v>38.200000000000003</v>
      </c>
      <c r="BY40" s="138">
        <v>24</v>
      </c>
      <c r="BZ40" s="128"/>
      <c r="CA40" s="128"/>
      <c r="CB40" s="128"/>
      <c r="CC40" s="128"/>
      <c r="CD40" s="128"/>
      <c r="CH40" s="138">
        <v>38.200000000000003</v>
      </c>
      <c r="CI40" s="138">
        <v>24</v>
      </c>
      <c r="CJ40" s="128"/>
      <c r="CK40" s="128"/>
      <c r="CL40" s="128"/>
      <c r="CM40" s="128"/>
      <c r="CN40" s="128"/>
      <c r="CR40" s="138">
        <v>38.200000000000003</v>
      </c>
      <c r="CS40" s="138">
        <v>24</v>
      </c>
      <c r="CT40" s="128"/>
      <c r="CU40" s="128"/>
      <c r="CV40" s="128"/>
      <c r="CW40" s="128"/>
      <c r="CX40" s="128"/>
      <c r="DB40" s="138">
        <v>38.200000000000003</v>
      </c>
      <c r="DC40" s="138">
        <v>24</v>
      </c>
      <c r="DD40" s="128"/>
      <c r="DE40" s="128"/>
      <c r="DF40" s="128"/>
      <c r="DG40" s="128"/>
      <c r="DH40" s="128"/>
      <c r="DL40" s="138">
        <v>38.200000000000003</v>
      </c>
      <c r="DM40" s="138">
        <v>24</v>
      </c>
      <c r="DN40" s="128"/>
      <c r="DO40" s="128"/>
      <c r="DP40" s="128"/>
      <c r="DQ40" s="128"/>
      <c r="DR40" s="128"/>
      <c r="DV40" s="138">
        <v>38.200000000000003</v>
      </c>
      <c r="DW40" s="138">
        <v>24</v>
      </c>
      <c r="DX40" s="128"/>
      <c r="DY40" s="128"/>
      <c r="DZ40" s="128"/>
      <c r="EA40" s="128"/>
      <c r="EB40" s="128"/>
      <c r="EF40" s="138">
        <v>38.200000000000003</v>
      </c>
      <c r="EG40" s="138">
        <v>24</v>
      </c>
      <c r="EH40" s="128"/>
      <c r="EI40" s="128"/>
      <c r="EJ40" s="128"/>
      <c r="EK40" s="128"/>
      <c r="EL40" s="128"/>
      <c r="EP40" s="138">
        <v>38.200000000000003</v>
      </c>
      <c r="EQ40" s="138">
        <v>24</v>
      </c>
      <c r="ER40" s="128"/>
      <c r="ES40" s="128"/>
      <c r="ET40" s="128"/>
      <c r="EU40" s="128"/>
      <c r="EV40" s="128"/>
      <c r="EZ40" s="138">
        <v>38.200000000000003</v>
      </c>
      <c r="FA40" s="138">
        <v>24</v>
      </c>
      <c r="FB40" s="128"/>
      <c r="FC40" s="128"/>
      <c r="FD40" s="128"/>
      <c r="FE40" s="128"/>
      <c r="FF40" s="128"/>
      <c r="FJ40" s="138">
        <v>38.200000000000003</v>
      </c>
      <c r="FK40" s="138">
        <v>24</v>
      </c>
      <c r="FL40" s="128"/>
      <c r="FM40" s="128"/>
      <c r="FN40" s="128"/>
      <c r="FO40" s="128"/>
      <c r="FP40" s="128"/>
      <c r="FT40" s="138">
        <v>38.200000000000003</v>
      </c>
      <c r="FU40" s="138">
        <v>24</v>
      </c>
      <c r="FV40" s="128"/>
      <c r="FW40" s="128"/>
      <c r="FX40" s="128"/>
      <c r="FY40" s="128"/>
      <c r="FZ40" s="128"/>
      <c r="GD40" s="138">
        <v>38.200000000000003</v>
      </c>
      <c r="GE40" s="138">
        <v>24</v>
      </c>
      <c r="GF40" s="128"/>
      <c r="GG40" s="128"/>
      <c r="GH40" s="128"/>
      <c r="GI40" s="128"/>
      <c r="GJ40" s="128"/>
      <c r="GN40" s="138">
        <v>38.200000000000003</v>
      </c>
      <c r="GO40" s="138">
        <v>24</v>
      </c>
      <c r="GP40" s="128"/>
      <c r="GQ40" s="128"/>
      <c r="GR40" s="128"/>
      <c r="GS40" s="128"/>
      <c r="GT40" s="128"/>
      <c r="GX40" s="138">
        <v>38.200000000000003</v>
      </c>
      <c r="GY40" s="138">
        <v>24</v>
      </c>
      <c r="GZ40" s="128"/>
      <c r="HA40" s="128"/>
      <c r="HB40" s="128"/>
      <c r="HC40" s="128"/>
      <c r="HD40" s="128"/>
      <c r="HH40" s="138">
        <v>38.200000000000003</v>
      </c>
      <c r="HI40" s="138">
        <v>24</v>
      </c>
      <c r="HJ40" s="128"/>
      <c r="HK40" s="128"/>
      <c r="HL40" s="128"/>
      <c r="HM40" s="128"/>
      <c r="HN40" s="128"/>
      <c r="HR40" s="138">
        <v>38.200000000000003</v>
      </c>
      <c r="HS40" s="138">
        <v>24</v>
      </c>
      <c r="HT40" s="128"/>
      <c r="HU40" s="128"/>
      <c r="HV40" s="128"/>
      <c r="HW40" s="128"/>
      <c r="HX40" s="128"/>
      <c r="IB40" s="138">
        <v>38.200000000000003</v>
      </c>
      <c r="IC40" s="138">
        <v>24</v>
      </c>
      <c r="ID40" s="128"/>
      <c r="IE40" s="128"/>
      <c r="IF40" s="128"/>
      <c r="IG40" s="128"/>
      <c r="IH40" s="128"/>
      <c r="IL40" s="138">
        <v>38.200000000000003</v>
      </c>
      <c r="IM40" s="138">
        <v>24</v>
      </c>
      <c r="IN40" s="128"/>
      <c r="IO40" s="128"/>
      <c r="IP40" s="128"/>
      <c r="IQ40" s="128"/>
      <c r="IR40" s="128"/>
      <c r="IV40" s="138">
        <v>38.200000000000003</v>
      </c>
      <c r="IW40" s="138">
        <v>24</v>
      </c>
      <c r="IX40" s="128"/>
      <c r="IY40" s="128"/>
      <c r="IZ40" s="128"/>
      <c r="JA40" s="128"/>
      <c r="JB40" s="128"/>
      <c r="JF40" s="138">
        <v>38.200000000000003</v>
      </c>
      <c r="JG40" s="138">
        <v>24</v>
      </c>
      <c r="JH40" s="128"/>
      <c r="JI40" s="128"/>
      <c r="JJ40" s="128"/>
      <c r="JK40" s="128"/>
      <c r="JL40" s="128"/>
      <c r="JP40" s="138">
        <v>38.200000000000003</v>
      </c>
      <c r="JQ40" s="138">
        <v>24</v>
      </c>
      <c r="JR40" s="128"/>
      <c r="JS40" s="128"/>
      <c r="JT40" s="128"/>
      <c r="JU40" s="128"/>
      <c r="JV40" s="128"/>
      <c r="JZ40" s="138">
        <v>38.200000000000003</v>
      </c>
      <c r="KA40" s="138">
        <v>24</v>
      </c>
      <c r="KB40" s="128"/>
      <c r="KC40" s="128"/>
      <c r="KD40" s="128"/>
      <c r="KE40" s="128"/>
      <c r="KF40" s="128"/>
      <c r="KJ40" s="138">
        <v>38.200000000000003</v>
      </c>
      <c r="KK40" s="138">
        <v>24</v>
      </c>
    </row>
    <row r="41" spans="1:297">
      <c r="A41" s="87">
        <f t="shared" si="1"/>
        <v>4</v>
      </c>
      <c r="B41" s="83">
        <f>_xll.flu_SPT2025($D$10,$D$13,$D$14,$D$23,$D$16,$D$17,$I$11:$J$25,$R$19:$S$108,FALSE,FALSE,"Cao độ",A41,$D$18)</f>
        <v>3</v>
      </c>
      <c r="C41" s="87" t="str">
        <f>IF(B41="","",_xll.TimTenLoaiDat(B41,$G$11:$I$25))</f>
        <v>Lớp 2</v>
      </c>
      <c r="D41" s="87" t="str">
        <f>IF(B41="","",_xll.TimTinhChatDat(B41,$I$11:$J$25))</f>
        <v>Đất dính</v>
      </c>
      <c r="E41" s="95">
        <f>IF(B41="","",_xll.NoiSuySPT(B41,$R$19:$S$108,$D$17,$D$13,0,0))</f>
        <v>3.25</v>
      </c>
      <c r="F41" s="125">
        <f>IF(B41="","",_xll.qbEQ_SPT2025($D$10,$D$13,$D$14,B41,$D$17,$I$11:$J$25,$R$19:$S$108,$D$19,$I$11:$O$25,$D$12,"ganmaqb",$D$20))</f>
        <v>0.88551999999999997</v>
      </c>
      <c r="G41" s="95" t="str">
        <f>IF(B41="","",IF(D41="Đất dính","-",_xll.qbEQ_SPT2025($D$10,$D$13,$D$14,B41,$D$17,$I$11:$J$25,$R$19:$S$108,$D$19,$I$11:$O$25,$D$12,"",$D$20)))</f>
        <v>-</v>
      </c>
      <c r="H41" s="95">
        <f>IF(B41="","",IF(D41="Đất dính",_xll.qbEQ_SPT2025($D$10,$D$13,$D$14,B41,$D$17,$I$11:$J$25,$R$19:$S$108,$D$19,$I$11:$O$25,$D$12,"",$D$20),"-"))</f>
        <v>107.92274999999999</v>
      </c>
      <c r="I41" s="95">
        <f t="shared" si="2"/>
        <v>84.762329638802001</v>
      </c>
      <c r="J41" s="96">
        <f>_xll.flu_SPT2025($D$10,$D$13,$D$14,$D$23,$D$16,$D$17,$I$11:$J$25,$R$19:$S$108,FALSE,FALSE,"Li",A41,$D$18)</f>
        <v>1</v>
      </c>
      <c r="K41" s="150">
        <f>IF(B41="","",_xll.fluEQ_SPT2025($D$10,$D$13,$D$14,$D$23,$D$16,$D$17,$I$11:$J$25,$R$19:$S$108,FALSE,FALSE,"ganmafl",A41,$D$18,$D$19,$I$11:$O$25,$D$12,$J$29,$D$20))</f>
        <v>0.78552</v>
      </c>
      <c r="L41" s="95" t="str">
        <f>IF(D41="Đất dính","-",_xll.fluEQ_SPT2025($D$10,$D$13,$D$14,$D$23,$D$16,$D$17,$I$11:$J$25,$R$19:$S$108,FALSE,FALSE,"f",A41,$D$18,$D$19,$I$11:$O$25,$D$12,$J$29,$D$20))</f>
        <v>-</v>
      </c>
      <c r="M41" s="95">
        <f>IF(B41="","",IF(D41="Đất dính",_xll.fluEQ_SPT2025($D$10,$D$13,$D$14,$D$23,$D$16,$D$17,$I$11:$J$25,$R$19:$S$108,FALSE,FALSE,"f",A41,$D$18,$D$19,$I$11:$O$25,$D$12,$J$29,$D$20),"-"))</f>
        <v>0</v>
      </c>
      <c r="N41" s="95">
        <f>_xll.fluEQ_SPT2025($D$10,$D$13,$D$14,$D$23,$D$16,$D$17,$I$11:$J$25,$R$19:$S$108,FALSE,FALSE,"flu",A41,$D$18,$D$19,$I$11:$O$25,$D$12,$J$29,$D$20)</f>
        <v>0</v>
      </c>
      <c r="O41" s="87">
        <f t="shared" si="3"/>
        <v>84.762329638802001</v>
      </c>
      <c r="P41" s="65"/>
      <c r="R41" s="138">
        <v>40.200000000000003</v>
      </c>
      <c r="S41" s="138">
        <v>50</v>
      </c>
      <c r="U41" s="144">
        <v>23</v>
      </c>
      <c r="V41" s="138"/>
      <c r="Z41" s="138">
        <v>40.200000000000003</v>
      </c>
      <c r="AA41" s="138">
        <v>50</v>
      </c>
      <c r="AB41" s="128"/>
      <c r="AC41" s="128"/>
      <c r="AD41" s="128"/>
      <c r="AE41" s="128"/>
      <c r="AF41" s="128"/>
      <c r="AJ41" s="138">
        <v>40.200000000000003</v>
      </c>
      <c r="AK41" s="138">
        <v>23</v>
      </c>
      <c r="AL41" s="128"/>
      <c r="AM41" s="128"/>
      <c r="AN41" s="128"/>
      <c r="AO41" s="128"/>
      <c r="AP41" s="128"/>
      <c r="AT41" s="138">
        <v>40.200000000000003</v>
      </c>
      <c r="AU41" s="138">
        <v>115</v>
      </c>
      <c r="AV41" s="128"/>
      <c r="AW41" s="128"/>
      <c r="AX41" s="128"/>
      <c r="AY41" s="128"/>
      <c r="AZ41" s="128"/>
      <c r="BD41" s="138">
        <v>40.200000000000003</v>
      </c>
      <c r="BE41" s="138">
        <v>50</v>
      </c>
      <c r="BF41" s="128"/>
      <c r="BG41" s="128"/>
      <c r="BH41" s="128"/>
      <c r="BI41" s="128"/>
      <c r="BJ41" s="128"/>
      <c r="BN41" s="138">
        <v>40.200000000000003</v>
      </c>
      <c r="BO41" s="138">
        <v>50</v>
      </c>
      <c r="BP41" s="128"/>
      <c r="BQ41" s="128"/>
      <c r="BR41" s="128"/>
      <c r="BS41" s="128"/>
      <c r="BT41" s="128"/>
      <c r="BX41" s="138">
        <v>40.200000000000003</v>
      </c>
      <c r="BY41" s="138">
        <v>50</v>
      </c>
      <c r="BZ41" s="128"/>
      <c r="CA41" s="128"/>
      <c r="CB41" s="128"/>
      <c r="CC41" s="128"/>
      <c r="CD41" s="128"/>
      <c r="CH41" s="138">
        <v>40.200000000000003</v>
      </c>
      <c r="CI41" s="138">
        <v>50</v>
      </c>
      <c r="CJ41" s="128"/>
      <c r="CK41" s="128"/>
      <c r="CL41" s="128"/>
      <c r="CM41" s="128"/>
      <c r="CN41" s="128"/>
      <c r="CR41" s="138">
        <v>40.200000000000003</v>
      </c>
      <c r="CS41" s="138">
        <v>50</v>
      </c>
      <c r="CT41" s="128"/>
      <c r="CU41" s="128"/>
      <c r="CV41" s="128"/>
      <c r="CW41" s="128"/>
      <c r="CX41" s="128"/>
      <c r="DB41" s="138">
        <v>40.200000000000003</v>
      </c>
      <c r="DC41" s="138">
        <v>50</v>
      </c>
      <c r="DD41" s="128"/>
      <c r="DE41" s="128"/>
      <c r="DF41" s="128"/>
      <c r="DG41" s="128"/>
      <c r="DH41" s="128"/>
      <c r="DL41" s="138">
        <v>40.200000000000003</v>
      </c>
      <c r="DM41" s="138">
        <v>50</v>
      </c>
      <c r="DN41" s="128"/>
      <c r="DO41" s="128"/>
      <c r="DP41" s="128"/>
      <c r="DQ41" s="128"/>
      <c r="DR41" s="128"/>
      <c r="DV41" s="138">
        <v>40.200000000000003</v>
      </c>
      <c r="DW41" s="138">
        <v>50</v>
      </c>
      <c r="DX41" s="128"/>
      <c r="DY41" s="128"/>
      <c r="DZ41" s="128"/>
      <c r="EA41" s="128"/>
      <c r="EB41" s="128"/>
      <c r="EF41" s="138">
        <v>40.200000000000003</v>
      </c>
      <c r="EG41" s="138">
        <v>50</v>
      </c>
      <c r="EH41" s="128"/>
      <c r="EI41" s="128"/>
      <c r="EJ41" s="128"/>
      <c r="EK41" s="128"/>
      <c r="EL41" s="128"/>
      <c r="EP41" s="138">
        <v>40.200000000000003</v>
      </c>
      <c r="EQ41" s="138">
        <v>50</v>
      </c>
      <c r="ER41" s="128"/>
      <c r="ES41" s="128"/>
      <c r="ET41" s="128"/>
      <c r="EU41" s="128"/>
      <c r="EV41" s="128"/>
      <c r="EZ41" s="138">
        <v>40.200000000000003</v>
      </c>
      <c r="FA41" s="138">
        <v>50</v>
      </c>
      <c r="FB41" s="128"/>
      <c r="FC41" s="128"/>
      <c r="FD41" s="128"/>
      <c r="FE41" s="128"/>
      <c r="FF41" s="128"/>
      <c r="FJ41" s="138">
        <v>40.200000000000003</v>
      </c>
      <c r="FK41" s="138">
        <v>50</v>
      </c>
      <c r="FL41" s="128"/>
      <c r="FM41" s="128"/>
      <c r="FN41" s="128"/>
      <c r="FO41" s="128"/>
      <c r="FP41" s="128"/>
      <c r="FT41" s="138">
        <v>40.200000000000003</v>
      </c>
      <c r="FU41" s="138">
        <v>50</v>
      </c>
      <c r="FV41" s="128"/>
      <c r="FW41" s="128"/>
      <c r="FX41" s="128"/>
      <c r="FY41" s="128"/>
      <c r="FZ41" s="128"/>
      <c r="GD41" s="138">
        <v>40.200000000000003</v>
      </c>
      <c r="GE41" s="138">
        <v>50</v>
      </c>
      <c r="GF41" s="128"/>
      <c r="GG41" s="128"/>
      <c r="GH41" s="128"/>
      <c r="GI41" s="128"/>
      <c r="GJ41" s="128"/>
      <c r="GN41" s="138">
        <v>40.200000000000003</v>
      </c>
      <c r="GO41" s="138">
        <v>50</v>
      </c>
      <c r="GP41" s="128"/>
      <c r="GQ41" s="128"/>
      <c r="GR41" s="128"/>
      <c r="GS41" s="128"/>
      <c r="GT41" s="128"/>
      <c r="GX41" s="138">
        <v>40.200000000000003</v>
      </c>
      <c r="GY41" s="138">
        <v>50</v>
      </c>
      <c r="GZ41" s="128"/>
      <c r="HA41" s="128"/>
      <c r="HB41" s="128"/>
      <c r="HC41" s="128"/>
      <c r="HD41" s="128"/>
      <c r="HH41" s="138">
        <v>40.200000000000003</v>
      </c>
      <c r="HI41" s="138">
        <v>50</v>
      </c>
      <c r="HJ41" s="128"/>
      <c r="HK41" s="128"/>
      <c r="HL41" s="128"/>
      <c r="HM41" s="128"/>
      <c r="HN41" s="128"/>
      <c r="HR41" s="138">
        <v>40.200000000000003</v>
      </c>
      <c r="HS41" s="138">
        <v>50</v>
      </c>
      <c r="HT41" s="128"/>
      <c r="HU41" s="128"/>
      <c r="HV41" s="128"/>
      <c r="HW41" s="128"/>
      <c r="HX41" s="128"/>
      <c r="IB41" s="138">
        <v>40.200000000000003</v>
      </c>
      <c r="IC41" s="138">
        <v>50</v>
      </c>
      <c r="ID41" s="128"/>
      <c r="IE41" s="128"/>
      <c r="IF41" s="128"/>
      <c r="IG41" s="128"/>
      <c r="IH41" s="128"/>
      <c r="IL41" s="138">
        <v>40.200000000000003</v>
      </c>
      <c r="IM41" s="138">
        <v>50</v>
      </c>
      <c r="IN41" s="128"/>
      <c r="IO41" s="128"/>
      <c r="IP41" s="128"/>
      <c r="IQ41" s="128"/>
      <c r="IR41" s="128"/>
      <c r="IV41" s="138">
        <v>40.200000000000003</v>
      </c>
      <c r="IW41" s="138">
        <v>50</v>
      </c>
      <c r="IX41" s="128"/>
      <c r="IY41" s="128"/>
      <c r="IZ41" s="128"/>
      <c r="JA41" s="128"/>
      <c r="JB41" s="128"/>
      <c r="JF41" s="138">
        <v>40.200000000000003</v>
      </c>
      <c r="JG41" s="138">
        <v>50</v>
      </c>
      <c r="JH41" s="128"/>
      <c r="JI41" s="128"/>
      <c r="JJ41" s="128"/>
      <c r="JK41" s="128"/>
      <c r="JL41" s="128"/>
      <c r="JP41" s="138">
        <v>40.200000000000003</v>
      </c>
      <c r="JQ41" s="138">
        <v>50</v>
      </c>
      <c r="JR41" s="128"/>
      <c r="JS41" s="128"/>
      <c r="JT41" s="128"/>
      <c r="JU41" s="128"/>
      <c r="JV41" s="128"/>
      <c r="JZ41" s="138">
        <v>40.200000000000003</v>
      </c>
      <c r="KA41" s="138">
        <v>50</v>
      </c>
      <c r="KB41" s="128"/>
      <c r="KC41" s="128"/>
      <c r="KD41" s="128"/>
      <c r="KE41" s="128"/>
      <c r="KF41" s="128"/>
      <c r="KJ41" s="138">
        <v>40.200000000000003</v>
      </c>
      <c r="KK41" s="138">
        <v>50</v>
      </c>
    </row>
    <row r="42" spans="1:297">
      <c r="A42" s="87">
        <f t="shared" si="1"/>
        <v>5</v>
      </c>
      <c r="B42" s="83">
        <f>_xll.flu_SPT2025($D$10,$D$13,$D$14,$D$23,$D$16,$D$17,$I$11:$J$25,$R$19:$S$108,FALSE,FALSE,"Cao độ",A42,$D$18)</f>
        <v>4</v>
      </c>
      <c r="C42" s="87" t="str">
        <f>IF(B42="","",_xll.TimTenLoaiDat(B42,$G$11:$I$25))</f>
        <v>Lớp 2</v>
      </c>
      <c r="D42" s="87" t="str">
        <f>IF(B42="","",_xll.TimTinhChatDat(B42,$I$11:$J$25))</f>
        <v>Đất dính</v>
      </c>
      <c r="E42" s="95">
        <f>IF(B42="","",_xll.NoiSuySPT(B42,$R$19:$S$108,$D$17,$D$13,0,0))</f>
        <v>3</v>
      </c>
      <c r="F42" s="125">
        <f>IF(B42="","",_xll.qbEQ_SPT2025($D$10,$D$13,$D$14,B42,$D$17,$I$11:$J$25,$R$19:$S$108,$D$19,$I$11:$O$25,$D$12,"ganmaqb",$D$20))</f>
        <v>0.88551999999999997</v>
      </c>
      <c r="G42" s="95" t="str">
        <f>IF(B42="","",IF(D42="Đất dính","-",_xll.qbEQ_SPT2025($D$10,$D$13,$D$14,B42,$D$17,$I$11:$J$25,$R$19:$S$108,$D$19,$I$11:$O$25,$D$12,"",$D$20)))</f>
        <v>-</v>
      </c>
      <c r="H42" s="95">
        <f>IF(B42="","",IF(D42="Đất dính",_xll.qbEQ_SPT2025($D$10,$D$13,$D$14,B42,$D$17,$I$11:$J$25,$R$19:$S$108,$D$19,$I$11:$O$25,$D$12,"",$D$20),"-"))</f>
        <v>99.620999999999995</v>
      </c>
      <c r="I42" s="95">
        <f t="shared" si="2"/>
        <v>78.242150435817194</v>
      </c>
      <c r="J42" s="96">
        <f>_xll.flu_SPT2025($D$10,$D$13,$D$14,$D$23,$D$16,$D$17,$I$11:$J$25,$R$19:$S$108,FALSE,FALSE,"Li",A42,$D$18)</f>
        <v>1</v>
      </c>
      <c r="K42" s="150">
        <f>IF(B42="","",_xll.fluEQ_SPT2025($D$10,$D$13,$D$14,$D$23,$D$16,$D$17,$I$11:$J$25,$R$19:$S$108,FALSE,FALSE,"ganmafl",A42,$D$18,$D$19,$I$11:$O$25,$D$12,$J$29,$D$20))</f>
        <v>0.78552</v>
      </c>
      <c r="L42" s="95" t="str">
        <f>IF(D42="Đất dính","-",_xll.fluEQ_SPT2025($D$10,$D$13,$D$14,$D$23,$D$16,$D$17,$I$11:$J$25,$R$19:$S$108,FALSE,FALSE,"f",A42,$D$18,$D$19,$I$11:$O$25,$D$12,$J$29,$D$20))</f>
        <v>-</v>
      </c>
      <c r="M42" s="95">
        <f>IF(B42="","",IF(D42="Đất dính",_xll.fluEQ_SPT2025($D$10,$D$13,$D$14,$D$23,$D$16,$D$17,$I$11:$J$25,$R$19:$S$108,FALSE,FALSE,"f",A42,$D$18,$D$19,$I$11:$O$25,$D$12,$J$29,$D$20),"-"))</f>
        <v>0</v>
      </c>
      <c r="N42" s="95">
        <f>_xll.fluEQ_SPT2025($D$10,$D$13,$D$14,$D$23,$D$16,$D$17,$I$11:$J$25,$R$19:$S$108,FALSE,FALSE,"flu",A42,$D$18,$D$19,$I$11:$O$25,$D$12,$J$29,$D$20)</f>
        <v>0</v>
      </c>
      <c r="O42" s="87">
        <f t="shared" si="3"/>
        <v>78.242150435817194</v>
      </c>
      <c r="P42" s="65"/>
      <c r="R42" s="138">
        <v>42.2</v>
      </c>
      <c r="S42" s="138">
        <v>50</v>
      </c>
      <c r="U42" s="144">
        <v>24</v>
      </c>
      <c r="V42" s="138"/>
      <c r="Z42" s="138">
        <v>42.2</v>
      </c>
      <c r="AA42" s="138">
        <v>50</v>
      </c>
      <c r="AB42" s="128"/>
      <c r="AC42" s="128"/>
      <c r="AD42" s="128"/>
      <c r="AE42" s="128"/>
      <c r="AF42" s="128"/>
      <c r="AJ42" s="138">
        <v>42.2</v>
      </c>
      <c r="AK42" s="138">
        <v>24</v>
      </c>
      <c r="AL42" s="128"/>
      <c r="AM42" s="128"/>
      <c r="AN42" s="128"/>
      <c r="AO42" s="128"/>
      <c r="AP42" s="128"/>
      <c r="AT42" s="138">
        <v>42.2</v>
      </c>
      <c r="AU42" s="138">
        <v>120</v>
      </c>
      <c r="AV42" s="128"/>
      <c r="AW42" s="128"/>
      <c r="AX42" s="128"/>
      <c r="AY42" s="128"/>
      <c r="AZ42" s="128"/>
      <c r="BD42" s="138">
        <v>42.2</v>
      </c>
      <c r="BE42" s="138">
        <v>50</v>
      </c>
      <c r="BF42" s="128"/>
      <c r="BG42" s="128"/>
      <c r="BH42" s="128"/>
      <c r="BI42" s="128"/>
      <c r="BJ42" s="128"/>
      <c r="BN42" s="138">
        <v>42.2</v>
      </c>
      <c r="BO42" s="138">
        <v>50</v>
      </c>
      <c r="BP42" s="128"/>
      <c r="BQ42" s="128"/>
      <c r="BR42" s="128"/>
      <c r="BS42" s="128"/>
      <c r="BT42" s="128"/>
      <c r="BX42" s="138">
        <v>42.2</v>
      </c>
      <c r="BY42" s="138">
        <v>50</v>
      </c>
      <c r="BZ42" s="128"/>
      <c r="CA42" s="128"/>
      <c r="CB42" s="128"/>
      <c r="CC42" s="128"/>
      <c r="CD42" s="128"/>
      <c r="CH42" s="138">
        <v>42.2</v>
      </c>
      <c r="CI42" s="138">
        <v>50</v>
      </c>
      <c r="CJ42" s="128"/>
      <c r="CK42" s="128"/>
      <c r="CL42" s="128"/>
      <c r="CM42" s="128"/>
      <c r="CN42" s="128"/>
      <c r="CR42" s="138">
        <v>42.2</v>
      </c>
      <c r="CS42" s="138">
        <v>50</v>
      </c>
      <c r="CT42" s="128"/>
      <c r="CU42" s="128"/>
      <c r="CV42" s="128"/>
      <c r="CW42" s="128"/>
      <c r="CX42" s="128"/>
      <c r="DB42" s="138">
        <v>42.2</v>
      </c>
      <c r="DC42" s="138">
        <v>50</v>
      </c>
      <c r="DD42" s="128"/>
      <c r="DE42" s="128"/>
      <c r="DF42" s="128"/>
      <c r="DG42" s="128"/>
      <c r="DH42" s="128"/>
      <c r="DL42" s="138">
        <v>42.2</v>
      </c>
      <c r="DM42" s="138">
        <v>50</v>
      </c>
      <c r="DN42" s="128"/>
      <c r="DO42" s="128"/>
      <c r="DP42" s="128"/>
      <c r="DQ42" s="128"/>
      <c r="DR42" s="128"/>
      <c r="DV42" s="138">
        <v>42.2</v>
      </c>
      <c r="DW42" s="138">
        <v>50</v>
      </c>
      <c r="DX42" s="128"/>
      <c r="DY42" s="128"/>
      <c r="DZ42" s="128"/>
      <c r="EA42" s="128"/>
      <c r="EB42" s="128"/>
      <c r="EF42" s="138">
        <v>42.2</v>
      </c>
      <c r="EG42" s="138">
        <v>50</v>
      </c>
      <c r="EH42" s="128"/>
      <c r="EI42" s="128"/>
      <c r="EJ42" s="128"/>
      <c r="EK42" s="128"/>
      <c r="EL42" s="128"/>
      <c r="EP42" s="138">
        <v>42.2</v>
      </c>
      <c r="EQ42" s="138">
        <v>50</v>
      </c>
      <c r="ER42" s="128"/>
      <c r="ES42" s="128"/>
      <c r="ET42" s="128"/>
      <c r="EU42" s="128"/>
      <c r="EV42" s="128"/>
      <c r="EZ42" s="138">
        <v>42.2</v>
      </c>
      <c r="FA42" s="138">
        <v>50</v>
      </c>
      <c r="FB42" s="128"/>
      <c r="FC42" s="128"/>
      <c r="FD42" s="128"/>
      <c r="FE42" s="128"/>
      <c r="FF42" s="128"/>
      <c r="FJ42" s="138">
        <v>42.2</v>
      </c>
      <c r="FK42" s="138">
        <v>50</v>
      </c>
      <c r="FL42" s="128"/>
      <c r="FM42" s="128"/>
      <c r="FN42" s="128"/>
      <c r="FO42" s="128"/>
      <c r="FP42" s="128"/>
      <c r="FT42" s="138">
        <v>42.2</v>
      </c>
      <c r="FU42" s="138">
        <v>50</v>
      </c>
      <c r="FV42" s="128"/>
      <c r="FW42" s="128"/>
      <c r="FX42" s="128"/>
      <c r="FY42" s="128"/>
      <c r="FZ42" s="128"/>
      <c r="GD42" s="138">
        <v>42.2</v>
      </c>
      <c r="GE42" s="138">
        <v>50</v>
      </c>
      <c r="GF42" s="128"/>
      <c r="GG42" s="128"/>
      <c r="GH42" s="128"/>
      <c r="GI42" s="128"/>
      <c r="GJ42" s="128"/>
      <c r="GN42" s="138">
        <v>42.2</v>
      </c>
      <c r="GO42" s="138">
        <v>50</v>
      </c>
      <c r="GP42" s="128"/>
      <c r="GQ42" s="128"/>
      <c r="GR42" s="128"/>
      <c r="GS42" s="128"/>
      <c r="GT42" s="128"/>
      <c r="GX42" s="138">
        <v>42.2</v>
      </c>
      <c r="GY42" s="138">
        <v>50</v>
      </c>
      <c r="GZ42" s="128"/>
      <c r="HA42" s="128"/>
      <c r="HB42" s="128"/>
      <c r="HC42" s="128"/>
      <c r="HD42" s="128"/>
      <c r="HH42" s="138">
        <v>42.2</v>
      </c>
      <c r="HI42" s="138">
        <v>50</v>
      </c>
      <c r="HJ42" s="128"/>
      <c r="HK42" s="128"/>
      <c r="HL42" s="128"/>
      <c r="HM42" s="128"/>
      <c r="HN42" s="128"/>
      <c r="HR42" s="138">
        <v>42.2</v>
      </c>
      <c r="HS42" s="138">
        <v>50</v>
      </c>
      <c r="HT42" s="128"/>
      <c r="HU42" s="128"/>
      <c r="HV42" s="128"/>
      <c r="HW42" s="128"/>
      <c r="HX42" s="128"/>
      <c r="IB42" s="138">
        <v>42.2</v>
      </c>
      <c r="IC42" s="138">
        <v>50</v>
      </c>
      <c r="ID42" s="128"/>
      <c r="IE42" s="128"/>
      <c r="IF42" s="128"/>
      <c r="IG42" s="128"/>
      <c r="IH42" s="128"/>
      <c r="IL42" s="138">
        <v>42.2</v>
      </c>
      <c r="IM42" s="138">
        <v>50</v>
      </c>
      <c r="IN42" s="128"/>
      <c r="IO42" s="128"/>
      <c r="IP42" s="128"/>
      <c r="IQ42" s="128"/>
      <c r="IR42" s="128"/>
      <c r="IV42" s="138">
        <v>42.2</v>
      </c>
      <c r="IW42" s="138">
        <v>50</v>
      </c>
      <c r="IX42" s="128"/>
      <c r="IY42" s="128"/>
      <c r="IZ42" s="128"/>
      <c r="JA42" s="128"/>
      <c r="JB42" s="128"/>
      <c r="JF42" s="138">
        <v>42.2</v>
      </c>
      <c r="JG42" s="138">
        <v>50</v>
      </c>
      <c r="JH42" s="128"/>
      <c r="JI42" s="128"/>
      <c r="JJ42" s="128"/>
      <c r="JK42" s="128"/>
      <c r="JL42" s="128"/>
      <c r="JP42" s="138">
        <v>42.2</v>
      </c>
      <c r="JQ42" s="138">
        <v>50</v>
      </c>
      <c r="JR42" s="128"/>
      <c r="JS42" s="128"/>
      <c r="JT42" s="128"/>
      <c r="JU42" s="128"/>
      <c r="JV42" s="128"/>
      <c r="JZ42" s="138">
        <v>42.2</v>
      </c>
      <c r="KA42" s="138">
        <v>50</v>
      </c>
      <c r="KB42" s="128"/>
      <c r="KC42" s="128"/>
      <c r="KD42" s="128"/>
      <c r="KE42" s="128"/>
      <c r="KF42" s="128"/>
      <c r="KJ42" s="138">
        <v>42.2</v>
      </c>
      <c r="KK42" s="138">
        <v>50</v>
      </c>
    </row>
    <row r="43" spans="1:297">
      <c r="A43" s="87">
        <f t="shared" si="1"/>
        <v>6</v>
      </c>
      <c r="B43" s="83">
        <f>_xll.flu_SPT2025($D$10,$D$13,$D$14,$D$23,$D$16,$D$17,$I$11:$J$25,$R$19:$S$108,FALSE,FALSE,"Cao độ",A43,$D$18)</f>
        <v>5</v>
      </c>
      <c r="C43" s="87" t="str">
        <f>IF(B43="","",_xll.TimTenLoaiDat(B43,$G$11:$I$25))</f>
        <v>Lớp 2</v>
      </c>
      <c r="D43" s="87" t="str">
        <f>IF(B43="","",_xll.TimTinhChatDat(B43,$I$11:$J$25))</f>
        <v>Đất dính</v>
      </c>
      <c r="E43" s="95">
        <f>IF(B43="","",_xll.NoiSuySPT(B43,$R$19:$S$108,$D$17,$D$13,0,0))</f>
        <v>3</v>
      </c>
      <c r="F43" s="125">
        <f>IF(B43="","",_xll.qbEQ_SPT2025($D$10,$D$13,$D$14,B43,$D$17,$I$11:$J$25,$R$19:$S$108,$D$19,$I$11:$O$25,$D$12,"ganmaqb",$D$20))</f>
        <v>0.88551999999999997</v>
      </c>
      <c r="G43" s="95" t="str">
        <f>IF(B43="","",IF(D43="Đất dính","-",_xll.qbEQ_SPT2025($D$10,$D$13,$D$14,B43,$D$17,$I$11:$J$25,$R$19:$S$108,$D$19,$I$11:$O$25,$D$12,"",$D$20)))</f>
        <v>-</v>
      </c>
      <c r="H43" s="95">
        <f>IF(B43="","",IF(D43="Đất dính",_xll.qbEQ_SPT2025($D$10,$D$13,$D$14,B43,$D$17,$I$11:$J$25,$R$19:$S$108,$D$19,$I$11:$O$25,$D$12,"",$D$20),"-"))</f>
        <v>99.620999999999995</v>
      </c>
      <c r="I43" s="95">
        <f t="shared" si="2"/>
        <v>78.242150435817194</v>
      </c>
      <c r="J43" s="96">
        <f>_xll.flu_SPT2025($D$10,$D$13,$D$14,$D$23,$D$16,$D$17,$I$11:$J$25,$R$19:$S$108,FALSE,FALSE,"Li",A43,$D$18)</f>
        <v>1</v>
      </c>
      <c r="K43" s="150">
        <f>IF(B43="","",_xll.fluEQ_SPT2025($D$10,$D$13,$D$14,$D$23,$D$16,$D$17,$I$11:$J$25,$R$19:$S$108,FALSE,FALSE,"ganmafl",A43,$D$18,$D$19,$I$11:$O$25,$D$12,$J$29,$D$20))</f>
        <v>0.78552</v>
      </c>
      <c r="L43" s="95" t="str">
        <f>IF(D43="Đất dính","-",_xll.fluEQ_SPT2025($D$10,$D$13,$D$14,$D$23,$D$16,$D$17,$I$11:$J$25,$R$19:$S$108,FALSE,FALSE,"f",A43,$D$18,$D$19,$I$11:$O$25,$D$12,$J$29,$D$20))</f>
        <v>-</v>
      </c>
      <c r="M43" s="95">
        <f>IF(B43="","",IF(D43="Đất dính",_xll.fluEQ_SPT2025($D$10,$D$13,$D$14,$D$23,$D$16,$D$17,$I$11:$J$25,$R$19:$S$108,FALSE,FALSE,"f",A43,$D$18,$D$19,$I$11:$O$25,$D$12,$J$29,$D$20),"-"))</f>
        <v>0</v>
      </c>
      <c r="N43" s="95">
        <f>_xll.fluEQ_SPT2025($D$10,$D$13,$D$14,$D$23,$D$16,$D$17,$I$11:$J$25,$R$19:$S$108,FALSE,FALSE,"flu",A43,$D$18,$D$19,$I$11:$O$25,$D$12,$J$29,$D$20)</f>
        <v>0</v>
      </c>
      <c r="O43" s="87">
        <f t="shared" si="3"/>
        <v>78.242150435817194</v>
      </c>
      <c r="P43" s="65"/>
      <c r="R43" s="138">
        <v>43.2</v>
      </c>
      <c r="S43" s="138">
        <v>50</v>
      </c>
      <c r="U43" s="144">
        <v>25</v>
      </c>
      <c r="V43" s="138"/>
      <c r="Z43" s="138">
        <v>43.2</v>
      </c>
      <c r="AA43" s="138">
        <v>50</v>
      </c>
      <c r="AB43" s="128"/>
      <c r="AC43" s="128"/>
      <c r="AD43" s="128"/>
      <c r="AE43" s="128"/>
      <c r="AF43" s="128"/>
      <c r="AJ43" s="138">
        <v>43.2</v>
      </c>
      <c r="AK43" s="138">
        <v>25</v>
      </c>
      <c r="AL43" s="128"/>
      <c r="AM43" s="128"/>
      <c r="AN43" s="128"/>
      <c r="AO43" s="128"/>
      <c r="AP43" s="128"/>
      <c r="AT43" s="138">
        <v>43.2</v>
      </c>
      <c r="AU43" s="138">
        <v>125</v>
      </c>
      <c r="AV43" s="128"/>
      <c r="AW43" s="128"/>
      <c r="AX43" s="128"/>
      <c r="AY43" s="128"/>
      <c r="AZ43" s="128"/>
      <c r="BD43" s="138">
        <v>43.2</v>
      </c>
      <c r="BE43" s="138">
        <v>50</v>
      </c>
      <c r="BF43" s="128"/>
      <c r="BG43" s="128"/>
      <c r="BH43" s="128"/>
      <c r="BI43" s="128"/>
      <c r="BJ43" s="128"/>
      <c r="BN43" s="138">
        <v>43.2</v>
      </c>
      <c r="BO43" s="138">
        <v>50</v>
      </c>
      <c r="BP43" s="128"/>
      <c r="BQ43" s="128"/>
      <c r="BR43" s="128"/>
      <c r="BS43" s="128"/>
      <c r="BT43" s="128"/>
      <c r="BX43" s="138">
        <v>43.2</v>
      </c>
      <c r="BY43" s="138">
        <v>50</v>
      </c>
      <c r="BZ43" s="128"/>
      <c r="CA43" s="128"/>
      <c r="CB43" s="128"/>
      <c r="CC43" s="128"/>
      <c r="CD43" s="128"/>
      <c r="CH43" s="138">
        <v>43.2</v>
      </c>
      <c r="CI43" s="138">
        <v>50</v>
      </c>
      <c r="CJ43" s="128"/>
      <c r="CK43" s="128"/>
      <c r="CL43" s="128"/>
      <c r="CM43" s="128"/>
      <c r="CN43" s="128"/>
      <c r="CR43" s="138">
        <v>43.2</v>
      </c>
      <c r="CS43" s="138">
        <v>50</v>
      </c>
      <c r="CT43" s="128"/>
      <c r="CU43" s="128"/>
      <c r="CV43" s="128"/>
      <c r="CW43" s="128"/>
      <c r="CX43" s="128"/>
      <c r="DB43" s="138">
        <v>43.2</v>
      </c>
      <c r="DC43" s="138">
        <v>50</v>
      </c>
      <c r="DD43" s="128"/>
      <c r="DE43" s="128"/>
      <c r="DF43" s="128"/>
      <c r="DG43" s="128"/>
      <c r="DH43" s="128"/>
      <c r="DL43" s="138">
        <v>43.2</v>
      </c>
      <c r="DM43" s="138">
        <v>50</v>
      </c>
      <c r="DN43" s="128"/>
      <c r="DO43" s="128"/>
      <c r="DP43" s="128"/>
      <c r="DQ43" s="128"/>
      <c r="DR43" s="128"/>
      <c r="DV43" s="138">
        <v>43.2</v>
      </c>
      <c r="DW43" s="138">
        <v>50</v>
      </c>
      <c r="DX43" s="128"/>
      <c r="DY43" s="128"/>
      <c r="DZ43" s="128"/>
      <c r="EA43" s="128"/>
      <c r="EB43" s="128"/>
      <c r="EF43" s="138">
        <v>43.2</v>
      </c>
      <c r="EG43" s="138">
        <v>50</v>
      </c>
      <c r="EH43" s="128"/>
      <c r="EI43" s="128"/>
      <c r="EJ43" s="128"/>
      <c r="EK43" s="128"/>
      <c r="EL43" s="128"/>
      <c r="EP43" s="138">
        <v>43.2</v>
      </c>
      <c r="EQ43" s="138">
        <v>50</v>
      </c>
      <c r="ER43" s="128"/>
      <c r="ES43" s="128"/>
      <c r="ET43" s="128"/>
      <c r="EU43" s="128"/>
      <c r="EV43" s="128"/>
      <c r="EZ43" s="138">
        <v>43.2</v>
      </c>
      <c r="FA43" s="138">
        <v>50</v>
      </c>
      <c r="FB43" s="128"/>
      <c r="FC43" s="128"/>
      <c r="FD43" s="128"/>
      <c r="FE43" s="128"/>
      <c r="FF43" s="128"/>
      <c r="FJ43" s="138">
        <v>43.2</v>
      </c>
      <c r="FK43" s="138">
        <v>50</v>
      </c>
      <c r="FL43" s="128"/>
      <c r="FM43" s="128"/>
      <c r="FN43" s="128"/>
      <c r="FO43" s="128"/>
      <c r="FP43" s="128"/>
      <c r="FT43" s="138">
        <v>43.2</v>
      </c>
      <c r="FU43" s="138">
        <v>50</v>
      </c>
      <c r="FV43" s="128"/>
      <c r="FW43" s="128"/>
      <c r="FX43" s="128"/>
      <c r="FY43" s="128"/>
      <c r="FZ43" s="128"/>
      <c r="GD43" s="138">
        <v>43.2</v>
      </c>
      <c r="GE43" s="138">
        <v>50</v>
      </c>
      <c r="GF43" s="128"/>
      <c r="GG43" s="128"/>
      <c r="GH43" s="128"/>
      <c r="GI43" s="128"/>
      <c r="GJ43" s="128"/>
      <c r="GN43" s="138">
        <v>43.2</v>
      </c>
      <c r="GO43" s="138">
        <v>50</v>
      </c>
      <c r="GP43" s="128"/>
      <c r="GQ43" s="128"/>
      <c r="GR43" s="128"/>
      <c r="GS43" s="128"/>
      <c r="GT43" s="128"/>
      <c r="GX43" s="138">
        <v>43.2</v>
      </c>
      <c r="GY43" s="138">
        <v>50</v>
      </c>
      <c r="GZ43" s="128"/>
      <c r="HA43" s="128"/>
      <c r="HB43" s="128"/>
      <c r="HC43" s="128"/>
      <c r="HD43" s="128"/>
      <c r="HH43" s="138">
        <v>43.2</v>
      </c>
      <c r="HI43" s="138">
        <v>50</v>
      </c>
      <c r="HJ43" s="128"/>
      <c r="HK43" s="128"/>
      <c r="HL43" s="128"/>
      <c r="HM43" s="128"/>
      <c r="HN43" s="128"/>
      <c r="HR43" s="138">
        <v>43.2</v>
      </c>
      <c r="HS43" s="138">
        <v>50</v>
      </c>
      <c r="HT43" s="128"/>
      <c r="HU43" s="128"/>
      <c r="HV43" s="128"/>
      <c r="HW43" s="128"/>
      <c r="HX43" s="128"/>
      <c r="IB43" s="138">
        <v>43.2</v>
      </c>
      <c r="IC43" s="138">
        <v>50</v>
      </c>
      <c r="ID43" s="128"/>
      <c r="IE43" s="128"/>
      <c r="IF43" s="128"/>
      <c r="IG43" s="128"/>
      <c r="IH43" s="128"/>
      <c r="IL43" s="138">
        <v>43.2</v>
      </c>
      <c r="IM43" s="138">
        <v>50</v>
      </c>
      <c r="IN43" s="128"/>
      <c r="IO43" s="128"/>
      <c r="IP43" s="128"/>
      <c r="IQ43" s="128"/>
      <c r="IR43" s="128"/>
      <c r="IV43" s="138">
        <v>43.2</v>
      </c>
      <c r="IW43" s="138">
        <v>50</v>
      </c>
      <c r="IX43" s="128"/>
      <c r="IY43" s="128"/>
      <c r="IZ43" s="128"/>
      <c r="JA43" s="128"/>
      <c r="JB43" s="128"/>
      <c r="JF43" s="138">
        <v>43.2</v>
      </c>
      <c r="JG43" s="138">
        <v>50</v>
      </c>
      <c r="JH43" s="128"/>
      <c r="JI43" s="128"/>
      <c r="JJ43" s="128"/>
      <c r="JK43" s="128"/>
      <c r="JL43" s="128"/>
      <c r="JP43" s="138">
        <v>43.2</v>
      </c>
      <c r="JQ43" s="138">
        <v>50</v>
      </c>
      <c r="JR43" s="128"/>
      <c r="JS43" s="128"/>
      <c r="JT43" s="128"/>
      <c r="JU43" s="128"/>
      <c r="JV43" s="128"/>
      <c r="JZ43" s="138">
        <v>43.2</v>
      </c>
      <c r="KA43" s="138">
        <v>50</v>
      </c>
      <c r="KB43" s="128"/>
      <c r="KC43" s="128"/>
      <c r="KD43" s="128"/>
      <c r="KE43" s="128"/>
      <c r="KF43" s="128"/>
      <c r="KJ43" s="138">
        <v>43.2</v>
      </c>
      <c r="KK43" s="138">
        <v>50</v>
      </c>
    </row>
    <row r="44" spans="1:297">
      <c r="A44" s="87">
        <f t="shared" si="1"/>
        <v>7</v>
      </c>
      <c r="B44" s="83">
        <f>_xll.flu_SPT2025($D$10,$D$13,$D$14,$D$23,$D$16,$D$17,$I$11:$J$25,$R$19:$S$108,FALSE,FALSE,"Cao độ",A44,$D$18)</f>
        <v>6</v>
      </c>
      <c r="C44" s="87" t="str">
        <f>IF(B44="","",_xll.TimTenLoaiDat(B44,$G$11:$I$25))</f>
        <v>Lớp 2</v>
      </c>
      <c r="D44" s="87" t="str">
        <f>IF(B44="","",_xll.TimTinhChatDat(B44,$I$11:$J$25))</f>
        <v>Đất dính</v>
      </c>
      <c r="E44" s="95">
        <f>IF(B44="","",_xll.NoiSuySPT(B44,$R$19:$S$108,$D$17,$D$13,0,0))</f>
        <v>2.6666666666666701</v>
      </c>
      <c r="F44" s="125">
        <f>IF(B44="","",_xll.qbEQ_SPT2025($D$10,$D$13,$D$14,B44,$D$17,$I$11:$J$25,$R$19:$S$108,$D$19,$I$11:$O$25,$D$12,"ganmaqb",$D$20))</f>
        <v>0.88551999999999997</v>
      </c>
      <c r="G44" s="95" t="str">
        <f>IF(B44="","",IF(D44="Đất dính","-",_xll.qbEQ_SPT2025($D$10,$D$13,$D$14,B44,$D$17,$I$11:$J$25,$R$19:$S$108,$D$19,$I$11:$O$25,$D$12,"",$D$20)))</f>
        <v>-</v>
      </c>
      <c r="H44" s="95">
        <f>IF(B44="","",IF(D44="Đất dính",_xll.qbEQ_SPT2025($D$10,$D$13,$D$14,B44,$D$17,$I$11:$J$25,$R$19:$S$108,$D$19,$I$11:$O$25,$D$12,"",$D$20),"-"))</f>
        <v>88.552000000000007</v>
      </c>
      <c r="I44" s="95">
        <f t="shared" si="2"/>
        <v>69.548578165170795</v>
      </c>
      <c r="J44" s="96">
        <f>_xll.flu_SPT2025($D$10,$D$13,$D$14,$D$23,$D$16,$D$17,$I$11:$J$25,$R$19:$S$108,FALSE,FALSE,"Li",A44,$D$18)</f>
        <v>1</v>
      </c>
      <c r="K44" s="150">
        <f>IF(B44="","",_xll.fluEQ_SPT2025($D$10,$D$13,$D$14,$D$23,$D$16,$D$17,$I$11:$J$25,$R$19:$S$108,FALSE,FALSE,"ganmafl",A44,$D$18,$D$19,$I$11:$O$25,$D$12,$J$29,$D$20))</f>
        <v>0.78552</v>
      </c>
      <c r="L44" s="95" t="str">
        <f>IF(D44="Đất dính","-",_xll.fluEQ_SPT2025($D$10,$D$13,$D$14,$D$23,$D$16,$D$17,$I$11:$J$25,$R$19:$S$108,FALSE,FALSE,"f",A44,$D$18,$D$19,$I$11:$O$25,$D$12,$J$29,$D$20))</f>
        <v>-</v>
      </c>
      <c r="M44" s="95">
        <f>IF(B44="","",IF(D44="Đất dính",_xll.fluEQ_SPT2025($D$10,$D$13,$D$14,$D$23,$D$16,$D$17,$I$11:$J$25,$R$19:$S$108,FALSE,FALSE,"f",A44,$D$18,$D$19,$I$11:$O$25,$D$12,$J$29,$D$20),"-"))</f>
        <v>0</v>
      </c>
      <c r="N44" s="95">
        <f>_xll.fluEQ_SPT2025($D$10,$D$13,$D$14,$D$23,$D$16,$D$17,$I$11:$J$25,$R$19:$S$108,FALSE,FALSE,"flu",A44,$D$18,$D$19,$I$11:$O$25,$D$12,$J$29,$D$20)</f>
        <v>0</v>
      </c>
      <c r="O44" s="87">
        <f t="shared" si="3"/>
        <v>69.548578165170795</v>
      </c>
      <c r="P44" s="65"/>
      <c r="R44" s="138">
        <v>45.2</v>
      </c>
      <c r="S44" s="138">
        <v>50</v>
      </c>
      <c r="U44" s="144">
        <v>26</v>
      </c>
      <c r="V44" s="138"/>
      <c r="Z44" s="138">
        <v>45.2</v>
      </c>
      <c r="AA44" s="138">
        <v>50</v>
      </c>
      <c r="AB44" s="128"/>
      <c r="AC44" s="128"/>
      <c r="AD44" s="128"/>
      <c r="AE44" s="128"/>
      <c r="AF44" s="128"/>
      <c r="AJ44" s="138">
        <v>45.2</v>
      </c>
      <c r="AK44" s="138">
        <v>26</v>
      </c>
      <c r="AL44" s="128"/>
      <c r="AM44" s="128"/>
      <c r="AN44" s="128"/>
      <c r="AO44" s="128"/>
      <c r="AP44" s="128"/>
      <c r="AT44" s="138">
        <v>45.2</v>
      </c>
      <c r="AU44" s="138">
        <v>130</v>
      </c>
      <c r="AV44" s="128"/>
      <c r="AW44" s="128"/>
      <c r="AX44" s="128"/>
      <c r="AY44" s="128"/>
      <c r="AZ44" s="128"/>
      <c r="BD44" s="138">
        <v>45.2</v>
      </c>
      <c r="BE44" s="138">
        <v>50</v>
      </c>
      <c r="BF44" s="128"/>
      <c r="BG44" s="128"/>
      <c r="BH44" s="128"/>
      <c r="BI44" s="128"/>
      <c r="BJ44" s="128"/>
      <c r="BN44" s="138">
        <v>45.2</v>
      </c>
      <c r="BO44" s="138">
        <v>50</v>
      </c>
      <c r="BP44" s="128"/>
      <c r="BQ44" s="128"/>
      <c r="BR44" s="128"/>
      <c r="BS44" s="128"/>
      <c r="BT44" s="128"/>
      <c r="BX44" s="138">
        <v>45.2</v>
      </c>
      <c r="BY44" s="138">
        <v>50</v>
      </c>
      <c r="BZ44" s="128"/>
      <c r="CA44" s="128"/>
      <c r="CB44" s="128"/>
      <c r="CC44" s="128"/>
      <c r="CD44" s="128"/>
      <c r="CH44" s="138">
        <v>45.2</v>
      </c>
      <c r="CI44" s="138">
        <v>50</v>
      </c>
      <c r="CJ44" s="128"/>
      <c r="CK44" s="128"/>
      <c r="CL44" s="128"/>
      <c r="CM44" s="128"/>
      <c r="CN44" s="128"/>
      <c r="CR44" s="138">
        <v>45.2</v>
      </c>
      <c r="CS44" s="138">
        <v>50</v>
      </c>
      <c r="CT44" s="128"/>
      <c r="CU44" s="128"/>
      <c r="CV44" s="128"/>
      <c r="CW44" s="128"/>
      <c r="CX44" s="128"/>
      <c r="DB44" s="138">
        <v>45.2</v>
      </c>
      <c r="DC44" s="138">
        <v>50</v>
      </c>
      <c r="DD44" s="128"/>
      <c r="DE44" s="128"/>
      <c r="DF44" s="128"/>
      <c r="DG44" s="128"/>
      <c r="DH44" s="128"/>
      <c r="DL44" s="138">
        <v>45.2</v>
      </c>
      <c r="DM44" s="138">
        <v>50</v>
      </c>
      <c r="DN44" s="128"/>
      <c r="DO44" s="128"/>
      <c r="DP44" s="128"/>
      <c r="DQ44" s="128"/>
      <c r="DR44" s="128"/>
      <c r="DV44" s="138">
        <v>45.2</v>
      </c>
      <c r="DW44" s="138">
        <v>50</v>
      </c>
      <c r="DX44" s="128"/>
      <c r="DY44" s="128"/>
      <c r="DZ44" s="128"/>
      <c r="EA44" s="128"/>
      <c r="EB44" s="128"/>
      <c r="EF44" s="138">
        <v>45.2</v>
      </c>
      <c r="EG44" s="138">
        <v>50</v>
      </c>
      <c r="EH44" s="128"/>
      <c r="EI44" s="128"/>
      <c r="EJ44" s="128"/>
      <c r="EK44" s="128"/>
      <c r="EL44" s="128"/>
      <c r="EP44" s="138">
        <v>45.2</v>
      </c>
      <c r="EQ44" s="138">
        <v>50</v>
      </c>
      <c r="ER44" s="128"/>
      <c r="ES44" s="128"/>
      <c r="ET44" s="128"/>
      <c r="EU44" s="128"/>
      <c r="EV44" s="128"/>
      <c r="EZ44" s="138">
        <v>45.2</v>
      </c>
      <c r="FA44" s="138">
        <v>50</v>
      </c>
      <c r="FB44" s="128"/>
      <c r="FC44" s="128"/>
      <c r="FD44" s="128"/>
      <c r="FE44" s="128"/>
      <c r="FF44" s="128"/>
      <c r="FJ44" s="138">
        <v>45.2</v>
      </c>
      <c r="FK44" s="138">
        <v>50</v>
      </c>
      <c r="FL44" s="128"/>
      <c r="FM44" s="128"/>
      <c r="FN44" s="128"/>
      <c r="FO44" s="128"/>
      <c r="FP44" s="128"/>
      <c r="FT44" s="138">
        <v>45.2</v>
      </c>
      <c r="FU44" s="138">
        <v>50</v>
      </c>
      <c r="FV44" s="128"/>
      <c r="FW44" s="128"/>
      <c r="FX44" s="128"/>
      <c r="FY44" s="128"/>
      <c r="FZ44" s="128"/>
      <c r="GD44" s="138">
        <v>45.2</v>
      </c>
      <c r="GE44" s="138">
        <v>50</v>
      </c>
      <c r="GF44" s="128"/>
      <c r="GG44" s="128"/>
      <c r="GH44" s="128"/>
      <c r="GI44" s="128"/>
      <c r="GJ44" s="128"/>
      <c r="GN44" s="138">
        <v>45.2</v>
      </c>
      <c r="GO44" s="138">
        <v>50</v>
      </c>
      <c r="GP44" s="128"/>
      <c r="GQ44" s="128"/>
      <c r="GR44" s="128"/>
      <c r="GS44" s="128"/>
      <c r="GT44" s="128"/>
      <c r="GX44" s="138">
        <v>45.2</v>
      </c>
      <c r="GY44" s="138">
        <v>50</v>
      </c>
      <c r="GZ44" s="128"/>
      <c r="HA44" s="128"/>
      <c r="HB44" s="128"/>
      <c r="HC44" s="128"/>
      <c r="HD44" s="128"/>
      <c r="HH44" s="138">
        <v>45.2</v>
      </c>
      <c r="HI44" s="138">
        <v>50</v>
      </c>
      <c r="HJ44" s="128"/>
      <c r="HK44" s="128"/>
      <c r="HL44" s="128"/>
      <c r="HM44" s="128"/>
      <c r="HN44" s="128"/>
      <c r="HR44" s="138">
        <v>45.2</v>
      </c>
      <c r="HS44" s="138">
        <v>50</v>
      </c>
      <c r="HT44" s="128"/>
      <c r="HU44" s="128"/>
      <c r="HV44" s="128"/>
      <c r="HW44" s="128"/>
      <c r="HX44" s="128"/>
      <c r="IB44" s="138">
        <v>45.2</v>
      </c>
      <c r="IC44" s="138">
        <v>50</v>
      </c>
      <c r="ID44" s="128"/>
      <c r="IE44" s="128"/>
      <c r="IF44" s="128"/>
      <c r="IG44" s="128"/>
      <c r="IH44" s="128"/>
      <c r="IL44" s="138">
        <v>45.2</v>
      </c>
      <c r="IM44" s="138">
        <v>50</v>
      </c>
      <c r="IN44" s="128"/>
      <c r="IO44" s="128"/>
      <c r="IP44" s="128"/>
      <c r="IQ44" s="128"/>
      <c r="IR44" s="128"/>
      <c r="IV44" s="138">
        <v>45.2</v>
      </c>
      <c r="IW44" s="138">
        <v>50</v>
      </c>
      <c r="IX44" s="128"/>
      <c r="IY44" s="128"/>
      <c r="IZ44" s="128"/>
      <c r="JA44" s="128"/>
      <c r="JB44" s="128"/>
      <c r="JF44" s="138">
        <v>45.2</v>
      </c>
      <c r="JG44" s="138">
        <v>50</v>
      </c>
      <c r="JH44" s="128"/>
      <c r="JI44" s="128"/>
      <c r="JJ44" s="128"/>
      <c r="JK44" s="128"/>
      <c r="JL44" s="128"/>
      <c r="JP44" s="138">
        <v>45.2</v>
      </c>
      <c r="JQ44" s="138">
        <v>50</v>
      </c>
      <c r="JR44" s="128"/>
      <c r="JS44" s="128"/>
      <c r="JT44" s="128"/>
      <c r="JU44" s="128"/>
      <c r="JV44" s="128"/>
      <c r="JZ44" s="138">
        <v>45.2</v>
      </c>
      <c r="KA44" s="138">
        <v>50</v>
      </c>
      <c r="KB44" s="128"/>
      <c r="KC44" s="128"/>
      <c r="KD44" s="128"/>
      <c r="KE44" s="128"/>
      <c r="KF44" s="128"/>
      <c r="KJ44" s="138">
        <v>45.2</v>
      </c>
      <c r="KK44" s="138">
        <v>50</v>
      </c>
    </row>
    <row r="45" spans="1:297">
      <c r="A45" s="87">
        <f t="shared" si="1"/>
        <v>8</v>
      </c>
      <c r="B45" s="83">
        <f>_xll.flu_SPT2025($D$10,$D$13,$D$14,$D$23,$D$16,$D$17,$I$11:$J$25,$R$19:$S$108,FALSE,FALSE,"Cao độ",A45,$D$18)</f>
        <v>7</v>
      </c>
      <c r="C45" s="87" t="str">
        <f>IF(B45="","",_xll.TimTenLoaiDat(B45,$G$11:$I$25))</f>
        <v>Lớp 3</v>
      </c>
      <c r="D45" s="87" t="str">
        <f>IF(B45="","",_xll.TimTinhChatDat(B45,$I$11:$J$25))</f>
        <v>Đất dính</v>
      </c>
      <c r="E45" s="95">
        <f>IF(B45="","",_xll.NoiSuySPT(B45,$R$19:$S$108,$D$17,$D$13,0,0))</f>
        <v>2</v>
      </c>
      <c r="F45" s="125">
        <f>IF(B45="","",_xll.qbEQ_SPT2025($D$10,$D$13,$D$14,B45,$D$17,$I$11:$J$25,$R$19:$S$108,$D$19,$I$11:$O$25,$D$12,"ganmaqb",$D$20))</f>
        <v>0.88551999999999997</v>
      </c>
      <c r="G45" s="95" t="str">
        <f>IF(B45="","",IF(D45="Đất dính","-",_xll.qbEQ_SPT2025($D$10,$D$13,$D$14,B45,$D$17,$I$11:$J$25,$R$19:$S$108,$D$19,$I$11:$O$25,$D$12,"",$D$20)))</f>
        <v>-</v>
      </c>
      <c r="H45" s="95">
        <f>IF(B45="","",IF(D45="Đất dính",_xll.qbEQ_SPT2025($D$10,$D$13,$D$14,B45,$D$17,$I$11:$J$25,$R$19:$S$108,$D$19,$I$11:$O$25,$D$12,"",$D$20),"-"))</f>
        <v>66.414000000000001</v>
      </c>
      <c r="I45" s="95">
        <f t="shared" si="2"/>
        <v>52.161433623878096</v>
      </c>
      <c r="J45" s="96">
        <f>_xll.flu_SPT2025($D$10,$D$13,$D$14,$D$23,$D$16,$D$17,$I$11:$J$25,$R$19:$S$108,FALSE,FALSE,"Li",A45,$D$18)</f>
        <v>1</v>
      </c>
      <c r="K45" s="150">
        <f>IF(B45="","",_xll.fluEQ_SPT2025($D$10,$D$13,$D$14,$D$23,$D$16,$D$17,$I$11:$J$25,$R$19:$S$108,FALSE,FALSE,"ganmafl",A45,$D$18,$D$19,$I$11:$O$25,$D$12,$J$29,$D$20))</f>
        <v>0.78552</v>
      </c>
      <c r="L45" s="95" t="str">
        <f>IF(D45="Đất dính","-",_xll.fluEQ_SPT2025($D$10,$D$13,$D$14,$D$23,$D$16,$D$17,$I$11:$J$25,$R$19:$S$108,FALSE,FALSE,"f",A45,$D$18,$D$19,$I$11:$O$25,$D$12,$J$29,$D$20))</f>
        <v>-</v>
      </c>
      <c r="M45" s="95">
        <f>IF(B45="","",IF(D45="Đất dính",_xll.fluEQ_SPT2025($D$10,$D$13,$D$14,$D$23,$D$16,$D$17,$I$11:$J$25,$R$19:$S$108,FALSE,FALSE,"f",A45,$D$18,$D$19,$I$11:$O$25,$D$12,$J$29,$D$20),"-"))</f>
        <v>0</v>
      </c>
      <c r="N45" s="95">
        <f>_xll.fluEQ_SPT2025($D$10,$D$13,$D$14,$D$23,$D$16,$D$17,$I$11:$J$25,$R$19:$S$108,FALSE,FALSE,"flu",A45,$D$18,$D$19,$I$11:$O$25,$D$12,$J$29,$D$20)</f>
        <v>0</v>
      </c>
      <c r="O45" s="87">
        <f t="shared" si="3"/>
        <v>52.161433623878096</v>
      </c>
      <c r="P45" s="65"/>
      <c r="R45" s="138">
        <v>45.2</v>
      </c>
      <c r="S45" s="138">
        <v>50</v>
      </c>
      <c r="U45" s="144">
        <v>27</v>
      </c>
      <c r="V45" s="138"/>
      <c r="Z45" s="138">
        <v>45.2</v>
      </c>
      <c r="AA45" s="138">
        <v>50</v>
      </c>
      <c r="AB45" s="128"/>
      <c r="AC45" s="128"/>
      <c r="AD45" s="128"/>
      <c r="AE45" s="128"/>
      <c r="AF45" s="128"/>
      <c r="AJ45" s="138">
        <v>45.2</v>
      </c>
      <c r="AK45" s="138">
        <v>27</v>
      </c>
      <c r="AL45" s="128"/>
      <c r="AM45" s="128"/>
      <c r="AN45" s="128"/>
      <c r="AO45" s="128"/>
      <c r="AP45" s="128"/>
      <c r="AT45" s="138">
        <v>45.2</v>
      </c>
      <c r="AU45" s="138">
        <v>135</v>
      </c>
      <c r="AV45" s="128"/>
      <c r="AW45" s="128"/>
      <c r="AX45" s="128"/>
      <c r="AY45" s="128"/>
      <c r="AZ45" s="128"/>
      <c r="BD45" s="138">
        <v>45.2</v>
      </c>
      <c r="BE45" s="138">
        <v>50</v>
      </c>
      <c r="BF45" s="128"/>
      <c r="BG45" s="128"/>
      <c r="BH45" s="128"/>
      <c r="BI45" s="128"/>
      <c r="BJ45" s="128"/>
      <c r="BN45" s="138">
        <v>45.2</v>
      </c>
      <c r="BO45" s="138">
        <v>50</v>
      </c>
      <c r="BP45" s="128"/>
      <c r="BQ45" s="128"/>
      <c r="BR45" s="128"/>
      <c r="BS45" s="128"/>
      <c r="BT45" s="128"/>
      <c r="BX45" s="138">
        <v>45.2</v>
      </c>
      <c r="BY45" s="138">
        <v>50</v>
      </c>
      <c r="BZ45" s="128"/>
      <c r="CA45" s="128"/>
      <c r="CB45" s="128"/>
      <c r="CC45" s="128"/>
      <c r="CD45" s="128"/>
      <c r="CH45" s="138">
        <v>45.2</v>
      </c>
      <c r="CI45" s="138">
        <v>50</v>
      </c>
      <c r="CJ45" s="128"/>
      <c r="CK45" s="128"/>
      <c r="CL45" s="128"/>
      <c r="CM45" s="128"/>
      <c r="CN45" s="128"/>
      <c r="CR45" s="138">
        <v>45.2</v>
      </c>
      <c r="CS45" s="138">
        <v>50</v>
      </c>
      <c r="CT45" s="128"/>
      <c r="CU45" s="128"/>
      <c r="CV45" s="128"/>
      <c r="CW45" s="128"/>
      <c r="CX45" s="128"/>
      <c r="DB45" s="138">
        <v>45.2</v>
      </c>
      <c r="DC45" s="138">
        <v>50</v>
      </c>
      <c r="DD45" s="128"/>
      <c r="DE45" s="128"/>
      <c r="DF45" s="128"/>
      <c r="DG45" s="128"/>
      <c r="DH45" s="128"/>
      <c r="DL45" s="138">
        <v>45.2</v>
      </c>
      <c r="DM45" s="138">
        <v>50</v>
      </c>
      <c r="DN45" s="128"/>
      <c r="DO45" s="128"/>
      <c r="DP45" s="128"/>
      <c r="DQ45" s="128"/>
      <c r="DR45" s="128"/>
      <c r="DV45" s="138">
        <v>45.2</v>
      </c>
      <c r="DW45" s="138">
        <v>50</v>
      </c>
      <c r="DX45" s="128"/>
      <c r="DY45" s="128"/>
      <c r="DZ45" s="128"/>
      <c r="EA45" s="128"/>
      <c r="EB45" s="128"/>
      <c r="EF45" s="138">
        <v>45.2</v>
      </c>
      <c r="EG45" s="138">
        <v>50</v>
      </c>
      <c r="EH45" s="128"/>
      <c r="EI45" s="128"/>
      <c r="EJ45" s="128"/>
      <c r="EK45" s="128"/>
      <c r="EL45" s="128"/>
      <c r="EP45" s="138">
        <v>45.2</v>
      </c>
      <c r="EQ45" s="138">
        <v>50</v>
      </c>
      <c r="ER45" s="128"/>
      <c r="ES45" s="128"/>
      <c r="ET45" s="128"/>
      <c r="EU45" s="128"/>
      <c r="EV45" s="128"/>
      <c r="EZ45" s="138">
        <v>45.2</v>
      </c>
      <c r="FA45" s="138">
        <v>50</v>
      </c>
      <c r="FB45" s="128"/>
      <c r="FC45" s="128"/>
      <c r="FD45" s="128"/>
      <c r="FE45" s="128"/>
      <c r="FF45" s="128"/>
      <c r="FJ45" s="138">
        <v>45.2</v>
      </c>
      <c r="FK45" s="138">
        <v>50</v>
      </c>
      <c r="FL45" s="128"/>
      <c r="FM45" s="128"/>
      <c r="FN45" s="128"/>
      <c r="FO45" s="128"/>
      <c r="FP45" s="128"/>
      <c r="FT45" s="138">
        <v>45.2</v>
      </c>
      <c r="FU45" s="138">
        <v>50</v>
      </c>
      <c r="FV45" s="128"/>
      <c r="FW45" s="128"/>
      <c r="FX45" s="128"/>
      <c r="FY45" s="128"/>
      <c r="FZ45" s="128"/>
      <c r="GD45" s="138">
        <v>45.2</v>
      </c>
      <c r="GE45" s="138">
        <v>50</v>
      </c>
      <c r="GF45" s="128"/>
      <c r="GG45" s="128"/>
      <c r="GH45" s="128"/>
      <c r="GI45" s="128"/>
      <c r="GJ45" s="128"/>
      <c r="GN45" s="138">
        <v>45.2</v>
      </c>
      <c r="GO45" s="138">
        <v>50</v>
      </c>
      <c r="GP45" s="128"/>
      <c r="GQ45" s="128"/>
      <c r="GR45" s="128"/>
      <c r="GS45" s="128"/>
      <c r="GT45" s="128"/>
      <c r="GX45" s="138">
        <v>45.2</v>
      </c>
      <c r="GY45" s="138">
        <v>50</v>
      </c>
      <c r="GZ45" s="128"/>
      <c r="HA45" s="128"/>
      <c r="HB45" s="128"/>
      <c r="HC45" s="128"/>
      <c r="HD45" s="128"/>
      <c r="HH45" s="138">
        <v>45.2</v>
      </c>
      <c r="HI45" s="138">
        <v>50</v>
      </c>
      <c r="HJ45" s="128"/>
      <c r="HK45" s="128"/>
      <c r="HL45" s="128"/>
      <c r="HM45" s="128"/>
      <c r="HN45" s="128"/>
      <c r="HR45" s="138">
        <v>45.2</v>
      </c>
      <c r="HS45" s="138">
        <v>50</v>
      </c>
      <c r="HT45" s="128"/>
      <c r="HU45" s="128"/>
      <c r="HV45" s="128"/>
      <c r="HW45" s="128"/>
      <c r="HX45" s="128"/>
      <c r="IB45" s="138">
        <v>45.2</v>
      </c>
      <c r="IC45" s="138">
        <v>50</v>
      </c>
      <c r="ID45" s="128"/>
      <c r="IE45" s="128"/>
      <c r="IF45" s="128"/>
      <c r="IG45" s="128"/>
      <c r="IH45" s="128"/>
      <c r="IL45" s="138">
        <v>45.2</v>
      </c>
      <c r="IM45" s="138">
        <v>50</v>
      </c>
      <c r="IN45" s="128"/>
      <c r="IO45" s="128"/>
      <c r="IP45" s="128"/>
      <c r="IQ45" s="128"/>
      <c r="IR45" s="128"/>
      <c r="IV45" s="138">
        <v>45.2</v>
      </c>
      <c r="IW45" s="138">
        <v>50</v>
      </c>
      <c r="IX45" s="128"/>
      <c r="IY45" s="128"/>
      <c r="IZ45" s="128"/>
      <c r="JA45" s="128"/>
      <c r="JB45" s="128"/>
      <c r="JF45" s="138">
        <v>45.2</v>
      </c>
      <c r="JG45" s="138">
        <v>50</v>
      </c>
      <c r="JH45" s="128"/>
      <c r="JI45" s="128"/>
      <c r="JJ45" s="128"/>
      <c r="JK45" s="128"/>
      <c r="JL45" s="128"/>
      <c r="JP45" s="138">
        <v>45.2</v>
      </c>
      <c r="JQ45" s="138">
        <v>50</v>
      </c>
      <c r="JR45" s="128"/>
      <c r="JS45" s="128"/>
      <c r="JT45" s="128"/>
      <c r="JU45" s="128"/>
      <c r="JV45" s="128"/>
      <c r="JZ45" s="138">
        <v>45.2</v>
      </c>
      <c r="KA45" s="138">
        <v>50</v>
      </c>
      <c r="KB45" s="128"/>
      <c r="KC45" s="128"/>
      <c r="KD45" s="128"/>
      <c r="KE45" s="128"/>
      <c r="KF45" s="128"/>
      <c r="KJ45" s="138">
        <v>45.2</v>
      </c>
      <c r="KK45" s="138">
        <v>50</v>
      </c>
    </row>
    <row r="46" spans="1:297">
      <c r="A46" s="87">
        <f t="shared" si="1"/>
        <v>9</v>
      </c>
      <c r="B46" s="83">
        <f>_xll.flu_SPT2025($D$10,$D$13,$D$14,$D$23,$D$16,$D$17,$I$11:$J$25,$R$19:$S$108,FALSE,FALSE,"Cao độ",A46,$D$18)</f>
        <v>8</v>
      </c>
      <c r="C46" s="87" t="str">
        <f>IF(B46="","",_xll.TimTenLoaiDat(B46,$G$11:$I$25))</f>
        <v>Lớp 3</v>
      </c>
      <c r="D46" s="87" t="str">
        <f>IF(B46="","",_xll.TimTinhChatDat(B46,$I$11:$J$25))</f>
        <v>Đất dính</v>
      </c>
      <c r="E46" s="95">
        <f>IF(B46="","",_xll.NoiSuySPT(B46,$R$19:$S$108,$D$17,$D$13,0,0))</f>
        <v>4</v>
      </c>
      <c r="F46" s="125">
        <f>IF(B46="","",_xll.qbEQ_SPT2025($D$10,$D$13,$D$14,B46,$D$17,$I$11:$J$25,$R$19:$S$108,$D$19,$I$11:$O$25,$D$12,"ganmaqb",$D$20))</f>
        <v>0.88551999999999997</v>
      </c>
      <c r="G46" s="95" t="str">
        <f>IF(B46="","",IF(D46="Đất dính","-",_xll.qbEQ_SPT2025($D$10,$D$13,$D$14,B46,$D$17,$I$11:$J$25,$R$19:$S$108,$D$19,$I$11:$O$25,$D$12,"",$D$20)))</f>
        <v>-</v>
      </c>
      <c r="H46" s="95">
        <f>IF(B46="","",IF(D46="Đất dính",_xll.qbEQ_SPT2025($D$10,$D$13,$D$14,B46,$D$17,$I$11:$J$25,$R$19:$S$108,$D$19,$I$11:$O$25,$D$12,"",$D$20),"-"))</f>
        <v>132.828</v>
      </c>
      <c r="I46" s="95">
        <f t="shared" si="2"/>
        <v>104.32286724775599</v>
      </c>
      <c r="J46" s="96">
        <f>_xll.flu_SPT2025($D$10,$D$13,$D$14,$D$23,$D$16,$D$17,$I$11:$J$25,$R$19:$S$108,FALSE,FALSE,"Li",A46,$D$18)</f>
        <v>1</v>
      </c>
      <c r="K46" s="150">
        <f>IF(B46="","",_xll.fluEQ_SPT2025($D$10,$D$13,$D$14,$D$23,$D$16,$D$17,$I$11:$J$25,$R$19:$S$108,FALSE,FALSE,"ganmafl",A46,$D$18,$D$19,$I$11:$O$25,$D$12,$J$29,$D$20))</f>
        <v>0.78552</v>
      </c>
      <c r="L46" s="95" t="str">
        <f>IF(D46="Đất dính","-",_xll.fluEQ_SPT2025($D$10,$D$13,$D$14,$D$23,$D$16,$D$17,$I$11:$J$25,$R$19:$S$108,FALSE,FALSE,"f",A46,$D$18,$D$19,$I$11:$O$25,$D$12,$J$29,$D$20))</f>
        <v>-</v>
      </c>
      <c r="M46" s="95">
        <f>IF(B46="","",IF(D46="Đất dính",_xll.fluEQ_SPT2025($D$10,$D$13,$D$14,$D$23,$D$16,$D$17,$I$11:$J$25,$R$19:$S$108,FALSE,FALSE,"f",A46,$D$18,$D$19,$I$11:$O$25,$D$12,$J$29,$D$20),"-"))</f>
        <v>19.638000000000002</v>
      </c>
      <c r="N46" s="95">
        <f>_xll.fluEQ_SPT2025($D$10,$D$13,$D$14,$D$23,$D$16,$D$17,$I$11:$J$25,$R$19:$S$108,FALSE,FALSE,"flu",A46,$D$18,$D$19,$I$11:$O$25,$D$12,$J$29,$D$20)</f>
        <v>61.694596531196403</v>
      </c>
      <c r="O46" s="87">
        <f t="shared" si="3"/>
        <v>166.01746377895299</v>
      </c>
      <c r="P46" s="65"/>
      <c r="R46" s="138">
        <v>45.2</v>
      </c>
      <c r="S46" s="138">
        <v>50</v>
      </c>
      <c r="U46" s="144">
        <v>28</v>
      </c>
      <c r="V46" s="138"/>
      <c r="Z46" s="138">
        <v>45.2</v>
      </c>
      <c r="AA46" s="138">
        <v>50</v>
      </c>
      <c r="AB46" s="128"/>
      <c r="AC46" s="128"/>
      <c r="AD46" s="128"/>
      <c r="AE46" s="128"/>
      <c r="AF46" s="128"/>
      <c r="AJ46" s="138">
        <v>45.2</v>
      </c>
      <c r="AK46" s="138">
        <v>28</v>
      </c>
      <c r="AL46" s="128"/>
      <c r="AM46" s="128"/>
      <c r="AN46" s="128"/>
      <c r="AO46" s="128"/>
      <c r="AP46" s="128"/>
      <c r="AT46" s="138">
        <v>45.2</v>
      </c>
      <c r="AU46" s="138">
        <v>140</v>
      </c>
      <c r="AV46" s="128"/>
      <c r="AW46" s="128"/>
      <c r="AX46" s="128"/>
      <c r="AY46" s="128"/>
      <c r="AZ46" s="128"/>
      <c r="BD46" s="138">
        <v>45.2</v>
      </c>
      <c r="BE46" s="138">
        <v>50</v>
      </c>
      <c r="BF46" s="128"/>
      <c r="BG46" s="128"/>
      <c r="BH46" s="128"/>
      <c r="BI46" s="128"/>
      <c r="BJ46" s="128"/>
      <c r="BN46" s="138">
        <v>45.2</v>
      </c>
      <c r="BO46" s="138">
        <v>50</v>
      </c>
      <c r="BP46" s="128"/>
      <c r="BQ46" s="128"/>
      <c r="BR46" s="128"/>
      <c r="BS46" s="128"/>
      <c r="BT46" s="128"/>
      <c r="BX46" s="138">
        <v>45.2</v>
      </c>
      <c r="BY46" s="138">
        <v>50</v>
      </c>
      <c r="BZ46" s="128"/>
      <c r="CA46" s="128"/>
      <c r="CB46" s="128"/>
      <c r="CC46" s="128"/>
      <c r="CD46" s="128"/>
      <c r="CH46" s="138">
        <v>45.2</v>
      </c>
      <c r="CI46" s="138">
        <v>50</v>
      </c>
      <c r="CJ46" s="128"/>
      <c r="CK46" s="128"/>
      <c r="CL46" s="128"/>
      <c r="CM46" s="128"/>
      <c r="CN46" s="128"/>
      <c r="CR46" s="138">
        <v>45.2</v>
      </c>
      <c r="CS46" s="138">
        <v>50</v>
      </c>
      <c r="CT46" s="128"/>
      <c r="CU46" s="128"/>
      <c r="CV46" s="128"/>
      <c r="CW46" s="128"/>
      <c r="CX46" s="128"/>
      <c r="DB46" s="138">
        <v>45.2</v>
      </c>
      <c r="DC46" s="138">
        <v>50</v>
      </c>
      <c r="DD46" s="128"/>
      <c r="DE46" s="128"/>
      <c r="DF46" s="128"/>
      <c r="DG46" s="128"/>
      <c r="DH46" s="128"/>
      <c r="DL46" s="138">
        <v>45.2</v>
      </c>
      <c r="DM46" s="138">
        <v>50</v>
      </c>
      <c r="DN46" s="128"/>
      <c r="DO46" s="128"/>
      <c r="DP46" s="128"/>
      <c r="DQ46" s="128"/>
      <c r="DR46" s="128"/>
      <c r="DV46" s="138">
        <v>45.2</v>
      </c>
      <c r="DW46" s="138">
        <v>50</v>
      </c>
      <c r="DX46" s="128"/>
      <c r="DY46" s="128"/>
      <c r="DZ46" s="128"/>
      <c r="EA46" s="128"/>
      <c r="EB46" s="128"/>
      <c r="EF46" s="138">
        <v>45.2</v>
      </c>
      <c r="EG46" s="138">
        <v>50</v>
      </c>
      <c r="EH46" s="128"/>
      <c r="EI46" s="128"/>
      <c r="EJ46" s="128"/>
      <c r="EK46" s="128"/>
      <c r="EL46" s="128"/>
      <c r="EP46" s="138">
        <v>45.2</v>
      </c>
      <c r="EQ46" s="138">
        <v>50</v>
      </c>
      <c r="ER46" s="128"/>
      <c r="ES46" s="128"/>
      <c r="ET46" s="128"/>
      <c r="EU46" s="128"/>
      <c r="EV46" s="128"/>
      <c r="EZ46" s="138">
        <v>45.2</v>
      </c>
      <c r="FA46" s="138">
        <v>50</v>
      </c>
      <c r="FB46" s="128"/>
      <c r="FC46" s="128"/>
      <c r="FD46" s="128"/>
      <c r="FE46" s="128"/>
      <c r="FF46" s="128"/>
      <c r="FJ46" s="138">
        <v>45.2</v>
      </c>
      <c r="FK46" s="138">
        <v>50</v>
      </c>
      <c r="FL46" s="128"/>
      <c r="FM46" s="128"/>
      <c r="FN46" s="128"/>
      <c r="FO46" s="128"/>
      <c r="FP46" s="128"/>
      <c r="FT46" s="138">
        <v>45.2</v>
      </c>
      <c r="FU46" s="138">
        <v>50</v>
      </c>
      <c r="FV46" s="128"/>
      <c r="FW46" s="128"/>
      <c r="FX46" s="128"/>
      <c r="FY46" s="128"/>
      <c r="FZ46" s="128"/>
      <c r="GD46" s="138">
        <v>45.2</v>
      </c>
      <c r="GE46" s="138">
        <v>50</v>
      </c>
      <c r="GF46" s="128"/>
      <c r="GG46" s="128"/>
      <c r="GH46" s="128"/>
      <c r="GI46" s="128"/>
      <c r="GJ46" s="128"/>
      <c r="GN46" s="138">
        <v>45.2</v>
      </c>
      <c r="GO46" s="138">
        <v>50</v>
      </c>
      <c r="GP46" s="128"/>
      <c r="GQ46" s="128"/>
      <c r="GR46" s="128"/>
      <c r="GS46" s="128"/>
      <c r="GT46" s="128"/>
      <c r="GX46" s="138">
        <v>45.2</v>
      </c>
      <c r="GY46" s="138">
        <v>50</v>
      </c>
      <c r="GZ46" s="128"/>
      <c r="HA46" s="128"/>
      <c r="HB46" s="128"/>
      <c r="HC46" s="128"/>
      <c r="HD46" s="128"/>
      <c r="HH46" s="138">
        <v>45.2</v>
      </c>
      <c r="HI46" s="138">
        <v>50</v>
      </c>
      <c r="HJ46" s="128"/>
      <c r="HK46" s="128"/>
      <c r="HL46" s="128"/>
      <c r="HM46" s="128"/>
      <c r="HN46" s="128"/>
      <c r="HR46" s="138">
        <v>45.2</v>
      </c>
      <c r="HS46" s="138">
        <v>50</v>
      </c>
      <c r="HT46" s="128"/>
      <c r="HU46" s="128"/>
      <c r="HV46" s="128"/>
      <c r="HW46" s="128"/>
      <c r="HX46" s="128"/>
      <c r="IB46" s="138">
        <v>45.2</v>
      </c>
      <c r="IC46" s="138">
        <v>50</v>
      </c>
      <c r="ID46" s="128"/>
      <c r="IE46" s="128"/>
      <c r="IF46" s="128"/>
      <c r="IG46" s="128"/>
      <c r="IH46" s="128"/>
      <c r="IL46" s="138">
        <v>45.2</v>
      </c>
      <c r="IM46" s="138">
        <v>50</v>
      </c>
      <c r="IN46" s="128"/>
      <c r="IO46" s="128"/>
      <c r="IP46" s="128"/>
      <c r="IQ46" s="128"/>
      <c r="IR46" s="128"/>
      <c r="IV46" s="138">
        <v>45.2</v>
      </c>
      <c r="IW46" s="138">
        <v>50</v>
      </c>
      <c r="IX46" s="128"/>
      <c r="IY46" s="128"/>
      <c r="IZ46" s="128"/>
      <c r="JA46" s="128"/>
      <c r="JB46" s="128"/>
      <c r="JF46" s="138">
        <v>45.2</v>
      </c>
      <c r="JG46" s="138">
        <v>50</v>
      </c>
      <c r="JH46" s="128"/>
      <c r="JI46" s="128"/>
      <c r="JJ46" s="128"/>
      <c r="JK46" s="128"/>
      <c r="JL46" s="128"/>
      <c r="JP46" s="138">
        <v>45.2</v>
      </c>
      <c r="JQ46" s="138">
        <v>50</v>
      </c>
      <c r="JR46" s="128"/>
      <c r="JS46" s="128"/>
      <c r="JT46" s="128"/>
      <c r="JU46" s="128"/>
      <c r="JV46" s="128"/>
      <c r="JZ46" s="138">
        <v>45.2</v>
      </c>
      <c r="KA46" s="138">
        <v>50</v>
      </c>
      <c r="KB46" s="128"/>
      <c r="KC46" s="128"/>
      <c r="KD46" s="128"/>
      <c r="KE46" s="128"/>
      <c r="KF46" s="128"/>
      <c r="KJ46" s="138">
        <v>45.2</v>
      </c>
      <c r="KK46" s="138">
        <v>50</v>
      </c>
    </row>
    <row r="47" spans="1:297">
      <c r="A47" s="87">
        <f t="shared" si="1"/>
        <v>10</v>
      </c>
      <c r="B47" s="83">
        <f>_xll.flu_SPT2025($D$10,$D$13,$D$14,$D$23,$D$16,$D$17,$I$11:$J$25,$R$19:$S$108,FALSE,FALSE,"Cao độ",A47,$D$18)</f>
        <v>9</v>
      </c>
      <c r="C47" s="87" t="str">
        <f>IF(B47="","",_xll.TimTenLoaiDat(B47,$G$11:$I$25))</f>
        <v>Lớp 3</v>
      </c>
      <c r="D47" s="87" t="str">
        <f>IF(B47="","",_xll.TimTinhChatDat(B47,$I$11:$J$25))</f>
        <v>Đất dính</v>
      </c>
      <c r="E47" s="95">
        <f>IF(B47="","",_xll.NoiSuySPT(B47,$R$19:$S$108,$D$17,$D$13,0,0))</f>
        <v>6</v>
      </c>
      <c r="F47" s="125">
        <f>IF(B47="","",_xll.qbEQ_SPT2025($D$10,$D$13,$D$14,B47,$D$17,$I$11:$J$25,$R$19:$S$108,$D$19,$I$11:$O$25,$D$12,"ganmaqb",$D$20))</f>
        <v>0.88551999999999997</v>
      </c>
      <c r="G47" s="95" t="str">
        <f>IF(B47="","",IF(D47="Đất dính","-",_xll.qbEQ_SPT2025($D$10,$D$13,$D$14,B47,$D$17,$I$11:$J$25,$R$19:$S$108,$D$19,$I$11:$O$25,$D$12,"",$D$20)))</f>
        <v>-</v>
      </c>
      <c r="H47" s="95">
        <f>IF(B47="","",IF(D47="Đất dính",_xll.qbEQ_SPT2025($D$10,$D$13,$D$14,B47,$D$17,$I$11:$J$25,$R$19:$S$108,$D$19,$I$11:$O$25,$D$12,"",$D$20),"-"))</f>
        <v>199.24199999999999</v>
      </c>
      <c r="I47" s="95">
        <f t="shared" si="2"/>
        <v>156.48430087163399</v>
      </c>
      <c r="J47" s="96">
        <f>_xll.flu_SPT2025($D$10,$D$13,$D$14,$D$23,$D$16,$D$17,$I$11:$J$25,$R$19:$S$108,FALSE,FALSE,"Li",A47,$D$18)</f>
        <v>1</v>
      </c>
      <c r="K47" s="150">
        <f>IF(B47="","",_xll.fluEQ_SPT2025($D$10,$D$13,$D$14,$D$23,$D$16,$D$17,$I$11:$J$25,$R$19:$S$108,FALSE,FALSE,"ganmafl",A47,$D$18,$D$19,$I$11:$O$25,$D$12,$J$29,$D$20))</f>
        <v>0.78552</v>
      </c>
      <c r="L47" s="95" t="str">
        <f>IF(D47="Đất dính","-",_xll.fluEQ_SPT2025($D$10,$D$13,$D$14,$D$23,$D$16,$D$17,$I$11:$J$25,$R$19:$S$108,FALSE,FALSE,"f",A47,$D$18,$D$19,$I$11:$O$25,$D$12,$J$29,$D$20))</f>
        <v>-</v>
      </c>
      <c r="M47" s="95">
        <f>IF(B47="","",IF(D47="Đất dính",_xll.fluEQ_SPT2025($D$10,$D$13,$D$14,$D$23,$D$16,$D$17,$I$11:$J$25,$R$19:$S$108,FALSE,FALSE,"f",A47,$D$18,$D$19,$I$11:$O$25,$D$12,$J$29,$D$20),"-"))</f>
        <v>29.457000000000001</v>
      </c>
      <c r="N47" s="95">
        <f>_xll.fluEQ_SPT2025($D$10,$D$13,$D$14,$D$23,$D$16,$D$17,$I$11:$J$25,$R$19:$S$108,FALSE,FALSE,"flu",A47,$D$18,$D$19,$I$11:$O$25,$D$12,$J$29,$D$20)</f>
        <v>154.23649132799099</v>
      </c>
      <c r="O47" s="87">
        <f t="shared" si="3"/>
        <v>310.72079219962501</v>
      </c>
      <c r="P47" s="65"/>
      <c r="R47" s="142">
        <v>100</v>
      </c>
      <c r="S47" s="142">
        <v>50</v>
      </c>
      <c r="Z47" s="142">
        <v>100</v>
      </c>
      <c r="AA47" s="142">
        <v>50</v>
      </c>
      <c r="AB47" s="136"/>
      <c r="AC47" s="136"/>
      <c r="AD47" s="136"/>
      <c r="AE47" s="136"/>
      <c r="AF47" s="136"/>
      <c r="AJ47" s="142">
        <v>100</v>
      </c>
      <c r="AK47" s="138">
        <v>29</v>
      </c>
      <c r="AL47" s="128"/>
      <c r="AM47" s="128"/>
      <c r="AN47" s="128"/>
      <c r="AO47" s="128"/>
      <c r="AP47" s="128"/>
      <c r="AT47" s="142">
        <v>100</v>
      </c>
      <c r="AU47" s="138">
        <v>145</v>
      </c>
      <c r="AV47" s="128"/>
      <c r="AW47" s="128"/>
      <c r="AX47" s="128"/>
      <c r="AY47" s="128"/>
      <c r="AZ47" s="128"/>
      <c r="BD47" s="142">
        <v>100</v>
      </c>
      <c r="BE47" s="142">
        <v>50</v>
      </c>
      <c r="BF47" s="136"/>
      <c r="BG47" s="136"/>
      <c r="BH47" s="136"/>
      <c r="BI47" s="136"/>
      <c r="BJ47" s="136"/>
      <c r="BN47" s="142">
        <v>100</v>
      </c>
      <c r="BO47" s="142">
        <v>50</v>
      </c>
      <c r="BP47" s="136"/>
      <c r="BQ47" s="136"/>
      <c r="BR47" s="136"/>
      <c r="BS47" s="136"/>
      <c r="BT47" s="136"/>
      <c r="BX47" s="142">
        <v>100</v>
      </c>
      <c r="BY47" s="142">
        <v>50</v>
      </c>
      <c r="BZ47" s="136"/>
      <c r="CA47" s="136"/>
      <c r="CB47" s="136"/>
      <c r="CC47" s="136"/>
      <c r="CD47" s="136"/>
      <c r="CH47" s="142">
        <v>100</v>
      </c>
      <c r="CI47" s="142">
        <v>50</v>
      </c>
      <c r="CJ47" s="136"/>
      <c r="CK47" s="136"/>
      <c r="CL47" s="136"/>
      <c r="CM47" s="136"/>
      <c r="CN47" s="136"/>
      <c r="CR47" s="142">
        <v>100</v>
      </c>
      <c r="CS47" s="142">
        <v>50</v>
      </c>
      <c r="CT47" s="136"/>
      <c r="CU47" s="136"/>
      <c r="CV47" s="136"/>
      <c r="CW47" s="136"/>
      <c r="CX47" s="136"/>
      <c r="DB47" s="142">
        <v>100</v>
      </c>
      <c r="DC47" s="142">
        <v>50</v>
      </c>
      <c r="DD47" s="136"/>
      <c r="DE47" s="136"/>
      <c r="DF47" s="136"/>
      <c r="DG47" s="136"/>
      <c r="DH47" s="136"/>
      <c r="DL47" s="142">
        <v>100</v>
      </c>
      <c r="DM47" s="142">
        <v>50</v>
      </c>
      <c r="DN47" s="136"/>
      <c r="DO47" s="136"/>
      <c r="DP47" s="136"/>
      <c r="DQ47" s="136"/>
      <c r="DR47" s="136"/>
      <c r="DV47" s="142">
        <v>100</v>
      </c>
      <c r="DW47" s="142">
        <v>50</v>
      </c>
      <c r="DX47" s="136"/>
      <c r="DY47" s="136"/>
      <c r="DZ47" s="136"/>
      <c r="EA47" s="136"/>
      <c r="EB47" s="136"/>
      <c r="EF47" s="142">
        <v>100</v>
      </c>
      <c r="EG47" s="142">
        <v>50</v>
      </c>
      <c r="EH47" s="136"/>
      <c r="EI47" s="136"/>
      <c r="EJ47" s="136"/>
      <c r="EK47" s="136"/>
      <c r="EL47" s="136"/>
      <c r="EP47" s="142">
        <v>100</v>
      </c>
      <c r="EQ47" s="142">
        <v>50</v>
      </c>
      <c r="ER47" s="136"/>
      <c r="ES47" s="136"/>
      <c r="ET47" s="136"/>
      <c r="EU47" s="136"/>
      <c r="EV47" s="136"/>
      <c r="EZ47" s="142">
        <v>100</v>
      </c>
      <c r="FA47" s="142">
        <v>50</v>
      </c>
      <c r="FB47" s="136"/>
      <c r="FC47" s="136"/>
      <c r="FD47" s="136"/>
      <c r="FE47" s="136"/>
      <c r="FF47" s="136"/>
      <c r="FJ47" s="142">
        <v>100</v>
      </c>
      <c r="FK47" s="142">
        <v>50</v>
      </c>
      <c r="FL47" s="136"/>
      <c r="FM47" s="136"/>
      <c r="FN47" s="136"/>
      <c r="FO47" s="136"/>
      <c r="FP47" s="136"/>
      <c r="FT47" s="142">
        <v>100</v>
      </c>
      <c r="FU47" s="142">
        <v>50</v>
      </c>
      <c r="FV47" s="136"/>
      <c r="FW47" s="136"/>
      <c r="FX47" s="136"/>
      <c r="FY47" s="136"/>
      <c r="FZ47" s="136"/>
      <c r="GD47" s="142">
        <v>100</v>
      </c>
      <c r="GE47" s="142">
        <v>50</v>
      </c>
      <c r="GF47" s="136"/>
      <c r="GG47" s="136"/>
      <c r="GH47" s="136"/>
      <c r="GI47" s="136"/>
      <c r="GJ47" s="136"/>
      <c r="GN47" s="142">
        <v>100</v>
      </c>
      <c r="GO47" s="142">
        <v>50</v>
      </c>
      <c r="GP47" s="136"/>
      <c r="GQ47" s="136"/>
      <c r="GR47" s="136"/>
      <c r="GS47" s="136"/>
      <c r="GT47" s="136"/>
      <c r="GX47" s="142">
        <v>100</v>
      </c>
      <c r="GY47" s="142">
        <v>50</v>
      </c>
      <c r="GZ47" s="136"/>
      <c r="HA47" s="136"/>
      <c r="HB47" s="136"/>
      <c r="HC47" s="136"/>
      <c r="HD47" s="136"/>
      <c r="HH47" s="142">
        <v>100</v>
      </c>
      <c r="HI47" s="142">
        <v>50</v>
      </c>
      <c r="HJ47" s="136"/>
      <c r="HK47" s="136"/>
      <c r="HL47" s="136"/>
      <c r="HM47" s="136"/>
      <c r="HN47" s="136"/>
      <c r="HR47" s="142">
        <v>100</v>
      </c>
      <c r="HS47" s="142">
        <v>50</v>
      </c>
      <c r="HT47" s="136"/>
      <c r="HU47" s="136"/>
      <c r="HV47" s="136"/>
      <c r="HW47" s="136"/>
      <c r="HX47" s="136"/>
      <c r="IB47" s="142">
        <v>100</v>
      </c>
      <c r="IC47" s="142">
        <v>50</v>
      </c>
      <c r="ID47" s="136"/>
      <c r="IE47" s="136"/>
      <c r="IF47" s="136"/>
      <c r="IG47" s="136"/>
      <c r="IH47" s="136"/>
      <c r="IL47" s="142">
        <v>100</v>
      </c>
      <c r="IM47" s="142">
        <v>50</v>
      </c>
      <c r="IN47" s="136"/>
      <c r="IO47" s="136"/>
      <c r="IP47" s="136"/>
      <c r="IQ47" s="136"/>
      <c r="IR47" s="136"/>
      <c r="IV47" s="142">
        <v>100</v>
      </c>
      <c r="IW47" s="142">
        <v>50</v>
      </c>
      <c r="IX47" s="136"/>
      <c r="IY47" s="136"/>
      <c r="IZ47" s="136"/>
      <c r="JA47" s="136"/>
      <c r="JB47" s="136"/>
      <c r="JF47" s="142">
        <v>100</v>
      </c>
      <c r="JG47" s="142">
        <v>50</v>
      </c>
      <c r="JH47" s="136"/>
      <c r="JI47" s="136"/>
      <c r="JJ47" s="136"/>
      <c r="JK47" s="136"/>
      <c r="JL47" s="136"/>
      <c r="JP47" s="142">
        <v>100</v>
      </c>
      <c r="JQ47" s="142">
        <v>50</v>
      </c>
      <c r="JR47" s="136"/>
      <c r="JS47" s="136"/>
      <c r="JT47" s="136"/>
      <c r="JU47" s="136"/>
      <c r="JV47" s="136"/>
      <c r="JZ47" s="142">
        <v>100</v>
      </c>
      <c r="KA47" s="142">
        <v>50</v>
      </c>
      <c r="KB47" s="136"/>
      <c r="KC47" s="136"/>
      <c r="KD47" s="136"/>
      <c r="KE47" s="136"/>
      <c r="KF47" s="136"/>
      <c r="KJ47" s="142">
        <v>100</v>
      </c>
      <c r="KK47" s="142">
        <v>50</v>
      </c>
    </row>
    <row r="48" spans="1:297">
      <c r="A48" s="87">
        <f t="shared" si="1"/>
        <v>11</v>
      </c>
      <c r="B48" s="83">
        <f>_xll.flu_SPT2025($D$10,$D$13,$D$14,$D$23,$D$16,$D$17,$I$11:$J$25,$R$19:$S$108,FALSE,FALSE,"Cao độ",A48,$D$18)</f>
        <v>10</v>
      </c>
      <c r="C48" s="87" t="str">
        <f>IF(B48="","",_xll.TimTenLoaiDat(B48,$G$11:$I$25))</f>
        <v>Lớp 3</v>
      </c>
      <c r="D48" s="87" t="str">
        <f>IF(B48="","",_xll.TimTinhChatDat(B48,$I$11:$J$25))</f>
        <v>Đất dính</v>
      </c>
      <c r="E48" s="95">
        <f>IF(B48="","",_xll.NoiSuySPT(B48,$R$19:$S$108,$D$17,$D$13,0,0))</f>
        <v>7.3333333333333304</v>
      </c>
      <c r="F48" s="125">
        <f>IF(B48="","",_xll.qbEQ_SPT2025($D$10,$D$13,$D$14,B48,$D$17,$I$11:$J$25,$R$19:$S$108,$D$19,$I$11:$O$25,$D$12,"ganmaqb",$D$20))</f>
        <v>0.88551999999999997</v>
      </c>
      <c r="G48" s="95" t="str">
        <f>IF(B48="","",IF(D48="Đất dính","-",_xll.qbEQ_SPT2025($D$10,$D$13,$D$14,B48,$D$17,$I$11:$J$25,$R$19:$S$108,$D$19,$I$11:$O$25,$D$12,"",$D$20)))</f>
        <v>-</v>
      </c>
      <c r="H48" s="95">
        <f>IF(B48="","",IF(D48="Đất dính",_xll.qbEQ_SPT2025($D$10,$D$13,$D$14,B48,$D$17,$I$11:$J$25,$R$19:$S$108,$D$19,$I$11:$O$25,$D$12,"",$D$20),"-"))</f>
        <v>243.518</v>
      </c>
      <c r="I48" s="95">
        <f t="shared" si="2"/>
        <v>191.25858995422001</v>
      </c>
      <c r="J48" s="96">
        <f>_xll.flu_SPT2025($D$10,$D$13,$D$14,$D$23,$D$16,$D$17,$I$11:$J$25,$R$19:$S$108,FALSE,FALSE,"Li",A48,$D$18)</f>
        <v>0.5</v>
      </c>
      <c r="K48" s="150">
        <f>IF(B48="","",_xll.fluEQ_SPT2025($D$10,$D$13,$D$14,$D$23,$D$16,$D$17,$I$11:$J$25,$R$19:$S$108,FALSE,FALSE,"ganmafl",A48,$D$18,$D$19,$I$11:$O$25,$D$12,$J$29,$D$20))</f>
        <v>0.78552</v>
      </c>
      <c r="L48" s="95" t="str">
        <f>IF(D48="Đất dính","-",_xll.fluEQ_SPT2025($D$10,$D$13,$D$14,$D$23,$D$16,$D$17,$I$11:$J$25,$R$19:$S$108,FALSE,FALSE,"f",A48,$D$18,$D$19,$I$11:$O$25,$D$12,$J$29,$D$20))</f>
        <v>-</v>
      </c>
      <c r="M48" s="95">
        <f>IF(B48="","",IF(D48="Đất dính",_xll.fluEQ_SPT2025($D$10,$D$13,$D$14,$D$23,$D$16,$D$17,$I$11:$J$25,$R$19:$S$108,FALSE,FALSE,"f",A48,$D$18,$D$19,$I$11:$O$25,$D$12,$J$29,$D$20),"-"))</f>
        <v>36.003</v>
      </c>
      <c r="N48" s="95">
        <f>_xll.fluEQ_SPT2025($D$10,$D$13,$D$14,$D$23,$D$16,$D$17,$I$11:$J$25,$R$19:$S$108,FALSE,FALSE,"flu",A48,$D$18,$D$19,$I$11:$O$25,$D$12,$J$29,$D$20)</f>
        <v>210.78987148158799</v>
      </c>
      <c r="O48" s="87">
        <f t="shared" si="3"/>
        <v>402.04846143580698</v>
      </c>
      <c r="P48" s="65"/>
      <c r="R48" s="142"/>
      <c r="S48" s="142"/>
      <c r="Z48" s="142"/>
      <c r="AA48" s="142"/>
      <c r="AB48" s="136"/>
      <c r="AC48" s="136"/>
      <c r="AD48" s="136"/>
      <c r="AE48" s="136"/>
      <c r="AF48" s="136"/>
      <c r="AJ48" s="142"/>
      <c r="AK48" s="142"/>
      <c r="AL48" s="136"/>
      <c r="AM48" s="136"/>
      <c r="AN48" s="136"/>
      <c r="AO48" s="136"/>
      <c r="AP48" s="136"/>
      <c r="AT48" s="142"/>
      <c r="AU48" s="142"/>
      <c r="AV48" s="136"/>
      <c r="AW48" s="136"/>
      <c r="AX48" s="136"/>
      <c r="AY48" s="136"/>
      <c r="AZ48" s="136"/>
      <c r="BD48" s="142"/>
      <c r="BE48" s="142"/>
      <c r="BF48" s="136"/>
      <c r="BG48" s="136"/>
      <c r="BH48" s="136"/>
      <c r="BI48" s="136"/>
      <c r="BJ48" s="136"/>
      <c r="BN48" s="142"/>
      <c r="BO48" s="142"/>
      <c r="BP48" s="136"/>
      <c r="BQ48" s="136"/>
      <c r="BR48" s="136"/>
      <c r="BS48" s="136"/>
      <c r="BT48" s="136"/>
      <c r="BX48" s="142"/>
      <c r="BY48" s="142"/>
      <c r="BZ48" s="136"/>
      <c r="CA48" s="136"/>
      <c r="CB48" s="136"/>
      <c r="CC48" s="136"/>
      <c r="CD48" s="136"/>
      <c r="CH48" s="142"/>
      <c r="CI48" s="142"/>
      <c r="CJ48" s="136"/>
      <c r="CK48" s="136"/>
      <c r="CL48" s="136"/>
      <c r="CM48" s="136"/>
      <c r="CN48" s="136"/>
      <c r="CR48" s="142"/>
      <c r="CS48" s="142"/>
      <c r="CT48" s="136"/>
      <c r="CU48" s="136"/>
      <c r="CV48" s="136"/>
      <c r="CW48" s="136"/>
      <c r="CX48" s="136"/>
      <c r="DB48" s="142"/>
      <c r="DC48" s="142"/>
      <c r="DD48" s="136"/>
      <c r="DE48" s="136"/>
      <c r="DF48" s="136"/>
      <c r="DG48" s="136"/>
      <c r="DH48" s="136"/>
      <c r="DL48" s="142"/>
      <c r="DM48" s="142"/>
      <c r="DN48" s="136"/>
      <c r="DO48" s="136"/>
      <c r="DP48" s="136"/>
      <c r="DQ48" s="136"/>
      <c r="DR48" s="136"/>
      <c r="DV48" s="142"/>
      <c r="DW48" s="142"/>
      <c r="DX48" s="136"/>
      <c r="DY48" s="136"/>
      <c r="DZ48" s="136"/>
      <c r="EA48" s="136"/>
      <c r="EB48" s="136"/>
      <c r="EF48" s="142"/>
      <c r="EG48" s="142"/>
      <c r="EH48" s="136"/>
      <c r="EI48" s="136"/>
      <c r="EJ48" s="136"/>
      <c r="EK48" s="136"/>
      <c r="EL48" s="136"/>
      <c r="EP48" s="142"/>
      <c r="EQ48" s="142"/>
      <c r="ER48" s="136"/>
      <c r="ES48" s="136"/>
      <c r="ET48" s="136"/>
      <c r="EU48" s="136"/>
      <c r="EV48" s="136"/>
      <c r="EZ48" s="142"/>
      <c r="FA48" s="142"/>
      <c r="FB48" s="136"/>
      <c r="FC48" s="136"/>
      <c r="FD48" s="136"/>
      <c r="FE48" s="136"/>
      <c r="FF48" s="136"/>
      <c r="FJ48" s="142"/>
      <c r="FK48" s="142"/>
      <c r="FL48" s="136"/>
      <c r="FM48" s="136"/>
      <c r="FN48" s="136"/>
      <c r="FO48" s="136"/>
      <c r="FP48" s="136"/>
      <c r="FT48" s="142"/>
      <c r="FU48" s="142"/>
      <c r="FV48" s="136"/>
      <c r="FW48" s="136"/>
      <c r="FX48" s="136"/>
      <c r="FY48" s="136"/>
      <c r="FZ48" s="136"/>
      <c r="GD48" s="142"/>
      <c r="GE48" s="142"/>
      <c r="GF48" s="136"/>
      <c r="GG48" s="136"/>
      <c r="GH48" s="136"/>
      <c r="GI48" s="136"/>
      <c r="GJ48" s="136"/>
      <c r="GN48" s="142"/>
      <c r="GO48" s="142"/>
      <c r="GP48" s="136"/>
      <c r="GQ48" s="136"/>
      <c r="GR48" s="136"/>
      <c r="GS48" s="136"/>
      <c r="GT48" s="136"/>
      <c r="GX48" s="142"/>
      <c r="GY48" s="142"/>
      <c r="GZ48" s="136"/>
      <c r="HA48" s="136"/>
      <c r="HB48" s="136"/>
      <c r="HC48" s="136"/>
      <c r="HD48" s="136"/>
      <c r="HH48" s="142"/>
      <c r="HI48" s="142"/>
      <c r="HJ48" s="136"/>
      <c r="HK48" s="136"/>
      <c r="HL48" s="136"/>
      <c r="HM48" s="136"/>
      <c r="HN48" s="136"/>
      <c r="HR48" s="142"/>
      <c r="HS48" s="142"/>
      <c r="HT48" s="136"/>
      <c r="HU48" s="136"/>
      <c r="HV48" s="136"/>
      <c r="HW48" s="136"/>
      <c r="HX48" s="136"/>
      <c r="IB48" s="142"/>
      <c r="IC48" s="142"/>
      <c r="ID48" s="136"/>
      <c r="IE48" s="136"/>
      <c r="IF48" s="136"/>
      <c r="IG48" s="136"/>
      <c r="IH48" s="136"/>
      <c r="IL48" s="142"/>
      <c r="IM48" s="142"/>
      <c r="IN48" s="136"/>
      <c r="IO48" s="136"/>
      <c r="IP48" s="136"/>
      <c r="IQ48" s="136"/>
      <c r="IR48" s="136"/>
      <c r="IV48" s="142"/>
      <c r="IW48" s="142"/>
      <c r="IX48" s="136"/>
      <c r="IY48" s="136"/>
      <c r="IZ48" s="136"/>
      <c r="JA48" s="136"/>
      <c r="JB48" s="136"/>
      <c r="JF48" s="142"/>
      <c r="JG48" s="142"/>
      <c r="JH48" s="136"/>
      <c r="JI48" s="136"/>
      <c r="JJ48" s="136"/>
      <c r="JK48" s="136"/>
      <c r="JL48" s="136"/>
      <c r="JP48" s="142"/>
      <c r="JQ48" s="142"/>
      <c r="JR48" s="136"/>
      <c r="JS48" s="136"/>
      <c r="JT48" s="136"/>
      <c r="JU48" s="136"/>
      <c r="JV48" s="136"/>
      <c r="JZ48" s="142"/>
      <c r="KA48" s="142"/>
      <c r="KB48" s="136"/>
      <c r="KC48" s="136"/>
      <c r="KD48" s="136"/>
      <c r="KE48" s="136"/>
      <c r="KF48" s="136"/>
      <c r="KJ48" s="142"/>
      <c r="KK48" s="142"/>
    </row>
    <row r="49" spans="1:297">
      <c r="A49" s="87">
        <f t="shared" si="1"/>
        <v>12</v>
      </c>
      <c r="B49" s="83">
        <f>_xll.flu_SPT2025($D$10,$D$13,$D$14,$D$23,$D$16,$D$17,$I$11:$J$25,$R$19:$S$108,FALSE,FALSE,"Cao độ",A49,$D$18)</f>
        <v>10.5</v>
      </c>
      <c r="C49" s="87" t="str">
        <f>IF(B49="","",_xll.TimTenLoaiDat(B49,$G$11:$I$25))</f>
        <v>Lớp 4</v>
      </c>
      <c r="D49" s="87" t="str">
        <f>IF(B49="","",_xll.TimTinhChatDat(B49,$I$11:$J$25))</f>
        <v>Đất dính</v>
      </c>
      <c r="E49" s="95">
        <f>IF(B49="","",_xll.NoiSuySPT(B49,$R$19:$S$108,$D$17,$D$13,0,0))</f>
        <v>8</v>
      </c>
      <c r="F49" s="125">
        <f>IF(B49="","",_xll.qbEQ_SPT2025($D$10,$D$13,$D$14,B49,$D$17,$I$11:$J$25,$R$19:$S$108,$D$19,$I$11:$O$25,$D$12,"ganmaqb",$D$20))</f>
        <v>0.88551999999999997</v>
      </c>
      <c r="G49" s="95" t="str">
        <f>IF(B49="","",IF(D49="Đất dính","-",_xll.qbEQ_SPT2025($D$10,$D$13,$D$14,B49,$D$17,$I$11:$J$25,$R$19:$S$108,$D$19,$I$11:$O$25,$D$12,"",$D$20)))</f>
        <v>-</v>
      </c>
      <c r="H49" s="95">
        <f>IF(B49="","",IF(D49="Đất dính",_xll.qbEQ_SPT2025($D$10,$D$13,$D$14,B49,$D$17,$I$11:$J$25,$R$19:$S$108,$D$19,$I$11:$O$25,$D$12,"",$D$20),"-"))</f>
        <v>265.65600000000001</v>
      </c>
      <c r="I49" s="95">
        <f t="shared" si="2"/>
        <v>208.64573449551301</v>
      </c>
      <c r="J49" s="96">
        <f>_xll.flu_SPT2025($D$10,$D$13,$D$14,$D$23,$D$16,$D$17,$I$11:$J$25,$R$19:$S$108,FALSE,FALSE,"Li",A49,$D$18)</f>
        <v>0.5</v>
      </c>
      <c r="K49" s="150">
        <f>IF(B49="","",_xll.fluEQ_SPT2025($D$10,$D$13,$D$14,$D$23,$D$16,$D$17,$I$11:$J$25,$R$19:$S$108,FALSE,FALSE,"ganmafl",A49,$D$18,$D$19,$I$11:$O$25,$D$12,$J$29,$D$20))</f>
        <v>0.78552</v>
      </c>
      <c r="L49" s="95" t="str">
        <f>IF(D49="Đất dính","-",_xll.fluEQ_SPT2025($D$10,$D$13,$D$14,$D$23,$D$16,$D$17,$I$11:$J$25,$R$19:$S$108,FALSE,FALSE,"f",A49,$D$18,$D$19,$I$11:$O$25,$D$12,$J$29,$D$20))</f>
        <v>-</v>
      </c>
      <c r="M49" s="95">
        <f>IF(B49="","",IF(D49="Đất dính",_xll.fluEQ_SPT2025($D$10,$D$13,$D$14,$D$23,$D$16,$D$17,$I$11:$J$25,$R$19:$S$108,FALSE,FALSE,"f",A49,$D$18,$D$19,$I$11:$O$25,$D$12,$J$29,$D$20),"-"))</f>
        <v>39.276000000000003</v>
      </c>
      <c r="N49" s="95">
        <f>_xll.fluEQ_SPT2025($D$10,$D$13,$D$14,$D$23,$D$16,$D$17,$I$11:$J$25,$R$19:$S$108,FALSE,FALSE,"flu",A49,$D$18,$D$19,$I$11:$O$25,$D$12,$J$29,$D$20)</f>
        <v>272.48446801278402</v>
      </c>
      <c r="O49" s="87">
        <f t="shared" si="3"/>
        <v>481.13020250829601</v>
      </c>
      <c r="P49" s="65"/>
      <c r="R49" s="138"/>
      <c r="S49" s="138"/>
      <c r="Z49" s="138"/>
      <c r="AA49" s="138"/>
      <c r="AB49" s="128"/>
      <c r="AC49" s="128"/>
      <c r="AD49" s="128"/>
      <c r="AE49" s="128"/>
      <c r="AF49" s="128"/>
      <c r="AJ49" s="138"/>
      <c r="AK49" s="138"/>
      <c r="AL49" s="128"/>
      <c r="AM49" s="128"/>
      <c r="AN49" s="128"/>
      <c r="AO49" s="128"/>
      <c r="AP49" s="128"/>
      <c r="AT49" s="138"/>
      <c r="AU49" s="138"/>
      <c r="AV49" s="128"/>
      <c r="AW49" s="128"/>
      <c r="AX49" s="128"/>
      <c r="AY49" s="128"/>
      <c r="AZ49" s="128"/>
      <c r="BD49" s="138"/>
      <c r="BE49" s="138"/>
      <c r="BF49" s="128"/>
      <c r="BG49" s="128"/>
      <c r="BH49" s="128"/>
      <c r="BI49" s="128"/>
      <c r="BJ49" s="128"/>
      <c r="BN49" s="138"/>
      <c r="BO49" s="138"/>
      <c r="BP49" s="128"/>
      <c r="BQ49" s="128"/>
      <c r="BR49" s="128"/>
      <c r="BS49" s="128"/>
      <c r="BT49" s="128"/>
      <c r="BX49" s="138"/>
      <c r="BY49" s="138"/>
      <c r="BZ49" s="128"/>
      <c r="CA49" s="128"/>
      <c r="CB49" s="128"/>
      <c r="CC49" s="128"/>
      <c r="CD49" s="128"/>
      <c r="CH49" s="138"/>
      <c r="CI49" s="138"/>
      <c r="CJ49" s="128"/>
      <c r="CK49" s="128"/>
      <c r="CL49" s="128"/>
      <c r="CM49" s="128"/>
      <c r="CN49" s="128"/>
      <c r="CR49" s="138"/>
      <c r="CS49" s="138"/>
      <c r="CT49" s="128"/>
      <c r="CU49" s="128"/>
      <c r="CV49" s="128"/>
      <c r="CW49" s="128"/>
      <c r="CX49" s="128"/>
      <c r="DB49" s="138"/>
      <c r="DC49" s="138"/>
      <c r="DD49" s="128"/>
      <c r="DE49" s="128"/>
      <c r="DF49" s="128"/>
      <c r="DG49" s="128"/>
      <c r="DH49" s="128"/>
      <c r="DL49" s="138"/>
      <c r="DM49" s="138"/>
      <c r="DN49" s="128"/>
      <c r="DO49" s="128"/>
      <c r="DP49" s="128"/>
      <c r="DQ49" s="128"/>
      <c r="DR49" s="128"/>
      <c r="DV49" s="138"/>
      <c r="DW49" s="138"/>
      <c r="DX49" s="128"/>
      <c r="DY49" s="128"/>
      <c r="DZ49" s="128"/>
      <c r="EA49" s="128"/>
      <c r="EB49" s="128"/>
      <c r="EF49" s="138"/>
      <c r="EG49" s="138"/>
      <c r="EH49" s="128"/>
      <c r="EI49" s="128"/>
      <c r="EJ49" s="128"/>
      <c r="EK49" s="128"/>
      <c r="EL49" s="128"/>
      <c r="EP49" s="138"/>
      <c r="EQ49" s="138"/>
      <c r="ER49" s="128"/>
      <c r="ES49" s="128"/>
      <c r="ET49" s="128"/>
      <c r="EU49" s="128"/>
      <c r="EV49" s="128"/>
      <c r="EZ49" s="138"/>
      <c r="FA49" s="138"/>
      <c r="FB49" s="128"/>
      <c r="FC49" s="128"/>
      <c r="FD49" s="128"/>
      <c r="FE49" s="128"/>
      <c r="FF49" s="128"/>
      <c r="FJ49" s="138"/>
      <c r="FK49" s="138"/>
      <c r="FL49" s="128"/>
      <c r="FM49" s="128"/>
      <c r="FN49" s="128"/>
      <c r="FO49" s="128"/>
      <c r="FP49" s="128"/>
      <c r="FT49" s="138"/>
      <c r="FU49" s="138"/>
      <c r="FV49" s="128"/>
      <c r="FW49" s="128"/>
      <c r="FX49" s="128"/>
      <c r="FY49" s="128"/>
      <c r="FZ49" s="128"/>
      <c r="GD49" s="138"/>
      <c r="GE49" s="138"/>
      <c r="GF49" s="128"/>
      <c r="GG49" s="128"/>
      <c r="GH49" s="128"/>
      <c r="GI49" s="128"/>
      <c r="GJ49" s="128"/>
      <c r="GN49" s="138"/>
      <c r="GO49" s="138"/>
      <c r="GP49" s="128"/>
      <c r="GQ49" s="128"/>
      <c r="GR49" s="128"/>
      <c r="GS49" s="128"/>
      <c r="GT49" s="128"/>
      <c r="GX49" s="138"/>
      <c r="GY49" s="138"/>
      <c r="GZ49" s="128"/>
      <c r="HA49" s="128"/>
      <c r="HB49" s="128"/>
      <c r="HC49" s="128"/>
      <c r="HD49" s="128"/>
      <c r="HH49" s="138"/>
      <c r="HI49" s="138"/>
      <c r="HJ49" s="128"/>
      <c r="HK49" s="128"/>
      <c r="HL49" s="128"/>
      <c r="HM49" s="128"/>
      <c r="HN49" s="128"/>
      <c r="HR49" s="138"/>
      <c r="HS49" s="138"/>
      <c r="HT49" s="128"/>
      <c r="HU49" s="128"/>
      <c r="HV49" s="128"/>
      <c r="HW49" s="128"/>
      <c r="HX49" s="128"/>
      <c r="IB49" s="138"/>
      <c r="IC49" s="138"/>
      <c r="ID49" s="128"/>
      <c r="IE49" s="128"/>
      <c r="IF49" s="128"/>
      <c r="IG49" s="128"/>
      <c r="IH49" s="128"/>
      <c r="IL49" s="138"/>
      <c r="IM49" s="138"/>
      <c r="IN49" s="128"/>
      <c r="IO49" s="128"/>
      <c r="IP49" s="128"/>
      <c r="IQ49" s="128"/>
      <c r="IR49" s="128"/>
      <c r="IV49" s="138"/>
      <c r="IW49" s="138"/>
      <c r="IX49" s="128"/>
      <c r="IY49" s="128"/>
      <c r="IZ49" s="128"/>
      <c r="JA49" s="128"/>
      <c r="JB49" s="128"/>
      <c r="JF49" s="138"/>
      <c r="JG49" s="138"/>
      <c r="JH49" s="128"/>
      <c r="JI49" s="128"/>
      <c r="JJ49" s="128"/>
      <c r="JK49" s="128"/>
      <c r="JL49" s="128"/>
      <c r="JP49" s="138"/>
      <c r="JQ49" s="138"/>
      <c r="JR49" s="128"/>
      <c r="JS49" s="128"/>
      <c r="JT49" s="128"/>
      <c r="JU49" s="128"/>
      <c r="JV49" s="128"/>
      <c r="JZ49" s="138"/>
      <c r="KA49" s="138"/>
      <c r="KB49" s="128"/>
      <c r="KC49" s="128"/>
      <c r="KD49" s="128"/>
      <c r="KE49" s="128"/>
      <c r="KF49" s="128"/>
      <c r="KJ49" s="138"/>
      <c r="KK49" s="138"/>
    </row>
    <row r="50" spans="1:297">
      <c r="A50" s="87">
        <f t="shared" si="1"/>
        <v>13</v>
      </c>
      <c r="B50" s="83">
        <f>_xll.flu_SPT2025($D$10,$D$13,$D$14,$D$23,$D$16,$D$17,$I$11:$J$25,$R$19:$S$108,FALSE,FALSE,"Cao độ",A50,$D$18)</f>
        <v>11</v>
      </c>
      <c r="C50" s="87" t="str">
        <f>IF(B50="","",_xll.TimTenLoaiDat(B50,$G$11:$I$25))</f>
        <v>Lớp 4</v>
      </c>
      <c r="D50" s="87" t="str">
        <f>IF(B50="","",_xll.TimTinhChatDat(B50,$I$11:$J$25))</f>
        <v>Đất dính</v>
      </c>
      <c r="E50" s="95">
        <f>IF(B50="","",_xll.NoiSuySPT(B50,$R$19:$S$108,$D$17,$D$13,0,0))</f>
        <v>9.1764705882353006</v>
      </c>
      <c r="F50" s="125">
        <f>IF(B50="","",_xll.qbEQ_SPT2025($D$10,$D$13,$D$14,B50,$D$17,$I$11:$J$25,$R$19:$S$108,$D$19,$I$11:$O$25,$D$12,"ganmaqb",$D$20))</f>
        <v>0.88551999999999997</v>
      </c>
      <c r="G50" s="95" t="str">
        <f>IF(B50="","",IF(D50="Đất dính","-",_xll.qbEQ_SPT2025($D$10,$D$13,$D$14,B50,$D$17,$I$11:$J$25,$R$19:$S$108,$D$19,$I$11:$O$25,$D$12,"",$D$20)))</f>
        <v>-</v>
      </c>
      <c r="H50" s="95">
        <f>IF(B50="","",IF(D50="Đất dính",_xll.qbEQ_SPT2025($D$10,$D$13,$D$14,B50,$D$17,$I$11:$J$25,$R$19:$S$108,$D$19,$I$11:$O$25,$D$12,"",$D$20),"-"))</f>
        <v>304.72305882352902</v>
      </c>
      <c r="I50" s="95">
        <f t="shared" si="2"/>
        <v>239.32893074485301</v>
      </c>
      <c r="J50" s="96">
        <f>_xll.flu_SPT2025($D$10,$D$13,$D$14,$D$23,$D$16,$D$17,$I$11:$J$25,$R$19:$S$108,FALSE,FALSE,"Li",A50,$D$18)</f>
        <v>1</v>
      </c>
      <c r="K50" s="150">
        <f>IF(B50="","",_xll.fluEQ_SPT2025($D$10,$D$13,$D$14,$D$23,$D$16,$D$17,$I$11:$J$25,$R$19:$S$108,FALSE,FALSE,"ganmafl",A50,$D$18,$D$19,$I$11:$O$25,$D$12,$J$29,$D$20))</f>
        <v>0.78552</v>
      </c>
      <c r="L50" s="95" t="str">
        <f>IF(D50="Đất dính","-",_xll.fluEQ_SPT2025($D$10,$D$13,$D$14,$D$23,$D$16,$D$17,$I$11:$J$25,$R$19:$S$108,FALSE,FALSE,"f",A50,$D$18,$D$19,$I$11:$O$25,$D$12,$J$29,$D$20))</f>
        <v>-</v>
      </c>
      <c r="M50" s="95">
        <f>IF(B50="","",IF(D50="Đất dính",_xll.fluEQ_SPT2025($D$10,$D$13,$D$14,$D$23,$D$16,$D$17,$I$11:$J$25,$R$19:$S$108,FALSE,FALSE,"f",A50,$D$18,$D$19,$I$11:$O$25,$D$12,$J$29,$D$20),"-"))</f>
        <v>45.051882352941199</v>
      </c>
      <c r="N50" s="95">
        <f>_xll.fluEQ_SPT2025($D$10,$D$13,$D$14,$D$23,$D$16,$D$17,$I$11:$J$25,$R$19:$S$108,FALSE,FALSE,"flu",A50,$D$18,$D$19,$I$11:$O$25,$D$12,$J$29,$D$20)</f>
        <v>414.01913064317603</v>
      </c>
      <c r="O50" s="87">
        <f t="shared" si="3"/>
        <v>653.34806138802799</v>
      </c>
      <c r="P50" s="65"/>
      <c r="R50" s="138"/>
      <c r="S50" s="138"/>
      <c r="Z50" s="138"/>
      <c r="AA50" s="138"/>
      <c r="AB50" s="128"/>
      <c r="AC50" s="128"/>
      <c r="AD50" s="128"/>
      <c r="AE50" s="128"/>
      <c r="AF50" s="128"/>
      <c r="AJ50" s="138"/>
      <c r="AK50" s="138"/>
      <c r="AL50" s="128"/>
      <c r="AM50" s="128"/>
      <c r="AN50" s="128"/>
      <c r="AO50" s="128"/>
      <c r="AP50" s="128"/>
      <c r="AT50" s="138"/>
      <c r="AU50" s="138"/>
      <c r="AV50" s="128"/>
      <c r="AW50" s="128"/>
      <c r="AX50" s="128"/>
      <c r="AY50" s="128"/>
      <c r="AZ50" s="128"/>
      <c r="BD50" s="138"/>
      <c r="BE50" s="138"/>
      <c r="BF50" s="128"/>
      <c r="BG50" s="128"/>
      <c r="BH50" s="128"/>
      <c r="BI50" s="128"/>
      <c r="BJ50" s="128"/>
      <c r="BN50" s="138"/>
      <c r="BO50" s="138"/>
      <c r="BP50" s="128"/>
      <c r="BQ50" s="128"/>
      <c r="BR50" s="128"/>
      <c r="BS50" s="128"/>
      <c r="BT50" s="128"/>
      <c r="BX50" s="138"/>
      <c r="BY50" s="138"/>
      <c r="BZ50" s="128"/>
      <c r="CA50" s="128"/>
      <c r="CB50" s="128"/>
      <c r="CC50" s="128"/>
      <c r="CD50" s="128"/>
      <c r="CH50" s="138"/>
      <c r="CI50" s="138"/>
      <c r="CJ50" s="128"/>
      <c r="CK50" s="128"/>
      <c r="CL50" s="128"/>
      <c r="CM50" s="128"/>
      <c r="CN50" s="128"/>
      <c r="CR50" s="138"/>
      <c r="CS50" s="138"/>
      <c r="CT50" s="128"/>
      <c r="CU50" s="128"/>
      <c r="CV50" s="128"/>
      <c r="CW50" s="128"/>
      <c r="CX50" s="128"/>
      <c r="DB50" s="138"/>
      <c r="DC50" s="138"/>
      <c r="DD50" s="128"/>
      <c r="DE50" s="128"/>
      <c r="DF50" s="128"/>
      <c r="DG50" s="128"/>
      <c r="DH50" s="128"/>
      <c r="DL50" s="138"/>
      <c r="DM50" s="138"/>
      <c r="DN50" s="128"/>
      <c r="DO50" s="128"/>
      <c r="DP50" s="128"/>
      <c r="DQ50" s="128"/>
      <c r="DR50" s="128"/>
      <c r="DV50" s="138"/>
      <c r="DW50" s="138"/>
      <c r="DX50" s="128"/>
      <c r="DY50" s="128"/>
      <c r="DZ50" s="128"/>
      <c r="EA50" s="128"/>
      <c r="EB50" s="128"/>
      <c r="EF50" s="138"/>
      <c r="EG50" s="138"/>
      <c r="EH50" s="128"/>
      <c r="EI50" s="128"/>
      <c r="EJ50" s="128"/>
      <c r="EK50" s="128"/>
      <c r="EL50" s="128"/>
      <c r="EP50" s="138"/>
      <c r="EQ50" s="138"/>
      <c r="ER50" s="128"/>
      <c r="ES50" s="128"/>
      <c r="ET50" s="128"/>
      <c r="EU50" s="128"/>
      <c r="EV50" s="128"/>
      <c r="EZ50" s="138"/>
      <c r="FA50" s="138"/>
      <c r="FB50" s="128"/>
      <c r="FC50" s="128"/>
      <c r="FD50" s="128"/>
      <c r="FE50" s="128"/>
      <c r="FF50" s="128"/>
      <c r="FJ50" s="138"/>
      <c r="FK50" s="138"/>
      <c r="FL50" s="128"/>
      <c r="FM50" s="128"/>
      <c r="FN50" s="128"/>
      <c r="FO50" s="128"/>
      <c r="FP50" s="128"/>
      <c r="FT50" s="138"/>
      <c r="FU50" s="138"/>
      <c r="FV50" s="128"/>
      <c r="FW50" s="128"/>
      <c r="FX50" s="128"/>
      <c r="FY50" s="128"/>
      <c r="FZ50" s="128"/>
      <c r="GD50" s="138"/>
      <c r="GE50" s="138"/>
      <c r="GF50" s="128"/>
      <c r="GG50" s="128"/>
      <c r="GH50" s="128"/>
      <c r="GI50" s="128"/>
      <c r="GJ50" s="128"/>
      <c r="GN50" s="138"/>
      <c r="GO50" s="138"/>
      <c r="GP50" s="128"/>
      <c r="GQ50" s="128"/>
      <c r="GR50" s="128"/>
      <c r="GS50" s="128"/>
      <c r="GT50" s="128"/>
      <c r="GX50" s="138"/>
      <c r="GY50" s="138"/>
      <c r="GZ50" s="128"/>
      <c r="HA50" s="128"/>
      <c r="HB50" s="128"/>
      <c r="HC50" s="128"/>
      <c r="HD50" s="128"/>
      <c r="HH50" s="138"/>
      <c r="HI50" s="138"/>
      <c r="HJ50" s="128"/>
      <c r="HK50" s="128"/>
      <c r="HL50" s="128"/>
      <c r="HM50" s="128"/>
      <c r="HN50" s="128"/>
      <c r="HR50" s="138"/>
      <c r="HS50" s="138"/>
      <c r="HT50" s="128"/>
      <c r="HU50" s="128"/>
      <c r="HV50" s="128"/>
      <c r="HW50" s="128"/>
      <c r="HX50" s="128"/>
      <c r="IB50" s="138"/>
      <c r="IC50" s="138"/>
      <c r="ID50" s="128"/>
      <c r="IE50" s="128"/>
      <c r="IF50" s="128"/>
      <c r="IG50" s="128"/>
      <c r="IH50" s="128"/>
      <c r="IL50" s="138"/>
      <c r="IM50" s="138"/>
      <c r="IN50" s="128"/>
      <c r="IO50" s="128"/>
      <c r="IP50" s="128"/>
      <c r="IQ50" s="128"/>
      <c r="IR50" s="128"/>
      <c r="IV50" s="138"/>
      <c r="IW50" s="138"/>
      <c r="IX50" s="128"/>
      <c r="IY50" s="128"/>
      <c r="IZ50" s="128"/>
      <c r="JA50" s="128"/>
      <c r="JB50" s="128"/>
      <c r="JF50" s="138"/>
      <c r="JG50" s="138"/>
      <c r="JH50" s="128"/>
      <c r="JI50" s="128"/>
      <c r="JJ50" s="128"/>
      <c r="JK50" s="128"/>
      <c r="JL50" s="128"/>
      <c r="JP50" s="138"/>
      <c r="JQ50" s="138"/>
      <c r="JR50" s="128"/>
      <c r="JS50" s="128"/>
      <c r="JT50" s="128"/>
      <c r="JU50" s="128"/>
      <c r="JV50" s="128"/>
      <c r="JZ50" s="138"/>
      <c r="KA50" s="138"/>
      <c r="KB50" s="128"/>
      <c r="KC50" s="128"/>
      <c r="KD50" s="128"/>
      <c r="KE50" s="128"/>
      <c r="KF50" s="128"/>
      <c r="KJ50" s="138"/>
      <c r="KK50" s="138"/>
    </row>
    <row r="51" spans="1:297">
      <c r="A51" s="87">
        <f t="shared" si="1"/>
        <v>14</v>
      </c>
      <c r="B51" s="83">
        <f>_xll.flu_SPT2025($D$10,$D$13,$D$14,$D$23,$D$16,$D$17,$I$11:$J$25,$R$19:$S$108,FALSE,FALSE,"Cao độ",A51,$D$18)</f>
        <v>12</v>
      </c>
      <c r="C51" s="87" t="str">
        <f>IF(B51="","",_xll.TimTenLoaiDat(B51,$G$11:$I$25))</f>
        <v>Lớp 4</v>
      </c>
      <c r="D51" s="87" t="str">
        <f>IF(B51="","",_xll.TimTinhChatDat(B51,$I$11:$J$25))</f>
        <v>Đất dính</v>
      </c>
      <c r="E51" s="95">
        <f>IF(B51="","",_xll.NoiSuySPT(B51,$R$19:$S$108,$D$17,$D$13,0,0))</f>
        <v>11.5294117647059</v>
      </c>
      <c r="F51" s="125">
        <f>IF(B51="","",_xll.qbEQ_SPT2025($D$10,$D$13,$D$14,B51,$D$17,$I$11:$J$25,$R$19:$S$108,$D$19,$I$11:$O$25,$D$12,"ganmaqb",$D$20))</f>
        <v>0.88551999999999997</v>
      </c>
      <c r="G51" s="95" t="str">
        <f>IF(B51="","",IF(D51="Đất dính","-",_xll.qbEQ_SPT2025($D$10,$D$13,$D$14,B51,$D$17,$I$11:$J$25,$R$19:$S$108,$D$19,$I$11:$O$25,$D$12,"",$D$20)))</f>
        <v>-</v>
      </c>
      <c r="H51" s="95">
        <f>IF(B51="","",IF(D51="Đất dính",_xll.qbEQ_SPT2025($D$10,$D$13,$D$14,B51,$D$17,$I$11:$J$25,$R$19:$S$108,$D$19,$I$11:$O$25,$D$12,"",$D$20),"-"))</f>
        <v>382.857176470588</v>
      </c>
      <c r="I51" s="95">
        <f t="shared" si="2"/>
        <v>300.69532324353298</v>
      </c>
      <c r="J51" s="96">
        <f>_xll.flu_SPT2025($D$10,$D$13,$D$14,$D$23,$D$16,$D$17,$I$11:$J$25,$R$19:$S$108,FALSE,FALSE,"Li",A51,$D$18)</f>
        <v>0.19999999999999901</v>
      </c>
      <c r="K51" s="150">
        <f>IF(B51="","",_xll.fluEQ_SPT2025($D$10,$D$13,$D$14,$D$23,$D$16,$D$17,$I$11:$J$25,$R$19:$S$108,FALSE,FALSE,"ganmafl",A51,$D$18,$D$19,$I$11:$O$25,$D$12,$J$29,$D$20))</f>
        <v>0.78552</v>
      </c>
      <c r="L51" s="95" t="str">
        <f>IF(D51="Đất dính","-",_xll.fluEQ_SPT2025($D$10,$D$13,$D$14,$D$23,$D$16,$D$17,$I$11:$J$25,$R$19:$S$108,FALSE,FALSE,"f",A51,$D$18,$D$19,$I$11:$O$25,$D$12,$J$29,$D$20))</f>
        <v>-</v>
      </c>
      <c r="M51" s="95">
        <f>IF(B51="","",IF(D51="Đất dính",_xll.fluEQ_SPT2025($D$10,$D$13,$D$14,$D$23,$D$16,$D$17,$I$11:$J$25,$R$19:$S$108,FALSE,FALSE,"f",A51,$D$18,$D$19,$I$11:$O$25,$D$12,$J$29,$D$20),"-"))</f>
        <v>56.603647058823498</v>
      </c>
      <c r="N51" s="95">
        <f>_xll.fluEQ_SPT2025($D$10,$D$13,$D$14,$D$23,$D$16,$D$17,$I$11:$J$25,$R$19:$S$108,FALSE,FALSE,"flu",A51,$D$18,$D$19,$I$11:$O$25,$D$12,$J$29,$D$20)</f>
        <v>449.58425099645302</v>
      </c>
      <c r="O51" s="87">
        <f t="shared" si="3"/>
        <v>750.279574239986</v>
      </c>
      <c r="P51" s="65"/>
      <c r="R51" s="138"/>
      <c r="S51" s="138"/>
      <c r="Z51" s="138"/>
      <c r="AA51" s="138"/>
      <c r="AB51" s="128"/>
      <c r="AC51" s="128"/>
      <c r="AD51" s="128"/>
      <c r="AE51" s="128"/>
      <c r="AF51" s="128"/>
      <c r="AJ51" s="138"/>
      <c r="AK51" s="138"/>
      <c r="AL51" s="128"/>
      <c r="AM51" s="128"/>
      <c r="AN51" s="128"/>
      <c r="AO51" s="128"/>
      <c r="AP51" s="128"/>
      <c r="AT51" s="138"/>
      <c r="AU51" s="138"/>
      <c r="AV51" s="128"/>
      <c r="AW51" s="128"/>
      <c r="AX51" s="128"/>
      <c r="AY51" s="128"/>
      <c r="AZ51" s="128"/>
      <c r="BD51" s="138"/>
      <c r="BE51" s="138"/>
      <c r="BF51" s="128"/>
      <c r="BG51" s="128"/>
      <c r="BH51" s="128"/>
      <c r="BI51" s="128"/>
      <c r="BJ51" s="128"/>
      <c r="BN51" s="138"/>
      <c r="BO51" s="138"/>
      <c r="BP51" s="128"/>
      <c r="BQ51" s="128"/>
      <c r="BR51" s="128"/>
      <c r="BS51" s="128"/>
      <c r="BT51" s="128"/>
      <c r="BX51" s="138"/>
      <c r="BY51" s="138"/>
      <c r="BZ51" s="128"/>
      <c r="CA51" s="128"/>
      <c r="CB51" s="128"/>
      <c r="CC51" s="128"/>
      <c r="CD51" s="128"/>
      <c r="CH51" s="138"/>
      <c r="CI51" s="138"/>
      <c r="CJ51" s="128"/>
      <c r="CK51" s="128"/>
      <c r="CL51" s="128"/>
      <c r="CM51" s="128"/>
      <c r="CN51" s="128"/>
      <c r="CR51" s="138"/>
      <c r="CS51" s="138"/>
      <c r="CT51" s="128"/>
      <c r="CU51" s="128"/>
      <c r="CV51" s="128"/>
      <c r="CW51" s="128"/>
      <c r="CX51" s="128"/>
      <c r="DB51" s="138"/>
      <c r="DC51" s="138"/>
      <c r="DD51" s="128"/>
      <c r="DE51" s="128"/>
      <c r="DF51" s="128"/>
      <c r="DG51" s="128"/>
      <c r="DH51" s="128"/>
      <c r="DL51" s="138"/>
      <c r="DM51" s="138"/>
      <c r="DN51" s="128"/>
      <c r="DO51" s="128"/>
      <c r="DP51" s="128"/>
      <c r="DQ51" s="128"/>
      <c r="DR51" s="128"/>
      <c r="DV51" s="138"/>
      <c r="DW51" s="138"/>
      <c r="DX51" s="128"/>
      <c r="DY51" s="128"/>
      <c r="DZ51" s="128"/>
      <c r="EA51" s="128"/>
      <c r="EB51" s="128"/>
      <c r="EF51" s="138"/>
      <c r="EG51" s="138"/>
      <c r="EH51" s="128"/>
      <c r="EI51" s="128"/>
      <c r="EJ51" s="128"/>
      <c r="EK51" s="128"/>
      <c r="EL51" s="128"/>
      <c r="EP51" s="138"/>
      <c r="EQ51" s="138"/>
      <c r="ER51" s="128"/>
      <c r="ES51" s="128"/>
      <c r="ET51" s="128"/>
      <c r="EU51" s="128"/>
      <c r="EV51" s="128"/>
      <c r="EZ51" s="138"/>
      <c r="FA51" s="138"/>
      <c r="FB51" s="128"/>
      <c r="FC51" s="128"/>
      <c r="FD51" s="128"/>
      <c r="FE51" s="128"/>
      <c r="FF51" s="128"/>
      <c r="FJ51" s="138"/>
      <c r="FK51" s="138"/>
      <c r="FL51" s="128"/>
      <c r="FM51" s="128"/>
      <c r="FN51" s="128"/>
      <c r="FO51" s="128"/>
      <c r="FP51" s="128"/>
      <c r="FT51" s="138"/>
      <c r="FU51" s="138"/>
      <c r="FV51" s="128"/>
      <c r="FW51" s="128"/>
      <c r="FX51" s="128"/>
      <c r="FY51" s="128"/>
      <c r="FZ51" s="128"/>
      <c r="GD51" s="138"/>
      <c r="GE51" s="138"/>
      <c r="GF51" s="128"/>
      <c r="GG51" s="128"/>
      <c r="GH51" s="128"/>
      <c r="GI51" s="128"/>
      <c r="GJ51" s="128"/>
      <c r="GN51" s="138"/>
      <c r="GO51" s="138"/>
      <c r="GP51" s="128"/>
      <c r="GQ51" s="128"/>
      <c r="GR51" s="128"/>
      <c r="GS51" s="128"/>
      <c r="GT51" s="128"/>
      <c r="GX51" s="138"/>
      <c r="GY51" s="138"/>
      <c r="GZ51" s="128"/>
      <c r="HA51" s="128"/>
      <c r="HB51" s="128"/>
      <c r="HC51" s="128"/>
      <c r="HD51" s="128"/>
      <c r="HH51" s="138"/>
      <c r="HI51" s="138"/>
      <c r="HJ51" s="128"/>
      <c r="HK51" s="128"/>
      <c r="HL51" s="128"/>
      <c r="HM51" s="128"/>
      <c r="HN51" s="128"/>
      <c r="HR51" s="138"/>
      <c r="HS51" s="138"/>
      <c r="HT51" s="128"/>
      <c r="HU51" s="128"/>
      <c r="HV51" s="128"/>
      <c r="HW51" s="128"/>
      <c r="HX51" s="128"/>
      <c r="IB51" s="138"/>
      <c r="IC51" s="138"/>
      <c r="ID51" s="128"/>
      <c r="IE51" s="128"/>
      <c r="IF51" s="128"/>
      <c r="IG51" s="128"/>
      <c r="IH51" s="128"/>
      <c r="IL51" s="138"/>
      <c r="IM51" s="138"/>
      <c r="IN51" s="128"/>
      <c r="IO51" s="128"/>
      <c r="IP51" s="128"/>
      <c r="IQ51" s="128"/>
      <c r="IR51" s="128"/>
      <c r="IV51" s="138"/>
      <c r="IW51" s="138"/>
      <c r="IX51" s="128"/>
      <c r="IY51" s="128"/>
      <c r="IZ51" s="128"/>
      <c r="JA51" s="128"/>
      <c r="JB51" s="128"/>
      <c r="JF51" s="138"/>
      <c r="JG51" s="138"/>
      <c r="JH51" s="128"/>
      <c r="JI51" s="128"/>
      <c r="JJ51" s="128"/>
      <c r="JK51" s="128"/>
      <c r="JL51" s="128"/>
      <c r="JP51" s="138"/>
      <c r="JQ51" s="138"/>
      <c r="JR51" s="128"/>
      <c r="JS51" s="128"/>
      <c r="JT51" s="128"/>
      <c r="JU51" s="128"/>
      <c r="JV51" s="128"/>
      <c r="JZ51" s="138"/>
      <c r="KA51" s="138"/>
      <c r="KB51" s="128"/>
      <c r="KC51" s="128"/>
      <c r="KD51" s="128"/>
      <c r="KE51" s="128"/>
      <c r="KF51" s="128"/>
      <c r="KJ51" s="138"/>
      <c r="KK51" s="138"/>
    </row>
    <row r="52" spans="1:297">
      <c r="A52" s="87">
        <f t="shared" si="1"/>
        <v>15</v>
      </c>
      <c r="B52" s="83">
        <f>_xll.flu_SPT2025($D$10,$D$13,$D$14,$D$23,$D$16,$D$17,$I$11:$J$25,$R$19:$S$108,FALSE,FALSE,"Cao độ",A52,$D$18)</f>
        <v>12.2</v>
      </c>
      <c r="C52" s="87" t="str">
        <f>IF(B52="","",_xll.TimTenLoaiDat(B52,$G$11:$I$25))</f>
        <v>Lớp 5</v>
      </c>
      <c r="D52" s="87" t="str">
        <f>IF(B52="","",_xll.TimTinhChatDat(B52,$I$11:$J$25))</f>
        <v>Đất rời</v>
      </c>
      <c r="E52" s="95">
        <f>IF(B52="","",_xll.NoiSuySPT(B52,$R$19:$S$108,$D$17,$D$13,0,0))</f>
        <v>12</v>
      </c>
      <c r="F52" s="125">
        <f>IF(B52="","",_xll.qbEQ_SPT2025($D$10,$D$13,$D$14,B52,$D$17,$I$11:$J$25,$R$19:$S$108,$D$19,$I$11:$O$25,$D$12,"ganmaqb",$D$20))</f>
        <v>0.39276</v>
      </c>
      <c r="G52" s="95">
        <f>IF(B52="","",IF(D52="Đất dính","-",_xll.qbEQ_SPT2025($D$10,$D$13,$D$14,B52,$D$17,$I$11:$J$25,$R$19:$S$108,$D$19,$I$11:$O$25,$D$12,"",$D$20)))</f>
        <v>565.57439999999997</v>
      </c>
      <c r="H52" s="95" t="str">
        <f>IF(B52="","",IF(D52="Đất dính",_xll.qbEQ_SPT2025($D$10,$D$13,$D$14,B52,$D$17,$I$11:$J$25,$R$19:$S$108,$D$19,$I$11:$O$25,$D$12,"",$D$20),"-"))</f>
        <v>-</v>
      </c>
      <c r="I52" s="95">
        <f t="shared" si="2"/>
        <v>444.20109502461401</v>
      </c>
      <c r="J52" s="96">
        <f>_xll.flu_SPT2025($D$10,$D$13,$D$14,$D$23,$D$16,$D$17,$I$11:$J$25,$R$19:$S$108,FALSE,FALSE,"Li",A52,$D$18)</f>
        <v>0.80000000000000104</v>
      </c>
      <c r="K52" s="150">
        <f>IF(B52="","",_xll.fluEQ_SPT2025($D$10,$D$13,$D$14,$D$23,$D$16,$D$17,$I$11:$J$25,$R$19:$S$108,FALSE,FALSE,"ganmafl",A52,$D$18,$D$19,$I$11:$O$25,$D$12,$J$29,$D$20))</f>
        <v>0.48552000000000001</v>
      </c>
      <c r="L52" s="95">
        <f>IF(D52="Đất dính","-",_xll.fluEQ_SPT2025($D$10,$D$13,$D$14,$D$23,$D$16,$D$17,$I$11:$J$25,$R$19:$S$108,FALSE,FALSE,"f",A52,$D$18,$D$19,$I$11:$O$25,$D$12,$J$29,$D$20))</f>
        <v>19.226592</v>
      </c>
      <c r="M52" s="95" t="str">
        <f>IF(B52="","",IF(D52="Đất dính",_xll.fluEQ_SPT2025($D$10,$D$13,$D$14,$D$23,$D$16,$D$17,$I$11:$J$25,$R$19:$S$108,FALSE,FALSE,"f",A52,$D$18,$D$19,$I$11:$O$25,$D$12,$J$29,$D$20),"-"))</f>
        <v>-</v>
      </c>
      <c r="N52" s="95">
        <f>_xll.fluEQ_SPT2025($D$10,$D$13,$D$14,$D$23,$D$16,$D$17,$I$11:$J$25,$R$19:$S$108,FALSE,FALSE,"flu",A52,$D$18,$D$19,$I$11:$O$25,$D$12,$J$29,$D$20)</f>
        <v>497.905947141068</v>
      </c>
      <c r="O52" s="87">
        <f t="shared" si="3"/>
        <v>942.10704216568195</v>
      </c>
      <c r="P52" s="65"/>
      <c r="R52" s="138"/>
      <c r="S52" s="138"/>
      <c r="Z52" s="138"/>
      <c r="AA52" s="138"/>
      <c r="AB52" s="128"/>
      <c r="AC52" s="128"/>
      <c r="AD52" s="128"/>
      <c r="AE52" s="128"/>
      <c r="AF52" s="128"/>
      <c r="AJ52" s="138"/>
      <c r="AK52" s="138"/>
      <c r="AL52" s="128"/>
      <c r="AM52" s="128"/>
      <c r="AN52" s="128"/>
      <c r="AO52" s="128"/>
      <c r="AP52" s="128"/>
      <c r="AT52" s="138"/>
      <c r="AU52" s="138"/>
      <c r="AV52" s="128"/>
      <c r="AW52" s="128"/>
      <c r="AX52" s="128"/>
      <c r="AY52" s="128"/>
      <c r="AZ52" s="128"/>
      <c r="BD52" s="138"/>
      <c r="BE52" s="138"/>
      <c r="BF52" s="128"/>
      <c r="BG52" s="128"/>
      <c r="BH52" s="128"/>
      <c r="BI52" s="128"/>
      <c r="BJ52" s="128"/>
      <c r="BN52" s="138"/>
      <c r="BO52" s="138"/>
      <c r="BP52" s="128"/>
      <c r="BQ52" s="128"/>
      <c r="BR52" s="128"/>
      <c r="BS52" s="128"/>
      <c r="BT52" s="128"/>
      <c r="BX52" s="138"/>
      <c r="BY52" s="138"/>
      <c r="BZ52" s="128"/>
      <c r="CA52" s="128"/>
      <c r="CB52" s="128"/>
      <c r="CC52" s="128"/>
      <c r="CD52" s="128"/>
      <c r="CH52" s="138"/>
      <c r="CI52" s="138"/>
      <c r="CJ52" s="128"/>
      <c r="CK52" s="128"/>
      <c r="CL52" s="128"/>
      <c r="CM52" s="128"/>
      <c r="CN52" s="128"/>
      <c r="CR52" s="138"/>
      <c r="CS52" s="138"/>
      <c r="CT52" s="128"/>
      <c r="CU52" s="128"/>
      <c r="CV52" s="128"/>
      <c r="CW52" s="128"/>
      <c r="CX52" s="128"/>
      <c r="DB52" s="138"/>
      <c r="DC52" s="138"/>
      <c r="DD52" s="128"/>
      <c r="DE52" s="128"/>
      <c r="DF52" s="128"/>
      <c r="DG52" s="128"/>
      <c r="DH52" s="128"/>
      <c r="DL52" s="138"/>
      <c r="DM52" s="138"/>
      <c r="DN52" s="128"/>
      <c r="DO52" s="128"/>
      <c r="DP52" s="128"/>
      <c r="DQ52" s="128"/>
      <c r="DR52" s="128"/>
      <c r="DV52" s="138"/>
      <c r="DW52" s="138"/>
      <c r="DX52" s="128"/>
      <c r="DY52" s="128"/>
      <c r="DZ52" s="128"/>
      <c r="EA52" s="128"/>
      <c r="EB52" s="128"/>
      <c r="EF52" s="138"/>
      <c r="EG52" s="138"/>
      <c r="EH52" s="128"/>
      <c r="EI52" s="128"/>
      <c r="EJ52" s="128"/>
      <c r="EK52" s="128"/>
      <c r="EL52" s="128"/>
      <c r="EP52" s="138"/>
      <c r="EQ52" s="138"/>
      <c r="ER52" s="128"/>
      <c r="ES52" s="128"/>
      <c r="ET52" s="128"/>
      <c r="EU52" s="128"/>
      <c r="EV52" s="128"/>
      <c r="EZ52" s="138"/>
      <c r="FA52" s="138"/>
      <c r="FB52" s="128"/>
      <c r="FC52" s="128"/>
      <c r="FD52" s="128"/>
      <c r="FE52" s="128"/>
      <c r="FF52" s="128"/>
      <c r="FJ52" s="138"/>
      <c r="FK52" s="138"/>
      <c r="FL52" s="128"/>
      <c r="FM52" s="128"/>
      <c r="FN52" s="128"/>
      <c r="FO52" s="128"/>
      <c r="FP52" s="128"/>
      <c r="FT52" s="138"/>
      <c r="FU52" s="138"/>
      <c r="FV52" s="128"/>
      <c r="FW52" s="128"/>
      <c r="FX52" s="128"/>
      <c r="FY52" s="128"/>
      <c r="FZ52" s="128"/>
      <c r="GD52" s="138"/>
      <c r="GE52" s="138"/>
      <c r="GF52" s="128"/>
      <c r="GG52" s="128"/>
      <c r="GH52" s="128"/>
      <c r="GI52" s="128"/>
      <c r="GJ52" s="128"/>
      <c r="GN52" s="138"/>
      <c r="GO52" s="138"/>
      <c r="GP52" s="128"/>
      <c r="GQ52" s="128"/>
      <c r="GR52" s="128"/>
      <c r="GS52" s="128"/>
      <c r="GT52" s="128"/>
      <c r="GX52" s="138"/>
      <c r="GY52" s="138"/>
      <c r="GZ52" s="128"/>
      <c r="HA52" s="128"/>
      <c r="HB52" s="128"/>
      <c r="HC52" s="128"/>
      <c r="HD52" s="128"/>
      <c r="HH52" s="138"/>
      <c r="HI52" s="138"/>
      <c r="HJ52" s="128"/>
      <c r="HK52" s="128"/>
      <c r="HL52" s="128"/>
      <c r="HM52" s="128"/>
      <c r="HN52" s="128"/>
      <c r="HR52" s="138"/>
      <c r="HS52" s="138"/>
      <c r="HT52" s="128"/>
      <c r="HU52" s="128"/>
      <c r="HV52" s="128"/>
      <c r="HW52" s="128"/>
      <c r="HX52" s="128"/>
      <c r="IB52" s="138"/>
      <c r="IC52" s="138"/>
      <c r="ID52" s="128"/>
      <c r="IE52" s="128"/>
      <c r="IF52" s="128"/>
      <c r="IG52" s="128"/>
      <c r="IH52" s="128"/>
      <c r="IL52" s="138"/>
      <c r="IM52" s="138"/>
      <c r="IN52" s="128"/>
      <c r="IO52" s="128"/>
      <c r="IP52" s="128"/>
      <c r="IQ52" s="128"/>
      <c r="IR52" s="128"/>
      <c r="IV52" s="138"/>
      <c r="IW52" s="138"/>
      <c r="IX52" s="128"/>
      <c r="IY52" s="128"/>
      <c r="IZ52" s="128"/>
      <c r="JA52" s="128"/>
      <c r="JB52" s="128"/>
      <c r="JF52" s="138"/>
      <c r="JG52" s="138"/>
      <c r="JH52" s="128"/>
      <c r="JI52" s="128"/>
      <c r="JJ52" s="128"/>
      <c r="JK52" s="128"/>
      <c r="JL52" s="128"/>
      <c r="JP52" s="138"/>
      <c r="JQ52" s="138"/>
      <c r="JR52" s="128"/>
      <c r="JS52" s="128"/>
      <c r="JT52" s="128"/>
      <c r="JU52" s="128"/>
      <c r="JV52" s="128"/>
      <c r="JZ52" s="138"/>
      <c r="KA52" s="138"/>
      <c r="KB52" s="128"/>
      <c r="KC52" s="128"/>
      <c r="KD52" s="128"/>
      <c r="KE52" s="128"/>
      <c r="KF52" s="128"/>
      <c r="KJ52" s="138"/>
      <c r="KK52" s="138"/>
    </row>
    <row r="53" spans="1:297">
      <c r="A53" s="87">
        <f t="shared" si="1"/>
        <v>16</v>
      </c>
      <c r="B53" s="83">
        <f>_xll.flu_SPT2025($D$10,$D$13,$D$14,$D$23,$D$16,$D$17,$I$11:$J$25,$R$19:$S$108,FALSE,FALSE,"Cao độ",A53,$D$18)</f>
        <v>13</v>
      </c>
      <c r="C53" s="87" t="str">
        <f>IF(B53="","",_xll.TimTenLoaiDat(B53,$G$11:$I$25))</f>
        <v>Lớp 5</v>
      </c>
      <c r="D53" s="87" t="str">
        <f>IF(B53="","",_xll.TimTinhChatDat(B53,$I$11:$J$25))</f>
        <v>Đất rời</v>
      </c>
      <c r="E53" s="95">
        <f>IF(B53="","",_xll.NoiSuySPT(B53,$R$19:$S$108,$D$17,$D$13,0,0))</f>
        <v>12.4</v>
      </c>
      <c r="F53" s="125">
        <f>IF(B53="","",_xll.qbEQ_SPT2025($D$10,$D$13,$D$14,B53,$D$17,$I$11:$J$25,$R$19:$S$108,$D$19,$I$11:$O$25,$D$12,"ganmaqb",$D$20))</f>
        <v>0.39276</v>
      </c>
      <c r="G53" s="95">
        <f>IF(B53="","",IF(D53="Đất dính","-",_xll.qbEQ_SPT2025($D$10,$D$13,$D$14,B53,$D$17,$I$11:$J$25,$R$19:$S$108,$D$19,$I$11:$O$25,$D$12,"",$D$20)))</f>
        <v>584.42687999999998</v>
      </c>
      <c r="H53" s="95" t="str">
        <f>IF(B53="","",IF(D53="Đất dính",_xll.qbEQ_SPT2025($D$10,$D$13,$D$14,B53,$D$17,$I$11:$J$25,$R$19:$S$108,$D$19,$I$11:$O$25,$D$12,"",$D$20),"-"))</f>
        <v>-</v>
      </c>
      <c r="I53" s="95">
        <f t="shared" si="2"/>
        <v>459.00779819210101</v>
      </c>
      <c r="J53" s="96">
        <f>_xll.flu_SPT2025($D$10,$D$13,$D$14,$D$23,$D$16,$D$17,$I$11:$J$25,$R$19:$S$108,FALSE,FALSE,"Li",A53,$D$18)</f>
        <v>1</v>
      </c>
      <c r="K53" s="150">
        <f>IF(B53="","",_xll.fluEQ_SPT2025($D$10,$D$13,$D$14,$D$23,$D$16,$D$17,$I$11:$J$25,$R$19:$S$108,FALSE,FALSE,"ganmafl",A53,$D$18,$D$19,$I$11:$O$25,$D$12,$J$29,$D$20))</f>
        <v>0.48552000000000001</v>
      </c>
      <c r="L53" s="95">
        <f>IF(D53="Đất dính","-",_xll.fluEQ_SPT2025($D$10,$D$13,$D$14,$D$23,$D$16,$D$17,$I$11:$J$25,$R$19:$S$108,FALSE,FALSE,"f",A53,$D$18,$D$19,$I$11:$O$25,$D$12,$J$29,$D$20))</f>
        <v>19.8674784</v>
      </c>
      <c r="M53" s="95" t="str">
        <f>IF(B53="","",IF(D53="Đất dính",_xll.fluEQ_SPT2025($D$10,$D$13,$D$14,$D$23,$D$16,$D$17,$I$11:$J$25,$R$19:$S$108,FALSE,FALSE,"f",A53,$D$18,$D$19,$I$11:$O$25,$D$12,$J$29,$D$20),"-"))</f>
        <v>-</v>
      </c>
      <c r="N53" s="95">
        <f>_xll.fluEQ_SPT2025($D$10,$D$13,$D$14,$D$23,$D$16,$D$17,$I$11:$J$25,$R$19:$S$108,FALSE,FALSE,"flu",A53,$D$18,$D$19,$I$11:$O$25,$D$12,$J$29,$D$20)</f>
        <v>560.32147132786201</v>
      </c>
      <c r="O53" s="87">
        <f t="shared" si="3"/>
        <v>1019.32926951996</v>
      </c>
      <c r="P53" s="65"/>
      <c r="R53" s="138"/>
      <c r="S53" s="138"/>
      <c r="Z53" s="138"/>
      <c r="AA53" s="138"/>
      <c r="AB53" s="128"/>
      <c r="AC53" s="128"/>
      <c r="AD53" s="128"/>
      <c r="AE53" s="128"/>
      <c r="AF53" s="128"/>
      <c r="AJ53" s="138"/>
      <c r="AK53" s="138"/>
      <c r="AL53" s="128"/>
      <c r="AM53" s="128"/>
      <c r="AN53" s="128"/>
      <c r="AO53" s="128"/>
      <c r="AP53" s="128"/>
      <c r="AT53" s="138"/>
      <c r="AU53" s="138"/>
      <c r="AV53" s="128"/>
      <c r="AW53" s="128"/>
      <c r="AX53" s="128"/>
      <c r="AY53" s="128"/>
      <c r="AZ53" s="128"/>
      <c r="BD53" s="138"/>
      <c r="BE53" s="138"/>
      <c r="BF53" s="128"/>
      <c r="BG53" s="128"/>
      <c r="BH53" s="128"/>
      <c r="BI53" s="128"/>
      <c r="BJ53" s="128"/>
      <c r="BN53" s="138"/>
      <c r="BO53" s="138"/>
      <c r="BP53" s="128"/>
      <c r="BQ53" s="128"/>
      <c r="BR53" s="128"/>
      <c r="BS53" s="128"/>
      <c r="BT53" s="128"/>
      <c r="BX53" s="138"/>
      <c r="BY53" s="138"/>
      <c r="BZ53" s="128"/>
      <c r="CA53" s="128"/>
      <c r="CB53" s="128"/>
      <c r="CC53" s="128"/>
      <c r="CD53" s="128"/>
      <c r="CH53" s="138"/>
      <c r="CI53" s="138"/>
      <c r="CJ53" s="128"/>
      <c r="CK53" s="128"/>
      <c r="CL53" s="128"/>
      <c r="CM53" s="128"/>
      <c r="CN53" s="128"/>
      <c r="CR53" s="138"/>
      <c r="CS53" s="138"/>
      <c r="CT53" s="128"/>
      <c r="CU53" s="128"/>
      <c r="CV53" s="128"/>
      <c r="CW53" s="128"/>
      <c r="CX53" s="128"/>
      <c r="DB53" s="138"/>
      <c r="DC53" s="138"/>
      <c r="DD53" s="128"/>
      <c r="DE53" s="128"/>
      <c r="DF53" s="128"/>
      <c r="DG53" s="128"/>
      <c r="DH53" s="128"/>
      <c r="DL53" s="138"/>
      <c r="DM53" s="138"/>
      <c r="DN53" s="128"/>
      <c r="DO53" s="128"/>
      <c r="DP53" s="128"/>
      <c r="DQ53" s="128"/>
      <c r="DR53" s="128"/>
      <c r="DV53" s="138"/>
      <c r="DW53" s="138"/>
      <c r="DX53" s="128"/>
      <c r="DY53" s="128"/>
      <c r="DZ53" s="128"/>
      <c r="EA53" s="128"/>
      <c r="EB53" s="128"/>
      <c r="EF53" s="138"/>
      <c r="EG53" s="138"/>
      <c r="EH53" s="128"/>
      <c r="EI53" s="128"/>
      <c r="EJ53" s="128"/>
      <c r="EK53" s="128"/>
      <c r="EL53" s="128"/>
      <c r="EP53" s="138"/>
      <c r="EQ53" s="138"/>
      <c r="ER53" s="128"/>
      <c r="ES53" s="128"/>
      <c r="ET53" s="128"/>
      <c r="EU53" s="128"/>
      <c r="EV53" s="128"/>
      <c r="EZ53" s="138"/>
      <c r="FA53" s="138"/>
      <c r="FB53" s="128"/>
      <c r="FC53" s="128"/>
      <c r="FD53" s="128"/>
      <c r="FE53" s="128"/>
      <c r="FF53" s="128"/>
      <c r="FJ53" s="138"/>
      <c r="FK53" s="138"/>
      <c r="FL53" s="128"/>
      <c r="FM53" s="128"/>
      <c r="FN53" s="128"/>
      <c r="FO53" s="128"/>
      <c r="FP53" s="128"/>
      <c r="FT53" s="138"/>
      <c r="FU53" s="138"/>
      <c r="FV53" s="128"/>
      <c r="FW53" s="128"/>
      <c r="FX53" s="128"/>
      <c r="FY53" s="128"/>
      <c r="FZ53" s="128"/>
      <c r="GD53" s="138"/>
      <c r="GE53" s="138"/>
      <c r="GF53" s="128"/>
      <c r="GG53" s="128"/>
      <c r="GH53" s="128"/>
      <c r="GI53" s="128"/>
      <c r="GJ53" s="128"/>
      <c r="GN53" s="138"/>
      <c r="GO53" s="138"/>
      <c r="GP53" s="128"/>
      <c r="GQ53" s="128"/>
      <c r="GR53" s="128"/>
      <c r="GS53" s="128"/>
      <c r="GT53" s="128"/>
      <c r="GX53" s="138"/>
      <c r="GY53" s="138"/>
      <c r="GZ53" s="128"/>
      <c r="HA53" s="128"/>
      <c r="HB53" s="128"/>
      <c r="HC53" s="128"/>
      <c r="HD53" s="128"/>
      <c r="HH53" s="138"/>
      <c r="HI53" s="138"/>
      <c r="HJ53" s="128"/>
      <c r="HK53" s="128"/>
      <c r="HL53" s="128"/>
      <c r="HM53" s="128"/>
      <c r="HN53" s="128"/>
      <c r="HR53" s="138"/>
      <c r="HS53" s="138"/>
      <c r="HT53" s="128"/>
      <c r="HU53" s="128"/>
      <c r="HV53" s="128"/>
      <c r="HW53" s="128"/>
      <c r="HX53" s="128"/>
      <c r="IB53" s="138"/>
      <c r="IC53" s="138"/>
      <c r="ID53" s="128"/>
      <c r="IE53" s="128"/>
      <c r="IF53" s="128"/>
      <c r="IG53" s="128"/>
      <c r="IH53" s="128"/>
      <c r="IL53" s="138"/>
      <c r="IM53" s="138"/>
      <c r="IN53" s="128"/>
      <c r="IO53" s="128"/>
      <c r="IP53" s="128"/>
      <c r="IQ53" s="128"/>
      <c r="IR53" s="128"/>
      <c r="IV53" s="138"/>
      <c r="IW53" s="138"/>
      <c r="IX53" s="128"/>
      <c r="IY53" s="128"/>
      <c r="IZ53" s="128"/>
      <c r="JA53" s="128"/>
      <c r="JB53" s="128"/>
      <c r="JF53" s="138"/>
      <c r="JG53" s="138"/>
      <c r="JH53" s="128"/>
      <c r="JI53" s="128"/>
      <c r="JJ53" s="128"/>
      <c r="JK53" s="128"/>
      <c r="JL53" s="128"/>
      <c r="JP53" s="138"/>
      <c r="JQ53" s="138"/>
      <c r="JR53" s="128"/>
      <c r="JS53" s="128"/>
      <c r="JT53" s="128"/>
      <c r="JU53" s="128"/>
      <c r="JV53" s="128"/>
      <c r="JZ53" s="138"/>
      <c r="KA53" s="138"/>
      <c r="KB53" s="128"/>
      <c r="KC53" s="128"/>
      <c r="KD53" s="128"/>
      <c r="KE53" s="128"/>
      <c r="KF53" s="128"/>
      <c r="KJ53" s="138"/>
      <c r="KK53" s="138"/>
    </row>
    <row r="54" spans="1:297">
      <c r="A54" s="87">
        <f t="shared" si="1"/>
        <v>17</v>
      </c>
      <c r="B54" s="83">
        <f>_xll.flu_SPT2025($D$10,$D$13,$D$14,$D$23,$D$16,$D$17,$I$11:$J$25,$R$19:$S$108,FALSE,FALSE,"Cao độ",A54,$D$18)</f>
        <v>14</v>
      </c>
      <c r="C54" s="87" t="str">
        <f>IF(B54="","",_xll.TimTenLoaiDat(B54,$G$11:$I$25))</f>
        <v>Lớp 5</v>
      </c>
      <c r="D54" s="87" t="str">
        <f>IF(B54="","",_xll.TimTinhChatDat(B54,$I$11:$J$25))</f>
        <v>Đất rời</v>
      </c>
      <c r="E54" s="95">
        <f>IF(B54="","",_xll.NoiSuySPT(B54,$R$19:$S$108,$D$17,$D$13,0,0))</f>
        <v>12.9</v>
      </c>
      <c r="F54" s="125">
        <f>IF(B54="","",_xll.qbEQ_SPT2025($D$10,$D$13,$D$14,B54,$D$17,$I$11:$J$25,$R$19:$S$108,$D$19,$I$11:$O$25,$D$12,"ganmaqb",$D$20))</f>
        <v>0.39276</v>
      </c>
      <c r="G54" s="95">
        <f>IF(B54="","",IF(D54="Đất dính","-",_xll.qbEQ_SPT2025($D$10,$D$13,$D$14,B54,$D$17,$I$11:$J$25,$R$19:$S$108,$D$19,$I$11:$O$25,$D$12,"",$D$20)))</f>
        <v>607.99248</v>
      </c>
      <c r="H54" s="95" t="str">
        <f>IF(B54="","",IF(D54="Đất dính",_xll.qbEQ_SPT2025($D$10,$D$13,$D$14,B54,$D$17,$I$11:$J$25,$R$19:$S$108,$D$19,$I$11:$O$25,$D$12,"",$D$20),"-"))</f>
        <v>-</v>
      </c>
      <c r="I54" s="95">
        <f t="shared" si="2"/>
        <v>477.51617715146</v>
      </c>
      <c r="J54" s="96">
        <f>_xll.flu_SPT2025($D$10,$D$13,$D$14,$D$23,$D$16,$D$17,$I$11:$J$25,$R$19:$S$108,FALSE,FALSE,"Li",A54,$D$18)</f>
        <v>1</v>
      </c>
      <c r="K54" s="150">
        <f>IF(B54="","",_xll.fluEQ_SPT2025($D$10,$D$13,$D$14,$D$23,$D$16,$D$17,$I$11:$J$25,$R$19:$S$108,FALSE,FALSE,"ganmafl",A54,$D$18,$D$19,$I$11:$O$25,$D$12,$J$29,$D$20))</f>
        <v>0.48552000000000001</v>
      </c>
      <c r="L54" s="95">
        <f>IF(D54="Đất dính","-",_xll.fluEQ_SPT2025($D$10,$D$13,$D$14,$D$23,$D$16,$D$17,$I$11:$J$25,$R$19:$S$108,FALSE,FALSE,"f",A54,$D$18,$D$19,$I$11:$O$25,$D$12,$J$29,$D$20))</f>
        <v>20.668586399999999</v>
      </c>
      <c r="M54" s="95" t="str">
        <f>IF(B54="","",IF(D54="Đất dính",_xll.fluEQ_SPT2025($D$10,$D$13,$D$14,$D$23,$D$16,$D$17,$I$11:$J$25,$R$19:$S$108,FALSE,FALSE,"f",A54,$D$18,$D$19,$I$11:$O$25,$D$12,$J$29,$D$20),"-"))</f>
        <v>-</v>
      </c>
      <c r="N54" s="95">
        <f>_xll.fluEQ_SPT2025($D$10,$D$13,$D$14,$D$23,$D$16,$D$17,$I$11:$J$25,$R$19:$S$108,FALSE,FALSE,"flu",A54,$D$18,$D$19,$I$11:$O$25,$D$12,$J$29,$D$20)</f>
        <v>625.25375052218806</v>
      </c>
      <c r="O54" s="87">
        <f t="shared" si="3"/>
        <v>1102.76992767365</v>
      </c>
      <c r="P54" s="65"/>
      <c r="R54" s="138"/>
      <c r="S54" s="138"/>
      <c r="Z54" s="138"/>
      <c r="AA54" s="138"/>
      <c r="AB54" s="128"/>
      <c r="AC54" s="128"/>
      <c r="AD54" s="128"/>
      <c r="AE54" s="128"/>
      <c r="AF54" s="128"/>
      <c r="AJ54" s="138"/>
      <c r="AK54" s="138"/>
      <c r="AL54" s="128"/>
      <c r="AM54" s="128"/>
      <c r="AN54" s="128"/>
      <c r="AO54" s="128"/>
      <c r="AP54" s="128"/>
      <c r="AT54" s="138"/>
      <c r="AU54" s="138"/>
      <c r="AV54" s="128"/>
      <c r="AW54" s="128"/>
      <c r="AX54" s="128"/>
      <c r="AY54" s="128"/>
      <c r="AZ54" s="128"/>
      <c r="BD54" s="138"/>
      <c r="BE54" s="138"/>
      <c r="BF54" s="128"/>
      <c r="BG54" s="128"/>
      <c r="BH54" s="128"/>
      <c r="BI54" s="128"/>
      <c r="BJ54" s="128"/>
      <c r="BN54" s="138"/>
      <c r="BO54" s="138"/>
      <c r="BP54" s="128"/>
      <c r="BQ54" s="128"/>
      <c r="BR54" s="128"/>
      <c r="BS54" s="128"/>
      <c r="BT54" s="128"/>
      <c r="BX54" s="138"/>
      <c r="BY54" s="138"/>
      <c r="BZ54" s="128"/>
      <c r="CA54" s="128"/>
      <c r="CB54" s="128"/>
      <c r="CC54" s="128"/>
      <c r="CD54" s="128"/>
      <c r="CH54" s="138"/>
      <c r="CI54" s="138"/>
      <c r="CJ54" s="128"/>
      <c r="CK54" s="128"/>
      <c r="CL54" s="128"/>
      <c r="CM54" s="128"/>
      <c r="CN54" s="128"/>
      <c r="CR54" s="138"/>
      <c r="CS54" s="138"/>
      <c r="CT54" s="128"/>
      <c r="CU54" s="128"/>
      <c r="CV54" s="128"/>
      <c r="CW54" s="128"/>
      <c r="CX54" s="128"/>
      <c r="DB54" s="138"/>
      <c r="DC54" s="138"/>
      <c r="DD54" s="128"/>
      <c r="DE54" s="128"/>
      <c r="DF54" s="128"/>
      <c r="DG54" s="128"/>
      <c r="DH54" s="128"/>
      <c r="DL54" s="138"/>
      <c r="DM54" s="138"/>
      <c r="DN54" s="128"/>
      <c r="DO54" s="128"/>
      <c r="DP54" s="128"/>
      <c r="DQ54" s="128"/>
      <c r="DR54" s="128"/>
      <c r="DV54" s="138"/>
      <c r="DW54" s="138"/>
      <c r="DX54" s="128"/>
      <c r="DY54" s="128"/>
      <c r="DZ54" s="128"/>
      <c r="EA54" s="128"/>
      <c r="EB54" s="128"/>
      <c r="EF54" s="138"/>
      <c r="EG54" s="138"/>
      <c r="EH54" s="128"/>
      <c r="EI54" s="128"/>
      <c r="EJ54" s="128"/>
      <c r="EK54" s="128"/>
      <c r="EL54" s="128"/>
      <c r="EP54" s="138"/>
      <c r="EQ54" s="138"/>
      <c r="ER54" s="128"/>
      <c r="ES54" s="128"/>
      <c r="ET54" s="128"/>
      <c r="EU54" s="128"/>
      <c r="EV54" s="128"/>
      <c r="EZ54" s="138"/>
      <c r="FA54" s="138"/>
      <c r="FB54" s="128"/>
      <c r="FC54" s="128"/>
      <c r="FD54" s="128"/>
      <c r="FE54" s="128"/>
      <c r="FF54" s="128"/>
      <c r="FJ54" s="138"/>
      <c r="FK54" s="138"/>
      <c r="FL54" s="128"/>
      <c r="FM54" s="128"/>
      <c r="FN54" s="128"/>
      <c r="FO54" s="128"/>
      <c r="FP54" s="128"/>
      <c r="FT54" s="138"/>
      <c r="FU54" s="138"/>
      <c r="FV54" s="128"/>
      <c r="FW54" s="128"/>
      <c r="FX54" s="128"/>
      <c r="FY54" s="128"/>
      <c r="FZ54" s="128"/>
      <c r="GD54" s="138"/>
      <c r="GE54" s="138"/>
      <c r="GF54" s="128"/>
      <c r="GG54" s="128"/>
      <c r="GH54" s="128"/>
      <c r="GI54" s="128"/>
      <c r="GJ54" s="128"/>
      <c r="GN54" s="138"/>
      <c r="GO54" s="138"/>
      <c r="GP54" s="128"/>
      <c r="GQ54" s="128"/>
      <c r="GR54" s="128"/>
      <c r="GS54" s="128"/>
      <c r="GT54" s="128"/>
      <c r="GX54" s="138"/>
      <c r="GY54" s="138"/>
      <c r="GZ54" s="128"/>
      <c r="HA54" s="128"/>
      <c r="HB54" s="128"/>
      <c r="HC54" s="128"/>
      <c r="HD54" s="128"/>
      <c r="HH54" s="138"/>
      <c r="HI54" s="138"/>
      <c r="HJ54" s="128"/>
      <c r="HK54" s="128"/>
      <c r="HL54" s="128"/>
      <c r="HM54" s="128"/>
      <c r="HN54" s="128"/>
      <c r="HR54" s="138"/>
      <c r="HS54" s="138"/>
      <c r="HT54" s="128"/>
      <c r="HU54" s="128"/>
      <c r="HV54" s="128"/>
      <c r="HW54" s="128"/>
      <c r="HX54" s="128"/>
      <c r="IB54" s="138"/>
      <c r="IC54" s="138"/>
      <c r="ID54" s="128"/>
      <c r="IE54" s="128"/>
      <c r="IF54" s="128"/>
      <c r="IG54" s="128"/>
      <c r="IH54" s="128"/>
      <c r="IL54" s="138"/>
      <c r="IM54" s="138"/>
      <c r="IN54" s="128"/>
      <c r="IO54" s="128"/>
      <c r="IP54" s="128"/>
      <c r="IQ54" s="128"/>
      <c r="IR54" s="128"/>
      <c r="IV54" s="138"/>
      <c r="IW54" s="138"/>
      <c r="IX54" s="128"/>
      <c r="IY54" s="128"/>
      <c r="IZ54" s="128"/>
      <c r="JA54" s="128"/>
      <c r="JB54" s="128"/>
      <c r="JF54" s="138"/>
      <c r="JG54" s="138"/>
      <c r="JH54" s="128"/>
      <c r="JI54" s="128"/>
      <c r="JJ54" s="128"/>
      <c r="JK54" s="128"/>
      <c r="JL54" s="128"/>
      <c r="JP54" s="138"/>
      <c r="JQ54" s="138"/>
      <c r="JR54" s="128"/>
      <c r="JS54" s="128"/>
      <c r="JT54" s="128"/>
      <c r="JU54" s="128"/>
      <c r="JV54" s="128"/>
      <c r="JZ54" s="138"/>
      <c r="KA54" s="138"/>
      <c r="KB54" s="128"/>
      <c r="KC54" s="128"/>
      <c r="KD54" s="128"/>
      <c r="KE54" s="128"/>
      <c r="KF54" s="128"/>
      <c r="KJ54" s="138"/>
      <c r="KK54" s="138"/>
    </row>
    <row r="55" spans="1:297">
      <c r="A55" s="87">
        <f t="shared" si="1"/>
        <v>18</v>
      </c>
      <c r="B55" s="83">
        <f>_xll.flu_SPT2025($D$10,$D$13,$D$14,$D$23,$D$16,$D$17,$I$11:$J$25,$R$19:$S$108,FALSE,FALSE,"Cao độ",A55,$D$18)</f>
        <v>15</v>
      </c>
      <c r="C55" s="87" t="str">
        <f>IF(B55="","",_xll.TimTenLoaiDat(B55,$G$11:$I$25))</f>
        <v>Lớp 5</v>
      </c>
      <c r="D55" s="87" t="str">
        <f>IF(B55="","",_xll.TimTinhChatDat(B55,$I$11:$J$25))</f>
        <v>Đất rời</v>
      </c>
      <c r="E55" s="95">
        <f>IF(B55="","",_xll.NoiSuySPT(B55,$R$19:$S$108,$D$17,$D$13,0,0))</f>
        <v>13</v>
      </c>
      <c r="F55" s="125">
        <f>IF(B55="","",_xll.qbEQ_SPT2025($D$10,$D$13,$D$14,B55,$D$17,$I$11:$J$25,$R$19:$S$108,$D$19,$I$11:$O$25,$D$12,"ganmaqb",$D$20))</f>
        <v>0.39276</v>
      </c>
      <c r="G55" s="95">
        <f>IF(B55="","",IF(D55="Đất dính","-",_xll.qbEQ_SPT2025($D$10,$D$13,$D$14,B55,$D$17,$I$11:$J$25,$R$19:$S$108,$D$19,$I$11:$O$25,$D$12,"",$D$20)))</f>
        <v>612.7056</v>
      </c>
      <c r="H55" s="95" t="str">
        <f>IF(B55="","",IF(D55="Đất dính",_xll.qbEQ_SPT2025($D$10,$D$13,$D$14,B55,$D$17,$I$11:$J$25,$R$19:$S$108,$D$19,$I$11:$O$25,$D$12,"",$D$20),"-"))</f>
        <v>-</v>
      </c>
      <c r="I55" s="95">
        <f t="shared" si="2"/>
        <v>481.21785294333199</v>
      </c>
      <c r="J55" s="96">
        <f>_xll.flu_SPT2025($D$10,$D$13,$D$14,$D$23,$D$16,$D$17,$I$11:$J$25,$R$19:$S$108,FALSE,FALSE,"Li",A55,$D$18)</f>
        <v>1</v>
      </c>
      <c r="K55" s="150">
        <f>IF(B55="","",_xll.fluEQ_SPT2025($D$10,$D$13,$D$14,$D$23,$D$16,$D$17,$I$11:$J$25,$R$19:$S$108,FALSE,FALSE,"ganmafl",A55,$D$18,$D$19,$I$11:$O$25,$D$12,$J$29,$D$20))</f>
        <v>0.48552000000000001</v>
      </c>
      <c r="L55" s="95">
        <f>IF(D55="Đất dính","-",_xll.fluEQ_SPT2025($D$10,$D$13,$D$14,$D$23,$D$16,$D$17,$I$11:$J$25,$R$19:$S$108,FALSE,FALSE,"f",A55,$D$18,$D$19,$I$11:$O$25,$D$12,$J$29,$D$20))</f>
        <v>20.828807999999999</v>
      </c>
      <c r="M55" s="95" t="str">
        <f>IF(B55="","",IF(D55="Đất dính",_xll.fluEQ_SPT2025($D$10,$D$13,$D$14,$D$23,$D$16,$D$17,$I$11:$J$25,$R$19:$S$108,FALSE,FALSE,"f",A55,$D$18,$D$19,$I$11:$O$25,$D$12,$J$29,$D$20),"-"))</f>
        <v>-</v>
      </c>
      <c r="N55" s="95">
        <f>_xll.fluEQ_SPT2025($D$10,$D$13,$D$14,$D$23,$D$16,$D$17,$I$11:$J$25,$R$19:$S$108,FALSE,FALSE,"flu",A55,$D$18,$D$19,$I$11:$O$25,$D$12,$J$29,$D$20)</f>
        <v>690.68938071801995</v>
      </c>
      <c r="O55" s="87">
        <f t="shared" si="3"/>
        <v>1171.9072336613499</v>
      </c>
      <c r="P55" s="65"/>
      <c r="R55" s="138"/>
      <c r="S55" s="138"/>
      <c r="Z55" s="138"/>
      <c r="AA55" s="138"/>
      <c r="AB55" s="128"/>
      <c r="AC55" s="128"/>
      <c r="AD55" s="128"/>
      <c r="AE55" s="128"/>
      <c r="AF55" s="128"/>
      <c r="AJ55" s="138"/>
      <c r="AK55" s="138"/>
      <c r="AL55" s="128"/>
      <c r="AM55" s="128"/>
      <c r="AN55" s="128"/>
      <c r="AO55" s="128"/>
      <c r="AP55" s="128"/>
      <c r="AT55" s="138"/>
      <c r="AU55" s="138"/>
      <c r="AV55" s="128"/>
      <c r="AW55" s="128"/>
      <c r="AX55" s="128"/>
      <c r="AY55" s="128"/>
      <c r="AZ55" s="128"/>
      <c r="BD55" s="138"/>
      <c r="BE55" s="138"/>
      <c r="BF55" s="128"/>
      <c r="BG55" s="128"/>
      <c r="BH55" s="128"/>
      <c r="BI55" s="128"/>
      <c r="BJ55" s="128"/>
      <c r="BN55" s="138"/>
      <c r="BO55" s="138"/>
      <c r="BP55" s="128"/>
      <c r="BQ55" s="128"/>
      <c r="BR55" s="128"/>
      <c r="BS55" s="128"/>
      <c r="BT55" s="128"/>
      <c r="BX55" s="138"/>
      <c r="BY55" s="138"/>
      <c r="BZ55" s="128"/>
      <c r="CA55" s="128"/>
      <c r="CB55" s="128"/>
      <c r="CC55" s="128"/>
      <c r="CD55" s="128"/>
      <c r="CH55" s="138"/>
      <c r="CI55" s="138"/>
      <c r="CJ55" s="128"/>
      <c r="CK55" s="128"/>
      <c r="CL55" s="128"/>
      <c r="CM55" s="128"/>
      <c r="CN55" s="128"/>
      <c r="CR55" s="138"/>
      <c r="CS55" s="138"/>
      <c r="CT55" s="128"/>
      <c r="CU55" s="128"/>
      <c r="CV55" s="128"/>
      <c r="CW55" s="128"/>
      <c r="CX55" s="128"/>
      <c r="DB55" s="138"/>
      <c r="DC55" s="138"/>
      <c r="DD55" s="128"/>
      <c r="DE55" s="128"/>
      <c r="DF55" s="128"/>
      <c r="DG55" s="128"/>
      <c r="DH55" s="128"/>
      <c r="DL55" s="138"/>
      <c r="DM55" s="138"/>
      <c r="DN55" s="128"/>
      <c r="DO55" s="128"/>
      <c r="DP55" s="128"/>
      <c r="DQ55" s="128"/>
      <c r="DR55" s="128"/>
      <c r="DV55" s="138"/>
      <c r="DW55" s="138"/>
      <c r="DX55" s="128"/>
      <c r="DY55" s="128"/>
      <c r="DZ55" s="128"/>
      <c r="EA55" s="128"/>
      <c r="EB55" s="128"/>
      <c r="EF55" s="138"/>
      <c r="EG55" s="138"/>
      <c r="EH55" s="128"/>
      <c r="EI55" s="128"/>
      <c r="EJ55" s="128"/>
      <c r="EK55" s="128"/>
      <c r="EL55" s="128"/>
      <c r="EP55" s="138"/>
      <c r="EQ55" s="138"/>
      <c r="ER55" s="128"/>
      <c r="ES55" s="128"/>
      <c r="ET55" s="128"/>
      <c r="EU55" s="128"/>
      <c r="EV55" s="128"/>
      <c r="EZ55" s="138"/>
      <c r="FA55" s="138"/>
      <c r="FB55" s="128"/>
      <c r="FC55" s="128"/>
      <c r="FD55" s="128"/>
      <c r="FE55" s="128"/>
      <c r="FF55" s="128"/>
      <c r="FJ55" s="138"/>
      <c r="FK55" s="138"/>
      <c r="FL55" s="128"/>
      <c r="FM55" s="128"/>
      <c r="FN55" s="128"/>
      <c r="FO55" s="128"/>
      <c r="FP55" s="128"/>
      <c r="FT55" s="138"/>
      <c r="FU55" s="138"/>
      <c r="FV55" s="128"/>
      <c r="FW55" s="128"/>
      <c r="FX55" s="128"/>
      <c r="FY55" s="128"/>
      <c r="FZ55" s="128"/>
      <c r="GD55" s="138"/>
      <c r="GE55" s="138"/>
      <c r="GF55" s="128"/>
      <c r="GG55" s="128"/>
      <c r="GH55" s="128"/>
      <c r="GI55" s="128"/>
      <c r="GJ55" s="128"/>
      <c r="GN55" s="138"/>
      <c r="GO55" s="138"/>
      <c r="GP55" s="128"/>
      <c r="GQ55" s="128"/>
      <c r="GR55" s="128"/>
      <c r="GS55" s="128"/>
      <c r="GT55" s="128"/>
      <c r="GX55" s="138"/>
      <c r="GY55" s="138"/>
      <c r="GZ55" s="128"/>
      <c r="HA55" s="128"/>
      <c r="HB55" s="128"/>
      <c r="HC55" s="128"/>
      <c r="HD55" s="128"/>
      <c r="HH55" s="138"/>
      <c r="HI55" s="138"/>
      <c r="HJ55" s="128"/>
      <c r="HK55" s="128"/>
      <c r="HL55" s="128"/>
      <c r="HM55" s="128"/>
      <c r="HN55" s="128"/>
      <c r="HR55" s="138"/>
      <c r="HS55" s="138"/>
      <c r="HT55" s="128"/>
      <c r="HU55" s="128"/>
      <c r="HV55" s="128"/>
      <c r="HW55" s="128"/>
      <c r="HX55" s="128"/>
      <c r="IB55" s="138"/>
      <c r="IC55" s="138"/>
      <c r="ID55" s="128"/>
      <c r="IE55" s="128"/>
      <c r="IF55" s="128"/>
      <c r="IG55" s="128"/>
      <c r="IH55" s="128"/>
      <c r="IL55" s="138"/>
      <c r="IM55" s="138"/>
      <c r="IN55" s="128"/>
      <c r="IO55" s="128"/>
      <c r="IP55" s="128"/>
      <c r="IQ55" s="128"/>
      <c r="IR55" s="128"/>
      <c r="IV55" s="138"/>
      <c r="IW55" s="138"/>
      <c r="IX55" s="128"/>
      <c r="IY55" s="128"/>
      <c r="IZ55" s="128"/>
      <c r="JA55" s="128"/>
      <c r="JB55" s="128"/>
      <c r="JF55" s="138"/>
      <c r="JG55" s="138"/>
      <c r="JH55" s="128"/>
      <c r="JI55" s="128"/>
      <c r="JJ55" s="128"/>
      <c r="JK55" s="128"/>
      <c r="JL55" s="128"/>
      <c r="JP55" s="138"/>
      <c r="JQ55" s="138"/>
      <c r="JR55" s="128"/>
      <c r="JS55" s="128"/>
      <c r="JT55" s="128"/>
      <c r="JU55" s="128"/>
      <c r="JV55" s="128"/>
      <c r="JZ55" s="138"/>
      <c r="KA55" s="138"/>
      <c r="KB55" s="128"/>
      <c r="KC55" s="128"/>
      <c r="KD55" s="128"/>
      <c r="KE55" s="128"/>
      <c r="KF55" s="128"/>
      <c r="KJ55" s="138"/>
      <c r="KK55" s="138"/>
    </row>
    <row r="56" spans="1:297">
      <c r="A56" s="87">
        <f t="shared" si="1"/>
        <v>19</v>
      </c>
      <c r="B56" s="83">
        <f>_xll.flu_SPT2025($D$10,$D$13,$D$14,$D$23,$D$16,$D$17,$I$11:$J$25,$R$19:$S$108,FALSE,FALSE,"Cao độ",A56,$D$18)</f>
        <v>16</v>
      </c>
      <c r="C56" s="87" t="str">
        <f>IF(B56="","",_xll.TimTenLoaiDat(B56,$G$11:$I$25))</f>
        <v>Lớp 5</v>
      </c>
      <c r="D56" s="87" t="str">
        <f>IF(B56="","",_xll.TimTinhChatDat(B56,$I$11:$J$25))</f>
        <v>Đất rời</v>
      </c>
      <c r="E56" s="95">
        <f>IF(B56="","",_xll.NoiSuySPT(B56,$R$19:$S$108,$D$17,$D$13,0,0))</f>
        <v>13</v>
      </c>
      <c r="F56" s="125">
        <f>IF(B56="","",_xll.qbEQ_SPT2025($D$10,$D$13,$D$14,B56,$D$17,$I$11:$J$25,$R$19:$S$108,$D$19,$I$11:$O$25,$D$12,"ganmaqb",$D$20))</f>
        <v>0.39276</v>
      </c>
      <c r="G56" s="95">
        <f>IF(B56="","",IF(D56="Đất dính","-",_xll.qbEQ_SPT2025($D$10,$D$13,$D$14,B56,$D$17,$I$11:$J$25,$R$19:$S$108,$D$19,$I$11:$O$25,$D$12,"",$D$20)))</f>
        <v>612.7056</v>
      </c>
      <c r="H56" s="95" t="str">
        <f>IF(B56="","",IF(D56="Đất dính",_xll.qbEQ_SPT2025($D$10,$D$13,$D$14,B56,$D$17,$I$11:$J$25,$R$19:$S$108,$D$19,$I$11:$O$25,$D$12,"",$D$20),"-"))</f>
        <v>-</v>
      </c>
      <c r="I56" s="95">
        <f t="shared" si="2"/>
        <v>481.21785294333199</v>
      </c>
      <c r="J56" s="96">
        <f>_xll.flu_SPT2025($D$10,$D$13,$D$14,$D$23,$D$16,$D$17,$I$11:$J$25,$R$19:$S$108,FALSE,FALSE,"Li",A56,$D$18)</f>
        <v>1</v>
      </c>
      <c r="K56" s="150">
        <f>IF(B56="","",_xll.fluEQ_SPT2025($D$10,$D$13,$D$14,$D$23,$D$16,$D$17,$I$11:$J$25,$R$19:$S$108,FALSE,FALSE,"ganmafl",A56,$D$18,$D$19,$I$11:$O$25,$D$12,$J$29,$D$20))</f>
        <v>0.48552000000000001</v>
      </c>
      <c r="L56" s="95">
        <f>IF(D56="Đất dính","-",_xll.fluEQ_SPT2025($D$10,$D$13,$D$14,$D$23,$D$16,$D$17,$I$11:$J$25,$R$19:$S$108,FALSE,FALSE,"f",A56,$D$18,$D$19,$I$11:$O$25,$D$12,$J$29,$D$20))</f>
        <v>20.828807999999999</v>
      </c>
      <c r="M56" s="95" t="str">
        <f>IF(B56="","",IF(D56="Đất dính",_xll.fluEQ_SPT2025($D$10,$D$13,$D$14,$D$23,$D$16,$D$17,$I$11:$J$25,$R$19:$S$108,FALSE,FALSE,"f",A56,$D$18,$D$19,$I$11:$O$25,$D$12,$J$29,$D$20),"-"))</f>
        <v>-</v>
      </c>
      <c r="N56" s="95">
        <f>_xll.fluEQ_SPT2025($D$10,$D$13,$D$14,$D$23,$D$16,$D$17,$I$11:$J$25,$R$19:$S$108,FALSE,FALSE,"flu",A56,$D$18,$D$19,$I$11:$O$25,$D$12,$J$29,$D$20)</f>
        <v>756.12501091385298</v>
      </c>
      <c r="O56" s="87">
        <f t="shared" si="3"/>
        <v>1237.34286385718</v>
      </c>
      <c r="P56" s="65"/>
      <c r="R56" s="138"/>
      <c r="S56" s="138"/>
      <c r="Z56" s="138"/>
      <c r="AA56" s="138"/>
      <c r="AB56" s="128"/>
      <c r="AC56" s="128"/>
      <c r="AD56" s="128"/>
      <c r="AE56" s="128"/>
      <c r="AF56" s="128"/>
      <c r="AJ56" s="138"/>
      <c r="AK56" s="138"/>
      <c r="AL56" s="128"/>
      <c r="AM56" s="128"/>
      <c r="AN56" s="128"/>
      <c r="AO56" s="128"/>
      <c r="AP56" s="128"/>
      <c r="AT56" s="138"/>
      <c r="AU56" s="138"/>
      <c r="AV56" s="128"/>
      <c r="AW56" s="128"/>
      <c r="AX56" s="128"/>
      <c r="AY56" s="128"/>
      <c r="AZ56" s="128"/>
      <c r="BD56" s="138"/>
      <c r="BE56" s="138"/>
      <c r="BF56" s="128"/>
      <c r="BG56" s="128"/>
      <c r="BH56" s="128"/>
      <c r="BI56" s="128"/>
      <c r="BJ56" s="128"/>
      <c r="BN56" s="138"/>
      <c r="BO56" s="138"/>
      <c r="BP56" s="128"/>
      <c r="BQ56" s="128"/>
      <c r="BR56" s="128"/>
      <c r="BS56" s="128"/>
      <c r="BT56" s="128"/>
      <c r="BX56" s="138"/>
      <c r="BY56" s="138"/>
      <c r="BZ56" s="128"/>
      <c r="CA56" s="128"/>
      <c r="CB56" s="128"/>
      <c r="CC56" s="128"/>
      <c r="CD56" s="128"/>
      <c r="CH56" s="138"/>
      <c r="CI56" s="138"/>
      <c r="CJ56" s="128"/>
      <c r="CK56" s="128"/>
      <c r="CL56" s="128"/>
      <c r="CM56" s="128"/>
      <c r="CN56" s="128"/>
      <c r="CR56" s="138"/>
      <c r="CS56" s="138"/>
      <c r="CT56" s="128"/>
      <c r="CU56" s="128"/>
      <c r="CV56" s="128"/>
      <c r="CW56" s="128"/>
      <c r="CX56" s="128"/>
      <c r="DB56" s="138"/>
      <c r="DC56" s="138"/>
      <c r="DD56" s="128"/>
      <c r="DE56" s="128"/>
      <c r="DF56" s="128"/>
      <c r="DG56" s="128"/>
      <c r="DH56" s="128"/>
      <c r="DL56" s="138"/>
      <c r="DM56" s="138"/>
      <c r="DN56" s="128"/>
      <c r="DO56" s="128"/>
      <c r="DP56" s="128"/>
      <c r="DQ56" s="128"/>
      <c r="DR56" s="128"/>
      <c r="DV56" s="138"/>
      <c r="DW56" s="138"/>
      <c r="DX56" s="128"/>
      <c r="DY56" s="128"/>
      <c r="DZ56" s="128"/>
      <c r="EA56" s="128"/>
      <c r="EB56" s="128"/>
      <c r="EF56" s="138"/>
      <c r="EG56" s="138"/>
      <c r="EH56" s="128"/>
      <c r="EI56" s="128"/>
      <c r="EJ56" s="128"/>
      <c r="EK56" s="128"/>
      <c r="EL56" s="128"/>
      <c r="EP56" s="138"/>
      <c r="EQ56" s="138"/>
      <c r="ER56" s="128"/>
      <c r="ES56" s="128"/>
      <c r="ET56" s="128"/>
      <c r="EU56" s="128"/>
      <c r="EV56" s="128"/>
      <c r="EZ56" s="138"/>
      <c r="FA56" s="138"/>
      <c r="FB56" s="128"/>
      <c r="FC56" s="128"/>
      <c r="FD56" s="128"/>
      <c r="FE56" s="128"/>
      <c r="FF56" s="128"/>
      <c r="FJ56" s="138"/>
      <c r="FK56" s="138"/>
      <c r="FL56" s="128"/>
      <c r="FM56" s="128"/>
      <c r="FN56" s="128"/>
      <c r="FO56" s="128"/>
      <c r="FP56" s="128"/>
      <c r="FT56" s="138"/>
      <c r="FU56" s="138"/>
      <c r="FV56" s="128"/>
      <c r="FW56" s="128"/>
      <c r="FX56" s="128"/>
      <c r="FY56" s="128"/>
      <c r="FZ56" s="128"/>
      <c r="GD56" s="138"/>
      <c r="GE56" s="138"/>
      <c r="GF56" s="128"/>
      <c r="GG56" s="128"/>
      <c r="GH56" s="128"/>
      <c r="GI56" s="128"/>
      <c r="GJ56" s="128"/>
      <c r="GN56" s="138"/>
      <c r="GO56" s="138"/>
      <c r="GP56" s="128"/>
      <c r="GQ56" s="128"/>
      <c r="GR56" s="128"/>
      <c r="GS56" s="128"/>
      <c r="GT56" s="128"/>
      <c r="GX56" s="138"/>
      <c r="GY56" s="138"/>
      <c r="GZ56" s="128"/>
      <c r="HA56" s="128"/>
      <c r="HB56" s="128"/>
      <c r="HC56" s="128"/>
      <c r="HD56" s="128"/>
      <c r="HH56" s="138"/>
      <c r="HI56" s="138"/>
      <c r="HJ56" s="128"/>
      <c r="HK56" s="128"/>
      <c r="HL56" s="128"/>
      <c r="HM56" s="128"/>
      <c r="HN56" s="128"/>
      <c r="HR56" s="138"/>
      <c r="HS56" s="138"/>
      <c r="HT56" s="128"/>
      <c r="HU56" s="128"/>
      <c r="HV56" s="128"/>
      <c r="HW56" s="128"/>
      <c r="HX56" s="128"/>
      <c r="IB56" s="138"/>
      <c r="IC56" s="138"/>
      <c r="ID56" s="128"/>
      <c r="IE56" s="128"/>
      <c r="IF56" s="128"/>
      <c r="IG56" s="128"/>
      <c r="IH56" s="128"/>
      <c r="IL56" s="138"/>
      <c r="IM56" s="138"/>
      <c r="IN56" s="128"/>
      <c r="IO56" s="128"/>
      <c r="IP56" s="128"/>
      <c r="IQ56" s="128"/>
      <c r="IR56" s="128"/>
      <c r="IV56" s="138"/>
      <c r="IW56" s="138"/>
      <c r="IX56" s="128"/>
      <c r="IY56" s="128"/>
      <c r="IZ56" s="128"/>
      <c r="JA56" s="128"/>
      <c r="JB56" s="128"/>
      <c r="JF56" s="138"/>
      <c r="JG56" s="138"/>
      <c r="JH56" s="128"/>
      <c r="JI56" s="128"/>
      <c r="JJ56" s="128"/>
      <c r="JK56" s="128"/>
      <c r="JL56" s="128"/>
      <c r="JP56" s="138"/>
      <c r="JQ56" s="138"/>
      <c r="JR56" s="128"/>
      <c r="JS56" s="128"/>
      <c r="JT56" s="128"/>
      <c r="JU56" s="128"/>
      <c r="JV56" s="128"/>
      <c r="JZ56" s="138"/>
      <c r="KA56" s="138"/>
      <c r="KB56" s="128"/>
      <c r="KC56" s="128"/>
      <c r="KD56" s="128"/>
      <c r="KE56" s="128"/>
      <c r="KF56" s="128"/>
      <c r="KJ56" s="138"/>
      <c r="KK56" s="138"/>
    </row>
    <row r="57" spans="1:297">
      <c r="A57" s="87">
        <f t="shared" si="1"/>
        <v>20</v>
      </c>
      <c r="B57" s="83">
        <f>_xll.flu_SPT2025($D$10,$D$13,$D$14,$D$23,$D$16,$D$17,$I$11:$J$25,$R$19:$S$108,FALSE,FALSE,"Cao độ",A57,$D$18)</f>
        <v>17</v>
      </c>
      <c r="C57" s="87" t="str">
        <f>IF(B57="","",_xll.TimTenLoaiDat(B57,$G$11:$I$25))</f>
        <v>Lớp 5</v>
      </c>
      <c r="D57" s="87" t="str">
        <f>IF(B57="","",_xll.TimTinhChatDat(B57,$I$11:$J$25))</f>
        <v>Đất rời</v>
      </c>
      <c r="E57" s="95">
        <f>IF(B57="","",_xll.NoiSuySPT(B57,$R$19:$S$108,$D$17,$D$13,0,0))</f>
        <v>13</v>
      </c>
      <c r="F57" s="125">
        <f>IF(B57="","",_xll.qbEQ_SPT2025($D$10,$D$13,$D$14,B57,$D$17,$I$11:$J$25,$R$19:$S$108,$D$19,$I$11:$O$25,$D$12,"ganmaqb",$D$20))</f>
        <v>0.39276</v>
      </c>
      <c r="G57" s="95">
        <f>IF(B57="","",IF(D57="Đất dính","-",_xll.qbEQ_SPT2025($D$10,$D$13,$D$14,B57,$D$17,$I$11:$J$25,$R$19:$S$108,$D$19,$I$11:$O$25,$D$12,"",$D$20)))</f>
        <v>612.7056</v>
      </c>
      <c r="H57" s="95" t="str">
        <f>IF(B57="","",IF(D57="Đất dính",_xll.qbEQ_SPT2025($D$10,$D$13,$D$14,B57,$D$17,$I$11:$J$25,$R$19:$S$108,$D$19,$I$11:$O$25,$D$12,"",$D$20),"-"))</f>
        <v>-</v>
      </c>
      <c r="I57" s="95">
        <f t="shared" si="2"/>
        <v>481.21785294333199</v>
      </c>
      <c r="J57" s="96">
        <f>_xll.flu_SPT2025($D$10,$D$13,$D$14,$D$23,$D$16,$D$17,$I$11:$J$25,$R$19:$S$108,FALSE,FALSE,"Li",A57,$D$18)</f>
        <v>1</v>
      </c>
      <c r="K57" s="150">
        <f>IF(B57="","",_xll.fluEQ_SPT2025($D$10,$D$13,$D$14,$D$23,$D$16,$D$17,$I$11:$J$25,$R$19:$S$108,FALSE,FALSE,"ganmafl",A57,$D$18,$D$19,$I$11:$O$25,$D$12,$J$29,$D$20))</f>
        <v>0.48552000000000001</v>
      </c>
      <c r="L57" s="95">
        <f>IF(D57="Đất dính","-",_xll.fluEQ_SPT2025($D$10,$D$13,$D$14,$D$23,$D$16,$D$17,$I$11:$J$25,$R$19:$S$108,FALSE,FALSE,"f",A57,$D$18,$D$19,$I$11:$O$25,$D$12,$J$29,$D$20))</f>
        <v>20.828807999999999</v>
      </c>
      <c r="M57" s="95" t="str">
        <f>IF(B57="","",IF(D57="Đất dính",_xll.fluEQ_SPT2025($D$10,$D$13,$D$14,$D$23,$D$16,$D$17,$I$11:$J$25,$R$19:$S$108,FALSE,FALSE,"f",A57,$D$18,$D$19,$I$11:$O$25,$D$12,$J$29,$D$20),"-"))</f>
        <v>-</v>
      </c>
      <c r="N57" s="95">
        <f>_xll.fluEQ_SPT2025($D$10,$D$13,$D$14,$D$23,$D$16,$D$17,$I$11:$J$25,$R$19:$S$108,FALSE,FALSE,"flu",A57,$D$18,$D$19,$I$11:$O$25,$D$12,$J$29,$D$20)</f>
        <v>821.56064110968498</v>
      </c>
      <c r="O57" s="87">
        <f t="shared" si="3"/>
        <v>1302.77849405302</v>
      </c>
      <c r="P57" s="65"/>
      <c r="R57" s="138"/>
      <c r="S57" s="138"/>
      <c r="Z57" s="138"/>
      <c r="AA57" s="138"/>
      <c r="AB57" s="128"/>
      <c r="AC57" s="128"/>
      <c r="AD57" s="128"/>
      <c r="AE57" s="128"/>
      <c r="AF57" s="128"/>
      <c r="AJ57" s="138"/>
      <c r="AK57" s="138"/>
      <c r="AL57" s="128"/>
      <c r="AM57" s="128"/>
      <c r="AN57" s="128"/>
      <c r="AO57" s="128"/>
      <c r="AP57" s="128"/>
      <c r="AT57" s="138"/>
      <c r="AU57" s="138"/>
      <c r="AV57" s="128"/>
      <c r="AW57" s="128"/>
      <c r="AX57" s="128"/>
      <c r="AY57" s="128"/>
      <c r="AZ57" s="128"/>
      <c r="BD57" s="138"/>
      <c r="BE57" s="138"/>
      <c r="BF57" s="128"/>
      <c r="BG57" s="128"/>
      <c r="BH57" s="128"/>
      <c r="BI57" s="128"/>
      <c r="BJ57" s="128"/>
      <c r="BN57" s="138"/>
      <c r="BO57" s="138"/>
      <c r="BP57" s="128"/>
      <c r="BQ57" s="128"/>
      <c r="BR57" s="128"/>
      <c r="BS57" s="128"/>
      <c r="BT57" s="128"/>
      <c r="BX57" s="138"/>
      <c r="BY57" s="138"/>
      <c r="BZ57" s="128"/>
      <c r="CA57" s="128"/>
      <c r="CB57" s="128"/>
      <c r="CC57" s="128"/>
      <c r="CD57" s="128"/>
      <c r="CH57" s="138"/>
      <c r="CI57" s="138"/>
      <c r="CJ57" s="128"/>
      <c r="CK57" s="128"/>
      <c r="CL57" s="128"/>
      <c r="CM57" s="128"/>
      <c r="CN57" s="128"/>
      <c r="CR57" s="138"/>
      <c r="CS57" s="138"/>
      <c r="CT57" s="128"/>
      <c r="CU57" s="128"/>
      <c r="CV57" s="128"/>
      <c r="CW57" s="128"/>
      <c r="CX57" s="128"/>
      <c r="DB57" s="138"/>
      <c r="DC57" s="138"/>
      <c r="DD57" s="128"/>
      <c r="DE57" s="128"/>
      <c r="DF57" s="128"/>
      <c r="DG57" s="128"/>
      <c r="DH57" s="128"/>
      <c r="DL57" s="138"/>
      <c r="DM57" s="138"/>
      <c r="DN57" s="128"/>
      <c r="DO57" s="128"/>
      <c r="DP57" s="128"/>
      <c r="DQ57" s="128"/>
      <c r="DR57" s="128"/>
      <c r="DV57" s="138"/>
      <c r="DW57" s="138"/>
      <c r="DX57" s="128"/>
      <c r="DY57" s="128"/>
      <c r="DZ57" s="128"/>
      <c r="EA57" s="128"/>
      <c r="EB57" s="128"/>
      <c r="EF57" s="138"/>
      <c r="EG57" s="138"/>
      <c r="EH57" s="128"/>
      <c r="EI57" s="128"/>
      <c r="EJ57" s="128"/>
      <c r="EK57" s="128"/>
      <c r="EL57" s="128"/>
      <c r="EP57" s="138"/>
      <c r="EQ57" s="138"/>
      <c r="ER57" s="128"/>
      <c r="ES57" s="128"/>
      <c r="ET57" s="128"/>
      <c r="EU57" s="128"/>
      <c r="EV57" s="128"/>
      <c r="EZ57" s="138"/>
      <c r="FA57" s="138"/>
      <c r="FB57" s="128"/>
      <c r="FC57" s="128"/>
      <c r="FD57" s="128"/>
      <c r="FE57" s="128"/>
      <c r="FF57" s="128"/>
      <c r="FJ57" s="138"/>
      <c r="FK57" s="138"/>
      <c r="FL57" s="128"/>
      <c r="FM57" s="128"/>
      <c r="FN57" s="128"/>
      <c r="FO57" s="128"/>
      <c r="FP57" s="128"/>
      <c r="FT57" s="138"/>
      <c r="FU57" s="138"/>
      <c r="FV57" s="128"/>
      <c r="FW57" s="128"/>
      <c r="FX57" s="128"/>
      <c r="FY57" s="128"/>
      <c r="FZ57" s="128"/>
      <c r="GD57" s="138"/>
      <c r="GE57" s="138"/>
      <c r="GF57" s="128"/>
      <c r="GG57" s="128"/>
      <c r="GH57" s="128"/>
      <c r="GI57" s="128"/>
      <c r="GJ57" s="128"/>
      <c r="GN57" s="138"/>
      <c r="GO57" s="138"/>
      <c r="GP57" s="128"/>
      <c r="GQ57" s="128"/>
      <c r="GR57" s="128"/>
      <c r="GS57" s="128"/>
      <c r="GT57" s="128"/>
      <c r="GX57" s="138"/>
      <c r="GY57" s="138"/>
      <c r="GZ57" s="128"/>
      <c r="HA57" s="128"/>
      <c r="HB57" s="128"/>
      <c r="HC57" s="128"/>
      <c r="HD57" s="128"/>
      <c r="HH57" s="138"/>
      <c r="HI57" s="138"/>
      <c r="HJ57" s="128"/>
      <c r="HK57" s="128"/>
      <c r="HL57" s="128"/>
      <c r="HM57" s="128"/>
      <c r="HN57" s="128"/>
      <c r="HR57" s="138"/>
      <c r="HS57" s="138"/>
      <c r="HT57" s="128"/>
      <c r="HU57" s="128"/>
      <c r="HV57" s="128"/>
      <c r="HW57" s="128"/>
      <c r="HX57" s="128"/>
      <c r="IB57" s="138"/>
      <c r="IC57" s="138"/>
      <c r="ID57" s="128"/>
      <c r="IE57" s="128"/>
      <c r="IF57" s="128"/>
      <c r="IG57" s="128"/>
      <c r="IH57" s="128"/>
      <c r="IL57" s="138"/>
      <c r="IM57" s="138"/>
      <c r="IN57" s="128"/>
      <c r="IO57" s="128"/>
      <c r="IP57" s="128"/>
      <c r="IQ57" s="128"/>
      <c r="IR57" s="128"/>
      <c r="IV57" s="138"/>
      <c r="IW57" s="138"/>
      <c r="IX57" s="128"/>
      <c r="IY57" s="128"/>
      <c r="IZ57" s="128"/>
      <c r="JA57" s="128"/>
      <c r="JB57" s="128"/>
      <c r="JF57" s="138"/>
      <c r="JG57" s="138"/>
      <c r="JH57" s="128"/>
      <c r="JI57" s="128"/>
      <c r="JJ57" s="128"/>
      <c r="JK57" s="128"/>
      <c r="JL57" s="128"/>
      <c r="JP57" s="138"/>
      <c r="JQ57" s="138"/>
      <c r="JR57" s="128"/>
      <c r="JS57" s="128"/>
      <c r="JT57" s="128"/>
      <c r="JU57" s="128"/>
      <c r="JV57" s="128"/>
      <c r="JZ57" s="138"/>
      <c r="KA57" s="138"/>
      <c r="KB57" s="128"/>
      <c r="KC57" s="128"/>
      <c r="KD57" s="128"/>
      <c r="KE57" s="128"/>
      <c r="KF57" s="128"/>
      <c r="KJ57" s="138"/>
      <c r="KK57" s="138"/>
    </row>
    <row r="58" spans="1:297">
      <c r="A58" s="87">
        <f t="shared" si="1"/>
        <v>21</v>
      </c>
      <c r="B58" s="83">
        <f>_xll.flu_SPT2025($D$10,$D$13,$D$14,$D$23,$D$16,$D$17,$I$11:$J$25,$R$19:$S$108,FALSE,FALSE,"Cao độ",A58,$D$18)</f>
        <v>18</v>
      </c>
      <c r="C58" s="87" t="str">
        <f>IF(B58="","",_xll.TimTenLoaiDat(B58,$G$11:$I$25))</f>
        <v>Lớp 5</v>
      </c>
      <c r="D58" s="87" t="str">
        <f>IF(B58="","",_xll.TimTinhChatDat(B58,$I$11:$J$25))</f>
        <v>Đất rời</v>
      </c>
      <c r="E58" s="95">
        <f>IF(B58="","",_xll.NoiSuySPT(B58,$R$19:$S$108,$D$17,$D$13,0,0))</f>
        <v>13</v>
      </c>
      <c r="F58" s="125">
        <f>IF(B58="","",_xll.qbEQ_SPT2025($D$10,$D$13,$D$14,B58,$D$17,$I$11:$J$25,$R$19:$S$108,$D$19,$I$11:$O$25,$D$12,"ganmaqb",$D$20))</f>
        <v>0.39276</v>
      </c>
      <c r="G58" s="95">
        <f>IF(B58="","",IF(D58="Đất dính","-",_xll.qbEQ_SPT2025($D$10,$D$13,$D$14,B58,$D$17,$I$11:$J$25,$R$19:$S$108,$D$19,$I$11:$O$25,$D$12,"",$D$20)))</f>
        <v>612.7056</v>
      </c>
      <c r="H58" s="95" t="str">
        <f>IF(B58="","",IF(D58="Đất dính",_xll.qbEQ_SPT2025($D$10,$D$13,$D$14,B58,$D$17,$I$11:$J$25,$R$19:$S$108,$D$19,$I$11:$O$25,$D$12,"",$D$20),"-"))</f>
        <v>-</v>
      </c>
      <c r="I58" s="95">
        <f t="shared" si="2"/>
        <v>481.21785294333199</v>
      </c>
      <c r="J58" s="96">
        <f>_xll.flu_SPT2025($D$10,$D$13,$D$14,$D$23,$D$16,$D$17,$I$11:$J$25,$R$19:$S$108,FALSE,FALSE,"Li",A58,$D$18)</f>
        <v>1</v>
      </c>
      <c r="K58" s="150">
        <f>IF(B58="","",_xll.fluEQ_SPT2025($D$10,$D$13,$D$14,$D$23,$D$16,$D$17,$I$11:$J$25,$R$19:$S$108,FALSE,FALSE,"ganmafl",A58,$D$18,$D$19,$I$11:$O$25,$D$12,$J$29,$D$20))</f>
        <v>0.48552000000000001</v>
      </c>
      <c r="L58" s="95">
        <f>IF(D58="Đất dính","-",_xll.fluEQ_SPT2025($D$10,$D$13,$D$14,$D$23,$D$16,$D$17,$I$11:$J$25,$R$19:$S$108,FALSE,FALSE,"f",A58,$D$18,$D$19,$I$11:$O$25,$D$12,$J$29,$D$20))</f>
        <v>20.828807999999999</v>
      </c>
      <c r="M58" s="95" t="str">
        <f>IF(B58="","",IF(D58="Đất dính",_xll.fluEQ_SPT2025($D$10,$D$13,$D$14,$D$23,$D$16,$D$17,$I$11:$J$25,$R$19:$S$108,FALSE,FALSE,"f",A58,$D$18,$D$19,$I$11:$O$25,$D$12,$J$29,$D$20),"-"))</f>
        <v>-</v>
      </c>
      <c r="N58" s="95">
        <f>_xll.fluEQ_SPT2025($D$10,$D$13,$D$14,$D$23,$D$16,$D$17,$I$11:$J$25,$R$19:$S$108,FALSE,FALSE,"flu",A58,$D$18,$D$19,$I$11:$O$25,$D$12,$J$29,$D$20)</f>
        <v>886.99627130551698</v>
      </c>
      <c r="O58" s="87">
        <f t="shared" si="3"/>
        <v>1368.2141242488501</v>
      </c>
      <c r="P58" s="65"/>
      <c r="R58" s="138"/>
      <c r="S58" s="138"/>
      <c r="Z58" s="138"/>
      <c r="AA58" s="138"/>
      <c r="AB58" s="128"/>
      <c r="AC58" s="128"/>
      <c r="AD58" s="128"/>
      <c r="AE58" s="128"/>
      <c r="AF58" s="128"/>
      <c r="AJ58" s="138"/>
      <c r="AK58" s="138"/>
      <c r="AL58" s="128"/>
      <c r="AM58" s="128"/>
      <c r="AN58" s="128"/>
      <c r="AO58" s="128"/>
      <c r="AP58" s="128"/>
      <c r="AT58" s="138"/>
      <c r="AU58" s="138"/>
      <c r="AV58" s="128"/>
      <c r="AW58" s="128"/>
      <c r="AX58" s="128"/>
      <c r="AY58" s="128"/>
      <c r="AZ58" s="128"/>
      <c r="BD58" s="138"/>
      <c r="BE58" s="138"/>
      <c r="BF58" s="128"/>
      <c r="BG58" s="128"/>
      <c r="BH58" s="128"/>
      <c r="BI58" s="128"/>
      <c r="BJ58" s="128"/>
      <c r="BN58" s="138"/>
      <c r="BO58" s="138"/>
      <c r="BP58" s="128"/>
      <c r="BQ58" s="128"/>
      <c r="BR58" s="128"/>
      <c r="BS58" s="128"/>
      <c r="BT58" s="128"/>
      <c r="BX58" s="138"/>
      <c r="BY58" s="138"/>
      <c r="BZ58" s="128"/>
      <c r="CA58" s="128"/>
      <c r="CB58" s="128"/>
      <c r="CC58" s="128"/>
      <c r="CD58" s="128"/>
      <c r="CH58" s="138"/>
      <c r="CI58" s="138"/>
      <c r="CJ58" s="128"/>
      <c r="CK58" s="128"/>
      <c r="CL58" s="128"/>
      <c r="CM58" s="128"/>
      <c r="CN58" s="128"/>
      <c r="CR58" s="138"/>
      <c r="CS58" s="138"/>
      <c r="CT58" s="128"/>
      <c r="CU58" s="128"/>
      <c r="CV58" s="128"/>
      <c r="CW58" s="128"/>
      <c r="CX58" s="128"/>
      <c r="DB58" s="138"/>
      <c r="DC58" s="138"/>
      <c r="DD58" s="128"/>
      <c r="DE58" s="128"/>
      <c r="DF58" s="128"/>
      <c r="DG58" s="128"/>
      <c r="DH58" s="128"/>
      <c r="DL58" s="138"/>
      <c r="DM58" s="138"/>
      <c r="DN58" s="128"/>
      <c r="DO58" s="128"/>
      <c r="DP58" s="128"/>
      <c r="DQ58" s="128"/>
      <c r="DR58" s="128"/>
      <c r="DV58" s="138"/>
      <c r="DW58" s="138"/>
      <c r="DX58" s="128"/>
      <c r="DY58" s="128"/>
      <c r="DZ58" s="128"/>
      <c r="EA58" s="128"/>
      <c r="EB58" s="128"/>
      <c r="EF58" s="138"/>
      <c r="EG58" s="138"/>
      <c r="EH58" s="128"/>
      <c r="EI58" s="128"/>
      <c r="EJ58" s="128"/>
      <c r="EK58" s="128"/>
      <c r="EL58" s="128"/>
      <c r="EP58" s="138"/>
      <c r="EQ58" s="138"/>
      <c r="ER58" s="128"/>
      <c r="ES58" s="128"/>
      <c r="ET58" s="128"/>
      <c r="EU58" s="128"/>
      <c r="EV58" s="128"/>
      <c r="EZ58" s="138"/>
      <c r="FA58" s="138"/>
      <c r="FB58" s="128"/>
      <c r="FC58" s="128"/>
      <c r="FD58" s="128"/>
      <c r="FE58" s="128"/>
      <c r="FF58" s="128"/>
      <c r="FJ58" s="138"/>
      <c r="FK58" s="138"/>
      <c r="FL58" s="128"/>
      <c r="FM58" s="128"/>
      <c r="FN58" s="128"/>
      <c r="FO58" s="128"/>
      <c r="FP58" s="128"/>
      <c r="FT58" s="138"/>
      <c r="FU58" s="138"/>
      <c r="FV58" s="128"/>
      <c r="FW58" s="128"/>
      <c r="FX58" s="128"/>
      <c r="FY58" s="128"/>
      <c r="FZ58" s="128"/>
      <c r="GD58" s="138"/>
      <c r="GE58" s="138"/>
      <c r="GF58" s="128"/>
      <c r="GG58" s="128"/>
      <c r="GH58" s="128"/>
      <c r="GI58" s="128"/>
      <c r="GJ58" s="128"/>
      <c r="GN58" s="138"/>
      <c r="GO58" s="138"/>
      <c r="GP58" s="128"/>
      <c r="GQ58" s="128"/>
      <c r="GR58" s="128"/>
      <c r="GS58" s="128"/>
      <c r="GT58" s="128"/>
      <c r="GX58" s="138"/>
      <c r="GY58" s="138"/>
      <c r="GZ58" s="128"/>
      <c r="HA58" s="128"/>
      <c r="HB58" s="128"/>
      <c r="HC58" s="128"/>
      <c r="HD58" s="128"/>
      <c r="HH58" s="138"/>
      <c r="HI58" s="138"/>
      <c r="HJ58" s="128"/>
      <c r="HK58" s="128"/>
      <c r="HL58" s="128"/>
      <c r="HM58" s="128"/>
      <c r="HN58" s="128"/>
      <c r="HR58" s="138"/>
      <c r="HS58" s="138"/>
      <c r="HT58" s="128"/>
      <c r="HU58" s="128"/>
      <c r="HV58" s="128"/>
      <c r="HW58" s="128"/>
      <c r="HX58" s="128"/>
      <c r="IB58" s="138"/>
      <c r="IC58" s="138"/>
      <c r="ID58" s="128"/>
      <c r="IE58" s="128"/>
      <c r="IF58" s="128"/>
      <c r="IG58" s="128"/>
      <c r="IH58" s="128"/>
      <c r="IL58" s="138"/>
      <c r="IM58" s="138"/>
      <c r="IN58" s="128"/>
      <c r="IO58" s="128"/>
      <c r="IP58" s="128"/>
      <c r="IQ58" s="128"/>
      <c r="IR58" s="128"/>
      <c r="IV58" s="138"/>
      <c r="IW58" s="138"/>
      <c r="IX58" s="128"/>
      <c r="IY58" s="128"/>
      <c r="IZ58" s="128"/>
      <c r="JA58" s="128"/>
      <c r="JB58" s="128"/>
      <c r="JF58" s="138"/>
      <c r="JG58" s="138"/>
      <c r="JH58" s="128"/>
      <c r="JI58" s="128"/>
      <c r="JJ58" s="128"/>
      <c r="JK58" s="128"/>
      <c r="JL58" s="128"/>
      <c r="JP58" s="138"/>
      <c r="JQ58" s="138"/>
      <c r="JR58" s="128"/>
      <c r="JS58" s="128"/>
      <c r="JT58" s="128"/>
      <c r="JU58" s="128"/>
      <c r="JV58" s="128"/>
      <c r="JZ58" s="138"/>
      <c r="KA58" s="138"/>
      <c r="KB58" s="128"/>
      <c r="KC58" s="128"/>
      <c r="KD58" s="128"/>
      <c r="KE58" s="128"/>
      <c r="KF58" s="128"/>
      <c r="KJ58" s="138"/>
      <c r="KK58" s="138"/>
    </row>
    <row r="59" spans="1:297">
      <c r="A59" s="87">
        <f t="shared" si="1"/>
        <v>22</v>
      </c>
      <c r="B59" s="83">
        <f>_xll.flu_SPT2025($D$10,$D$13,$D$14,$D$23,$D$16,$D$17,$I$11:$J$25,$R$19:$S$108,FALSE,FALSE,"Cao độ",A59,$D$18)</f>
        <v>19</v>
      </c>
      <c r="C59" s="87" t="str">
        <f>IF(B59="","",_xll.TimTenLoaiDat(B59,$G$11:$I$25))</f>
        <v>Lớp 5</v>
      </c>
      <c r="D59" s="87" t="str">
        <f>IF(B59="","",_xll.TimTinhChatDat(B59,$I$11:$J$25))</f>
        <v>Đất rời</v>
      </c>
      <c r="E59" s="95">
        <f>IF(B59="","",_xll.NoiSuySPT(B59,$R$19:$S$108,$D$17,$D$13,0,0))</f>
        <v>13.4</v>
      </c>
      <c r="F59" s="125">
        <f>IF(B59="","",_xll.qbEQ_SPT2025($D$10,$D$13,$D$14,B59,$D$17,$I$11:$J$25,$R$19:$S$108,$D$19,$I$11:$O$25,$D$12,"ganmaqb",$D$20))</f>
        <v>0.39276</v>
      </c>
      <c r="G59" s="95">
        <f>IF(B59="","",IF(D59="Đất dính","-",_xll.qbEQ_SPT2025($D$10,$D$13,$D$14,B59,$D$17,$I$11:$J$25,$R$19:$S$108,$D$19,$I$11:$O$25,$D$12,"",$D$20)))</f>
        <v>631.55808000000002</v>
      </c>
      <c r="H59" s="95" t="str">
        <f>IF(B59="","",IF(D59="Đất dính",_xll.qbEQ_SPT2025($D$10,$D$13,$D$14,B59,$D$17,$I$11:$J$25,$R$19:$S$108,$D$19,$I$11:$O$25,$D$12,"",$D$20),"-"))</f>
        <v>-</v>
      </c>
      <c r="I59" s="95">
        <f t="shared" si="2"/>
        <v>496.02455611081899</v>
      </c>
      <c r="J59" s="96">
        <f>_xll.flu_SPT2025($D$10,$D$13,$D$14,$D$23,$D$16,$D$17,$I$11:$J$25,$R$19:$S$108,FALSE,FALSE,"Li",A59,$D$18)</f>
        <v>1</v>
      </c>
      <c r="K59" s="150">
        <f>IF(B59="","",_xll.fluEQ_SPT2025($D$10,$D$13,$D$14,$D$23,$D$16,$D$17,$I$11:$J$25,$R$19:$S$108,FALSE,FALSE,"ganmafl",A59,$D$18,$D$19,$I$11:$O$25,$D$12,$J$29,$D$20))</f>
        <v>0.48552000000000001</v>
      </c>
      <c r="L59" s="95">
        <f>IF(D59="Đất dính","-",_xll.fluEQ_SPT2025($D$10,$D$13,$D$14,$D$23,$D$16,$D$17,$I$11:$J$25,$R$19:$S$108,FALSE,FALSE,"f",A59,$D$18,$D$19,$I$11:$O$25,$D$12,$J$29,$D$20))</f>
        <v>21.469694400000002</v>
      </c>
      <c r="M59" s="95" t="str">
        <f>IF(B59="","",IF(D59="Đất dính",_xll.fluEQ_SPT2025($D$10,$D$13,$D$14,$D$23,$D$16,$D$17,$I$11:$J$25,$R$19:$S$108,FALSE,FALSE,"f",A59,$D$18,$D$19,$I$11:$O$25,$D$12,$J$29,$D$20),"-"))</f>
        <v>-</v>
      </c>
      <c r="N59" s="95">
        <f>_xll.fluEQ_SPT2025($D$10,$D$13,$D$14,$D$23,$D$16,$D$17,$I$11:$J$25,$R$19:$S$108,FALSE,FALSE,"flu",A59,$D$18,$D$19,$I$11:$O$25,$D$12,$J$29,$D$20)</f>
        <v>954.445305507375</v>
      </c>
      <c r="O59" s="87">
        <f t="shared" si="3"/>
        <v>1450.46986161819</v>
      </c>
      <c r="P59" s="65"/>
      <c r="R59" s="138"/>
      <c r="S59" s="138"/>
      <c r="Z59" s="138"/>
      <c r="AA59" s="138"/>
      <c r="AB59" s="128"/>
      <c r="AC59" s="128"/>
      <c r="AD59" s="128"/>
      <c r="AE59" s="128"/>
      <c r="AF59" s="128"/>
      <c r="AJ59" s="138"/>
      <c r="AK59" s="138"/>
      <c r="AL59" s="128"/>
      <c r="AM59" s="128"/>
      <c r="AN59" s="128"/>
      <c r="AO59" s="128"/>
      <c r="AP59" s="128"/>
      <c r="AT59" s="138"/>
      <c r="AU59" s="138"/>
      <c r="AV59" s="128"/>
      <c r="AW59" s="128"/>
      <c r="AX59" s="128"/>
      <c r="AY59" s="128"/>
      <c r="AZ59" s="128"/>
      <c r="BD59" s="138"/>
      <c r="BE59" s="138"/>
      <c r="BF59" s="128"/>
      <c r="BG59" s="128"/>
      <c r="BH59" s="128"/>
      <c r="BI59" s="128"/>
      <c r="BJ59" s="128"/>
      <c r="BN59" s="138"/>
      <c r="BO59" s="138"/>
      <c r="BP59" s="128"/>
      <c r="BQ59" s="128"/>
      <c r="BR59" s="128"/>
      <c r="BS59" s="128"/>
      <c r="BT59" s="128"/>
      <c r="BX59" s="138"/>
      <c r="BY59" s="138"/>
      <c r="BZ59" s="128"/>
      <c r="CA59" s="128"/>
      <c r="CB59" s="128"/>
      <c r="CC59" s="128"/>
      <c r="CD59" s="128"/>
      <c r="CH59" s="138"/>
      <c r="CI59" s="138"/>
      <c r="CJ59" s="128"/>
      <c r="CK59" s="128"/>
      <c r="CL59" s="128"/>
      <c r="CM59" s="128"/>
      <c r="CN59" s="128"/>
      <c r="CR59" s="138"/>
      <c r="CS59" s="138"/>
      <c r="CT59" s="128"/>
      <c r="CU59" s="128"/>
      <c r="CV59" s="128"/>
      <c r="CW59" s="128"/>
      <c r="CX59" s="128"/>
      <c r="DB59" s="138"/>
      <c r="DC59" s="138"/>
      <c r="DD59" s="128"/>
      <c r="DE59" s="128"/>
      <c r="DF59" s="128"/>
      <c r="DG59" s="128"/>
      <c r="DH59" s="128"/>
      <c r="DL59" s="138"/>
      <c r="DM59" s="138"/>
      <c r="DN59" s="128"/>
      <c r="DO59" s="128"/>
      <c r="DP59" s="128"/>
      <c r="DQ59" s="128"/>
      <c r="DR59" s="128"/>
      <c r="DV59" s="138"/>
      <c r="DW59" s="138"/>
      <c r="DX59" s="128"/>
      <c r="DY59" s="128"/>
      <c r="DZ59" s="128"/>
      <c r="EA59" s="128"/>
      <c r="EB59" s="128"/>
      <c r="EF59" s="138"/>
      <c r="EG59" s="138"/>
      <c r="EH59" s="128"/>
      <c r="EI59" s="128"/>
      <c r="EJ59" s="128"/>
      <c r="EK59" s="128"/>
      <c r="EL59" s="128"/>
      <c r="EP59" s="138"/>
      <c r="EQ59" s="138"/>
      <c r="ER59" s="128"/>
      <c r="ES59" s="128"/>
      <c r="ET59" s="128"/>
      <c r="EU59" s="128"/>
      <c r="EV59" s="128"/>
      <c r="EZ59" s="138"/>
      <c r="FA59" s="138"/>
      <c r="FB59" s="128"/>
      <c r="FC59" s="128"/>
      <c r="FD59" s="128"/>
      <c r="FE59" s="128"/>
      <c r="FF59" s="128"/>
      <c r="FJ59" s="138"/>
      <c r="FK59" s="138"/>
      <c r="FL59" s="128"/>
      <c r="FM59" s="128"/>
      <c r="FN59" s="128"/>
      <c r="FO59" s="128"/>
      <c r="FP59" s="128"/>
      <c r="FT59" s="138"/>
      <c r="FU59" s="138"/>
      <c r="FV59" s="128"/>
      <c r="FW59" s="128"/>
      <c r="FX59" s="128"/>
      <c r="FY59" s="128"/>
      <c r="FZ59" s="128"/>
      <c r="GD59" s="138"/>
      <c r="GE59" s="138"/>
      <c r="GF59" s="128"/>
      <c r="GG59" s="128"/>
      <c r="GH59" s="128"/>
      <c r="GI59" s="128"/>
      <c r="GJ59" s="128"/>
      <c r="GN59" s="138"/>
      <c r="GO59" s="138"/>
      <c r="GP59" s="128"/>
      <c r="GQ59" s="128"/>
      <c r="GR59" s="128"/>
      <c r="GS59" s="128"/>
      <c r="GT59" s="128"/>
      <c r="GX59" s="138"/>
      <c r="GY59" s="138"/>
      <c r="GZ59" s="128"/>
      <c r="HA59" s="128"/>
      <c r="HB59" s="128"/>
      <c r="HC59" s="128"/>
      <c r="HD59" s="128"/>
      <c r="HH59" s="138"/>
      <c r="HI59" s="138"/>
      <c r="HJ59" s="128"/>
      <c r="HK59" s="128"/>
      <c r="HL59" s="128"/>
      <c r="HM59" s="128"/>
      <c r="HN59" s="128"/>
      <c r="HR59" s="138"/>
      <c r="HS59" s="138"/>
      <c r="HT59" s="128"/>
      <c r="HU59" s="128"/>
      <c r="HV59" s="128"/>
      <c r="HW59" s="128"/>
      <c r="HX59" s="128"/>
      <c r="IB59" s="138"/>
      <c r="IC59" s="138"/>
      <c r="ID59" s="128"/>
      <c r="IE59" s="128"/>
      <c r="IF59" s="128"/>
      <c r="IG59" s="128"/>
      <c r="IH59" s="128"/>
      <c r="IL59" s="138"/>
      <c r="IM59" s="138"/>
      <c r="IN59" s="128"/>
      <c r="IO59" s="128"/>
      <c r="IP59" s="128"/>
      <c r="IQ59" s="128"/>
      <c r="IR59" s="128"/>
      <c r="IV59" s="138"/>
      <c r="IW59" s="138"/>
      <c r="IX59" s="128"/>
      <c r="IY59" s="128"/>
      <c r="IZ59" s="128"/>
      <c r="JA59" s="128"/>
      <c r="JB59" s="128"/>
      <c r="JF59" s="138"/>
      <c r="JG59" s="138"/>
      <c r="JH59" s="128"/>
      <c r="JI59" s="128"/>
      <c r="JJ59" s="128"/>
      <c r="JK59" s="128"/>
      <c r="JL59" s="128"/>
      <c r="JP59" s="138"/>
      <c r="JQ59" s="138"/>
      <c r="JR59" s="128"/>
      <c r="JS59" s="128"/>
      <c r="JT59" s="128"/>
      <c r="JU59" s="128"/>
      <c r="JV59" s="128"/>
      <c r="JZ59" s="138"/>
      <c r="KA59" s="138"/>
      <c r="KB59" s="128"/>
      <c r="KC59" s="128"/>
      <c r="KD59" s="128"/>
      <c r="KE59" s="128"/>
      <c r="KF59" s="128"/>
      <c r="KJ59" s="138"/>
      <c r="KK59" s="138"/>
    </row>
    <row r="60" spans="1:297">
      <c r="A60" s="87">
        <f t="shared" si="1"/>
        <v>23</v>
      </c>
      <c r="B60" s="83">
        <f>_xll.flu_SPT2025($D$10,$D$13,$D$14,$D$23,$D$16,$D$17,$I$11:$J$25,$R$19:$S$108,FALSE,FALSE,"Cao độ",A60,$D$18)</f>
        <v>20</v>
      </c>
      <c r="C60" s="87" t="str">
        <f>IF(B60="","",_xll.TimTenLoaiDat(B60,$G$11:$I$25))</f>
        <v>Lớp 5</v>
      </c>
      <c r="D60" s="87" t="str">
        <f>IF(B60="","",_xll.TimTinhChatDat(B60,$I$11:$J$25))</f>
        <v>Đất rời</v>
      </c>
      <c r="E60" s="95">
        <f>IF(B60="","",_xll.NoiSuySPT(B60,$R$19:$S$108,$D$17,$D$13,0,0))</f>
        <v>13.9</v>
      </c>
      <c r="F60" s="125">
        <f>IF(B60="","",_xll.qbEQ_SPT2025($D$10,$D$13,$D$14,B60,$D$17,$I$11:$J$25,$R$19:$S$108,$D$19,$I$11:$O$25,$D$12,"ganmaqb",$D$20))</f>
        <v>0.39276</v>
      </c>
      <c r="G60" s="95">
        <f>IF(B60="","",IF(D60="Đất dính","-",_xll.qbEQ_SPT2025($D$10,$D$13,$D$14,B60,$D$17,$I$11:$J$25,$R$19:$S$108,$D$19,$I$11:$O$25,$D$12,"",$D$20)))</f>
        <v>655.12368000000004</v>
      </c>
      <c r="H60" s="95" t="str">
        <f>IF(B60="","",IF(D60="Đất dính",_xll.qbEQ_SPT2025($D$10,$D$13,$D$14,B60,$D$17,$I$11:$J$25,$R$19:$S$108,$D$19,$I$11:$O$25,$D$12,"",$D$20),"-"))</f>
        <v>-</v>
      </c>
      <c r="I60" s="95">
        <f t="shared" si="2"/>
        <v>514.53293507017804</v>
      </c>
      <c r="J60" s="96">
        <f>_xll.flu_SPT2025($D$10,$D$13,$D$14,$D$23,$D$16,$D$17,$I$11:$J$25,$R$19:$S$108,FALSE,FALSE,"Li",A60,$D$18)</f>
        <v>1</v>
      </c>
      <c r="K60" s="150">
        <f>IF(B60="","",_xll.fluEQ_SPT2025($D$10,$D$13,$D$14,$D$23,$D$16,$D$17,$I$11:$J$25,$R$19:$S$108,FALSE,FALSE,"ganmafl",A60,$D$18,$D$19,$I$11:$O$25,$D$12,$J$29,$D$20))</f>
        <v>0.48552000000000001</v>
      </c>
      <c r="L60" s="95">
        <f>IF(D60="Đất dính","-",_xll.fluEQ_SPT2025($D$10,$D$13,$D$14,$D$23,$D$16,$D$17,$I$11:$J$25,$R$19:$S$108,FALSE,FALSE,"f",A60,$D$18,$D$19,$I$11:$O$25,$D$12,$J$29,$D$20))</f>
        <v>22.270802400000001</v>
      </c>
      <c r="M60" s="95" t="str">
        <f>IF(B60="","",IF(D60="Đất dính",_xll.fluEQ_SPT2025($D$10,$D$13,$D$14,$D$23,$D$16,$D$17,$I$11:$J$25,$R$19:$S$108,FALSE,FALSE,"f",A60,$D$18,$D$19,$I$11:$O$25,$D$12,$J$29,$D$20),"-"))</f>
        <v>-</v>
      </c>
      <c r="N60" s="95">
        <f>_xll.fluEQ_SPT2025($D$10,$D$13,$D$14,$D$23,$D$16,$D$17,$I$11:$J$25,$R$19:$S$108,FALSE,FALSE,"flu",A60,$D$18,$D$19,$I$11:$O$25,$D$12,$J$29,$D$20)</f>
        <v>1024.4110947167701</v>
      </c>
      <c r="O60" s="87">
        <f t="shared" si="3"/>
        <v>1538.9440297869401</v>
      </c>
      <c r="P60" s="65"/>
      <c r="R60" s="138"/>
      <c r="S60" s="138"/>
      <c r="Z60" s="138"/>
      <c r="AA60" s="138"/>
      <c r="AB60" s="128"/>
      <c r="AC60" s="128"/>
      <c r="AD60" s="128"/>
      <c r="AE60" s="128"/>
      <c r="AF60" s="128"/>
      <c r="AJ60" s="138"/>
      <c r="AK60" s="138"/>
      <c r="AL60" s="128"/>
      <c r="AM60" s="128"/>
      <c r="AN60" s="128"/>
      <c r="AO60" s="128"/>
      <c r="AP60" s="128"/>
      <c r="AT60" s="138"/>
      <c r="AU60" s="138"/>
      <c r="AV60" s="128"/>
      <c r="AW60" s="128"/>
      <c r="AX60" s="128"/>
      <c r="AY60" s="128"/>
      <c r="AZ60" s="128"/>
      <c r="BD60" s="138"/>
      <c r="BE60" s="138"/>
      <c r="BF60" s="128"/>
      <c r="BG60" s="128"/>
      <c r="BH60" s="128"/>
      <c r="BI60" s="128"/>
      <c r="BJ60" s="128"/>
      <c r="BN60" s="138"/>
      <c r="BO60" s="138"/>
      <c r="BP60" s="128"/>
      <c r="BQ60" s="128"/>
      <c r="BR60" s="128"/>
      <c r="BS60" s="128"/>
      <c r="BT60" s="128"/>
      <c r="BX60" s="138"/>
      <c r="BY60" s="138"/>
      <c r="BZ60" s="128"/>
      <c r="CA60" s="128"/>
      <c r="CB60" s="128"/>
      <c r="CC60" s="128"/>
      <c r="CD60" s="128"/>
      <c r="CH60" s="138"/>
      <c r="CI60" s="138"/>
      <c r="CJ60" s="128"/>
      <c r="CK60" s="128"/>
      <c r="CL60" s="128"/>
      <c r="CM60" s="128"/>
      <c r="CN60" s="128"/>
      <c r="CR60" s="138"/>
      <c r="CS60" s="138"/>
      <c r="CT60" s="128"/>
      <c r="CU60" s="128"/>
      <c r="CV60" s="128"/>
      <c r="CW60" s="128"/>
      <c r="CX60" s="128"/>
      <c r="DB60" s="138"/>
      <c r="DC60" s="138"/>
      <c r="DD60" s="128"/>
      <c r="DE60" s="128"/>
      <c r="DF60" s="128"/>
      <c r="DG60" s="128"/>
      <c r="DH60" s="128"/>
      <c r="DL60" s="138"/>
      <c r="DM60" s="138"/>
      <c r="DN60" s="128"/>
      <c r="DO60" s="128"/>
      <c r="DP60" s="128"/>
      <c r="DQ60" s="128"/>
      <c r="DR60" s="128"/>
      <c r="DV60" s="138"/>
      <c r="DW60" s="138"/>
      <c r="DX60" s="128"/>
      <c r="DY60" s="128"/>
      <c r="DZ60" s="128"/>
      <c r="EA60" s="128"/>
      <c r="EB60" s="128"/>
      <c r="EF60" s="138"/>
      <c r="EG60" s="138"/>
      <c r="EH60" s="128"/>
      <c r="EI60" s="128"/>
      <c r="EJ60" s="128"/>
      <c r="EK60" s="128"/>
      <c r="EL60" s="128"/>
      <c r="EP60" s="138"/>
      <c r="EQ60" s="138"/>
      <c r="ER60" s="128"/>
      <c r="ES60" s="128"/>
      <c r="ET60" s="128"/>
      <c r="EU60" s="128"/>
      <c r="EV60" s="128"/>
      <c r="EZ60" s="138"/>
      <c r="FA60" s="138"/>
      <c r="FB60" s="128"/>
      <c r="FC60" s="128"/>
      <c r="FD60" s="128"/>
      <c r="FE60" s="128"/>
      <c r="FF60" s="128"/>
      <c r="FJ60" s="138"/>
      <c r="FK60" s="138"/>
      <c r="FL60" s="128"/>
      <c r="FM60" s="128"/>
      <c r="FN60" s="128"/>
      <c r="FO60" s="128"/>
      <c r="FP60" s="128"/>
      <c r="FT60" s="138"/>
      <c r="FU60" s="138"/>
      <c r="FV60" s="128"/>
      <c r="FW60" s="128"/>
      <c r="FX60" s="128"/>
      <c r="FY60" s="128"/>
      <c r="FZ60" s="128"/>
      <c r="GD60" s="138"/>
      <c r="GE60" s="138"/>
      <c r="GF60" s="128"/>
      <c r="GG60" s="128"/>
      <c r="GH60" s="128"/>
      <c r="GI60" s="128"/>
      <c r="GJ60" s="128"/>
      <c r="GN60" s="138"/>
      <c r="GO60" s="138"/>
      <c r="GP60" s="128"/>
      <c r="GQ60" s="128"/>
      <c r="GR60" s="128"/>
      <c r="GS60" s="128"/>
      <c r="GT60" s="128"/>
      <c r="GX60" s="138"/>
      <c r="GY60" s="138"/>
      <c r="GZ60" s="128"/>
      <c r="HA60" s="128"/>
      <c r="HB60" s="128"/>
      <c r="HC60" s="128"/>
      <c r="HD60" s="128"/>
      <c r="HH60" s="138"/>
      <c r="HI60" s="138"/>
      <c r="HJ60" s="128"/>
      <c r="HK60" s="128"/>
      <c r="HL60" s="128"/>
      <c r="HM60" s="128"/>
      <c r="HN60" s="128"/>
      <c r="HR60" s="138"/>
      <c r="HS60" s="138"/>
      <c r="HT60" s="128"/>
      <c r="HU60" s="128"/>
      <c r="HV60" s="128"/>
      <c r="HW60" s="128"/>
      <c r="HX60" s="128"/>
      <c r="IB60" s="138"/>
      <c r="IC60" s="138"/>
      <c r="ID60" s="128"/>
      <c r="IE60" s="128"/>
      <c r="IF60" s="128"/>
      <c r="IG60" s="128"/>
      <c r="IH60" s="128"/>
      <c r="IL60" s="138"/>
      <c r="IM60" s="138"/>
      <c r="IN60" s="128"/>
      <c r="IO60" s="128"/>
      <c r="IP60" s="128"/>
      <c r="IQ60" s="128"/>
      <c r="IR60" s="128"/>
      <c r="IV60" s="138"/>
      <c r="IW60" s="138"/>
      <c r="IX60" s="128"/>
      <c r="IY60" s="128"/>
      <c r="IZ60" s="128"/>
      <c r="JA60" s="128"/>
      <c r="JB60" s="128"/>
      <c r="JF60" s="138"/>
      <c r="JG60" s="138"/>
      <c r="JH60" s="128"/>
      <c r="JI60" s="128"/>
      <c r="JJ60" s="128"/>
      <c r="JK60" s="128"/>
      <c r="JL60" s="128"/>
      <c r="JP60" s="138"/>
      <c r="JQ60" s="138"/>
      <c r="JR60" s="128"/>
      <c r="JS60" s="128"/>
      <c r="JT60" s="128"/>
      <c r="JU60" s="128"/>
      <c r="JV60" s="128"/>
      <c r="JZ60" s="138"/>
      <c r="KA60" s="138"/>
      <c r="KB60" s="128"/>
      <c r="KC60" s="128"/>
      <c r="KD60" s="128"/>
      <c r="KE60" s="128"/>
      <c r="KF60" s="128"/>
      <c r="KJ60" s="138"/>
      <c r="KK60" s="138"/>
    </row>
    <row r="61" spans="1:297">
      <c r="A61" s="87">
        <f t="shared" si="1"/>
        <v>24</v>
      </c>
      <c r="B61" s="83">
        <f>_xll.flu_SPT2025($D$10,$D$13,$D$14,$D$23,$D$16,$D$17,$I$11:$J$25,$R$19:$S$108,FALSE,FALSE,"Cao độ",A61,$D$18)</f>
        <v>21</v>
      </c>
      <c r="C61" s="87" t="str">
        <f>IF(B61="","",_xll.TimTenLoaiDat(B61,$G$11:$I$25))</f>
        <v>Lớp 5</v>
      </c>
      <c r="D61" s="87" t="str">
        <f>IF(B61="","",_xll.TimTinhChatDat(B61,$I$11:$J$25))</f>
        <v>Đất rời</v>
      </c>
      <c r="E61" s="95">
        <f>IF(B61="","",_xll.NoiSuySPT(B61,$R$19:$S$108,$D$17,$D$13,0,0))</f>
        <v>14</v>
      </c>
      <c r="F61" s="125">
        <f>IF(B61="","",_xll.qbEQ_SPT2025($D$10,$D$13,$D$14,B61,$D$17,$I$11:$J$25,$R$19:$S$108,$D$19,$I$11:$O$25,$D$12,"ganmaqb",$D$20))</f>
        <v>0.39276</v>
      </c>
      <c r="G61" s="95">
        <f>IF(B61="","",IF(D61="Đất dính","-",_xll.qbEQ_SPT2025($D$10,$D$13,$D$14,B61,$D$17,$I$11:$J$25,$R$19:$S$108,$D$19,$I$11:$O$25,$D$12,"",$D$20)))</f>
        <v>659.83680000000004</v>
      </c>
      <c r="H61" s="95" t="str">
        <f>IF(B61="","",IF(D61="Đất dính",_xll.qbEQ_SPT2025($D$10,$D$13,$D$14,B61,$D$17,$I$11:$J$25,$R$19:$S$108,$D$19,$I$11:$O$25,$D$12,"",$D$20),"-"))</f>
        <v>-</v>
      </c>
      <c r="I61" s="95">
        <f t="shared" si="2"/>
        <v>518.23461086204895</v>
      </c>
      <c r="J61" s="96">
        <f>_xll.flu_SPT2025($D$10,$D$13,$D$14,$D$23,$D$16,$D$17,$I$11:$J$25,$R$19:$S$108,FALSE,FALSE,"Li",A61,$D$18)</f>
        <v>1</v>
      </c>
      <c r="K61" s="150">
        <f>IF(B61="","",_xll.fluEQ_SPT2025($D$10,$D$13,$D$14,$D$23,$D$16,$D$17,$I$11:$J$25,$R$19:$S$108,FALSE,FALSE,"ganmafl",A61,$D$18,$D$19,$I$11:$O$25,$D$12,$J$29,$D$20))</f>
        <v>0.48552000000000001</v>
      </c>
      <c r="L61" s="95">
        <f>IF(D61="Đất dính","-",_xll.fluEQ_SPT2025($D$10,$D$13,$D$14,$D$23,$D$16,$D$17,$I$11:$J$25,$R$19:$S$108,FALSE,FALSE,"f",A61,$D$18,$D$19,$I$11:$O$25,$D$12,$J$29,$D$20))</f>
        <v>22.431024000000001</v>
      </c>
      <c r="M61" s="95" t="str">
        <f>IF(B61="","",IF(D61="Đất dính",_xll.fluEQ_SPT2025($D$10,$D$13,$D$14,$D$23,$D$16,$D$17,$I$11:$J$25,$R$19:$S$108,FALSE,FALSE,"f",A61,$D$18,$D$19,$I$11:$O$25,$D$12,$J$29,$D$20),"-"))</f>
        <v>-</v>
      </c>
      <c r="N61" s="95">
        <f>_xll.fluEQ_SPT2025($D$10,$D$13,$D$14,$D$23,$D$16,$D$17,$I$11:$J$25,$R$19:$S$108,FALSE,FALSE,"flu",A61,$D$18,$D$19,$I$11:$O$25,$D$12,$J$29,$D$20)</f>
        <v>1094.88023492766</v>
      </c>
      <c r="O61" s="87">
        <f t="shared" si="3"/>
        <v>1613.11484578971</v>
      </c>
      <c r="P61" s="65"/>
      <c r="R61" s="138"/>
      <c r="S61" s="138"/>
      <c r="Z61" s="138"/>
      <c r="AA61" s="138"/>
      <c r="AB61" s="128"/>
      <c r="AC61" s="128"/>
      <c r="AD61" s="128"/>
      <c r="AE61" s="128"/>
      <c r="AF61" s="128"/>
      <c r="AJ61" s="138"/>
      <c r="AK61" s="138"/>
      <c r="AL61" s="128"/>
      <c r="AM61" s="128"/>
      <c r="AN61" s="128"/>
      <c r="AO61" s="128"/>
      <c r="AP61" s="128"/>
      <c r="AT61" s="138"/>
      <c r="AU61" s="138"/>
      <c r="AV61" s="128"/>
      <c r="AW61" s="128"/>
      <c r="AX61" s="128"/>
      <c r="AY61" s="128"/>
      <c r="AZ61" s="128"/>
      <c r="BD61" s="138"/>
      <c r="BE61" s="138"/>
      <c r="BF61" s="128"/>
      <c r="BG61" s="128"/>
      <c r="BH61" s="128"/>
      <c r="BI61" s="128"/>
      <c r="BJ61" s="128"/>
      <c r="BN61" s="138"/>
      <c r="BO61" s="138"/>
      <c r="BP61" s="128"/>
      <c r="BQ61" s="128"/>
      <c r="BR61" s="128"/>
      <c r="BS61" s="128"/>
      <c r="BT61" s="128"/>
      <c r="BX61" s="138"/>
      <c r="BY61" s="138"/>
      <c r="BZ61" s="128"/>
      <c r="CA61" s="128"/>
      <c r="CB61" s="128"/>
      <c r="CC61" s="128"/>
      <c r="CD61" s="128"/>
      <c r="CH61" s="138"/>
      <c r="CI61" s="138"/>
      <c r="CJ61" s="128"/>
      <c r="CK61" s="128"/>
      <c r="CL61" s="128"/>
      <c r="CM61" s="128"/>
      <c r="CN61" s="128"/>
      <c r="CR61" s="138"/>
      <c r="CS61" s="138"/>
      <c r="CT61" s="128"/>
      <c r="CU61" s="128"/>
      <c r="CV61" s="128"/>
      <c r="CW61" s="128"/>
      <c r="CX61" s="128"/>
      <c r="DB61" s="138"/>
      <c r="DC61" s="138"/>
      <c r="DD61" s="128"/>
      <c r="DE61" s="128"/>
      <c r="DF61" s="128"/>
      <c r="DG61" s="128"/>
      <c r="DH61" s="128"/>
      <c r="DL61" s="138"/>
      <c r="DM61" s="138"/>
      <c r="DN61" s="128"/>
      <c r="DO61" s="128"/>
      <c r="DP61" s="128"/>
      <c r="DQ61" s="128"/>
      <c r="DR61" s="128"/>
      <c r="DV61" s="138"/>
      <c r="DW61" s="138"/>
      <c r="DX61" s="128"/>
      <c r="DY61" s="128"/>
      <c r="DZ61" s="128"/>
      <c r="EA61" s="128"/>
      <c r="EB61" s="128"/>
      <c r="EF61" s="138"/>
      <c r="EG61" s="138"/>
      <c r="EH61" s="128"/>
      <c r="EI61" s="128"/>
      <c r="EJ61" s="128"/>
      <c r="EK61" s="128"/>
      <c r="EL61" s="128"/>
      <c r="EP61" s="138"/>
      <c r="EQ61" s="138"/>
      <c r="ER61" s="128"/>
      <c r="ES61" s="128"/>
      <c r="ET61" s="128"/>
      <c r="EU61" s="128"/>
      <c r="EV61" s="128"/>
      <c r="EZ61" s="138"/>
      <c r="FA61" s="138"/>
      <c r="FB61" s="128"/>
      <c r="FC61" s="128"/>
      <c r="FD61" s="128"/>
      <c r="FE61" s="128"/>
      <c r="FF61" s="128"/>
      <c r="FJ61" s="138"/>
      <c r="FK61" s="138"/>
      <c r="FL61" s="128"/>
      <c r="FM61" s="128"/>
      <c r="FN61" s="128"/>
      <c r="FO61" s="128"/>
      <c r="FP61" s="128"/>
      <c r="FT61" s="138"/>
      <c r="FU61" s="138"/>
      <c r="FV61" s="128"/>
      <c r="FW61" s="128"/>
      <c r="FX61" s="128"/>
      <c r="FY61" s="128"/>
      <c r="FZ61" s="128"/>
      <c r="GD61" s="138"/>
      <c r="GE61" s="138"/>
      <c r="GF61" s="128"/>
      <c r="GG61" s="128"/>
      <c r="GH61" s="128"/>
      <c r="GI61" s="128"/>
      <c r="GJ61" s="128"/>
      <c r="GN61" s="138"/>
      <c r="GO61" s="138"/>
      <c r="GP61" s="128"/>
      <c r="GQ61" s="128"/>
      <c r="GR61" s="128"/>
      <c r="GS61" s="128"/>
      <c r="GT61" s="128"/>
      <c r="GX61" s="138"/>
      <c r="GY61" s="138"/>
      <c r="GZ61" s="128"/>
      <c r="HA61" s="128"/>
      <c r="HB61" s="128"/>
      <c r="HC61" s="128"/>
      <c r="HD61" s="128"/>
      <c r="HH61" s="138"/>
      <c r="HI61" s="138"/>
      <c r="HJ61" s="128"/>
      <c r="HK61" s="128"/>
      <c r="HL61" s="128"/>
      <c r="HM61" s="128"/>
      <c r="HN61" s="128"/>
      <c r="HR61" s="138"/>
      <c r="HS61" s="138"/>
      <c r="HT61" s="128"/>
      <c r="HU61" s="128"/>
      <c r="HV61" s="128"/>
      <c r="HW61" s="128"/>
      <c r="HX61" s="128"/>
      <c r="IB61" s="138"/>
      <c r="IC61" s="138"/>
      <c r="ID61" s="128"/>
      <c r="IE61" s="128"/>
      <c r="IF61" s="128"/>
      <c r="IG61" s="128"/>
      <c r="IH61" s="128"/>
      <c r="IL61" s="138"/>
      <c r="IM61" s="138"/>
      <c r="IN61" s="128"/>
      <c r="IO61" s="128"/>
      <c r="IP61" s="128"/>
      <c r="IQ61" s="128"/>
      <c r="IR61" s="128"/>
      <c r="IV61" s="138"/>
      <c r="IW61" s="138"/>
      <c r="IX61" s="128"/>
      <c r="IY61" s="128"/>
      <c r="IZ61" s="128"/>
      <c r="JA61" s="128"/>
      <c r="JB61" s="128"/>
      <c r="JF61" s="138"/>
      <c r="JG61" s="138"/>
      <c r="JH61" s="128"/>
      <c r="JI61" s="128"/>
      <c r="JJ61" s="128"/>
      <c r="JK61" s="128"/>
      <c r="JL61" s="128"/>
      <c r="JP61" s="138"/>
      <c r="JQ61" s="138"/>
      <c r="JR61" s="128"/>
      <c r="JS61" s="128"/>
      <c r="JT61" s="128"/>
      <c r="JU61" s="128"/>
      <c r="JV61" s="128"/>
      <c r="JZ61" s="138"/>
      <c r="KA61" s="138"/>
      <c r="KB61" s="128"/>
      <c r="KC61" s="128"/>
      <c r="KD61" s="128"/>
      <c r="KE61" s="128"/>
      <c r="KF61" s="128"/>
      <c r="KJ61" s="138"/>
      <c r="KK61" s="138"/>
    </row>
    <row r="62" spans="1:297">
      <c r="A62" s="87">
        <f t="shared" si="1"/>
        <v>25</v>
      </c>
      <c r="B62" s="83">
        <f>_xll.flu_SPT2025($D$10,$D$13,$D$14,$D$23,$D$16,$D$17,$I$11:$J$25,$R$19:$S$108,FALSE,FALSE,"Cao độ",A62,$D$18)</f>
        <v>22</v>
      </c>
      <c r="C62" s="87" t="str">
        <f>IF(B62="","",_xll.TimTenLoaiDat(B62,$G$11:$I$25))</f>
        <v>Lớp 5</v>
      </c>
      <c r="D62" s="87" t="str">
        <f>IF(B62="","",_xll.TimTinhChatDat(B62,$I$11:$J$25))</f>
        <v>Đất rời</v>
      </c>
      <c r="E62" s="95">
        <f>IF(B62="","",_xll.NoiSuySPT(B62,$R$19:$S$108,$D$17,$D$13,0,0))</f>
        <v>14</v>
      </c>
      <c r="F62" s="125">
        <f>IF(B62="","",_xll.qbEQ_SPT2025($D$10,$D$13,$D$14,B62,$D$17,$I$11:$J$25,$R$19:$S$108,$D$19,$I$11:$O$25,$D$12,"ganmaqb",$D$20))</f>
        <v>0.39276</v>
      </c>
      <c r="G62" s="95">
        <f>IF(B62="","",IF(D62="Đất dính","-",_xll.qbEQ_SPT2025($D$10,$D$13,$D$14,B62,$D$17,$I$11:$J$25,$R$19:$S$108,$D$19,$I$11:$O$25,$D$12,"",$D$20)))</f>
        <v>659.83680000000004</v>
      </c>
      <c r="H62" s="95" t="str">
        <f>IF(B62="","",IF(D62="Đất dính",_xll.qbEQ_SPT2025($D$10,$D$13,$D$14,B62,$D$17,$I$11:$J$25,$R$19:$S$108,$D$19,$I$11:$O$25,$D$12,"",$D$20),"-"))</f>
        <v>-</v>
      </c>
      <c r="I62" s="95">
        <f t="shared" si="2"/>
        <v>518.23461086204895</v>
      </c>
      <c r="J62" s="96">
        <f>_xll.flu_SPT2025($D$10,$D$13,$D$14,$D$23,$D$16,$D$17,$I$11:$J$25,$R$19:$S$108,FALSE,FALSE,"Li",A62,$D$18)</f>
        <v>1</v>
      </c>
      <c r="K62" s="150">
        <f>IF(B62="","",_xll.fluEQ_SPT2025($D$10,$D$13,$D$14,$D$23,$D$16,$D$17,$I$11:$J$25,$R$19:$S$108,FALSE,FALSE,"ganmafl",A62,$D$18,$D$19,$I$11:$O$25,$D$12,$J$29,$D$20))</f>
        <v>0.48552000000000001</v>
      </c>
      <c r="L62" s="95">
        <f>IF(D62="Đất dính","-",_xll.fluEQ_SPT2025($D$10,$D$13,$D$14,$D$23,$D$16,$D$17,$I$11:$J$25,$R$19:$S$108,FALSE,FALSE,"f",A62,$D$18,$D$19,$I$11:$O$25,$D$12,$J$29,$D$20))</f>
        <v>22.431024000000001</v>
      </c>
      <c r="M62" s="95" t="str">
        <f>IF(B62="","",IF(D62="Đất dính",_xll.fluEQ_SPT2025($D$10,$D$13,$D$14,$D$23,$D$16,$D$17,$I$11:$J$25,$R$19:$S$108,FALSE,FALSE,"f",A62,$D$18,$D$19,$I$11:$O$25,$D$12,$J$29,$D$20),"-"))</f>
        <v>-</v>
      </c>
      <c r="N62" s="95">
        <f>_xll.fluEQ_SPT2025($D$10,$D$13,$D$14,$D$23,$D$16,$D$17,$I$11:$J$25,$R$19:$S$108,FALSE,FALSE,"flu",A62,$D$18,$D$19,$I$11:$O$25,$D$12,$J$29,$D$20)</f>
        <v>1165.3493751385599</v>
      </c>
      <c r="O62" s="87">
        <f t="shared" si="3"/>
        <v>1683.5839860006099</v>
      </c>
      <c r="P62" s="65"/>
      <c r="R62" s="138"/>
      <c r="S62" s="138"/>
      <c r="Z62" s="138"/>
      <c r="AA62" s="138"/>
      <c r="AB62" s="128"/>
      <c r="AC62" s="128"/>
      <c r="AD62" s="128"/>
      <c r="AE62" s="128"/>
      <c r="AF62" s="128"/>
      <c r="AJ62" s="138"/>
      <c r="AK62" s="138"/>
      <c r="AL62" s="128"/>
      <c r="AM62" s="128"/>
      <c r="AN62" s="128"/>
      <c r="AO62" s="128"/>
      <c r="AP62" s="128"/>
      <c r="AT62" s="138"/>
      <c r="AU62" s="138"/>
      <c r="AV62" s="128"/>
      <c r="AW62" s="128"/>
      <c r="AX62" s="128"/>
      <c r="AY62" s="128"/>
      <c r="AZ62" s="128"/>
      <c r="BD62" s="138"/>
      <c r="BE62" s="138"/>
      <c r="BF62" s="128"/>
      <c r="BG62" s="128"/>
      <c r="BH62" s="128"/>
      <c r="BI62" s="128"/>
      <c r="BJ62" s="128"/>
      <c r="BN62" s="138"/>
      <c r="BO62" s="138"/>
      <c r="BP62" s="128"/>
      <c r="BQ62" s="128"/>
      <c r="BR62" s="128"/>
      <c r="BS62" s="128"/>
      <c r="BT62" s="128"/>
      <c r="BX62" s="138"/>
      <c r="BY62" s="138"/>
      <c r="BZ62" s="128"/>
      <c r="CA62" s="128"/>
      <c r="CB62" s="128"/>
      <c r="CC62" s="128"/>
      <c r="CD62" s="128"/>
      <c r="CH62" s="138"/>
      <c r="CI62" s="138"/>
      <c r="CJ62" s="128"/>
      <c r="CK62" s="128"/>
      <c r="CL62" s="128"/>
      <c r="CM62" s="128"/>
      <c r="CN62" s="128"/>
      <c r="CR62" s="138"/>
      <c r="CS62" s="138"/>
      <c r="CT62" s="128"/>
      <c r="CU62" s="128"/>
      <c r="CV62" s="128"/>
      <c r="CW62" s="128"/>
      <c r="CX62" s="128"/>
      <c r="DB62" s="138"/>
      <c r="DC62" s="138"/>
      <c r="DD62" s="128"/>
      <c r="DE62" s="128"/>
      <c r="DF62" s="128"/>
      <c r="DG62" s="128"/>
      <c r="DH62" s="128"/>
      <c r="DL62" s="138"/>
      <c r="DM62" s="138"/>
      <c r="DN62" s="128"/>
      <c r="DO62" s="128"/>
      <c r="DP62" s="128"/>
      <c r="DQ62" s="128"/>
      <c r="DR62" s="128"/>
      <c r="DV62" s="138"/>
      <c r="DW62" s="138"/>
      <c r="DX62" s="128"/>
      <c r="DY62" s="128"/>
      <c r="DZ62" s="128"/>
      <c r="EA62" s="128"/>
      <c r="EB62" s="128"/>
      <c r="EF62" s="138"/>
      <c r="EG62" s="138"/>
      <c r="EH62" s="128"/>
      <c r="EI62" s="128"/>
      <c r="EJ62" s="128"/>
      <c r="EK62" s="128"/>
      <c r="EL62" s="128"/>
      <c r="EP62" s="138"/>
      <c r="EQ62" s="138"/>
      <c r="ER62" s="128"/>
      <c r="ES62" s="128"/>
      <c r="ET62" s="128"/>
      <c r="EU62" s="128"/>
      <c r="EV62" s="128"/>
      <c r="EZ62" s="138"/>
      <c r="FA62" s="138"/>
      <c r="FB62" s="128"/>
      <c r="FC62" s="128"/>
      <c r="FD62" s="128"/>
      <c r="FE62" s="128"/>
      <c r="FF62" s="128"/>
      <c r="FJ62" s="138"/>
      <c r="FK62" s="138"/>
      <c r="FL62" s="128"/>
      <c r="FM62" s="128"/>
      <c r="FN62" s="128"/>
      <c r="FO62" s="128"/>
      <c r="FP62" s="128"/>
      <c r="FT62" s="138"/>
      <c r="FU62" s="138"/>
      <c r="FV62" s="128"/>
      <c r="FW62" s="128"/>
      <c r="FX62" s="128"/>
      <c r="FY62" s="128"/>
      <c r="FZ62" s="128"/>
      <c r="GD62" s="138"/>
      <c r="GE62" s="138"/>
      <c r="GF62" s="128"/>
      <c r="GG62" s="128"/>
      <c r="GH62" s="128"/>
      <c r="GI62" s="128"/>
      <c r="GJ62" s="128"/>
      <c r="GN62" s="138"/>
      <c r="GO62" s="138"/>
      <c r="GP62" s="128"/>
      <c r="GQ62" s="128"/>
      <c r="GR62" s="128"/>
      <c r="GS62" s="128"/>
      <c r="GT62" s="128"/>
      <c r="GX62" s="138"/>
      <c r="GY62" s="138"/>
      <c r="GZ62" s="128"/>
      <c r="HA62" s="128"/>
      <c r="HB62" s="128"/>
      <c r="HC62" s="128"/>
      <c r="HD62" s="128"/>
      <c r="HH62" s="138"/>
      <c r="HI62" s="138"/>
      <c r="HJ62" s="128"/>
      <c r="HK62" s="128"/>
      <c r="HL62" s="128"/>
      <c r="HM62" s="128"/>
      <c r="HN62" s="128"/>
      <c r="HR62" s="138"/>
      <c r="HS62" s="138"/>
      <c r="HT62" s="128"/>
      <c r="HU62" s="128"/>
      <c r="HV62" s="128"/>
      <c r="HW62" s="128"/>
      <c r="HX62" s="128"/>
      <c r="IB62" s="138"/>
      <c r="IC62" s="138"/>
      <c r="ID62" s="128"/>
      <c r="IE62" s="128"/>
      <c r="IF62" s="128"/>
      <c r="IG62" s="128"/>
      <c r="IH62" s="128"/>
      <c r="IL62" s="138"/>
      <c r="IM62" s="138"/>
      <c r="IN62" s="128"/>
      <c r="IO62" s="128"/>
      <c r="IP62" s="128"/>
      <c r="IQ62" s="128"/>
      <c r="IR62" s="128"/>
      <c r="IV62" s="138"/>
      <c r="IW62" s="138"/>
      <c r="IX62" s="128"/>
      <c r="IY62" s="128"/>
      <c r="IZ62" s="128"/>
      <c r="JA62" s="128"/>
      <c r="JB62" s="128"/>
      <c r="JF62" s="138"/>
      <c r="JG62" s="138"/>
      <c r="JH62" s="128"/>
      <c r="JI62" s="128"/>
      <c r="JJ62" s="128"/>
      <c r="JK62" s="128"/>
      <c r="JL62" s="128"/>
      <c r="JP62" s="138"/>
      <c r="JQ62" s="138"/>
      <c r="JR62" s="128"/>
      <c r="JS62" s="128"/>
      <c r="JT62" s="128"/>
      <c r="JU62" s="128"/>
      <c r="JV62" s="128"/>
      <c r="JZ62" s="138"/>
      <c r="KA62" s="138"/>
      <c r="KB62" s="128"/>
      <c r="KC62" s="128"/>
      <c r="KD62" s="128"/>
      <c r="KE62" s="128"/>
      <c r="KF62" s="128"/>
      <c r="KJ62" s="138"/>
      <c r="KK62" s="138"/>
    </row>
    <row r="63" spans="1:297">
      <c r="A63" s="87">
        <f t="shared" si="1"/>
        <v>26</v>
      </c>
      <c r="B63" s="83">
        <f>_xll.flu_SPT2025($D$10,$D$13,$D$14,$D$23,$D$16,$D$17,$I$11:$J$25,$R$19:$S$108,FALSE,FALSE,"Cao độ",A63,$D$18)</f>
        <v>23</v>
      </c>
      <c r="C63" s="87" t="str">
        <f>IF(B63="","",_xll.TimTenLoaiDat(B63,$G$11:$I$25))</f>
        <v>Lớp 5</v>
      </c>
      <c r="D63" s="87" t="str">
        <f>IF(B63="","",_xll.TimTinhChatDat(B63,$I$11:$J$25))</f>
        <v>Đất rời</v>
      </c>
      <c r="E63" s="95">
        <f>IF(B63="","",_xll.NoiSuySPT(B63,$R$19:$S$108,$D$17,$D$13,0,0))</f>
        <v>14.4</v>
      </c>
      <c r="F63" s="125">
        <f>IF(B63="","",_xll.qbEQ_SPT2025($D$10,$D$13,$D$14,B63,$D$17,$I$11:$J$25,$R$19:$S$108,$D$19,$I$11:$O$25,$D$12,"ganmaqb",$D$20))</f>
        <v>0.39276</v>
      </c>
      <c r="G63" s="95">
        <f>IF(B63="","",IF(D63="Đất dính","-",_xll.qbEQ_SPT2025($D$10,$D$13,$D$14,B63,$D$17,$I$11:$J$25,$R$19:$S$108,$D$19,$I$11:$O$25,$D$12,"",$D$20)))</f>
        <v>678.68928000000005</v>
      </c>
      <c r="H63" s="95" t="str">
        <f>IF(B63="","",IF(D63="Đất dính",_xll.qbEQ_SPT2025($D$10,$D$13,$D$14,B63,$D$17,$I$11:$J$25,$R$19:$S$108,$D$19,$I$11:$O$25,$D$12,"",$D$20),"-"))</f>
        <v>-</v>
      </c>
      <c r="I63" s="95">
        <f t="shared" si="2"/>
        <v>533.04131402953703</v>
      </c>
      <c r="J63" s="96">
        <f>_xll.flu_SPT2025($D$10,$D$13,$D$14,$D$23,$D$16,$D$17,$I$11:$J$25,$R$19:$S$108,FALSE,FALSE,"Li",A63,$D$18)</f>
        <v>1</v>
      </c>
      <c r="K63" s="150">
        <f>IF(B63="","",_xll.fluEQ_SPT2025($D$10,$D$13,$D$14,$D$23,$D$16,$D$17,$I$11:$J$25,$R$19:$S$108,FALSE,FALSE,"ganmafl",A63,$D$18,$D$19,$I$11:$O$25,$D$12,$J$29,$D$20))</f>
        <v>0.48552000000000001</v>
      </c>
      <c r="L63" s="95">
        <f>IF(D63="Đất dính","-",_xll.fluEQ_SPT2025($D$10,$D$13,$D$14,$D$23,$D$16,$D$17,$I$11:$J$25,$R$19:$S$108,FALSE,FALSE,"f",A63,$D$18,$D$19,$I$11:$O$25,$D$12,$J$29,$D$20))</f>
        <v>23.0719104</v>
      </c>
      <c r="M63" s="95" t="str">
        <f>IF(B63="","",IF(D63="Đất dính",_xll.fluEQ_SPT2025($D$10,$D$13,$D$14,$D$23,$D$16,$D$17,$I$11:$J$25,$R$19:$S$108,FALSE,FALSE,"f",A63,$D$18,$D$19,$I$11:$O$25,$D$12,$J$29,$D$20),"-"))</f>
        <v>-</v>
      </c>
      <c r="N63" s="95">
        <f>_xll.fluEQ_SPT2025($D$10,$D$13,$D$14,$D$23,$D$16,$D$17,$I$11:$J$25,$R$19:$S$108,FALSE,FALSE,"flu",A63,$D$18,$D$19,$I$11:$O$25,$D$12,$J$29,$D$20)</f>
        <v>1237.8319193554801</v>
      </c>
      <c r="O63" s="87">
        <f t="shared" si="3"/>
        <v>1770.8732333850201</v>
      </c>
      <c r="P63" s="65"/>
      <c r="R63" s="138"/>
      <c r="S63" s="138"/>
      <c r="Z63" s="138"/>
      <c r="AA63" s="138"/>
      <c r="AB63" s="128"/>
      <c r="AC63" s="128"/>
      <c r="AD63" s="128"/>
      <c r="AE63" s="128"/>
      <c r="AF63" s="128"/>
      <c r="AJ63" s="138"/>
      <c r="AK63" s="138"/>
      <c r="AL63" s="128"/>
      <c r="AM63" s="128"/>
      <c r="AN63" s="128"/>
      <c r="AO63" s="128"/>
      <c r="AP63" s="128"/>
      <c r="AT63" s="138"/>
      <c r="AU63" s="138"/>
      <c r="AV63" s="128"/>
      <c r="AW63" s="128"/>
      <c r="AX63" s="128"/>
      <c r="AY63" s="128"/>
      <c r="AZ63" s="128"/>
      <c r="BD63" s="138"/>
      <c r="BE63" s="138"/>
      <c r="BF63" s="128"/>
      <c r="BG63" s="128"/>
      <c r="BH63" s="128"/>
      <c r="BI63" s="128"/>
      <c r="BJ63" s="128"/>
      <c r="BN63" s="138"/>
      <c r="BO63" s="138"/>
      <c r="BP63" s="128"/>
      <c r="BQ63" s="128"/>
      <c r="BR63" s="128"/>
      <c r="BS63" s="128"/>
      <c r="BT63" s="128"/>
      <c r="BX63" s="138"/>
      <c r="BY63" s="138"/>
      <c r="BZ63" s="128"/>
      <c r="CA63" s="128"/>
      <c r="CB63" s="128"/>
      <c r="CC63" s="128"/>
      <c r="CD63" s="128"/>
      <c r="CH63" s="138"/>
      <c r="CI63" s="138"/>
      <c r="CJ63" s="128"/>
      <c r="CK63" s="128"/>
      <c r="CL63" s="128"/>
      <c r="CM63" s="128"/>
      <c r="CN63" s="128"/>
      <c r="CR63" s="138"/>
      <c r="CS63" s="138"/>
      <c r="CT63" s="128"/>
      <c r="CU63" s="128"/>
      <c r="CV63" s="128"/>
      <c r="CW63" s="128"/>
      <c r="CX63" s="128"/>
      <c r="DB63" s="138"/>
      <c r="DC63" s="138"/>
      <c r="DD63" s="128"/>
      <c r="DE63" s="128"/>
      <c r="DF63" s="128"/>
      <c r="DG63" s="128"/>
      <c r="DH63" s="128"/>
      <c r="DL63" s="138"/>
      <c r="DM63" s="138"/>
      <c r="DN63" s="128"/>
      <c r="DO63" s="128"/>
      <c r="DP63" s="128"/>
      <c r="DQ63" s="128"/>
      <c r="DR63" s="128"/>
      <c r="DV63" s="138"/>
      <c r="DW63" s="138"/>
      <c r="DX63" s="128"/>
      <c r="DY63" s="128"/>
      <c r="DZ63" s="128"/>
      <c r="EA63" s="128"/>
      <c r="EB63" s="128"/>
      <c r="EF63" s="138"/>
      <c r="EG63" s="138"/>
      <c r="EH63" s="128"/>
      <c r="EI63" s="128"/>
      <c r="EJ63" s="128"/>
      <c r="EK63" s="128"/>
      <c r="EL63" s="128"/>
      <c r="EP63" s="138"/>
      <c r="EQ63" s="138"/>
      <c r="ER63" s="128"/>
      <c r="ES63" s="128"/>
      <c r="ET63" s="128"/>
      <c r="EU63" s="128"/>
      <c r="EV63" s="128"/>
      <c r="EZ63" s="138"/>
      <c r="FA63" s="138"/>
      <c r="FB63" s="128"/>
      <c r="FC63" s="128"/>
      <c r="FD63" s="128"/>
      <c r="FE63" s="128"/>
      <c r="FF63" s="128"/>
      <c r="FJ63" s="138"/>
      <c r="FK63" s="138"/>
      <c r="FL63" s="128"/>
      <c r="FM63" s="128"/>
      <c r="FN63" s="128"/>
      <c r="FO63" s="128"/>
      <c r="FP63" s="128"/>
      <c r="FT63" s="138"/>
      <c r="FU63" s="138"/>
      <c r="FV63" s="128"/>
      <c r="FW63" s="128"/>
      <c r="FX63" s="128"/>
      <c r="FY63" s="128"/>
      <c r="FZ63" s="128"/>
      <c r="GD63" s="138"/>
      <c r="GE63" s="138"/>
      <c r="GF63" s="128"/>
      <c r="GG63" s="128"/>
      <c r="GH63" s="128"/>
      <c r="GI63" s="128"/>
      <c r="GJ63" s="128"/>
      <c r="GN63" s="138"/>
      <c r="GO63" s="138"/>
      <c r="GP63" s="128"/>
      <c r="GQ63" s="128"/>
      <c r="GR63" s="128"/>
      <c r="GS63" s="128"/>
      <c r="GT63" s="128"/>
      <c r="GX63" s="138"/>
      <c r="GY63" s="138"/>
      <c r="GZ63" s="128"/>
      <c r="HA63" s="128"/>
      <c r="HB63" s="128"/>
      <c r="HC63" s="128"/>
      <c r="HD63" s="128"/>
      <c r="HH63" s="138"/>
      <c r="HI63" s="138"/>
      <c r="HJ63" s="128"/>
      <c r="HK63" s="128"/>
      <c r="HL63" s="128"/>
      <c r="HM63" s="128"/>
      <c r="HN63" s="128"/>
      <c r="HR63" s="138"/>
      <c r="HS63" s="138"/>
      <c r="HT63" s="128"/>
      <c r="HU63" s="128"/>
      <c r="HV63" s="128"/>
      <c r="HW63" s="128"/>
      <c r="HX63" s="128"/>
      <c r="IB63" s="138"/>
      <c r="IC63" s="138"/>
      <c r="ID63" s="128"/>
      <c r="IE63" s="128"/>
      <c r="IF63" s="128"/>
      <c r="IG63" s="128"/>
      <c r="IH63" s="128"/>
      <c r="IL63" s="138"/>
      <c r="IM63" s="138"/>
      <c r="IN63" s="128"/>
      <c r="IO63" s="128"/>
      <c r="IP63" s="128"/>
      <c r="IQ63" s="128"/>
      <c r="IR63" s="128"/>
      <c r="IV63" s="138"/>
      <c r="IW63" s="138"/>
      <c r="IX63" s="128"/>
      <c r="IY63" s="128"/>
      <c r="IZ63" s="128"/>
      <c r="JA63" s="128"/>
      <c r="JB63" s="128"/>
      <c r="JF63" s="138"/>
      <c r="JG63" s="138"/>
      <c r="JH63" s="128"/>
      <c r="JI63" s="128"/>
      <c r="JJ63" s="128"/>
      <c r="JK63" s="128"/>
      <c r="JL63" s="128"/>
      <c r="JP63" s="138"/>
      <c r="JQ63" s="138"/>
      <c r="JR63" s="128"/>
      <c r="JS63" s="128"/>
      <c r="JT63" s="128"/>
      <c r="JU63" s="128"/>
      <c r="JV63" s="128"/>
      <c r="JZ63" s="138"/>
      <c r="KA63" s="138"/>
      <c r="KB63" s="128"/>
      <c r="KC63" s="128"/>
      <c r="KD63" s="128"/>
      <c r="KE63" s="128"/>
      <c r="KF63" s="128"/>
      <c r="KJ63" s="138"/>
      <c r="KK63" s="138"/>
    </row>
    <row r="64" spans="1:297">
      <c r="A64" s="87">
        <f t="shared" si="1"/>
        <v>27</v>
      </c>
      <c r="B64" s="83">
        <f>_xll.flu_SPT2025($D$10,$D$13,$D$14,$D$23,$D$16,$D$17,$I$11:$J$25,$R$19:$S$108,FALSE,FALSE,"Cao độ",A64,$D$18)</f>
        <v>24</v>
      </c>
      <c r="C64" s="87" t="str">
        <f>IF(B64="","",_xll.TimTenLoaiDat(B64,$G$11:$I$25))</f>
        <v>Lớp 5</v>
      </c>
      <c r="D64" s="87" t="str">
        <f>IF(B64="","",_xll.TimTinhChatDat(B64,$I$11:$J$25))</f>
        <v>Đất rời</v>
      </c>
      <c r="E64" s="95">
        <f>IF(B64="","",_xll.NoiSuySPT(B64,$R$19:$S$108,$D$17,$D$13,0,0))</f>
        <v>14.9</v>
      </c>
      <c r="F64" s="125">
        <f>IF(B64="","",_xll.qbEQ_SPT2025($D$10,$D$13,$D$14,B64,$D$17,$I$11:$J$25,$R$19:$S$108,$D$19,$I$11:$O$25,$D$12,"ganmaqb",$D$20))</f>
        <v>0.39276</v>
      </c>
      <c r="G64" s="95">
        <f>IF(B64="","",IF(D64="Đất dính","-",_xll.qbEQ_SPT2025($D$10,$D$13,$D$14,B64,$D$17,$I$11:$J$25,$R$19:$S$108,$D$19,$I$11:$O$25,$D$12,"",$D$20)))</f>
        <v>702.25487999999996</v>
      </c>
      <c r="H64" s="95" t="str">
        <f>IF(B64="","",IF(D64="Đất dính",_xll.qbEQ_SPT2025($D$10,$D$13,$D$14,B64,$D$17,$I$11:$J$25,$R$19:$S$108,$D$19,$I$11:$O$25,$D$12,"",$D$20),"-"))</f>
        <v>-</v>
      </c>
      <c r="I64" s="95">
        <f t="shared" si="2"/>
        <v>551.549692988895</v>
      </c>
      <c r="J64" s="96">
        <f>_xll.flu_SPT2025($D$10,$D$13,$D$14,$D$23,$D$16,$D$17,$I$11:$J$25,$R$19:$S$108,FALSE,FALSE,"Li",A64,$D$18)</f>
        <v>1</v>
      </c>
      <c r="K64" s="150">
        <f>IF(B64="","",_xll.fluEQ_SPT2025($D$10,$D$13,$D$14,$D$23,$D$16,$D$17,$I$11:$J$25,$R$19:$S$108,FALSE,FALSE,"ganmafl",A64,$D$18,$D$19,$I$11:$O$25,$D$12,$J$29,$D$20))</f>
        <v>0.48552000000000001</v>
      </c>
      <c r="L64" s="95">
        <f>IF(D64="Đất dính","-",_xll.fluEQ_SPT2025($D$10,$D$13,$D$14,$D$23,$D$16,$D$17,$I$11:$J$25,$R$19:$S$108,FALSE,FALSE,"f",A64,$D$18,$D$19,$I$11:$O$25,$D$12,$J$29,$D$20))</f>
        <v>23.873018399999999</v>
      </c>
      <c r="M64" s="95" t="str">
        <f>IF(B64="","",IF(D64="Đất dính",_xll.fluEQ_SPT2025($D$10,$D$13,$D$14,$D$23,$D$16,$D$17,$I$11:$J$25,$R$19:$S$108,FALSE,FALSE,"f",A64,$D$18,$D$19,$I$11:$O$25,$D$12,$J$29,$D$20),"-"))</f>
        <v>-</v>
      </c>
      <c r="N64" s="95">
        <f>_xll.fluEQ_SPT2025($D$10,$D$13,$D$14,$D$23,$D$16,$D$17,$I$11:$J$25,$R$19:$S$108,FALSE,FALSE,"flu",A64,$D$18,$D$19,$I$11:$O$25,$D$12,$J$29,$D$20)</f>
        <v>1312.83121857993</v>
      </c>
      <c r="O64" s="87">
        <f t="shared" si="3"/>
        <v>1864.38091156883</v>
      </c>
      <c r="P64" s="65"/>
      <c r="R64" s="138"/>
      <c r="S64" s="138"/>
      <c r="Z64" s="138"/>
      <c r="AA64" s="138"/>
      <c r="AB64" s="128"/>
      <c r="AC64" s="128"/>
      <c r="AD64" s="128"/>
      <c r="AE64" s="128"/>
      <c r="AF64" s="128"/>
      <c r="AJ64" s="138"/>
      <c r="AK64" s="138"/>
      <c r="AL64" s="128"/>
      <c r="AM64" s="128"/>
      <c r="AN64" s="128"/>
      <c r="AO64" s="128"/>
      <c r="AP64" s="128"/>
      <c r="AT64" s="138"/>
      <c r="AU64" s="138"/>
      <c r="AV64" s="128"/>
      <c r="AW64" s="128"/>
      <c r="AX64" s="128"/>
      <c r="AY64" s="128"/>
      <c r="AZ64" s="128"/>
      <c r="BD64" s="138"/>
      <c r="BE64" s="138"/>
      <c r="BF64" s="128"/>
      <c r="BG64" s="128"/>
      <c r="BH64" s="128"/>
      <c r="BI64" s="128"/>
      <c r="BJ64" s="128"/>
      <c r="BN64" s="138"/>
      <c r="BO64" s="138"/>
      <c r="BP64" s="128"/>
      <c r="BQ64" s="128"/>
      <c r="BR64" s="128"/>
      <c r="BS64" s="128"/>
      <c r="BT64" s="128"/>
      <c r="BX64" s="138"/>
      <c r="BY64" s="138"/>
      <c r="BZ64" s="128"/>
      <c r="CA64" s="128"/>
      <c r="CB64" s="128"/>
      <c r="CC64" s="128"/>
      <c r="CD64" s="128"/>
      <c r="CH64" s="138"/>
      <c r="CI64" s="138"/>
      <c r="CJ64" s="128"/>
      <c r="CK64" s="128"/>
      <c r="CL64" s="128"/>
      <c r="CM64" s="128"/>
      <c r="CN64" s="128"/>
      <c r="CR64" s="138"/>
      <c r="CS64" s="138"/>
      <c r="CT64" s="128"/>
      <c r="CU64" s="128"/>
      <c r="CV64" s="128"/>
      <c r="CW64" s="128"/>
      <c r="CX64" s="128"/>
      <c r="DB64" s="138"/>
      <c r="DC64" s="138"/>
      <c r="DD64" s="128"/>
      <c r="DE64" s="128"/>
      <c r="DF64" s="128"/>
      <c r="DG64" s="128"/>
      <c r="DH64" s="128"/>
      <c r="DL64" s="138"/>
      <c r="DM64" s="138"/>
      <c r="DN64" s="128"/>
      <c r="DO64" s="128"/>
      <c r="DP64" s="128"/>
      <c r="DQ64" s="128"/>
      <c r="DR64" s="128"/>
      <c r="DV64" s="138"/>
      <c r="DW64" s="138"/>
      <c r="DX64" s="128"/>
      <c r="DY64" s="128"/>
      <c r="DZ64" s="128"/>
      <c r="EA64" s="128"/>
      <c r="EB64" s="128"/>
      <c r="EF64" s="138"/>
      <c r="EG64" s="138"/>
      <c r="EH64" s="128"/>
      <c r="EI64" s="128"/>
      <c r="EJ64" s="128"/>
      <c r="EK64" s="128"/>
      <c r="EL64" s="128"/>
      <c r="EP64" s="138"/>
      <c r="EQ64" s="138"/>
      <c r="ER64" s="128"/>
      <c r="ES64" s="128"/>
      <c r="ET64" s="128"/>
      <c r="EU64" s="128"/>
      <c r="EV64" s="128"/>
      <c r="EZ64" s="138"/>
      <c r="FA64" s="138"/>
      <c r="FB64" s="128"/>
      <c r="FC64" s="128"/>
      <c r="FD64" s="128"/>
      <c r="FE64" s="128"/>
      <c r="FF64" s="128"/>
      <c r="FJ64" s="138"/>
      <c r="FK64" s="138"/>
      <c r="FL64" s="128"/>
      <c r="FM64" s="128"/>
      <c r="FN64" s="128"/>
      <c r="FO64" s="128"/>
      <c r="FP64" s="128"/>
      <c r="FT64" s="138"/>
      <c r="FU64" s="138"/>
      <c r="FV64" s="128"/>
      <c r="FW64" s="128"/>
      <c r="FX64" s="128"/>
      <c r="FY64" s="128"/>
      <c r="FZ64" s="128"/>
      <c r="GD64" s="138"/>
      <c r="GE64" s="138"/>
      <c r="GF64" s="128"/>
      <c r="GG64" s="128"/>
      <c r="GH64" s="128"/>
      <c r="GI64" s="128"/>
      <c r="GJ64" s="128"/>
      <c r="GN64" s="138"/>
      <c r="GO64" s="138"/>
      <c r="GP64" s="128"/>
      <c r="GQ64" s="128"/>
      <c r="GR64" s="128"/>
      <c r="GS64" s="128"/>
      <c r="GT64" s="128"/>
      <c r="GX64" s="138"/>
      <c r="GY64" s="138"/>
      <c r="GZ64" s="128"/>
      <c r="HA64" s="128"/>
      <c r="HB64" s="128"/>
      <c r="HC64" s="128"/>
      <c r="HD64" s="128"/>
      <c r="HH64" s="138"/>
      <c r="HI64" s="138"/>
      <c r="HJ64" s="128"/>
      <c r="HK64" s="128"/>
      <c r="HL64" s="128"/>
      <c r="HM64" s="128"/>
      <c r="HN64" s="128"/>
      <c r="HR64" s="138"/>
      <c r="HS64" s="138"/>
      <c r="HT64" s="128"/>
      <c r="HU64" s="128"/>
      <c r="HV64" s="128"/>
      <c r="HW64" s="128"/>
      <c r="HX64" s="128"/>
      <c r="IB64" s="138"/>
      <c r="IC64" s="138"/>
      <c r="ID64" s="128"/>
      <c r="IE64" s="128"/>
      <c r="IF64" s="128"/>
      <c r="IG64" s="128"/>
      <c r="IH64" s="128"/>
      <c r="IL64" s="138"/>
      <c r="IM64" s="138"/>
      <c r="IN64" s="128"/>
      <c r="IO64" s="128"/>
      <c r="IP64" s="128"/>
      <c r="IQ64" s="128"/>
      <c r="IR64" s="128"/>
      <c r="IV64" s="138"/>
      <c r="IW64" s="138"/>
      <c r="IX64" s="128"/>
      <c r="IY64" s="128"/>
      <c r="IZ64" s="128"/>
      <c r="JA64" s="128"/>
      <c r="JB64" s="128"/>
      <c r="JF64" s="138"/>
      <c r="JG64" s="138"/>
      <c r="JH64" s="128"/>
      <c r="JI64" s="128"/>
      <c r="JJ64" s="128"/>
      <c r="JK64" s="128"/>
      <c r="JL64" s="128"/>
      <c r="JP64" s="138"/>
      <c r="JQ64" s="138"/>
      <c r="JR64" s="128"/>
      <c r="JS64" s="128"/>
      <c r="JT64" s="128"/>
      <c r="JU64" s="128"/>
      <c r="JV64" s="128"/>
      <c r="JZ64" s="138"/>
      <c r="KA64" s="138"/>
      <c r="KB64" s="128"/>
      <c r="KC64" s="128"/>
      <c r="KD64" s="128"/>
      <c r="KE64" s="128"/>
      <c r="KF64" s="128"/>
      <c r="KJ64" s="138"/>
      <c r="KK64" s="138"/>
    </row>
    <row r="65" spans="1:297">
      <c r="A65" s="87">
        <f t="shared" si="1"/>
        <v>28</v>
      </c>
      <c r="B65" s="83">
        <f>_xll.flu_SPT2025($D$10,$D$13,$D$14,$D$23,$D$16,$D$17,$I$11:$J$25,$R$19:$S$108,FALSE,FALSE,"Cao độ",A65,$D$18)</f>
        <v>25</v>
      </c>
      <c r="C65" s="87" t="str">
        <f>IF(B65="","",_xll.TimTenLoaiDat(B65,$G$11:$I$25))</f>
        <v>Lớp 5</v>
      </c>
      <c r="D65" s="87" t="str">
        <f>IF(B65="","",_xll.TimTinhChatDat(B65,$I$11:$J$25))</f>
        <v>Đất rời</v>
      </c>
      <c r="E65" s="95">
        <f>IF(B65="","",_xll.NoiSuySPT(B65,$R$19:$S$108,$D$17,$D$13,0,0))</f>
        <v>15</v>
      </c>
      <c r="F65" s="125">
        <f>IF(B65="","",_xll.qbEQ_SPT2025($D$10,$D$13,$D$14,B65,$D$17,$I$11:$J$25,$R$19:$S$108,$D$19,$I$11:$O$25,$D$12,"ganmaqb",$D$20))</f>
        <v>0.39276</v>
      </c>
      <c r="G65" s="95">
        <f>IF(B65="","",IF(D65="Đất dính","-",_xll.qbEQ_SPT2025($D$10,$D$13,$D$14,B65,$D$17,$I$11:$J$25,$R$19:$S$108,$D$19,$I$11:$O$25,$D$12,"",$D$20)))</f>
        <v>706.96799999999996</v>
      </c>
      <c r="H65" s="95" t="str">
        <f>IF(B65="","",IF(D65="Đất dính",_xll.qbEQ_SPT2025($D$10,$D$13,$D$14,B65,$D$17,$I$11:$J$25,$R$19:$S$108,$D$19,$I$11:$O$25,$D$12,"",$D$20),"-"))</f>
        <v>-</v>
      </c>
      <c r="I65" s="95">
        <f t="shared" si="2"/>
        <v>555.25136878076705</v>
      </c>
      <c r="J65" s="96">
        <f>_xll.flu_SPT2025($D$10,$D$13,$D$14,$D$23,$D$16,$D$17,$I$11:$J$25,$R$19:$S$108,FALSE,FALSE,"Li",A65,$D$18)</f>
        <v>1</v>
      </c>
      <c r="K65" s="150">
        <f>IF(B65="","",_xll.fluEQ_SPT2025($D$10,$D$13,$D$14,$D$23,$D$16,$D$17,$I$11:$J$25,$R$19:$S$108,FALSE,FALSE,"ganmafl",A65,$D$18,$D$19,$I$11:$O$25,$D$12,$J$29,$D$20))</f>
        <v>0.48552000000000001</v>
      </c>
      <c r="L65" s="95">
        <f>IF(D65="Đất dính","-",_xll.fluEQ_SPT2025($D$10,$D$13,$D$14,$D$23,$D$16,$D$17,$I$11:$J$25,$R$19:$S$108,FALSE,FALSE,"f",A65,$D$18,$D$19,$I$11:$O$25,$D$12,$J$29,$D$20))</f>
        <v>24.033239999999999</v>
      </c>
      <c r="M65" s="95" t="str">
        <f>IF(B65="","",IF(D65="Đất dính",_xll.fluEQ_SPT2025($D$10,$D$13,$D$14,$D$23,$D$16,$D$17,$I$11:$J$25,$R$19:$S$108,FALSE,FALSE,"f",A65,$D$18,$D$19,$I$11:$O$25,$D$12,$J$29,$D$20),"-"))</f>
        <v>-</v>
      </c>
      <c r="N65" s="95">
        <f>_xll.fluEQ_SPT2025($D$10,$D$13,$D$14,$D$23,$D$16,$D$17,$I$11:$J$25,$R$19:$S$108,FALSE,FALSE,"flu",A65,$D$18,$D$19,$I$11:$O$25,$D$12,$J$29,$D$20)</f>
        <v>1388.33386880589</v>
      </c>
      <c r="O65" s="87">
        <f t="shared" si="3"/>
        <v>1943.58523758666</v>
      </c>
      <c r="P65" s="65"/>
      <c r="R65" s="138"/>
      <c r="S65" s="138"/>
      <c r="Z65" s="138"/>
      <c r="AA65" s="138"/>
      <c r="AB65" s="128"/>
      <c r="AC65" s="128"/>
      <c r="AD65" s="128"/>
      <c r="AE65" s="128"/>
      <c r="AF65" s="128"/>
      <c r="AJ65" s="138"/>
      <c r="AK65" s="138"/>
      <c r="AL65" s="128"/>
      <c r="AM65" s="128"/>
      <c r="AN65" s="128"/>
      <c r="AO65" s="128"/>
      <c r="AP65" s="128"/>
      <c r="AT65" s="138"/>
      <c r="AU65" s="138"/>
      <c r="AV65" s="128"/>
      <c r="AW65" s="128"/>
      <c r="AX65" s="128"/>
      <c r="AY65" s="128"/>
      <c r="AZ65" s="128"/>
      <c r="BD65" s="138"/>
      <c r="BE65" s="138"/>
      <c r="BF65" s="128"/>
      <c r="BG65" s="128"/>
      <c r="BH65" s="128"/>
      <c r="BI65" s="128"/>
      <c r="BJ65" s="128"/>
      <c r="BN65" s="138"/>
      <c r="BO65" s="138"/>
      <c r="BP65" s="128"/>
      <c r="BQ65" s="128"/>
      <c r="BR65" s="128"/>
      <c r="BS65" s="128"/>
      <c r="BT65" s="128"/>
      <c r="BX65" s="138"/>
      <c r="BY65" s="138"/>
      <c r="BZ65" s="128"/>
      <c r="CA65" s="128"/>
      <c r="CB65" s="128"/>
      <c r="CC65" s="128"/>
      <c r="CD65" s="128"/>
      <c r="CH65" s="138"/>
      <c r="CI65" s="138"/>
      <c r="CJ65" s="128"/>
      <c r="CK65" s="128"/>
      <c r="CL65" s="128"/>
      <c r="CM65" s="128"/>
      <c r="CN65" s="128"/>
      <c r="CR65" s="138"/>
      <c r="CS65" s="138"/>
      <c r="CT65" s="128"/>
      <c r="CU65" s="128"/>
      <c r="CV65" s="128"/>
      <c r="CW65" s="128"/>
      <c r="CX65" s="128"/>
      <c r="DB65" s="138"/>
      <c r="DC65" s="138"/>
      <c r="DD65" s="128"/>
      <c r="DE65" s="128"/>
      <c r="DF65" s="128"/>
      <c r="DG65" s="128"/>
      <c r="DH65" s="128"/>
      <c r="DL65" s="138"/>
      <c r="DM65" s="138"/>
      <c r="DN65" s="128"/>
      <c r="DO65" s="128"/>
      <c r="DP65" s="128"/>
      <c r="DQ65" s="128"/>
      <c r="DR65" s="128"/>
      <c r="DV65" s="138"/>
      <c r="DW65" s="138"/>
      <c r="DX65" s="128"/>
      <c r="DY65" s="128"/>
      <c r="DZ65" s="128"/>
      <c r="EA65" s="128"/>
      <c r="EB65" s="128"/>
      <c r="EF65" s="138"/>
      <c r="EG65" s="138"/>
      <c r="EH65" s="128"/>
      <c r="EI65" s="128"/>
      <c r="EJ65" s="128"/>
      <c r="EK65" s="128"/>
      <c r="EL65" s="128"/>
      <c r="EP65" s="138"/>
      <c r="EQ65" s="138"/>
      <c r="ER65" s="128"/>
      <c r="ES65" s="128"/>
      <c r="ET65" s="128"/>
      <c r="EU65" s="128"/>
      <c r="EV65" s="128"/>
      <c r="EZ65" s="138"/>
      <c r="FA65" s="138"/>
      <c r="FB65" s="128"/>
      <c r="FC65" s="128"/>
      <c r="FD65" s="128"/>
      <c r="FE65" s="128"/>
      <c r="FF65" s="128"/>
      <c r="FJ65" s="138"/>
      <c r="FK65" s="138"/>
      <c r="FL65" s="128"/>
      <c r="FM65" s="128"/>
      <c r="FN65" s="128"/>
      <c r="FO65" s="128"/>
      <c r="FP65" s="128"/>
      <c r="FT65" s="138"/>
      <c r="FU65" s="138"/>
      <c r="FV65" s="128"/>
      <c r="FW65" s="128"/>
      <c r="FX65" s="128"/>
      <c r="FY65" s="128"/>
      <c r="FZ65" s="128"/>
      <c r="GD65" s="138"/>
      <c r="GE65" s="138"/>
      <c r="GF65" s="128"/>
      <c r="GG65" s="128"/>
      <c r="GH65" s="128"/>
      <c r="GI65" s="128"/>
      <c r="GJ65" s="128"/>
      <c r="GN65" s="138"/>
      <c r="GO65" s="138"/>
      <c r="GP65" s="128"/>
      <c r="GQ65" s="128"/>
      <c r="GR65" s="128"/>
      <c r="GS65" s="128"/>
      <c r="GT65" s="128"/>
      <c r="GX65" s="138"/>
      <c r="GY65" s="138"/>
      <c r="GZ65" s="128"/>
      <c r="HA65" s="128"/>
      <c r="HB65" s="128"/>
      <c r="HC65" s="128"/>
      <c r="HD65" s="128"/>
      <c r="HH65" s="138"/>
      <c r="HI65" s="138"/>
      <c r="HJ65" s="128"/>
      <c r="HK65" s="128"/>
      <c r="HL65" s="128"/>
      <c r="HM65" s="128"/>
      <c r="HN65" s="128"/>
      <c r="HR65" s="138"/>
      <c r="HS65" s="138"/>
      <c r="HT65" s="128"/>
      <c r="HU65" s="128"/>
      <c r="HV65" s="128"/>
      <c r="HW65" s="128"/>
      <c r="HX65" s="128"/>
      <c r="IB65" s="138"/>
      <c r="IC65" s="138"/>
      <c r="ID65" s="128"/>
      <c r="IE65" s="128"/>
      <c r="IF65" s="128"/>
      <c r="IG65" s="128"/>
      <c r="IH65" s="128"/>
      <c r="IL65" s="138"/>
      <c r="IM65" s="138"/>
      <c r="IN65" s="128"/>
      <c r="IO65" s="128"/>
      <c r="IP65" s="128"/>
      <c r="IQ65" s="128"/>
      <c r="IR65" s="128"/>
      <c r="IV65" s="138"/>
      <c r="IW65" s="138"/>
      <c r="IX65" s="128"/>
      <c r="IY65" s="128"/>
      <c r="IZ65" s="128"/>
      <c r="JA65" s="128"/>
      <c r="JB65" s="128"/>
      <c r="JF65" s="138"/>
      <c r="JG65" s="138"/>
      <c r="JH65" s="128"/>
      <c r="JI65" s="128"/>
      <c r="JJ65" s="128"/>
      <c r="JK65" s="128"/>
      <c r="JL65" s="128"/>
      <c r="JP65" s="138"/>
      <c r="JQ65" s="138"/>
      <c r="JR65" s="128"/>
      <c r="JS65" s="128"/>
      <c r="JT65" s="128"/>
      <c r="JU65" s="128"/>
      <c r="JV65" s="128"/>
      <c r="JZ65" s="138"/>
      <c r="KA65" s="138"/>
      <c r="KB65" s="128"/>
      <c r="KC65" s="128"/>
      <c r="KD65" s="128"/>
      <c r="KE65" s="128"/>
      <c r="KF65" s="128"/>
      <c r="KJ65" s="138"/>
      <c r="KK65" s="138"/>
    </row>
    <row r="66" spans="1:297">
      <c r="A66" s="87">
        <f t="shared" si="1"/>
        <v>29</v>
      </c>
      <c r="B66" s="83">
        <f>_xll.flu_SPT2025($D$10,$D$13,$D$14,$D$23,$D$16,$D$17,$I$11:$J$25,$R$19:$S$108,FALSE,FALSE,"Cao độ",A66,$D$18)</f>
        <v>26</v>
      </c>
      <c r="C66" s="87" t="str">
        <f>IF(B66="","",_xll.TimTenLoaiDat(B66,$G$11:$I$25))</f>
        <v>Lớp 5</v>
      </c>
      <c r="D66" s="87" t="str">
        <f>IF(B66="","",_xll.TimTinhChatDat(B66,$I$11:$J$25))</f>
        <v>Đất rời</v>
      </c>
      <c r="E66" s="95">
        <f>IF(B66="","",_xll.NoiSuySPT(B66,$R$19:$S$108,$D$17,$D$13,0,0))</f>
        <v>15</v>
      </c>
      <c r="F66" s="125">
        <f>IF(B66="","",_xll.qbEQ_SPT2025($D$10,$D$13,$D$14,B66,$D$17,$I$11:$J$25,$R$19:$S$108,$D$19,$I$11:$O$25,$D$12,"ganmaqb",$D$20))</f>
        <v>0.39276</v>
      </c>
      <c r="G66" s="95">
        <f>IF(B66="","",IF(D66="Đất dính","-",_xll.qbEQ_SPT2025($D$10,$D$13,$D$14,B66,$D$17,$I$11:$J$25,$R$19:$S$108,$D$19,$I$11:$O$25,$D$12,"",$D$20)))</f>
        <v>706.96799999999996</v>
      </c>
      <c r="H66" s="95" t="str">
        <f>IF(B66="","",IF(D66="Đất dính",_xll.qbEQ_SPT2025($D$10,$D$13,$D$14,B66,$D$17,$I$11:$J$25,$R$19:$S$108,$D$19,$I$11:$O$25,$D$12,"",$D$20),"-"))</f>
        <v>-</v>
      </c>
      <c r="I66" s="95">
        <f t="shared" si="2"/>
        <v>555.25136878076705</v>
      </c>
      <c r="J66" s="96">
        <f>_xll.flu_SPT2025($D$10,$D$13,$D$14,$D$23,$D$16,$D$17,$I$11:$J$25,$R$19:$S$108,FALSE,FALSE,"Li",A66,$D$18)</f>
        <v>1</v>
      </c>
      <c r="K66" s="150">
        <f>IF(B66="","",_xll.fluEQ_SPT2025($D$10,$D$13,$D$14,$D$23,$D$16,$D$17,$I$11:$J$25,$R$19:$S$108,FALSE,FALSE,"ganmafl",A66,$D$18,$D$19,$I$11:$O$25,$D$12,$J$29,$D$20))</f>
        <v>0.48552000000000001</v>
      </c>
      <c r="L66" s="95">
        <f>IF(D66="Đất dính","-",_xll.fluEQ_SPT2025($D$10,$D$13,$D$14,$D$23,$D$16,$D$17,$I$11:$J$25,$R$19:$S$108,FALSE,FALSE,"f",A66,$D$18,$D$19,$I$11:$O$25,$D$12,$J$29,$D$20))</f>
        <v>24.033239999999999</v>
      </c>
      <c r="M66" s="95" t="str">
        <f>IF(B66="","",IF(D66="Đất dính",_xll.fluEQ_SPT2025($D$10,$D$13,$D$14,$D$23,$D$16,$D$17,$I$11:$J$25,$R$19:$S$108,FALSE,FALSE,"f",A66,$D$18,$D$19,$I$11:$O$25,$D$12,$J$29,$D$20),"-"))</f>
        <v>-</v>
      </c>
      <c r="N66" s="95">
        <f>_xll.fluEQ_SPT2025($D$10,$D$13,$D$14,$D$23,$D$16,$D$17,$I$11:$J$25,$R$19:$S$108,FALSE,FALSE,"flu",A66,$D$18,$D$19,$I$11:$O$25,$D$12,$J$29,$D$20)</f>
        <v>1463.83651903185</v>
      </c>
      <c r="O66" s="87">
        <f t="shared" si="3"/>
        <v>2019.08788781262</v>
      </c>
      <c r="P66" s="65"/>
      <c r="R66" s="138"/>
      <c r="S66" s="138"/>
      <c r="Z66" s="138"/>
      <c r="AA66" s="138"/>
      <c r="AB66" s="128"/>
      <c r="AC66" s="128"/>
      <c r="AD66" s="128"/>
      <c r="AE66" s="128"/>
      <c r="AF66" s="128"/>
      <c r="AJ66" s="138"/>
      <c r="AK66" s="138"/>
      <c r="AL66" s="128"/>
      <c r="AM66" s="128"/>
      <c r="AN66" s="128"/>
      <c r="AO66" s="128"/>
      <c r="AP66" s="128"/>
      <c r="AT66" s="138"/>
      <c r="AU66" s="138"/>
      <c r="AV66" s="128"/>
      <c r="AW66" s="128"/>
      <c r="AX66" s="128"/>
      <c r="AY66" s="128"/>
      <c r="AZ66" s="128"/>
      <c r="BD66" s="138"/>
      <c r="BE66" s="138"/>
      <c r="BF66" s="128"/>
      <c r="BG66" s="128"/>
      <c r="BH66" s="128"/>
      <c r="BI66" s="128"/>
      <c r="BJ66" s="128"/>
      <c r="BN66" s="138"/>
      <c r="BO66" s="138"/>
      <c r="BP66" s="128"/>
      <c r="BQ66" s="128"/>
      <c r="BR66" s="128"/>
      <c r="BS66" s="128"/>
      <c r="BT66" s="128"/>
      <c r="BX66" s="138"/>
      <c r="BY66" s="138"/>
      <c r="BZ66" s="128"/>
      <c r="CA66" s="128"/>
      <c r="CB66" s="128"/>
      <c r="CC66" s="128"/>
      <c r="CD66" s="128"/>
      <c r="CH66" s="138"/>
      <c r="CI66" s="138"/>
      <c r="CJ66" s="128"/>
      <c r="CK66" s="128"/>
      <c r="CL66" s="128"/>
      <c r="CM66" s="128"/>
      <c r="CN66" s="128"/>
      <c r="CR66" s="138"/>
      <c r="CS66" s="138"/>
      <c r="CT66" s="128"/>
      <c r="CU66" s="128"/>
      <c r="CV66" s="128"/>
      <c r="CW66" s="128"/>
      <c r="CX66" s="128"/>
      <c r="DB66" s="138"/>
      <c r="DC66" s="138"/>
      <c r="DD66" s="128"/>
      <c r="DE66" s="128"/>
      <c r="DF66" s="128"/>
      <c r="DG66" s="128"/>
      <c r="DH66" s="128"/>
      <c r="DL66" s="138"/>
      <c r="DM66" s="138"/>
      <c r="DN66" s="128"/>
      <c r="DO66" s="128"/>
      <c r="DP66" s="128"/>
      <c r="DQ66" s="128"/>
      <c r="DR66" s="128"/>
      <c r="DV66" s="138"/>
      <c r="DW66" s="138"/>
      <c r="DX66" s="128"/>
      <c r="DY66" s="128"/>
      <c r="DZ66" s="128"/>
      <c r="EA66" s="128"/>
      <c r="EB66" s="128"/>
      <c r="EF66" s="138"/>
      <c r="EG66" s="138"/>
      <c r="EH66" s="128"/>
      <c r="EI66" s="128"/>
      <c r="EJ66" s="128"/>
      <c r="EK66" s="128"/>
      <c r="EL66" s="128"/>
      <c r="EP66" s="138"/>
      <c r="EQ66" s="138"/>
      <c r="ER66" s="128"/>
      <c r="ES66" s="128"/>
      <c r="ET66" s="128"/>
      <c r="EU66" s="128"/>
      <c r="EV66" s="128"/>
      <c r="EZ66" s="138"/>
      <c r="FA66" s="138"/>
      <c r="FB66" s="128"/>
      <c r="FC66" s="128"/>
      <c r="FD66" s="128"/>
      <c r="FE66" s="128"/>
      <c r="FF66" s="128"/>
      <c r="FJ66" s="138"/>
      <c r="FK66" s="138"/>
      <c r="FL66" s="128"/>
      <c r="FM66" s="128"/>
      <c r="FN66" s="128"/>
      <c r="FO66" s="128"/>
      <c r="FP66" s="128"/>
      <c r="FT66" s="138"/>
      <c r="FU66" s="138"/>
      <c r="FV66" s="128"/>
      <c r="FW66" s="128"/>
      <c r="FX66" s="128"/>
      <c r="FY66" s="128"/>
      <c r="FZ66" s="128"/>
      <c r="GD66" s="138"/>
      <c r="GE66" s="138"/>
      <c r="GF66" s="128"/>
      <c r="GG66" s="128"/>
      <c r="GH66" s="128"/>
      <c r="GI66" s="128"/>
      <c r="GJ66" s="128"/>
      <c r="GN66" s="138"/>
      <c r="GO66" s="138"/>
      <c r="GP66" s="128"/>
      <c r="GQ66" s="128"/>
      <c r="GR66" s="128"/>
      <c r="GS66" s="128"/>
      <c r="GT66" s="128"/>
      <c r="GX66" s="138"/>
      <c r="GY66" s="138"/>
      <c r="GZ66" s="128"/>
      <c r="HA66" s="128"/>
      <c r="HB66" s="128"/>
      <c r="HC66" s="128"/>
      <c r="HD66" s="128"/>
      <c r="HH66" s="138"/>
      <c r="HI66" s="138"/>
      <c r="HJ66" s="128"/>
      <c r="HK66" s="128"/>
      <c r="HL66" s="128"/>
      <c r="HM66" s="128"/>
      <c r="HN66" s="128"/>
      <c r="HR66" s="138"/>
      <c r="HS66" s="138"/>
      <c r="HT66" s="128"/>
      <c r="HU66" s="128"/>
      <c r="HV66" s="128"/>
      <c r="HW66" s="128"/>
      <c r="HX66" s="128"/>
      <c r="IB66" s="138"/>
      <c r="IC66" s="138"/>
      <c r="ID66" s="128"/>
      <c r="IE66" s="128"/>
      <c r="IF66" s="128"/>
      <c r="IG66" s="128"/>
      <c r="IH66" s="128"/>
      <c r="IL66" s="138"/>
      <c r="IM66" s="138"/>
      <c r="IN66" s="128"/>
      <c r="IO66" s="128"/>
      <c r="IP66" s="128"/>
      <c r="IQ66" s="128"/>
      <c r="IR66" s="128"/>
      <c r="IV66" s="138"/>
      <c r="IW66" s="138"/>
      <c r="IX66" s="128"/>
      <c r="IY66" s="128"/>
      <c r="IZ66" s="128"/>
      <c r="JA66" s="128"/>
      <c r="JB66" s="128"/>
      <c r="JF66" s="138"/>
      <c r="JG66" s="138"/>
      <c r="JH66" s="128"/>
      <c r="JI66" s="128"/>
      <c r="JJ66" s="128"/>
      <c r="JK66" s="128"/>
      <c r="JL66" s="128"/>
      <c r="JP66" s="138"/>
      <c r="JQ66" s="138"/>
      <c r="JR66" s="128"/>
      <c r="JS66" s="128"/>
      <c r="JT66" s="128"/>
      <c r="JU66" s="128"/>
      <c r="JV66" s="128"/>
      <c r="JZ66" s="138"/>
      <c r="KA66" s="138"/>
      <c r="KB66" s="128"/>
      <c r="KC66" s="128"/>
      <c r="KD66" s="128"/>
      <c r="KE66" s="128"/>
      <c r="KF66" s="128"/>
      <c r="KJ66" s="138"/>
      <c r="KK66" s="138"/>
    </row>
    <row r="67" spans="1:297">
      <c r="A67" s="87">
        <f t="shared" si="1"/>
        <v>30</v>
      </c>
      <c r="B67" s="83">
        <f>_xll.flu_SPT2025($D$10,$D$13,$D$14,$D$23,$D$16,$D$17,$I$11:$J$25,$R$19:$S$108,FALSE,FALSE,"Cao độ",A67,$D$18)</f>
        <v>27</v>
      </c>
      <c r="C67" s="87" t="str">
        <f>IF(B67="","",_xll.TimTenLoaiDat(B67,$G$11:$I$25))</f>
        <v>Lớp 6</v>
      </c>
      <c r="D67" s="87" t="str">
        <f>IF(B67="","",_xll.TimTinhChatDat(B67,$I$11:$J$25))</f>
        <v>Đất rời</v>
      </c>
      <c r="E67" s="95">
        <f>IF(B67="","",_xll.NoiSuySPT(B67,$R$19:$S$108,$D$17,$D$13,0,0))</f>
        <v>17</v>
      </c>
      <c r="F67" s="125">
        <f>IF(B67="","",_xll.qbEQ_SPT2025($D$10,$D$13,$D$14,B67,$D$17,$I$11:$J$25,$R$19:$S$108,$D$19,$I$11:$O$25,$D$12,"ganmaqb",$D$20))</f>
        <v>0.39276</v>
      </c>
      <c r="G67" s="95">
        <f>IF(B67="","",IF(D67="Đất dính","-",_xll.qbEQ_SPT2025($D$10,$D$13,$D$14,B67,$D$17,$I$11:$J$25,$R$19:$S$108,$D$19,$I$11:$O$25,$D$12,"",$D$20)))</f>
        <v>801.23040000000003</v>
      </c>
      <c r="H67" s="95" t="str">
        <f>IF(B67="","",IF(D67="Đất dính",_xll.qbEQ_SPT2025($D$10,$D$13,$D$14,B67,$D$17,$I$11:$J$25,$R$19:$S$108,$D$19,$I$11:$O$25,$D$12,"",$D$20),"-"))</f>
        <v>-</v>
      </c>
      <c r="I67" s="95">
        <f t="shared" si="2"/>
        <v>629.28488461820302</v>
      </c>
      <c r="J67" s="96">
        <f>_xll.flu_SPT2025($D$10,$D$13,$D$14,$D$23,$D$16,$D$17,$I$11:$J$25,$R$19:$S$108,FALSE,FALSE,"Li",A67,$D$18)</f>
        <v>1</v>
      </c>
      <c r="K67" s="150">
        <f>IF(B67="","",_xll.fluEQ_SPT2025($D$10,$D$13,$D$14,$D$23,$D$16,$D$17,$I$11:$J$25,$R$19:$S$108,FALSE,FALSE,"ganmafl",A67,$D$18,$D$19,$I$11:$O$25,$D$12,$J$29,$D$20))</f>
        <v>0.48552000000000001</v>
      </c>
      <c r="L67" s="95">
        <f>IF(D67="Đất dính","-",_xll.fluEQ_SPT2025($D$10,$D$13,$D$14,$D$23,$D$16,$D$17,$I$11:$J$25,$R$19:$S$108,FALSE,FALSE,"f",A67,$D$18,$D$19,$I$11:$O$25,$D$12,$J$29,$D$20))</f>
        <v>27.237672</v>
      </c>
      <c r="M67" s="95" t="str">
        <f>IF(B67="","",IF(D67="Đất dính",_xll.fluEQ_SPT2025($D$10,$D$13,$D$14,$D$23,$D$16,$D$17,$I$11:$J$25,$R$19:$S$108,FALSE,FALSE,"f",A67,$D$18,$D$19,$I$11:$O$25,$D$12,$J$29,$D$20),"-"))</f>
        <v>-</v>
      </c>
      <c r="N67" s="95">
        <f>_xll.fluEQ_SPT2025($D$10,$D$13,$D$14,$D$23,$D$16,$D$17,$I$11:$J$25,$R$19:$S$108,FALSE,FALSE,"flu",A67,$D$18,$D$19,$I$11:$O$25,$D$12,$J$29,$D$20)</f>
        <v>1549.4061892879399</v>
      </c>
      <c r="O67" s="87">
        <f t="shared" si="3"/>
        <v>2178.69107390615</v>
      </c>
      <c r="P67" s="65"/>
      <c r="R67" s="138"/>
      <c r="S67" s="138"/>
      <c r="Z67" s="138"/>
      <c r="AA67" s="138"/>
      <c r="AB67" s="128"/>
      <c r="AC67" s="128"/>
      <c r="AD67" s="128"/>
      <c r="AE67" s="128"/>
      <c r="AF67" s="128"/>
      <c r="AJ67" s="138"/>
      <c r="AK67" s="138"/>
      <c r="AL67" s="128"/>
      <c r="AM67" s="128"/>
      <c r="AN67" s="128"/>
      <c r="AO67" s="128"/>
      <c r="AP67" s="128"/>
      <c r="AT67" s="138"/>
      <c r="AU67" s="138"/>
      <c r="AV67" s="128"/>
      <c r="AW67" s="128"/>
      <c r="AX67" s="128"/>
      <c r="AY67" s="128"/>
      <c r="AZ67" s="128"/>
      <c r="BD67" s="138"/>
      <c r="BE67" s="138"/>
      <c r="BF67" s="128"/>
      <c r="BG67" s="128"/>
      <c r="BH67" s="128"/>
      <c r="BI67" s="128"/>
      <c r="BJ67" s="128"/>
      <c r="BN67" s="138"/>
      <c r="BO67" s="138"/>
      <c r="BP67" s="128"/>
      <c r="BQ67" s="128"/>
      <c r="BR67" s="128"/>
      <c r="BS67" s="128"/>
      <c r="BT67" s="128"/>
      <c r="BX67" s="138"/>
      <c r="BY67" s="138"/>
      <c r="BZ67" s="128"/>
      <c r="CA67" s="128"/>
      <c r="CB67" s="128"/>
      <c r="CC67" s="128"/>
      <c r="CD67" s="128"/>
      <c r="CH67" s="138"/>
      <c r="CI67" s="138"/>
      <c r="CJ67" s="128"/>
      <c r="CK67" s="128"/>
      <c r="CL67" s="128"/>
      <c r="CM67" s="128"/>
      <c r="CN67" s="128"/>
      <c r="CR67" s="138"/>
      <c r="CS67" s="138"/>
      <c r="CT67" s="128"/>
      <c r="CU67" s="128"/>
      <c r="CV67" s="128"/>
      <c r="CW67" s="128"/>
      <c r="CX67" s="128"/>
      <c r="DB67" s="138"/>
      <c r="DC67" s="138"/>
      <c r="DD67" s="128"/>
      <c r="DE67" s="128"/>
      <c r="DF67" s="128"/>
      <c r="DG67" s="128"/>
      <c r="DH67" s="128"/>
      <c r="DL67" s="138"/>
      <c r="DM67" s="138"/>
      <c r="DN67" s="128"/>
      <c r="DO67" s="128"/>
      <c r="DP67" s="128"/>
      <c r="DQ67" s="128"/>
      <c r="DR67" s="128"/>
      <c r="DV67" s="138"/>
      <c r="DW67" s="138"/>
      <c r="DX67" s="128"/>
      <c r="DY67" s="128"/>
      <c r="DZ67" s="128"/>
      <c r="EA67" s="128"/>
      <c r="EB67" s="128"/>
      <c r="EF67" s="138"/>
      <c r="EG67" s="138"/>
      <c r="EH67" s="128"/>
      <c r="EI67" s="128"/>
      <c r="EJ67" s="128"/>
      <c r="EK67" s="128"/>
      <c r="EL67" s="128"/>
      <c r="EP67" s="138"/>
      <c r="EQ67" s="138"/>
      <c r="ER67" s="128"/>
      <c r="ES67" s="128"/>
      <c r="ET67" s="128"/>
      <c r="EU67" s="128"/>
      <c r="EV67" s="128"/>
      <c r="EZ67" s="138"/>
      <c r="FA67" s="138"/>
      <c r="FB67" s="128"/>
      <c r="FC67" s="128"/>
      <c r="FD67" s="128"/>
      <c r="FE67" s="128"/>
      <c r="FF67" s="128"/>
      <c r="FJ67" s="138"/>
      <c r="FK67" s="138"/>
      <c r="FL67" s="128"/>
      <c r="FM67" s="128"/>
      <c r="FN67" s="128"/>
      <c r="FO67" s="128"/>
      <c r="FP67" s="128"/>
      <c r="FT67" s="138"/>
      <c r="FU67" s="138"/>
      <c r="FV67" s="128"/>
      <c r="FW67" s="128"/>
      <c r="FX67" s="128"/>
      <c r="FY67" s="128"/>
      <c r="FZ67" s="128"/>
      <c r="GD67" s="138"/>
      <c r="GE67" s="138"/>
      <c r="GF67" s="128"/>
      <c r="GG67" s="128"/>
      <c r="GH67" s="128"/>
      <c r="GI67" s="128"/>
      <c r="GJ67" s="128"/>
      <c r="GN67" s="138"/>
      <c r="GO67" s="138"/>
      <c r="GP67" s="128"/>
      <c r="GQ67" s="128"/>
      <c r="GR67" s="128"/>
      <c r="GS67" s="128"/>
      <c r="GT67" s="128"/>
      <c r="GX67" s="138"/>
      <c r="GY67" s="138"/>
      <c r="GZ67" s="128"/>
      <c r="HA67" s="128"/>
      <c r="HB67" s="128"/>
      <c r="HC67" s="128"/>
      <c r="HD67" s="128"/>
      <c r="HH67" s="138"/>
      <c r="HI67" s="138"/>
      <c r="HJ67" s="128"/>
      <c r="HK67" s="128"/>
      <c r="HL67" s="128"/>
      <c r="HM67" s="128"/>
      <c r="HN67" s="128"/>
      <c r="HR67" s="138"/>
      <c r="HS67" s="138"/>
      <c r="HT67" s="128"/>
      <c r="HU67" s="128"/>
      <c r="HV67" s="128"/>
      <c r="HW67" s="128"/>
      <c r="HX67" s="128"/>
      <c r="IB67" s="138"/>
      <c r="IC67" s="138"/>
      <c r="ID67" s="128"/>
      <c r="IE67" s="128"/>
      <c r="IF67" s="128"/>
      <c r="IG67" s="128"/>
      <c r="IH67" s="128"/>
      <c r="IL67" s="138"/>
      <c r="IM67" s="138"/>
      <c r="IN67" s="128"/>
      <c r="IO67" s="128"/>
      <c r="IP67" s="128"/>
      <c r="IQ67" s="128"/>
      <c r="IR67" s="128"/>
      <c r="IV67" s="138"/>
      <c r="IW67" s="138"/>
      <c r="IX67" s="128"/>
      <c r="IY67" s="128"/>
      <c r="IZ67" s="128"/>
      <c r="JA67" s="128"/>
      <c r="JB67" s="128"/>
      <c r="JF67" s="138"/>
      <c r="JG67" s="138"/>
      <c r="JH67" s="128"/>
      <c r="JI67" s="128"/>
      <c r="JJ67" s="128"/>
      <c r="JK67" s="128"/>
      <c r="JL67" s="128"/>
      <c r="JP67" s="138"/>
      <c r="JQ67" s="138"/>
      <c r="JR67" s="128"/>
      <c r="JS67" s="128"/>
      <c r="JT67" s="128"/>
      <c r="JU67" s="128"/>
      <c r="JV67" s="128"/>
      <c r="JZ67" s="138"/>
      <c r="KA67" s="138"/>
      <c r="KB67" s="128"/>
      <c r="KC67" s="128"/>
      <c r="KD67" s="128"/>
      <c r="KE67" s="128"/>
      <c r="KF67" s="128"/>
      <c r="KJ67" s="138"/>
      <c r="KK67" s="138"/>
    </row>
    <row r="68" spans="1:297">
      <c r="A68" s="87">
        <f t="shared" si="1"/>
        <v>31</v>
      </c>
      <c r="B68" s="83">
        <f>_xll.flu_SPT2025($D$10,$D$13,$D$14,$D$23,$D$16,$D$17,$I$11:$J$25,$R$19:$S$108,FALSE,FALSE,"Cao độ",A68,$D$18)</f>
        <v>28</v>
      </c>
      <c r="C68" s="87" t="str">
        <f>IF(B68="","",_xll.TimTenLoaiDat(B68,$G$11:$I$25))</f>
        <v>Lớp 6</v>
      </c>
      <c r="D68" s="87" t="str">
        <f>IF(B68="","",_xll.TimTinhChatDat(B68,$I$11:$J$25))</f>
        <v>Đất rời</v>
      </c>
      <c r="E68" s="95">
        <f>IF(B68="","",_xll.NoiSuySPT(B68,$R$19:$S$108,$D$17,$D$13,0,0))</f>
        <v>18.5</v>
      </c>
      <c r="F68" s="125">
        <f>IF(B68="","",_xll.qbEQ_SPT2025($D$10,$D$13,$D$14,B68,$D$17,$I$11:$J$25,$R$19:$S$108,$D$19,$I$11:$O$25,$D$12,"ganmaqb",$D$20))</f>
        <v>0.39276</v>
      </c>
      <c r="G68" s="95">
        <f>IF(B68="","",IF(D68="Đất dính","-",_xll.qbEQ_SPT2025($D$10,$D$13,$D$14,B68,$D$17,$I$11:$J$25,$R$19:$S$108,$D$19,$I$11:$O$25,$D$12,"",$D$20)))</f>
        <v>871.92719999999997</v>
      </c>
      <c r="H68" s="95" t="str">
        <f>IF(B68="","",IF(D68="Đất dính",_xll.qbEQ_SPT2025($D$10,$D$13,$D$14,B68,$D$17,$I$11:$J$25,$R$19:$S$108,$D$19,$I$11:$O$25,$D$12,"",$D$20),"-"))</f>
        <v>-</v>
      </c>
      <c r="I68" s="95">
        <f t="shared" si="2"/>
        <v>684.81002149628</v>
      </c>
      <c r="J68" s="96">
        <f>_xll.flu_SPT2025($D$10,$D$13,$D$14,$D$23,$D$16,$D$17,$I$11:$J$25,$R$19:$S$108,FALSE,FALSE,"Li",A68,$D$18)</f>
        <v>1</v>
      </c>
      <c r="K68" s="150">
        <f>IF(B68="","",_xll.fluEQ_SPT2025($D$10,$D$13,$D$14,$D$23,$D$16,$D$17,$I$11:$J$25,$R$19:$S$108,FALSE,FALSE,"ganmafl",A68,$D$18,$D$19,$I$11:$O$25,$D$12,$J$29,$D$20))</f>
        <v>0.48552000000000001</v>
      </c>
      <c r="L68" s="95">
        <f>IF(D68="Đất dính","-",_xll.fluEQ_SPT2025($D$10,$D$13,$D$14,$D$23,$D$16,$D$17,$I$11:$J$25,$R$19:$S$108,FALSE,FALSE,"f",A68,$D$18,$D$19,$I$11:$O$25,$D$12,$J$29,$D$20))</f>
        <v>29.640996000000001</v>
      </c>
      <c r="M68" s="95" t="str">
        <f>IF(B68="","",IF(D68="Đất dính",_xll.fluEQ_SPT2025($D$10,$D$13,$D$14,$D$23,$D$16,$D$17,$I$11:$J$25,$R$19:$S$108,FALSE,FALSE,"f",A68,$D$18,$D$19,$I$11:$O$25,$D$12,$J$29,$D$20),"-"))</f>
        <v>-</v>
      </c>
      <c r="N68" s="95">
        <f>_xll.fluEQ_SPT2025($D$10,$D$13,$D$14,$D$23,$D$16,$D$17,$I$11:$J$25,$R$19:$S$108,FALSE,FALSE,"flu",A68,$D$18,$D$19,$I$11:$O$25,$D$12,$J$29,$D$20)</f>
        <v>1642.52612456663</v>
      </c>
      <c r="O68" s="87">
        <f t="shared" si="3"/>
        <v>2327.3361460629098</v>
      </c>
      <c r="P68" s="65"/>
      <c r="R68" s="138"/>
      <c r="S68" s="138"/>
      <c r="Z68" s="138"/>
      <c r="AA68" s="138"/>
      <c r="AB68" s="128"/>
      <c r="AC68" s="128"/>
      <c r="AD68" s="128"/>
      <c r="AE68" s="128"/>
      <c r="AF68" s="128"/>
      <c r="AJ68" s="138"/>
      <c r="AK68" s="138"/>
      <c r="AL68" s="128"/>
      <c r="AM68" s="128"/>
      <c r="AN68" s="128"/>
      <c r="AO68" s="128"/>
      <c r="AP68" s="128"/>
      <c r="AT68" s="138"/>
      <c r="AU68" s="138"/>
      <c r="AV68" s="128"/>
      <c r="AW68" s="128"/>
      <c r="AX68" s="128"/>
      <c r="AY68" s="128"/>
      <c r="AZ68" s="128"/>
      <c r="BD68" s="138"/>
      <c r="BE68" s="138"/>
      <c r="BF68" s="128"/>
      <c r="BG68" s="128"/>
      <c r="BH68" s="128"/>
      <c r="BI68" s="128"/>
      <c r="BJ68" s="128"/>
      <c r="BN68" s="138"/>
      <c r="BO68" s="138"/>
      <c r="BP68" s="128"/>
      <c r="BQ68" s="128"/>
      <c r="BR68" s="128"/>
      <c r="BS68" s="128"/>
      <c r="BT68" s="128"/>
      <c r="BX68" s="138"/>
      <c r="BY68" s="138"/>
      <c r="BZ68" s="128"/>
      <c r="CA68" s="128"/>
      <c r="CB68" s="128"/>
      <c r="CC68" s="128"/>
      <c r="CD68" s="128"/>
      <c r="CH68" s="138"/>
      <c r="CI68" s="138"/>
      <c r="CJ68" s="128"/>
      <c r="CK68" s="128"/>
      <c r="CL68" s="128"/>
      <c r="CM68" s="128"/>
      <c r="CN68" s="128"/>
      <c r="CR68" s="138"/>
      <c r="CS68" s="138"/>
      <c r="CT68" s="128"/>
      <c r="CU68" s="128"/>
      <c r="CV68" s="128"/>
      <c r="CW68" s="128"/>
      <c r="CX68" s="128"/>
      <c r="DB68" s="138"/>
      <c r="DC68" s="138"/>
      <c r="DD68" s="128"/>
      <c r="DE68" s="128"/>
      <c r="DF68" s="128"/>
      <c r="DG68" s="128"/>
      <c r="DH68" s="128"/>
      <c r="DL68" s="138"/>
      <c r="DM68" s="138"/>
      <c r="DN68" s="128"/>
      <c r="DO68" s="128"/>
      <c r="DP68" s="128"/>
      <c r="DQ68" s="128"/>
      <c r="DR68" s="128"/>
      <c r="DV68" s="138"/>
      <c r="DW68" s="138"/>
      <c r="DX68" s="128"/>
      <c r="DY68" s="128"/>
      <c r="DZ68" s="128"/>
      <c r="EA68" s="128"/>
      <c r="EB68" s="128"/>
      <c r="EF68" s="138"/>
      <c r="EG68" s="138"/>
      <c r="EH68" s="128"/>
      <c r="EI68" s="128"/>
      <c r="EJ68" s="128"/>
      <c r="EK68" s="128"/>
      <c r="EL68" s="128"/>
      <c r="EP68" s="138"/>
      <c r="EQ68" s="138"/>
      <c r="ER68" s="128"/>
      <c r="ES68" s="128"/>
      <c r="ET68" s="128"/>
      <c r="EU68" s="128"/>
      <c r="EV68" s="128"/>
      <c r="EZ68" s="138"/>
      <c r="FA68" s="138"/>
      <c r="FB68" s="128"/>
      <c r="FC68" s="128"/>
      <c r="FD68" s="128"/>
      <c r="FE68" s="128"/>
      <c r="FF68" s="128"/>
      <c r="FJ68" s="138"/>
      <c r="FK68" s="138"/>
      <c r="FL68" s="128"/>
      <c r="FM68" s="128"/>
      <c r="FN68" s="128"/>
      <c r="FO68" s="128"/>
      <c r="FP68" s="128"/>
      <c r="FT68" s="138"/>
      <c r="FU68" s="138"/>
      <c r="FV68" s="128"/>
      <c r="FW68" s="128"/>
      <c r="FX68" s="128"/>
      <c r="FY68" s="128"/>
      <c r="FZ68" s="128"/>
      <c r="GD68" s="138"/>
      <c r="GE68" s="138"/>
      <c r="GF68" s="128"/>
      <c r="GG68" s="128"/>
      <c r="GH68" s="128"/>
      <c r="GI68" s="128"/>
      <c r="GJ68" s="128"/>
      <c r="GN68" s="138"/>
      <c r="GO68" s="138"/>
      <c r="GP68" s="128"/>
      <c r="GQ68" s="128"/>
      <c r="GR68" s="128"/>
      <c r="GS68" s="128"/>
      <c r="GT68" s="128"/>
      <c r="GX68" s="138"/>
      <c r="GY68" s="138"/>
      <c r="GZ68" s="128"/>
      <c r="HA68" s="128"/>
      <c r="HB68" s="128"/>
      <c r="HC68" s="128"/>
      <c r="HD68" s="128"/>
      <c r="HH68" s="138"/>
      <c r="HI68" s="138"/>
      <c r="HJ68" s="128"/>
      <c r="HK68" s="128"/>
      <c r="HL68" s="128"/>
      <c r="HM68" s="128"/>
      <c r="HN68" s="128"/>
      <c r="HR68" s="138"/>
      <c r="HS68" s="138"/>
      <c r="HT68" s="128"/>
      <c r="HU68" s="128"/>
      <c r="HV68" s="128"/>
      <c r="HW68" s="128"/>
      <c r="HX68" s="128"/>
      <c r="IB68" s="138"/>
      <c r="IC68" s="138"/>
      <c r="ID68" s="128"/>
      <c r="IE68" s="128"/>
      <c r="IF68" s="128"/>
      <c r="IG68" s="128"/>
      <c r="IH68" s="128"/>
      <c r="IL68" s="138"/>
      <c r="IM68" s="138"/>
      <c r="IN68" s="128"/>
      <c r="IO68" s="128"/>
      <c r="IP68" s="128"/>
      <c r="IQ68" s="128"/>
      <c r="IR68" s="128"/>
      <c r="IV68" s="138"/>
      <c r="IW68" s="138"/>
      <c r="IX68" s="128"/>
      <c r="IY68" s="128"/>
      <c r="IZ68" s="128"/>
      <c r="JA68" s="128"/>
      <c r="JB68" s="128"/>
      <c r="JF68" s="138"/>
      <c r="JG68" s="138"/>
      <c r="JH68" s="128"/>
      <c r="JI68" s="128"/>
      <c r="JJ68" s="128"/>
      <c r="JK68" s="128"/>
      <c r="JL68" s="128"/>
      <c r="JP68" s="138"/>
      <c r="JQ68" s="138"/>
      <c r="JR68" s="128"/>
      <c r="JS68" s="128"/>
      <c r="JT68" s="128"/>
      <c r="JU68" s="128"/>
      <c r="JV68" s="128"/>
      <c r="JZ68" s="138"/>
      <c r="KA68" s="138"/>
      <c r="KB68" s="128"/>
      <c r="KC68" s="128"/>
      <c r="KD68" s="128"/>
      <c r="KE68" s="128"/>
      <c r="KF68" s="128"/>
      <c r="KJ68" s="138"/>
      <c r="KK68" s="138"/>
    </row>
    <row r="69" spans="1:297">
      <c r="A69" s="87">
        <f t="shared" si="1"/>
        <v>32</v>
      </c>
      <c r="B69" s="83">
        <f>_xll.flu_SPT2025($D$10,$D$13,$D$14,$D$23,$D$16,$D$17,$I$11:$J$25,$R$19:$S$108,FALSE,FALSE,"Cao độ",A69,$D$18)</f>
        <v>29</v>
      </c>
      <c r="C69" s="87" t="str">
        <f>IF(B69="","",_xll.TimTenLoaiDat(B69,$G$11:$I$25))</f>
        <v>Lớp 6</v>
      </c>
      <c r="D69" s="87" t="str">
        <f>IF(B69="","",_xll.TimTinhChatDat(B69,$I$11:$J$25))</f>
        <v>Đất rời</v>
      </c>
      <c r="E69" s="95">
        <f>IF(B69="","",_xll.NoiSuySPT(B69,$R$19:$S$108,$D$17,$D$13,0,0))</f>
        <v>20</v>
      </c>
      <c r="F69" s="125">
        <f>IF(B69="","",_xll.qbEQ_SPT2025($D$10,$D$13,$D$14,B69,$D$17,$I$11:$J$25,$R$19:$S$108,$D$19,$I$11:$O$25,$D$12,"ganmaqb",$D$20))</f>
        <v>0.39276</v>
      </c>
      <c r="G69" s="95">
        <f>IF(B69="","",IF(D69="Đất dính","-",_xll.qbEQ_SPT2025($D$10,$D$13,$D$14,B69,$D$17,$I$11:$J$25,$R$19:$S$108,$D$19,$I$11:$O$25,$D$12,"",$D$20)))</f>
        <v>942.62400000000002</v>
      </c>
      <c r="H69" s="95" t="str">
        <f>IF(B69="","",IF(D69="Đất dính",_xll.qbEQ_SPT2025($D$10,$D$13,$D$14,B69,$D$17,$I$11:$J$25,$R$19:$S$108,$D$19,$I$11:$O$25,$D$12,"",$D$20),"-"))</f>
        <v>-</v>
      </c>
      <c r="I69" s="95">
        <f t="shared" ref="I69:I100" si="4">IF(B69="","",MAX(G69,H69)*$D$22)</f>
        <v>740.33515837435596</v>
      </c>
      <c r="J69" s="96">
        <f>_xll.flu_SPT2025($D$10,$D$13,$D$14,$D$23,$D$16,$D$17,$I$11:$J$25,$R$19:$S$108,FALSE,FALSE,"Li",A69,$D$18)</f>
        <v>1</v>
      </c>
      <c r="K69" s="150">
        <f>IF(B69="","",_xll.fluEQ_SPT2025($D$10,$D$13,$D$14,$D$23,$D$16,$D$17,$I$11:$J$25,$R$19:$S$108,FALSE,FALSE,"ganmafl",A69,$D$18,$D$19,$I$11:$O$25,$D$12,$J$29,$D$20))</f>
        <v>0.48552000000000001</v>
      </c>
      <c r="L69" s="95">
        <f>IF(D69="Đất dính","-",_xll.fluEQ_SPT2025($D$10,$D$13,$D$14,$D$23,$D$16,$D$17,$I$11:$J$25,$R$19:$S$108,FALSE,FALSE,"f",A69,$D$18,$D$19,$I$11:$O$25,$D$12,$J$29,$D$20))</f>
        <v>32.044319999999999</v>
      </c>
      <c r="M69" s="95" t="str">
        <f>IF(B69="","",IF(D69="Đất dính",_xll.fluEQ_SPT2025($D$10,$D$13,$D$14,$D$23,$D$16,$D$17,$I$11:$J$25,$R$19:$S$108,FALSE,FALSE,"f",A69,$D$18,$D$19,$I$11:$O$25,$D$12,$J$29,$D$20),"-"))</f>
        <v>-</v>
      </c>
      <c r="N69" s="95">
        <f>_xll.fluEQ_SPT2025($D$10,$D$13,$D$14,$D$23,$D$16,$D$17,$I$11:$J$25,$R$19:$S$108,FALSE,FALSE,"flu",A69,$D$18,$D$19,$I$11:$O$25,$D$12,$J$29,$D$20)</f>
        <v>1743.1963248679101</v>
      </c>
      <c r="O69" s="87">
        <f t="shared" si="3"/>
        <v>2483.53148324226</v>
      </c>
      <c r="P69" s="65"/>
      <c r="R69" s="138"/>
      <c r="S69" s="138"/>
      <c r="Z69" s="138"/>
      <c r="AA69" s="138"/>
      <c r="AB69" s="128"/>
      <c r="AC69" s="128"/>
      <c r="AD69" s="128"/>
      <c r="AE69" s="128"/>
      <c r="AF69" s="128"/>
      <c r="AJ69" s="138"/>
      <c r="AK69" s="138"/>
      <c r="AL69" s="128"/>
      <c r="AM69" s="128"/>
      <c r="AN69" s="128"/>
      <c r="AO69" s="128"/>
      <c r="AP69" s="128"/>
      <c r="AT69" s="138"/>
      <c r="AU69" s="138"/>
      <c r="AV69" s="128"/>
      <c r="AW69" s="128"/>
      <c r="AX69" s="128"/>
      <c r="AY69" s="128"/>
      <c r="AZ69" s="128"/>
      <c r="BD69" s="138"/>
      <c r="BE69" s="138"/>
      <c r="BF69" s="128"/>
      <c r="BG69" s="128"/>
      <c r="BH69" s="128"/>
      <c r="BI69" s="128"/>
      <c r="BJ69" s="128"/>
      <c r="BN69" s="138"/>
      <c r="BO69" s="138"/>
      <c r="BP69" s="128"/>
      <c r="BQ69" s="128"/>
      <c r="BR69" s="128"/>
      <c r="BS69" s="128"/>
      <c r="BT69" s="128"/>
      <c r="BX69" s="138"/>
      <c r="BY69" s="138"/>
      <c r="BZ69" s="128"/>
      <c r="CA69" s="128"/>
      <c r="CB69" s="128"/>
      <c r="CC69" s="128"/>
      <c r="CD69" s="128"/>
      <c r="CH69" s="138"/>
      <c r="CI69" s="138"/>
      <c r="CJ69" s="128"/>
      <c r="CK69" s="128"/>
      <c r="CL69" s="128"/>
      <c r="CM69" s="128"/>
      <c r="CN69" s="128"/>
      <c r="CR69" s="138"/>
      <c r="CS69" s="138"/>
      <c r="CT69" s="128"/>
      <c r="CU69" s="128"/>
      <c r="CV69" s="128"/>
      <c r="CW69" s="128"/>
      <c r="CX69" s="128"/>
      <c r="DB69" s="138"/>
      <c r="DC69" s="138"/>
      <c r="DD69" s="128"/>
      <c r="DE69" s="128"/>
      <c r="DF69" s="128"/>
      <c r="DG69" s="128"/>
      <c r="DH69" s="128"/>
      <c r="DL69" s="138"/>
      <c r="DM69" s="138"/>
      <c r="DN69" s="128"/>
      <c r="DO69" s="128"/>
      <c r="DP69" s="128"/>
      <c r="DQ69" s="128"/>
      <c r="DR69" s="128"/>
      <c r="DV69" s="138"/>
      <c r="DW69" s="138"/>
      <c r="DX69" s="128"/>
      <c r="DY69" s="128"/>
      <c r="DZ69" s="128"/>
      <c r="EA69" s="128"/>
      <c r="EB69" s="128"/>
      <c r="EF69" s="138"/>
      <c r="EG69" s="138"/>
      <c r="EH69" s="128"/>
      <c r="EI69" s="128"/>
      <c r="EJ69" s="128"/>
      <c r="EK69" s="128"/>
      <c r="EL69" s="128"/>
      <c r="EP69" s="138"/>
      <c r="EQ69" s="138"/>
      <c r="ER69" s="128"/>
      <c r="ES69" s="128"/>
      <c r="ET69" s="128"/>
      <c r="EU69" s="128"/>
      <c r="EV69" s="128"/>
      <c r="EZ69" s="138"/>
      <c r="FA69" s="138"/>
      <c r="FB69" s="128"/>
      <c r="FC69" s="128"/>
      <c r="FD69" s="128"/>
      <c r="FE69" s="128"/>
      <c r="FF69" s="128"/>
      <c r="FJ69" s="138"/>
      <c r="FK69" s="138"/>
      <c r="FL69" s="128"/>
      <c r="FM69" s="128"/>
      <c r="FN69" s="128"/>
      <c r="FO69" s="128"/>
      <c r="FP69" s="128"/>
      <c r="FT69" s="138"/>
      <c r="FU69" s="138"/>
      <c r="FV69" s="128"/>
      <c r="FW69" s="128"/>
      <c r="FX69" s="128"/>
      <c r="FY69" s="128"/>
      <c r="FZ69" s="128"/>
      <c r="GD69" s="138"/>
      <c r="GE69" s="138"/>
      <c r="GF69" s="128"/>
      <c r="GG69" s="128"/>
      <c r="GH69" s="128"/>
      <c r="GI69" s="128"/>
      <c r="GJ69" s="128"/>
      <c r="GN69" s="138"/>
      <c r="GO69" s="138"/>
      <c r="GP69" s="128"/>
      <c r="GQ69" s="128"/>
      <c r="GR69" s="128"/>
      <c r="GS69" s="128"/>
      <c r="GT69" s="128"/>
      <c r="GX69" s="138"/>
      <c r="GY69" s="138"/>
      <c r="GZ69" s="128"/>
      <c r="HA69" s="128"/>
      <c r="HB69" s="128"/>
      <c r="HC69" s="128"/>
      <c r="HD69" s="128"/>
      <c r="HH69" s="138"/>
      <c r="HI69" s="138"/>
      <c r="HJ69" s="128"/>
      <c r="HK69" s="128"/>
      <c r="HL69" s="128"/>
      <c r="HM69" s="128"/>
      <c r="HN69" s="128"/>
      <c r="HR69" s="138"/>
      <c r="HS69" s="138"/>
      <c r="HT69" s="128"/>
      <c r="HU69" s="128"/>
      <c r="HV69" s="128"/>
      <c r="HW69" s="128"/>
      <c r="HX69" s="128"/>
      <c r="IB69" s="138"/>
      <c r="IC69" s="138"/>
      <c r="ID69" s="128"/>
      <c r="IE69" s="128"/>
      <c r="IF69" s="128"/>
      <c r="IG69" s="128"/>
      <c r="IH69" s="128"/>
      <c r="IL69" s="138"/>
      <c r="IM69" s="138"/>
      <c r="IN69" s="128"/>
      <c r="IO69" s="128"/>
      <c r="IP69" s="128"/>
      <c r="IQ69" s="128"/>
      <c r="IR69" s="128"/>
      <c r="IV69" s="138"/>
      <c r="IW69" s="138"/>
      <c r="IX69" s="128"/>
      <c r="IY69" s="128"/>
      <c r="IZ69" s="128"/>
      <c r="JA69" s="128"/>
      <c r="JB69" s="128"/>
      <c r="JF69" s="138"/>
      <c r="JG69" s="138"/>
      <c r="JH69" s="128"/>
      <c r="JI69" s="128"/>
      <c r="JJ69" s="128"/>
      <c r="JK69" s="128"/>
      <c r="JL69" s="128"/>
      <c r="JP69" s="138"/>
      <c r="JQ69" s="138"/>
      <c r="JR69" s="128"/>
      <c r="JS69" s="128"/>
      <c r="JT69" s="128"/>
      <c r="JU69" s="128"/>
      <c r="JV69" s="128"/>
      <c r="JZ69" s="138"/>
      <c r="KA69" s="138"/>
      <c r="KB69" s="128"/>
      <c r="KC69" s="128"/>
      <c r="KD69" s="128"/>
      <c r="KE69" s="128"/>
      <c r="KF69" s="128"/>
      <c r="KJ69" s="138"/>
      <c r="KK69" s="138"/>
    </row>
    <row r="70" spans="1:297">
      <c r="A70" s="87">
        <f t="shared" si="1"/>
        <v>33</v>
      </c>
      <c r="B70" s="83">
        <f>_xll.flu_SPT2025($D$10,$D$13,$D$14,$D$23,$D$16,$D$17,$I$11:$J$25,$R$19:$S$108,FALSE,FALSE,"Cao độ",A70,$D$18)</f>
        <v>30</v>
      </c>
      <c r="C70" s="87" t="str">
        <f>IF(B70="","",_xll.TimTenLoaiDat(B70,$G$11:$I$25))</f>
        <v>Lớp 6</v>
      </c>
      <c r="D70" s="87" t="str">
        <f>IF(B70="","",_xll.TimTinhChatDat(B70,$I$11:$J$25))</f>
        <v>Đất rời</v>
      </c>
      <c r="E70" s="95">
        <f>IF(B70="","",_xll.NoiSuySPT(B70,$R$19:$S$108,$D$17,$D$13,0,0))</f>
        <v>22.5</v>
      </c>
      <c r="F70" s="125">
        <f>IF(B70="","",_xll.qbEQ_SPT2025($D$10,$D$13,$D$14,B70,$D$17,$I$11:$J$25,$R$19:$S$108,$D$19,$I$11:$O$25,$D$12,"ganmaqb",$D$20))</f>
        <v>0.39276</v>
      </c>
      <c r="G70" s="95">
        <f>IF(B70="","",IF(D70="Đất dính","-",_xll.qbEQ_SPT2025($D$10,$D$13,$D$14,B70,$D$17,$I$11:$J$25,$R$19:$S$108,$D$19,$I$11:$O$25,$D$12,"",$D$20)))</f>
        <v>1060.452</v>
      </c>
      <c r="H70" s="95" t="str">
        <f>IF(B70="","",IF(D70="Đất dính",_xll.qbEQ_SPT2025($D$10,$D$13,$D$14,B70,$D$17,$I$11:$J$25,$R$19:$S$108,$D$19,$I$11:$O$25,$D$12,"",$D$20),"-"))</f>
        <v>-</v>
      </c>
      <c r="I70" s="95">
        <f t="shared" si="4"/>
        <v>832.87705317115103</v>
      </c>
      <c r="J70" s="96">
        <f>_xll.flu_SPT2025($D$10,$D$13,$D$14,$D$23,$D$16,$D$17,$I$11:$J$25,$R$19:$S$108,FALSE,FALSE,"Li",A70,$D$18)</f>
        <v>1</v>
      </c>
      <c r="K70" s="150">
        <f>IF(B70="","",_xll.fluEQ_SPT2025($D$10,$D$13,$D$14,$D$23,$D$16,$D$17,$I$11:$J$25,$R$19:$S$108,FALSE,FALSE,"ganmafl",A70,$D$18,$D$19,$I$11:$O$25,$D$12,$J$29,$D$20))</f>
        <v>0.48552000000000001</v>
      </c>
      <c r="L70" s="95">
        <f>IF(D70="Đất dính","-",_xll.fluEQ_SPT2025($D$10,$D$13,$D$14,$D$23,$D$16,$D$17,$I$11:$J$25,$R$19:$S$108,FALSE,FALSE,"f",A70,$D$18,$D$19,$I$11:$O$25,$D$12,$J$29,$D$20))</f>
        <v>36.049860000000002</v>
      </c>
      <c r="M70" s="95" t="str">
        <f>IF(B70="","",IF(D70="Đất dính",_xll.fluEQ_SPT2025($D$10,$D$13,$D$14,$D$23,$D$16,$D$17,$I$11:$J$25,$R$19:$S$108,FALSE,FALSE,"f",A70,$D$18,$D$19,$I$11:$O$25,$D$12,$J$29,$D$20),"-"))</f>
        <v>-</v>
      </c>
      <c r="N70" s="95">
        <f>_xll.fluEQ_SPT2025($D$10,$D$13,$D$14,$D$23,$D$16,$D$17,$I$11:$J$25,$R$19:$S$108,FALSE,FALSE,"flu",A70,$D$18,$D$19,$I$11:$O$25,$D$12,$J$29,$D$20)</f>
        <v>1856.45030020685</v>
      </c>
      <c r="O70" s="87">
        <f t="shared" si="3"/>
        <v>2689.3273533780002</v>
      </c>
      <c r="P70" s="65"/>
      <c r="R70" s="138"/>
      <c r="S70" s="138"/>
      <c r="Z70" s="138"/>
      <c r="AA70" s="138"/>
      <c r="AB70" s="128"/>
      <c r="AC70" s="128"/>
      <c r="AD70" s="128"/>
      <c r="AE70" s="128"/>
      <c r="AF70" s="128"/>
      <c r="AJ70" s="138"/>
      <c r="AK70" s="138"/>
      <c r="AL70" s="128"/>
      <c r="AM70" s="128"/>
      <c r="AN70" s="128"/>
      <c r="AO70" s="128"/>
      <c r="AP70" s="128"/>
      <c r="AT70" s="138"/>
      <c r="AU70" s="138"/>
      <c r="AV70" s="128"/>
      <c r="AW70" s="128"/>
      <c r="AX70" s="128"/>
      <c r="AY70" s="128"/>
      <c r="AZ70" s="128"/>
      <c r="BD70" s="138"/>
      <c r="BE70" s="138"/>
      <c r="BF70" s="128"/>
      <c r="BG70" s="128"/>
      <c r="BH70" s="128"/>
      <c r="BI70" s="128"/>
      <c r="BJ70" s="128"/>
      <c r="BN70" s="138"/>
      <c r="BO70" s="138"/>
      <c r="BP70" s="128"/>
      <c r="BQ70" s="128"/>
      <c r="BR70" s="128"/>
      <c r="BS70" s="128"/>
      <c r="BT70" s="128"/>
      <c r="BX70" s="138"/>
      <c r="BY70" s="138"/>
      <c r="BZ70" s="128"/>
      <c r="CA70" s="128"/>
      <c r="CB70" s="128"/>
      <c r="CC70" s="128"/>
      <c r="CD70" s="128"/>
      <c r="CH70" s="138"/>
      <c r="CI70" s="138"/>
      <c r="CJ70" s="128"/>
      <c r="CK70" s="128"/>
      <c r="CL70" s="128"/>
      <c r="CM70" s="128"/>
      <c r="CN70" s="128"/>
      <c r="CR70" s="138"/>
      <c r="CS70" s="138"/>
      <c r="CT70" s="128"/>
      <c r="CU70" s="128"/>
      <c r="CV70" s="128"/>
      <c r="CW70" s="128"/>
      <c r="CX70" s="128"/>
      <c r="DB70" s="138"/>
      <c r="DC70" s="138"/>
      <c r="DD70" s="128"/>
      <c r="DE70" s="128"/>
      <c r="DF70" s="128"/>
      <c r="DG70" s="128"/>
      <c r="DH70" s="128"/>
      <c r="DL70" s="138"/>
      <c r="DM70" s="138"/>
      <c r="DN70" s="128"/>
      <c r="DO70" s="128"/>
      <c r="DP70" s="128"/>
      <c r="DQ70" s="128"/>
      <c r="DR70" s="128"/>
      <c r="DV70" s="138"/>
      <c r="DW70" s="138"/>
      <c r="DX70" s="128"/>
      <c r="DY70" s="128"/>
      <c r="DZ70" s="128"/>
      <c r="EA70" s="128"/>
      <c r="EB70" s="128"/>
      <c r="EF70" s="138"/>
      <c r="EG70" s="138"/>
      <c r="EH70" s="128"/>
      <c r="EI70" s="128"/>
      <c r="EJ70" s="128"/>
      <c r="EK70" s="128"/>
      <c r="EL70" s="128"/>
      <c r="EP70" s="138"/>
      <c r="EQ70" s="138"/>
      <c r="ER70" s="128"/>
      <c r="ES70" s="128"/>
      <c r="ET70" s="128"/>
      <c r="EU70" s="128"/>
      <c r="EV70" s="128"/>
      <c r="EZ70" s="138"/>
      <c r="FA70" s="138"/>
      <c r="FB70" s="128"/>
      <c r="FC70" s="128"/>
      <c r="FD70" s="128"/>
      <c r="FE70" s="128"/>
      <c r="FF70" s="128"/>
      <c r="FJ70" s="138"/>
      <c r="FK70" s="138"/>
      <c r="FL70" s="128"/>
      <c r="FM70" s="128"/>
      <c r="FN70" s="128"/>
      <c r="FO70" s="128"/>
      <c r="FP70" s="128"/>
      <c r="FT70" s="138"/>
      <c r="FU70" s="138"/>
      <c r="FV70" s="128"/>
      <c r="FW70" s="128"/>
      <c r="FX70" s="128"/>
      <c r="FY70" s="128"/>
      <c r="FZ70" s="128"/>
      <c r="GD70" s="138"/>
      <c r="GE70" s="138"/>
      <c r="GF70" s="128"/>
      <c r="GG70" s="128"/>
      <c r="GH70" s="128"/>
      <c r="GI70" s="128"/>
      <c r="GJ70" s="128"/>
      <c r="GN70" s="138"/>
      <c r="GO70" s="138"/>
      <c r="GP70" s="128"/>
      <c r="GQ70" s="128"/>
      <c r="GR70" s="128"/>
      <c r="GS70" s="128"/>
      <c r="GT70" s="128"/>
      <c r="GX70" s="138"/>
      <c r="GY70" s="138"/>
      <c r="GZ70" s="128"/>
      <c r="HA70" s="128"/>
      <c r="HB70" s="128"/>
      <c r="HC70" s="128"/>
      <c r="HD70" s="128"/>
      <c r="HH70" s="138"/>
      <c r="HI70" s="138"/>
      <c r="HJ70" s="128"/>
      <c r="HK70" s="128"/>
      <c r="HL70" s="128"/>
      <c r="HM70" s="128"/>
      <c r="HN70" s="128"/>
      <c r="HR70" s="138"/>
      <c r="HS70" s="138"/>
      <c r="HT70" s="128"/>
      <c r="HU70" s="128"/>
      <c r="HV70" s="128"/>
      <c r="HW70" s="128"/>
      <c r="HX70" s="128"/>
      <c r="IB70" s="138"/>
      <c r="IC70" s="138"/>
      <c r="ID70" s="128"/>
      <c r="IE70" s="128"/>
      <c r="IF70" s="128"/>
      <c r="IG70" s="128"/>
      <c r="IH70" s="128"/>
      <c r="IL70" s="138"/>
      <c r="IM70" s="138"/>
      <c r="IN70" s="128"/>
      <c r="IO70" s="128"/>
      <c r="IP70" s="128"/>
      <c r="IQ70" s="128"/>
      <c r="IR70" s="128"/>
      <c r="IV70" s="138"/>
      <c r="IW70" s="138"/>
      <c r="IX70" s="128"/>
      <c r="IY70" s="128"/>
      <c r="IZ70" s="128"/>
      <c r="JA70" s="128"/>
      <c r="JB70" s="128"/>
      <c r="JF70" s="138"/>
      <c r="JG70" s="138"/>
      <c r="JH70" s="128"/>
      <c r="JI70" s="128"/>
      <c r="JJ70" s="128"/>
      <c r="JK70" s="128"/>
      <c r="JL70" s="128"/>
      <c r="JP70" s="138"/>
      <c r="JQ70" s="138"/>
      <c r="JR70" s="128"/>
      <c r="JS70" s="128"/>
      <c r="JT70" s="128"/>
      <c r="JU70" s="128"/>
      <c r="JV70" s="128"/>
      <c r="JZ70" s="138"/>
      <c r="KA70" s="138"/>
      <c r="KB70" s="128"/>
      <c r="KC70" s="128"/>
      <c r="KD70" s="128"/>
      <c r="KE70" s="128"/>
      <c r="KF70" s="128"/>
      <c r="KJ70" s="138"/>
      <c r="KK70" s="138"/>
    </row>
    <row r="71" spans="1:297">
      <c r="A71" s="87">
        <f t="shared" si="1"/>
        <v>34</v>
      </c>
      <c r="B71" s="83">
        <f>_xll.flu_SPT2025($D$10,$D$13,$D$14,$D$23,$D$16,$D$17,$I$11:$J$25,$R$19:$S$108,FALSE,FALSE,"Cao độ",A71,$D$18)</f>
        <v>31</v>
      </c>
      <c r="C71" s="87" t="str">
        <f>IF(B71="","",_xll.TimTenLoaiDat(B71,$G$11:$I$25))</f>
        <v>Lớp 6</v>
      </c>
      <c r="D71" s="87" t="str">
        <f>IF(B71="","",_xll.TimTinhChatDat(B71,$I$11:$J$25))</f>
        <v>Đất rời</v>
      </c>
      <c r="E71" s="95">
        <f>IF(B71="","",_xll.NoiSuySPT(B71,$R$19:$S$108,$D$17,$D$13,0,0))</f>
        <v>25</v>
      </c>
      <c r="F71" s="125">
        <f>IF(B71="","",_xll.qbEQ_SPT2025($D$10,$D$13,$D$14,B71,$D$17,$I$11:$J$25,$R$19:$S$108,$D$19,$I$11:$O$25,$D$12,"ganmaqb",$D$20))</f>
        <v>0.39276</v>
      </c>
      <c r="G71" s="95">
        <f>IF(B71="","",IF(D71="Đất dính","-",_xll.qbEQ_SPT2025($D$10,$D$13,$D$14,B71,$D$17,$I$11:$J$25,$R$19:$S$108,$D$19,$I$11:$O$25,$D$12,"",$D$20)))</f>
        <v>1178.28</v>
      </c>
      <c r="H71" s="95" t="str">
        <f>IF(B71="","",IF(D71="Đất dính",_xll.qbEQ_SPT2025($D$10,$D$13,$D$14,B71,$D$17,$I$11:$J$25,$R$19:$S$108,$D$19,$I$11:$O$25,$D$12,"",$D$20),"-"))</f>
        <v>-</v>
      </c>
      <c r="I71" s="95">
        <f t="shared" si="4"/>
        <v>925.41894796794497</v>
      </c>
      <c r="J71" s="96">
        <f>_xll.flu_SPT2025($D$10,$D$13,$D$14,$D$23,$D$16,$D$17,$I$11:$J$25,$R$19:$S$108,FALSE,FALSE,"Li",A71,$D$18)</f>
        <v>1</v>
      </c>
      <c r="K71" s="150">
        <f>IF(B71="","",_xll.fluEQ_SPT2025($D$10,$D$13,$D$14,$D$23,$D$16,$D$17,$I$11:$J$25,$R$19:$S$108,FALSE,FALSE,"ganmafl",A71,$D$18,$D$19,$I$11:$O$25,$D$12,$J$29,$D$20))</f>
        <v>0.48552000000000001</v>
      </c>
      <c r="L71" s="95">
        <f>IF(D71="Đất dính","-",_xll.fluEQ_SPT2025($D$10,$D$13,$D$14,$D$23,$D$16,$D$17,$I$11:$J$25,$R$19:$S$108,FALSE,FALSE,"f",A71,$D$18,$D$19,$I$11:$O$25,$D$12,$J$29,$D$20))</f>
        <v>40.055399999999999</v>
      </c>
      <c r="M71" s="95" t="str">
        <f>IF(B71="","",IF(D71="Đất dính",_xll.fluEQ_SPT2025($D$10,$D$13,$D$14,$D$23,$D$16,$D$17,$I$11:$J$25,$R$19:$S$108,FALSE,FALSE,"f",A71,$D$18,$D$19,$I$11:$O$25,$D$12,$J$29,$D$20),"-"))</f>
        <v>-</v>
      </c>
      <c r="N71" s="95">
        <f>_xll.fluEQ_SPT2025($D$10,$D$13,$D$14,$D$23,$D$16,$D$17,$I$11:$J$25,$R$19:$S$108,FALSE,FALSE,"flu",A71,$D$18,$D$19,$I$11:$O$25,$D$12,$J$29,$D$20)</f>
        <v>1982.2880505834501</v>
      </c>
      <c r="O71" s="87">
        <f t="shared" si="3"/>
        <v>2907.7069985513899</v>
      </c>
      <c r="P71" s="65"/>
      <c r="R71" s="138"/>
      <c r="S71" s="138"/>
      <c r="Z71" s="138"/>
      <c r="AA71" s="138"/>
      <c r="AB71" s="128"/>
      <c r="AC71" s="128"/>
      <c r="AD71" s="128"/>
      <c r="AE71" s="128"/>
      <c r="AF71" s="128"/>
      <c r="AJ71" s="138"/>
      <c r="AK71" s="138"/>
      <c r="AL71" s="128"/>
      <c r="AM71" s="128"/>
      <c r="AN71" s="128"/>
      <c r="AO71" s="128"/>
      <c r="AP71" s="128"/>
      <c r="AT71" s="138"/>
      <c r="AU71" s="138"/>
      <c r="AV71" s="128"/>
      <c r="AW71" s="128"/>
      <c r="AX71" s="128"/>
      <c r="AY71" s="128"/>
      <c r="AZ71" s="128"/>
      <c r="BD71" s="138"/>
      <c r="BE71" s="138"/>
      <c r="BF71" s="128"/>
      <c r="BG71" s="128"/>
      <c r="BH71" s="128"/>
      <c r="BI71" s="128"/>
      <c r="BJ71" s="128"/>
      <c r="BN71" s="138"/>
      <c r="BO71" s="138"/>
      <c r="BP71" s="128"/>
      <c r="BQ71" s="128"/>
      <c r="BR71" s="128"/>
      <c r="BS71" s="128"/>
      <c r="BT71" s="128"/>
      <c r="BX71" s="138"/>
      <c r="BY71" s="138"/>
      <c r="BZ71" s="128"/>
      <c r="CA71" s="128"/>
      <c r="CB71" s="128"/>
      <c r="CC71" s="128"/>
      <c r="CD71" s="128"/>
      <c r="CH71" s="138"/>
      <c r="CI71" s="138"/>
      <c r="CJ71" s="128"/>
      <c r="CK71" s="128"/>
      <c r="CL71" s="128"/>
      <c r="CM71" s="128"/>
      <c r="CN71" s="128"/>
      <c r="CR71" s="138"/>
      <c r="CS71" s="138"/>
      <c r="CT71" s="128"/>
      <c r="CU71" s="128"/>
      <c r="CV71" s="128"/>
      <c r="CW71" s="128"/>
      <c r="CX71" s="128"/>
      <c r="DB71" s="138"/>
      <c r="DC71" s="138"/>
      <c r="DD71" s="128"/>
      <c r="DE71" s="128"/>
      <c r="DF71" s="128"/>
      <c r="DG71" s="128"/>
      <c r="DH71" s="128"/>
      <c r="DL71" s="138"/>
      <c r="DM71" s="138"/>
      <c r="DN71" s="128"/>
      <c r="DO71" s="128"/>
      <c r="DP71" s="128"/>
      <c r="DQ71" s="128"/>
      <c r="DR71" s="128"/>
      <c r="DV71" s="138"/>
      <c r="DW71" s="138"/>
      <c r="DX71" s="128"/>
      <c r="DY71" s="128"/>
      <c r="DZ71" s="128"/>
      <c r="EA71" s="128"/>
      <c r="EB71" s="128"/>
      <c r="EF71" s="138"/>
      <c r="EG71" s="138"/>
      <c r="EH71" s="128"/>
      <c r="EI71" s="128"/>
      <c r="EJ71" s="128"/>
      <c r="EK71" s="128"/>
      <c r="EL71" s="128"/>
      <c r="EP71" s="138"/>
      <c r="EQ71" s="138"/>
      <c r="ER71" s="128"/>
      <c r="ES71" s="128"/>
      <c r="ET71" s="128"/>
      <c r="EU71" s="128"/>
      <c r="EV71" s="128"/>
      <c r="EZ71" s="138"/>
      <c r="FA71" s="138"/>
      <c r="FB71" s="128"/>
      <c r="FC71" s="128"/>
      <c r="FD71" s="128"/>
      <c r="FE71" s="128"/>
      <c r="FF71" s="128"/>
      <c r="FJ71" s="138"/>
      <c r="FK71" s="138"/>
      <c r="FL71" s="128"/>
      <c r="FM71" s="128"/>
      <c r="FN71" s="128"/>
      <c r="FO71" s="128"/>
      <c r="FP71" s="128"/>
      <c r="FT71" s="138"/>
      <c r="FU71" s="138"/>
      <c r="FV71" s="128"/>
      <c r="FW71" s="128"/>
      <c r="FX71" s="128"/>
      <c r="FY71" s="128"/>
      <c r="FZ71" s="128"/>
      <c r="GD71" s="138"/>
      <c r="GE71" s="138"/>
      <c r="GF71" s="128"/>
      <c r="GG71" s="128"/>
      <c r="GH71" s="128"/>
      <c r="GI71" s="128"/>
      <c r="GJ71" s="128"/>
      <c r="GN71" s="138"/>
      <c r="GO71" s="138"/>
      <c r="GP71" s="128"/>
      <c r="GQ71" s="128"/>
      <c r="GR71" s="128"/>
      <c r="GS71" s="128"/>
      <c r="GT71" s="128"/>
      <c r="GX71" s="138"/>
      <c r="GY71" s="138"/>
      <c r="GZ71" s="128"/>
      <c r="HA71" s="128"/>
      <c r="HB71" s="128"/>
      <c r="HC71" s="128"/>
      <c r="HD71" s="128"/>
      <c r="HH71" s="138"/>
      <c r="HI71" s="138"/>
      <c r="HJ71" s="128"/>
      <c r="HK71" s="128"/>
      <c r="HL71" s="128"/>
      <c r="HM71" s="128"/>
      <c r="HN71" s="128"/>
      <c r="HR71" s="138"/>
      <c r="HS71" s="138"/>
      <c r="HT71" s="128"/>
      <c r="HU71" s="128"/>
      <c r="HV71" s="128"/>
      <c r="HW71" s="128"/>
      <c r="HX71" s="128"/>
      <c r="IB71" s="138"/>
      <c r="IC71" s="138"/>
      <c r="ID71" s="128"/>
      <c r="IE71" s="128"/>
      <c r="IF71" s="128"/>
      <c r="IG71" s="128"/>
      <c r="IH71" s="128"/>
      <c r="IL71" s="138"/>
      <c r="IM71" s="138"/>
      <c r="IN71" s="128"/>
      <c r="IO71" s="128"/>
      <c r="IP71" s="128"/>
      <c r="IQ71" s="128"/>
      <c r="IR71" s="128"/>
      <c r="IV71" s="138"/>
      <c r="IW71" s="138"/>
      <c r="IX71" s="128"/>
      <c r="IY71" s="128"/>
      <c r="IZ71" s="128"/>
      <c r="JA71" s="128"/>
      <c r="JB71" s="128"/>
      <c r="JF71" s="138"/>
      <c r="JG71" s="138"/>
      <c r="JH71" s="128"/>
      <c r="JI71" s="128"/>
      <c r="JJ71" s="128"/>
      <c r="JK71" s="128"/>
      <c r="JL71" s="128"/>
      <c r="JP71" s="138"/>
      <c r="JQ71" s="138"/>
      <c r="JR71" s="128"/>
      <c r="JS71" s="128"/>
      <c r="JT71" s="128"/>
      <c r="JU71" s="128"/>
      <c r="JV71" s="128"/>
      <c r="JZ71" s="138"/>
      <c r="KA71" s="138"/>
      <c r="KB71" s="128"/>
      <c r="KC71" s="128"/>
      <c r="KD71" s="128"/>
      <c r="KE71" s="128"/>
      <c r="KF71" s="128"/>
      <c r="KJ71" s="138"/>
      <c r="KK71" s="138"/>
    </row>
    <row r="72" spans="1:297">
      <c r="A72" s="87">
        <f t="shared" si="1"/>
        <v>35</v>
      </c>
      <c r="B72" s="83">
        <f>_xll.flu_SPT2025($D$10,$D$13,$D$14,$D$23,$D$16,$D$17,$I$11:$J$25,$R$19:$S$108,FALSE,FALSE,"Cao độ",A72,$D$18)</f>
        <v>32</v>
      </c>
      <c r="C72" s="87" t="str">
        <f>IF(B72="","",_xll.TimTenLoaiDat(B72,$G$11:$I$25))</f>
        <v>Lớp 6</v>
      </c>
      <c r="D72" s="87" t="str">
        <f>IF(B72="","",_xll.TimTinhChatDat(B72,$I$11:$J$25))</f>
        <v>Đất rời</v>
      </c>
      <c r="E72" s="95">
        <f>IF(B72="","",_xll.NoiSuySPT(B72,$R$19:$S$108,$D$17,$D$13,0,0))</f>
        <v>22.5</v>
      </c>
      <c r="F72" s="125">
        <f>IF(B72="","",_xll.qbEQ_SPT2025($D$10,$D$13,$D$14,B72,$D$17,$I$11:$J$25,$R$19:$S$108,$D$19,$I$11:$O$25,$D$12,"ganmaqb",$D$20))</f>
        <v>0.39276</v>
      </c>
      <c r="G72" s="95">
        <f>IF(B72="","",IF(D72="Đất dính","-",_xll.qbEQ_SPT2025($D$10,$D$13,$D$14,B72,$D$17,$I$11:$J$25,$R$19:$S$108,$D$19,$I$11:$O$25,$D$12,"",$D$20)))</f>
        <v>1060.452</v>
      </c>
      <c r="H72" s="95" t="str">
        <f>IF(B72="","",IF(D72="Đất dính",_xll.qbEQ_SPT2025($D$10,$D$13,$D$14,B72,$D$17,$I$11:$J$25,$R$19:$S$108,$D$19,$I$11:$O$25,$D$12,"",$D$20),"-"))</f>
        <v>-</v>
      </c>
      <c r="I72" s="95">
        <f t="shared" si="4"/>
        <v>832.87705317115103</v>
      </c>
      <c r="J72" s="96">
        <f>_xll.flu_SPT2025($D$10,$D$13,$D$14,$D$23,$D$16,$D$17,$I$11:$J$25,$R$19:$S$108,FALSE,FALSE,"Li",A72,$D$18)</f>
        <v>1</v>
      </c>
      <c r="K72" s="150">
        <f>IF(B72="","",_xll.fluEQ_SPT2025($D$10,$D$13,$D$14,$D$23,$D$16,$D$17,$I$11:$J$25,$R$19:$S$108,FALSE,FALSE,"ganmafl",A72,$D$18,$D$19,$I$11:$O$25,$D$12,$J$29,$D$20))</f>
        <v>0.48552000000000001</v>
      </c>
      <c r="L72" s="95">
        <f>IF(D72="Đất dính","-",_xll.fluEQ_SPT2025($D$10,$D$13,$D$14,$D$23,$D$16,$D$17,$I$11:$J$25,$R$19:$S$108,FALSE,FALSE,"f",A72,$D$18,$D$19,$I$11:$O$25,$D$12,$J$29,$D$20))</f>
        <v>36.049860000000002</v>
      </c>
      <c r="M72" s="95" t="str">
        <f>IF(B72="","",IF(D72="Đất dính",_xll.fluEQ_SPT2025($D$10,$D$13,$D$14,$D$23,$D$16,$D$17,$I$11:$J$25,$R$19:$S$108,FALSE,FALSE,"f",A72,$D$18,$D$19,$I$11:$O$25,$D$12,$J$29,$D$20),"-"))</f>
        <v>-</v>
      </c>
      <c r="N72" s="95">
        <f>_xll.fluEQ_SPT2025($D$10,$D$13,$D$14,$D$23,$D$16,$D$17,$I$11:$J$25,$R$19:$S$108,FALSE,FALSE,"flu",A72,$D$18,$D$19,$I$11:$O$25,$D$12,$J$29,$D$20)</f>
        <v>2095.5420259223902</v>
      </c>
      <c r="O72" s="87">
        <f t="shared" si="3"/>
        <v>2928.4190790935399</v>
      </c>
      <c r="P72" s="65"/>
      <c r="R72" s="138"/>
      <c r="S72" s="138"/>
      <c r="Z72" s="138"/>
      <c r="AA72" s="138"/>
      <c r="AB72" s="128"/>
      <c r="AC72" s="128"/>
      <c r="AD72" s="128"/>
      <c r="AE72" s="128"/>
      <c r="AF72" s="128"/>
      <c r="AJ72" s="138"/>
      <c r="AK72" s="138"/>
      <c r="AL72" s="128"/>
      <c r="AM72" s="128"/>
      <c r="AN72" s="128"/>
      <c r="AO72" s="128"/>
      <c r="AP72" s="128"/>
      <c r="AT72" s="138"/>
      <c r="AU72" s="138"/>
      <c r="AV72" s="128"/>
      <c r="AW72" s="128"/>
      <c r="AX72" s="128"/>
      <c r="AY72" s="128"/>
      <c r="AZ72" s="128"/>
      <c r="BD72" s="138"/>
      <c r="BE72" s="138"/>
      <c r="BF72" s="128"/>
      <c r="BG72" s="128"/>
      <c r="BH72" s="128"/>
      <c r="BI72" s="128"/>
      <c r="BJ72" s="128"/>
      <c r="BN72" s="138"/>
      <c r="BO72" s="138"/>
      <c r="BP72" s="128"/>
      <c r="BQ72" s="128"/>
      <c r="BR72" s="128"/>
      <c r="BS72" s="128"/>
      <c r="BT72" s="128"/>
      <c r="BX72" s="138"/>
      <c r="BY72" s="138"/>
      <c r="BZ72" s="128"/>
      <c r="CA72" s="128"/>
      <c r="CB72" s="128"/>
      <c r="CC72" s="128"/>
      <c r="CD72" s="128"/>
      <c r="CH72" s="138"/>
      <c r="CI72" s="138"/>
      <c r="CJ72" s="128"/>
      <c r="CK72" s="128"/>
      <c r="CL72" s="128"/>
      <c r="CM72" s="128"/>
      <c r="CN72" s="128"/>
      <c r="CR72" s="138"/>
      <c r="CS72" s="138"/>
      <c r="CT72" s="128"/>
      <c r="CU72" s="128"/>
      <c r="CV72" s="128"/>
      <c r="CW72" s="128"/>
      <c r="CX72" s="128"/>
      <c r="DB72" s="138"/>
      <c r="DC72" s="138"/>
      <c r="DD72" s="128"/>
      <c r="DE72" s="128"/>
      <c r="DF72" s="128"/>
      <c r="DG72" s="128"/>
      <c r="DH72" s="128"/>
      <c r="DL72" s="138"/>
      <c r="DM72" s="138"/>
      <c r="DN72" s="128"/>
      <c r="DO72" s="128"/>
      <c r="DP72" s="128"/>
      <c r="DQ72" s="128"/>
      <c r="DR72" s="128"/>
      <c r="DV72" s="138"/>
      <c r="DW72" s="138"/>
      <c r="DX72" s="128"/>
      <c r="DY72" s="128"/>
      <c r="DZ72" s="128"/>
      <c r="EA72" s="128"/>
      <c r="EB72" s="128"/>
      <c r="EF72" s="138"/>
      <c r="EG72" s="138"/>
      <c r="EH72" s="128"/>
      <c r="EI72" s="128"/>
      <c r="EJ72" s="128"/>
      <c r="EK72" s="128"/>
      <c r="EL72" s="128"/>
      <c r="EP72" s="138"/>
      <c r="EQ72" s="138"/>
      <c r="ER72" s="128"/>
      <c r="ES72" s="128"/>
      <c r="ET72" s="128"/>
      <c r="EU72" s="128"/>
      <c r="EV72" s="128"/>
      <c r="EZ72" s="138"/>
      <c r="FA72" s="138"/>
      <c r="FB72" s="128"/>
      <c r="FC72" s="128"/>
      <c r="FD72" s="128"/>
      <c r="FE72" s="128"/>
      <c r="FF72" s="128"/>
      <c r="FJ72" s="138"/>
      <c r="FK72" s="138"/>
      <c r="FL72" s="128"/>
      <c r="FM72" s="128"/>
      <c r="FN72" s="128"/>
      <c r="FO72" s="128"/>
      <c r="FP72" s="128"/>
      <c r="FT72" s="138"/>
      <c r="FU72" s="138"/>
      <c r="FV72" s="128"/>
      <c r="FW72" s="128"/>
      <c r="FX72" s="128"/>
      <c r="FY72" s="128"/>
      <c r="FZ72" s="128"/>
      <c r="GD72" s="138"/>
      <c r="GE72" s="138"/>
      <c r="GF72" s="128"/>
      <c r="GG72" s="128"/>
      <c r="GH72" s="128"/>
      <c r="GI72" s="128"/>
      <c r="GJ72" s="128"/>
      <c r="GN72" s="138"/>
      <c r="GO72" s="138"/>
      <c r="GP72" s="128"/>
      <c r="GQ72" s="128"/>
      <c r="GR72" s="128"/>
      <c r="GS72" s="128"/>
      <c r="GT72" s="128"/>
      <c r="GX72" s="138"/>
      <c r="GY72" s="138"/>
      <c r="GZ72" s="128"/>
      <c r="HA72" s="128"/>
      <c r="HB72" s="128"/>
      <c r="HC72" s="128"/>
      <c r="HD72" s="128"/>
      <c r="HH72" s="138"/>
      <c r="HI72" s="138"/>
      <c r="HJ72" s="128"/>
      <c r="HK72" s="128"/>
      <c r="HL72" s="128"/>
      <c r="HM72" s="128"/>
      <c r="HN72" s="128"/>
      <c r="HR72" s="138"/>
      <c r="HS72" s="138"/>
      <c r="HT72" s="128"/>
      <c r="HU72" s="128"/>
      <c r="HV72" s="128"/>
      <c r="HW72" s="128"/>
      <c r="HX72" s="128"/>
      <c r="IB72" s="138"/>
      <c r="IC72" s="138"/>
      <c r="ID72" s="128"/>
      <c r="IE72" s="128"/>
      <c r="IF72" s="128"/>
      <c r="IG72" s="128"/>
      <c r="IH72" s="128"/>
      <c r="IL72" s="138"/>
      <c r="IM72" s="138"/>
      <c r="IN72" s="128"/>
      <c r="IO72" s="128"/>
      <c r="IP72" s="128"/>
      <c r="IQ72" s="128"/>
      <c r="IR72" s="128"/>
      <c r="IV72" s="138"/>
      <c r="IW72" s="138"/>
      <c r="IX72" s="128"/>
      <c r="IY72" s="128"/>
      <c r="IZ72" s="128"/>
      <c r="JA72" s="128"/>
      <c r="JB72" s="128"/>
      <c r="JF72" s="138"/>
      <c r="JG72" s="138"/>
      <c r="JH72" s="128"/>
      <c r="JI72" s="128"/>
      <c r="JJ72" s="128"/>
      <c r="JK72" s="128"/>
      <c r="JL72" s="128"/>
      <c r="JP72" s="138"/>
      <c r="JQ72" s="138"/>
      <c r="JR72" s="128"/>
      <c r="JS72" s="128"/>
      <c r="JT72" s="128"/>
      <c r="JU72" s="128"/>
      <c r="JV72" s="128"/>
      <c r="JZ72" s="138"/>
      <c r="KA72" s="138"/>
      <c r="KB72" s="128"/>
      <c r="KC72" s="128"/>
      <c r="KD72" s="128"/>
      <c r="KE72" s="128"/>
      <c r="KF72" s="128"/>
      <c r="KJ72" s="138"/>
      <c r="KK72" s="138"/>
    </row>
    <row r="73" spans="1:297">
      <c r="A73" s="87">
        <f t="shared" si="1"/>
        <v>36</v>
      </c>
      <c r="B73" s="83">
        <f>_xll.flu_SPT2025($D$10,$D$13,$D$14,$D$23,$D$16,$D$17,$I$11:$J$25,$R$19:$S$108,FALSE,FALSE,"Cao độ",A73,$D$18)</f>
        <v>33</v>
      </c>
      <c r="C73" s="87" t="str">
        <f>IF(B73="","",_xll.TimTenLoaiDat(B73,$G$11:$I$25))</f>
        <v>Lớp 6</v>
      </c>
      <c r="D73" s="87" t="str">
        <f>IF(B73="","",_xll.TimTinhChatDat(B73,$I$11:$J$25))</f>
        <v>Đất rời</v>
      </c>
      <c r="E73" s="95">
        <f>IF(B73="","",_xll.NoiSuySPT(B73,$R$19:$S$108,$D$17,$D$13,0,0))</f>
        <v>20</v>
      </c>
      <c r="F73" s="125">
        <f>IF(B73="","",_xll.qbEQ_SPT2025($D$10,$D$13,$D$14,B73,$D$17,$I$11:$J$25,$R$19:$S$108,$D$19,$I$11:$O$25,$D$12,"ganmaqb",$D$20))</f>
        <v>0.39276</v>
      </c>
      <c r="G73" s="95">
        <f>IF(B73="","",IF(D73="Đất dính","-",_xll.qbEQ_SPT2025($D$10,$D$13,$D$14,B73,$D$17,$I$11:$J$25,$R$19:$S$108,$D$19,$I$11:$O$25,$D$12,"",$D$20)))</f>
        <v>942.62400000000002</v>
      </c>
      <c r="H73" s="95" t="str">
        <f>IF(B73="","",IF(D73="Đất dính",_xll.qbEQ_SPT2025($D$10,$D$13,$D$14,B73,$D$17,$I$11:$J$25,$R$19:$S$108,$D$19,$I$11:$O$25,$D$12,"",$D$20),"-"))</f>
        <v>-</v>
      </c>
      <c r="I73" s="95">
        <f t="shared" si="4"/>
        <v>740.33515837435596</v>
      </c>
      <c r="J73" s="96">
        <f>_xll.flu_SPT2025($D$10,$D$13,$D$14,$D$23,$D$16,$D$17,$I$11:$J$25,$R$19:$S$108,FALSE,FALSE,"Li",A73,$D$18)</f>
        <v>1</v>
      </c>
      <c r="K73" s="150">
        <f>IF(B73="","",_xll.fluEQ_SPT2025($D$10,$D$13,$D$14,$D$23,$D$16,$D$17,$I$11:$J$25,$R$19:$S$108,FALSE,FALSE,"ganmafl",A73,$D$18,$D$19,$I$11:$O$25,$D$12,$J$29,$D$20))</f>
        <v>0.48552000000000001</v>
      </c>
      <c r="L73" s="95">
        <f>IF(D73="Đất dính","-",_xll.fluEQ_SPT2025($D$10,$D$13,$D$14,$D$23,$D$16,$D$17,$I$11:$J$25,$R$19:$S$108,FALSE,FALSE,"f",A73,$D$18,$D$19,$I$11:$O$25,$D$12,$J$29,$D$20))</f>
        <v>32.044319999999999</v>
      </c>
      <c r="M73" s="95" t="str">
        <f>IF(B73="","",IF(D73="Đất dính",_xll.fluEQ_SPT2025($D$10,$D$13,$D$14,$D$23,$D$16,$D$17,$I$11:$J$25,$R$19:$S$108,FALSE,FALSE,"f",A73,$D$18,$D$19,$I$11:$O$25,$D$12,$J$29,$D$20),"-"))</f>
        <v>-</v>
      </c>
      <c r="N73" s="95">
        <f>_xll.fluEQ_SPT2025($D$10,$D$13,$D$14,$D$23,$D$16,$D$17,$I$11:$J$25,$R$19:$S$108,FALSE,FALSE,"flu",A73,$D$18,$D$19,$I$11:$O$25,$D$12,$J$29,$D$20)</f>
        <v>2196.2122262236699</v>
      </c>
      <c r="O73" s="87">
        <f t="shared" si="3"/>
        <v>2936.54738459803</v>
      </c>
      <c r="P73" s="65"/>
      <c r="R73" s="138"/>
      <c r="S73" s="138"/>
      <c r="Z73" s="138"/>
      <c r="AA73" s="138"/>
      <c r="AB73" s="128"/>
      <c r="AC73" s="128"/>
      <c r="AD73" s="128"/>
      <c r="AE73" s="128"/>
      <c r="AF73" s="128"/>
      <c r="AJ73" s="138"/>
      <c r="AK73" s="138"/>
      <c r="AL73" s="128"/>
      <c r="AM73" s="128"/>
      <c r="AN73" s="128"/>
      <c r="AO73" s="128"/>
      <c r="AP73" s="128"/>
      <c r="AT73" s="138"/>
      <c r="AU73" s="138"/>
      <c r="AV73" s="128"/>
      <c r="AW73" s="128"/>
      <c r="AX73" s="128"/>
      <c r="AY73" s="128"/>
      <c r="AZ73" s="128"/>
      <c r="BD73" s="138"/>
      <c r="BE73" s="138"/>
      <c r="BF73" s="128"/>
      <c r="BG73" s="128"/>
      <c r="BH73" s="128"/>
      <c r="BI73" s="128"/>
      <c r="BJ73" s="128"/>
      <c r="BN73" s="138"/>
      <c r="BO73" s="138"/>
      <c r="BP73" s="128"/>
      <c r="BQ73" s="128"/>
      <c r="BR73" s="128"/>
      <c r="BS73" s="128"/>
      <c r="BT73" s="128"/>
      <c r="BX73" s="138"/>
      <c r="BY73" s="138"/>
      <c r="BZ73" s="128"/>
      <c r="CA73" s="128"/>
      <c r="CB73" s="128"/>
      <c r="CC73" s="128"/>
      <c r="CD73" s="128"/>
      <c r="CH73" s="138"/>
      <c r="CI73" s="138"/>
      <c r="CJ73" s="128"/>
      <c r="CK73" s="128"/>
      <c r="CL73" s="128"/>
      <c r="CM73" s="128"/>
      <c r="CN73" s="128"/>
      <c r="CR73" s="138"/>
      <c r="CS73" s="138"/>
      <c r="CT73" s="128"/>
      <c r="CU73" s="128"/>
      <c r="CV73" s="128"/>
      <c r="CW73" s="128"/>
      <c r="CX73" s="128"/>
      <c r="DB73" s="138"/>
      <c r="DC73" s="138"/>
      <c r="DD73" s="128"/>
      <c r="DE73" s="128"/>
      <c r="DF73" s="128"/>
      <c r="DG73" s="128"/>
      <c r="DH73" s="128"/>
      <c r="DL73" s="138"/>
      <c r="DM73" s="138"/>
      <c r="DN73" s="128"/>
      <c r="DO73" s="128"/>
      <c r="DP73" s="128"/>
      <c r="DQ73" s="128"/>
      <c r="DR73" s="128"/>
      <c r="DV73" s="138"/>
      <c r="DW73" s="138"/>
      <c r="DX73" s="128"/>
      <c r="DY73" s="128"/>
      <c r="DZ73" s="128"/>
      <c r="EA73" s="128"/>
      <c r="EB73" s="128"/>
      <c r="EF73" s="138"/>
      <c r="EG73" s="138"/>
      <c r="EH73" s="128"/>
      <c r="EI73" s="128"/>
      <c r="EJ73" s="128"/>
      <c r="EK73" s="128"/>
      <c r="EL73" s="128"/>
      <c r="EP73" s="138"/>
      <c r="EQ73" s="138"/>
      <c r="ER73" s="128"/>
      <c r="ES73" s="128"/>
      <c r="ET73" s="128"/>
      <c r="EU73" s="128"/>
      <c r="EV73" s="128"/>
      <c r="EZ73" s="138"/>
      <c r="FA73" s="138"/>
      <c r="FB73" s="128"/>
      <c r="FC73" s="128"/>
      <c r="FD73" s="128"/>
      <c r="FE73" s="128"/>
      <c r="FF73" s="128"/>
      <c r="FJ73" s="138"/>
      <c r="FK73" s="138"/>
      <c r="FL73" s="128"/>
      <c r="FM73" s="128"/>
      <c r="FN73" s="128"/>
      <c r="FO73" s="128"/>
      <c r="FP73" s="128"/>
      <c r="FT73" s="138"/>
      <c r="FU73" s="138"/>
      <c r="FV73" s="128"/>
      <c r="FW73" s="128"/>
      <c r="FX73" s="128"/>
      <c r="FY73" s="128"/>
      <c r="FZ73" s="128"/>
      <c r="GD73" s="138"/>
      <c r="GE73" s="138"/>
      <c r="GF73" s="128"/>
      <c r="GG73" s="128"/>
      <c r="GH73" s="128"/>
      <c r="GI73" s="128"/>
      <c r="GJ73" s="128"/>
      <c r="GN73" s="138"/>
      <c r="GO73" s="138"/>
      <c r="GP73" s="128"/>
      <c r="GQ73" s="128"/>
      <c r="GR73" s="128"/>
      <c r="GS73" s="128"/>
      <c r="GT73" s="128"/>
      <c r="GX73" s="138"/>
      <c r="GY73" s="138"/>
      <c r="GZ73" s="128"/>
      <c r="HA73" s="128"/>
      <c r="HB73" s="128"/>
      <c r="HC73" s="128"/>
      <c r="HD73" s="128"/>
      <c r="HH73" s="138"/>
      <c r="HI73" s="138"/>
      <c r="HJ73" s="128"/>
      <c r="HK73" s="128"/>
      <c r="HL73" s="128"/>
      <c r="HM73" s="128"/>
      <c r="HN73" s="128"/>
      <c r="HR73" s="138"/>
      <c r="HS73" s="138"/>
      <c r="HT73" s="128"/>
      <c r="HU73" s="128"/>
      <c r="HV73" s="128"/>
      <c r="HW73" s="128"/>
      <c r="HX73" s="128"/>
      <c r="IB73" s="138"/>
      <c r="IC73" s="138"/>
      <c r="ID73" s="128"/>
      <c r="IE73" s="128"/>
      <c r="IF73" s="128"/>
      <c r="IG73" s="128"/>
      <c r="IH73" s="128"/>
      <c r="IL73" s="138"/>
      <c r="IM73" s="138"/>
      <c r="IN73" s="128"/>
      <c r="IO73" s="128"/>
      <c r="IP73" s="128"/>
      <c r="IQ73" s="128"/>
      <c r="IR73" s="128"/>
      <c r="IV73" s="138"/>
      <c r="IW73" s="138"/>
      <c r="IX73" s="128"/>
      <c r="IY73" s="128"/>
      <c r="IZ73" s="128"/>
      <c r="JA73" s="128"/>
      <c r="JB73" s="128"/>
      <c r="JF73" s="138"/>
      <c r="JG73" s="138"/>
      <c r="JH73" s="128"/>
      <c r="JI73" s="128"/>
      <c r="JJ73" s="128"/>
      <c r="JK73" s="128"/>
      <c r="JL73" s="128"/>
      <c r="JP73" s="138"/>
      <c r="JQ73" s="138"/>
      <c r="JR73" s="128"/>
      <c r="JS73" s="128"/>
      <c r="JT73" s="128"/>
      <c r="JU73" s="128"/>
      <c r="JV73" s="128"/>
      <c r="JZ73" s="138"/>
      <c r="KA73" s="138"/>
      <c r="KB73" s="128"/>
      <c r="KC73" s="128"/>
      <c r="KD73" s="128"/>
      <c r="KE73" s="128"/>
      <c r="KF73" s="128"/>
      <c r="KJ73" s="138"/>
      <c r="KK73" s="138"/>
    </row>
    <row r="74" spans="1:297">
      <c r="A74" s="87">
        <f t="shared" si="1"/>
        <v>37</v>
      </c>
      <c r="B74" s="83">
        <f>_xll.flu_SPT2025($D$10,$D$13,$D$14,$D$23,$D$16,$D$17,$I$11:$J$25,$R$19:$S$108,FALSE,FALSE,"Cao độ",A74,$D$18)</f>
        <v>34</v>
      </c>
      <c r="C74" s="87" t="str">
        <f>IF(B74="","",_xll.TimTenLoaiDat(B74,$G$11:$I$25))</f>
        <v>Lớp 6</v>
      </c>
      <c r="D74" s="87" t="str">
        <f>IF(B74="","",_xll.TimTinhChatDat(B74,$I$11:$J$25))</f>
        <v>Đất rời</v>
      </c>
      <c r="E74" s="95">
        <f>IF(B74="","",_xll.NoiSuySPT(B74,$R$19:$S$108,$D$17,$D$13,0,0))</f>
        <v>23.5</v>
      </c>
      <c r="F74" s="125">
        <f>IF(B74="","",_xll.qbEQ_SPT2025($D$10,$D$13,$D$14,B74,$D$17,$I$11:$J$25,$R$19:$S$108,$D$19,$I$11:$O$25,$D$12,"ganmaqb",$D$20))</f>
        <v>0.39276</v>
      </c>
      <c r="G74" s="95">
        <f>IF(B74="","",IF(D74="Đất dính","-",_xll.qbEQ_SPT2025($D$10,$D$13,$D$14,B74,$D$17,$I$11:$J$25,$R$19:$S$108,$D$19,$I$11:$O$25,$D$12,"",$D$20)))</f>
        <v>1107.5832</v>
      </c>
      <c r="H74" s="95" t="str">
        <f>IF(B74="","",IF(D74="Đất dính",_xll.qbEQ_SPT2025($D$10,$D$13,$D$14,B74,$D$17,$I$11:$J$25,$R$19:$S$108,$D$19,$I$11:$O$25,$D$12,"",$D$20),"-"))</f>
        <v>-</v>
      </c>
      <c r="I74" s="95">
        <f t="shared" si="4"/>
        <v>869.89381108986902</v>
      </c>
      <c r="J74" s="96">
        <f>_xll.flu_SPT2025($D$10,$D$13,$D$14,$D$23,$D$16,$D$17,$I$11:$J$25,$R$19:$S$108,FALSE,FALSE,"Li",A74,$D$18)</f>
        <v>1</v>
      </c>
      <c r="K74" s="150">
        <f>IF(B74="","",_xll.fluEQ_SPT2025($D$10,$D$13,$D$14,$D$23,$D$16,$D$17,$I$11:$J$25,$R$19:$S$108,FALSE,FALSE,"ganmafl",A74,$D$18,$D$19,$I$11:$O$25,$D$12,$J$29,$D$20))</f>
        <v>0.48552000000000001</v>
      </c>
      <c r="L74" s="95">
        <f>IF(D74="Đất dính","-",_xll.fluEQ_SPT2025($D$10,$D$13,$D$14,$D$23,$D$16,$D$17,$I$11:$J$25,$R$19:$S$108,FALSE,FALSE,"f",A74,$D$18,$D$19,$I$11:$O$25,$D$12,$J$29,$D$20))</f>
        <v>37.652076000000001</v>
      </c>
      <c r="M74" s="95" t="str">
        <f>IF(B74="","",IF(D74="Đất dính",_xll.fluEQ_SPT2025($D$10,$D$13,$D$14,$D$23,$D$16,$D$17,$I$11:$J$25,$R$19:$S$108,FALSE,FALSE,"f",A74,$D$18,$D$19,$I$11:$O$25,$D$12,$J$29,$D$20),"-"))</f>
        <v>-</v>
      </c>
      <c r="N74" s="95">
        <f>_xll.fluEQ_SPT2025($D$10,$D$13,$D$14,$D$23,$D$16,$D$17,$I$11:$J$25,$R$19:$S$108,FALSE,FALSE,"flu",A74,$D$18,$D$19,$I$11:$O$25,$D$12,$J$29,$D$20)</f>
        <v>2314.49971157767</v>
      </c>
      <c r="O74" s="87">
        <f t="shared" si="3"/>
        <v>3184.3935226675399</v>
      </c>
      <c r="P74" s="65"/>
      <c r="R74" s="138"/>
      <c r="S74" s="138"/>
      <c r="Z74" s="138"/>
      <c r="AA74" s="138"/>
      <c r="AB74" s="128"/>
      <c r="AC74" s="128"/>
      <c r="AD74" s="128"/>
      <c r="AE74" s="128"/>
      <c r="AF74" s="128"/>
      <c r="AJ74" s="138"/>
      <c r="AK74" s="138"/>
      <c r="AL74" s="128"/>
      <c r="AM74" s="128"/>
      <c r="AN74" s="128"/>
      <c r="AO74" s="128"/>
      <c r="AP74" s="128"/>
      <c r="AT74" s="138"/>
      <c r="AU74" s="138"/>
      <c r="AV74" s="128"/>
      <c r="AW74" s="128"/>
      <c r="AX74" s="128"/>
      <c r="AY74" s="128"/>
      <c r="AZ74" s="128"/>
      <c r="BD74" s="138"/>
      <c r="BE74" s="138"/>
      <c r="BF74" s="128"/>
      <c r="BG74" s="128"/>
      <c r="BH74" s="128"/>
      <c r="BI74" s="128"/>
      <c r="BJ74" s="128"/>
      <c r="BN74" s="138"/>
      <c r="BO74" s="138"/>
      <c r="BP74" s="128"/>
      <c r="BQ74" s="128"/>
      <c r="BR74" s="128"/>
      <c r="BS74" s="128"/>
      <c r="BT74" s="128"/>
      <c r="BX74" s="138"/>
      <c r="BY74" s="138"/>
      <c r="BZ74" s="128"/>
      <c r="CA74" s="128"/>
      <c r="CB74" s="128"/>
      <c r="CC74" s="128"/>
      <c r="CD74" s="128"/>
      <c r="CH74" s="138"/>
      <c r="CI74" s="138"/>
      <c r="CJ74" s="128"/>
      <c r="CK74" s="128"/>
      <c r="CL74" s="128"/>
      <c r="CM74" s="128"/>
      <c r="CN74" s="128"/>
      <c r="CR74" s="138"/>
      <c r="CS74" s="138"/>
      <c r="CT74" s="128"/>
      <c r="CU74" s="128"/>
      <c r="CV74" s="128"/>
      <c r="CW74" s="128"/>
      <c r="CX74" s="128"/>
      <c r="DB74" s="138"/>
      <c r="DC74" s="138"/>
      <c r="DD74" s="128"/>
      <c r="DE74" s="128"/>
      <c r="DF74" s="128"/>
      <c r="DG74" s="128"/>
      <c r="DH74" s="128"/>
      <c r="DL74" s="138"/>
      <c r="DM74" s="138"/>
      <c r="DN74" s="128"/>
      <c r="DO74" s="128"/>
      <c r="DP74" s="128"/>
      <c r="DQ74" s="128"/>
      <c r="DR74" s="128"/>
      <c r="DV74" s="138"/>
      <c r="DW74" s="138"/>
      <c r="DX74" s="128"/>
      <c r="DY74" s="128"/>
      <c r="DZ74" s="128"/>
      <c r="EA74" s="128"/>
      <c r="EB74" s="128"/>
      <c r="EF74" s="138"/>
      <c r="EG74" s="138"/>
      <c r="EH74" s="128"/>
      <c r="EI74" s="128"/>
      <c r="EJ74" s="128"/>
      <c r="EK74" s="128"/>
      <c r="EL74" s="128"/>
      <c r="EP74" s="138"/>
      <c r="EQ74" s="138"/>
      <c r="ER74" s="128"/>
      <c r="ES74" s="128"/>
      <c r="ET74" s="128"/>
      <c r="EU74" s="128"/>
      <c r="EV74" s="128"/>
      <c r="EZ74" s="138"/>
      <c r="FA74" s="138"/>
      <c r="FB74" s="128"/>
      <c r="FC74" s="128"/>
      <c r="FD74" s="128"/>
      <c r="FE74" s="128"/>
      <c r="FF74" s="128"/>
      <c r="FJ74" s="138"/>
      <c r="FK74" s="138"/>
      <c r="FL74" s="128"/>
      <c r="FM74" s="128"/>
      <c r="FN74" s="128"/>
      <c r="FO74" s="128"/>
      <c r="FP74" s="128"/>
      <c r="FT74" s="138"/>
      <c r="FU74" s="138"/>
      <c r="FV74" s="128"/>
      <c r="FW74" s="128"/>
      <c r="FX74" s="128"/>
      <c r="FY74" s="128"/>
      <c r="FZ74" s="128"/>
      <c r="GD74" s="138"/>
      <c r="GE74" s="138"/>
      <c r="GF74" s="128"/>
      <c r="GG74" s="128"/>
      <c r="GH74" s="128"/>
      <c r="GI74" s="128"/>
      <c r="GJ74" s="128"/>
      <c r="GN74" s="138"/>
      <c r="GO74" s="138"/>
      <c r="GP74" s="128"/>
      <c r="GQ74" s="128"/>
      <c r="GR74" s="128"/>
      <c r="GS74" s="128"/>
      <c r="GT74" s="128"/>
      <c r="GX74" s="138"/>
      <c r="GY74" s="138"/>
      <c r="GZ74" s="128"/>
      <c r="HA74" s="128"/>
      <c r="HB74" s="128"/>
      <c r="HC74" s="128"/>
      <c r="HD74" s="128"/>
      <c r="HH74" s="138"/>
      <c r="HI74" s="138"/>
      <c r="HJ74" s="128"/>
      <c r="HK74" s="128"/>
      <c r="HL74" s="128"/>
      <c r="HM74" s="128"/>
      <c r="HN74" s="128"/>
      <c r="HR74" s="138"/>
      <c r="HS74" s="138"/>
      <c r="HT74" s="128"/>
      <c r="HU74" s="128"/>
      <c r="HV74" s="128"/>
      <c r="HW74" s="128"/>
      <c r="HX74" s="128"/>
      <c r="IB74" s="138"/>
      <c r="IC74" s="138"/>
      <c r="ID74" s="128"/>
      <c r="IE74" s="128"/>
      <c r="IF74" s="128"/>
      <c r="IG74" s="128"/>
      <c r="IH74" s="128"/>
      <c r="IL74" s="138"/>
      <c r="IM74" s="138"/>
      <c r="IN74" s="128"/>
      <c r="IO74" s="128"/>
      <c r="IP74" s="128"/>
      <c r="IQ74" s="128"/>
      <c r="IR74" s="128"/>
      <c r="IV74" s="138"/>
      <c r="IW74" s="138"/>
      <c r="IX74" s="128"/>
      <c r="IY74" s="128"/>
      <c r="IZ74" s="128"/>
      <c r="JA74" s="128"/>
      <c r="JB74" s="128"/>
      <c r="JF74" s="138"/>
      <c r="JG74" s="138"/>
      <c r="JH74" s="128"/>
      <c r="JI74" s="128"/>
      <c r="JJ74" s="128"/>
      <c r="JK74" s="128"/>
      <c r="JL74" s="128"/>
      <c r="JP74" s="138"/>
      <c r="JQ74" s="138"/>
      <c r="JR74" s="128"/>
      <c r="JS74" s="128"/>
      <c r="JT74" s="128"/>
      <c r="JU74" s="128"/>
      <c r="JV74" s="128"/>
      <c r="JZ74" s="138"/>
      <c r="KA74" s="138"/>
      <c r="KB74" s="128"/>
      <c r="KC74" s="128"/>
      <c r="KD74" s="128"/>
      <c r="KE74" s="128"/>
      <c r="KF74" s="128"/>
      <c r="KJ74" s="138"/>
      <c r="KK74" s="138"/>
    </row>
    <row r="75" spans="1:297">
      <c r="A75" s="87">
        <f t="shared" si="1"/>
        <v>38</v>
      </c>
      <c r="B75" s="83">
        <f>_xll.flu_SPT2025($D$10,$D$13,$D$14,$D$23,$D$16,$D$17,$I$11:$J$25,$R$19:$S$108,FALSE,FALSE,"Cao độ",A75,$D$18)</f>
        <v>35</v>
      </c>
      <c r="C75" s="87" t="str">
        <f>IF(B75="","",_xll.TimTenLoaiDat(B75,$G$11:$I$25))</f>
        <v>Lớp 6</v>
      </c>
      <c r="D75" s="87" t="str">
        <f>IF(B75="","",_xll.TimTinhChatDat(B75,$I$11:$J$25))</f>
        <v>Đất rời</v>
      </c>
      <c r="E75" s="95">
        <f>IF(B75="","",_xll.NoiSuySPT(B75,$R$19:$S$108,$D$17,$D$13,0,0))</f>
        <v>27</v>
      </c>
      <c r="F75" s="125">
        <f>IF(B75="","",_xll.qbEQ_SPT2025($D$10,$D$13,$D$14,B75,$D$17,$I$11:$J$25,$R$19:$S$108,$D$19,$I$11:$O$25,$D$12,"ganmaqb",$D$20))</f>
        <v>0.39276</v>
      </c>
      <c r="G75" s="95">
        <f>IF(B75="","",IF(D75="Đất dính","-",_xll.qbEQ_SPT2025($D$10,$D$13,$D$14,B75,$D$17,$I$11:$J$25,$R$19:$S$108,$D$19,$I$11:$O$25,$D$12,"",$D$20)))</f>
        <v>1272.5424</v>
      </c>
      <c r="H75" s="95" t="str">
        <f>IF(B75="","",IF(D75="Đất dính",_xll.qbEQ_SPT2025($D$10,$D$13,$D$14,B75,$D$17,$I$11:$J$25,$R$19:$S$108,$D$19,$I$11:$O$25,$D$12,"",$D$20),"-"))</f>
        <v>-</v>
      </c>
      <c r="I75" s="95">
        <f t="shared" si="4"/>
        <v>999.45246380538094</v>
      </c>
      <c r="J75" s="96">
        <f>_xll.flu_SPT2025($D$10,$D$13,$D$14,$D$23,$D$16,$D$17,$I$11:$J$25,$R$19:$S$108,FALSE,FALSE,"Li",A75,$D$18)</f>
        <v>1</v>
      </c>
      <c r="K75" s="150">
        <f>IF(B75="","",_xll.fluEQ_SPT2025($D$10,$D$13,$D$14,$D$23,$D$16,$D$17,$I$11:$J$25,$R$19:$S$108,FALSE,FALSE,"ganmafl",A75,$D$18,$D$19,$I$11:$O$25,$D$12,$J$29,$D$20))</f>
        <v>0.48552000000000001</v>
      </c>
      <c r="L75" s="95">
        <f>IF(D75="Đất dính","-",_xll.fluEQ_SPT2025($D$10,$D$13,$D$14,$D$23,$D$16,$D$17,$I$11:$J$25,$R$19:$S$108,FALSE,FALSE,"f",A75,$D$18,$D$19,$I$11:$O$25,$D$12,$J$29,$D$20))</f>
        <v>43.259832000000003</v>
      </c>
      <c r="M75" s="95" t="str">
        <f>IF(B75="","",IF(D75="Đất dính",_xll.fluEQ_SPT2025($D$10,$D$13,$D$14,$D$23,$D$16,$D$17,$I$11:$J$25,$R$19:$S$108,FALSE,FALSE,"f",A75,$D$18,$D$19,$I$11:$O$25,$D$12,$J$29,$D$20),"-"))</f>
        <v>-</v>
      </c>
      <c r="N75" s="95">
        <f>_xll.fluEQ_SPT2025($D$10,$D$13,$D$14,$D$23,$D$16,$D$17,$I$11:$J$25,$R$19:$S$108,FALSE,FALSE,"flu",A75,$D$18,$D$19,$I$11:$O$25,$D$12,$J$29,$D$20)</f>
        <v>2450.4044819843998</v>
      </c>
      <c r="O75" s="87">
        <f t="shared" si="3"/>
        <v>3449.8569457897802</v>
      </c>
      <c r="P75" s="65"/>
      <c r="R75" s="138"/>
      <c r="S75" s="138"/>
      <c r="Z75" s="138"/>
      <c r="AA75" s="138"/>
      <c r="AB75" s="128"/>
      <c r="AC75" s="128"/>
      <c r="AD75" s="128"/>
      <c r="AE75" s="128"/>
      <c r="AF75" s="128"/>
      <c r="AJ75" s="138"/>
      <c r="AK75" s="138"/>
      <c r="AL75" s="128"/>
      <c r="AM75" s="128"/>
      <c r="AN75" s="128"/>
      <c r="AO75" s="128"/>
      <c r="AP75" s="128"/>
      <c r="AT75" s="138"/>
      <c r="AU75" s="138"/>
      <c r="AV75" s="128"/>
      <c r="AW75" s="128"/>
      <c r="AX75" s="128"/>
      <c r="AY75" s="128"/>
      <c r="AZ75" s="128"/>
      <c r="BD75" s="138"/>
      <c r="BE75" s="138"/>
      <c r="BF75" s="128"/>
      <c r="BG75" s="128"/>
      <c r="BH75" s="128"/>
      <c r="BI75" s="128"/>
      <c r="BJ75" s="128"/>
      <c r="BN75" s="138"/>
      <c r="BO75" s="138"/>
      <c r="BP75" s="128"/>
      <c r="BQ75" s="128"/>
      <c r="BR75" s="128"/>
      <c r="BS75" s="128"/>
      <c r="BT75" s="128"/>
      <c r="BX75" s="138"/>
      <c r="BY75" s="138"/>
      <c r="BZ75" s="128"/>
      <c r="CA75" s="128"/>
      <c r="CB75" s="128"/>
      <c r="CC75" s="128"/>
      <c r="CD75" s="128"/>
      <c r="CH75" s="138"/>
      <c r="CI75" s="138"/>
      <c r="CJ75" s="128"/>
      <c r="CK75" s="128"/>
      <c r="CL75" s="128"/>
      <c r="CM75" s="128"/>
      <c r="CN75" s="128"/>
      <c r="CR75" s="138"/>
      <c r="CS75" s="138"/>
      <c r="CT75" s="128"/>
      <c r="CU75" s="128"/>
      <c r="CV75" s="128"/>
      <c r="CW75" s="128"/>
      <c r="CX75" s="128"/>
      <c r="DB75" s="138"/>
      <c r="DC75" s="138"/>
      <c r="DD75" s="128"/>
      <c r="DE75" s="128"/>
      <c r="DF75" s="128"/>
      <c r="DG75" s="128"/>
      <c r="DH75" s="128"/>
      <c r="DL75" s="138"/>
      <c r="DM75" s="138"/>
      <c r="DN75" s="128"/>
      <c r="DO75" s="128"/>
      <c r="DP75" s="128"/>
      <c r="DQ75" s="128"/>
      <c r="DR75" s="128"/>
      <c r="DV75" s="138"/>
      <c r="DW75" s="138"/>
      <c r="DX75" s="128"/>
      <c r="DY75" s="128"/>
      <c r="DZ75" s="128"/>
      <c r="EA75" s="128"/>
      <c r="EB75" s="128"/>
      <c r="EF75" s="138"/>
      <c r="EG75" s="138"/>
      <c r="EH75" s="128"/>
      <c r="EI75" s="128"/>
      <c r="EJ75" s="128"/>
      <c r="EK75" s="128"/>
      <c r="EL75" s="128"/>
      <c r="EP75" s="138"/>
      <c r="EQ75" s="138"/>
      <c r="ER75" s="128"/>
      <c r="ES75" s="128"/>
      <c r="ET75" s="128"/>
      <c r="EU75" s="128"/>
      <c r="EV75" s="128"/>
      <c r="EZ75" s="138"/>
      <c r="FA75" s="138"/>
      <c r="FB75" s="128"/>
      <c r="FC75" s="128"/>
      <c r="FD75" s="128"/>
      <c r="FE75" s="128"/>
      <c r="FF75" s="128"/>
      <c r="FJ75" s="138"/>
      <c r="FK75" s="138"/>
      <c r="FL75" s="128"/>
      <c r="FM75" s="128"/>
      <c r="FN75" s="128"/>
      <c r="FO75" s="128"/>
      <c r="FP75" s="128"/>
      <c r="FT75" s="138"/>
      <c r="FU75" s="138"/>
      <c r="FV75" s="128"/>
      <c r="FW75" s="128"/>
      <c r="FX75" s="128"/>
      <c r="FY75" s="128"/>
      <c r="FZ75" s="128"/>
      <c r="GD75" s="138"/>
      <c r="GE75" s="138"/>
      <c r="GF75" s="128"/>
      <c r="GG75" s="128"/>
      <c r="GH75" s="128"/>
      <c r="GI75" s="128"/>
      <c r="GJ75" s="128"/>
      <c r="GN75" s="138"/>
      <c r="GO75" s="138"/>
      <c r="GP75" s="128"/>
      <c r="GQ75" s="128"/>
      <c r="GR75" s="128"/>
      <c r="GS75" s="128"/>
      <c r="GT75" s="128"/>
      <c r="GX75" s="138"/>
      <c r="GY75" s="138"/>
      <c r="GZ75" s="128"/>
      <c r="HA75" s="128"/>
      <c r="HB75" s="128"/>
      <c r="HC75" s="128"/>
      <c r="HD75" s="128"/>
      <c r="HH75" s="138"/>
      <c r="HI75" s="138"/>
      <c r="HJ75" s="128"/>
      <c r="HK75" s="128"/>
      <c r="HL75" s="128"/>
      <c r="HM75" s="128"/>
      <c r="HN75" s="128"/>
      <c r="HR75" s="138"/>
      <c r="HS75" s="138"/>
      <c r="HT75" s="128"/>
      <c r="HU75" s="128"/>
      <c r="HV75" s="128"/>
      <c r="HW75" s="128"/>
      <c r="HX75" s="128"/>
      <c r="IB75" s="138"/>
      <c r="IC75" s="138"/>
      <c r="ID75" s="128"/>
      <c r="IE75" s="128"/>
      <c r="IF75" s="128"/>
      <c r="IG75" s="128"/>
      <c r="IH75" s="128"/>
      <c r="IL75" s="138"/>
      <c r="IM75" s="138"/>
      <c r="IN75" s="128"/>
      <c r="IO75" s="128"/>
      <c r="IP75" s="128"/>
      <c r="IQ75" s="128"/>
      <c r="IR75" s="128"/>
      <c r="IV75" s="138"/>
      <c r="IW75" s="138"/>
      <c r="IX75" s="128"/>
      <c r="IY75" s="128"/>
      <c r="IZ75" s="128"/>
      <c r="JA75" s="128"/>
      <c r="JB75" s="128"/>
      <c r="JF75" s="138"/>
      <c r="JG75" s="138"/>
      <c r="JH75" s="128"/>
      <c r="JI75" s="128"/>
      <c r="JJ75" s="128"/>
      <c r="JK75" s="128"/>
      <c r="JL75" s="128"/>
      <c r="JP75" s="138"/>
      <c r="JQ75" s="138"/>
      <c r="JR75" s="128"/>
      <c r="JS75" s="128"/>
      <c r="JT75" s="128"/>
      <c r="JU75" s="128"/>
      <c r="JV75" s="128"/>
      <c r="JZ75" s="138"/>
      <c r="KA75" s="138"/>
      <c r="KB75" s="128"/>
      <c r="KC75" s="128"/>
      <c r="KD75" s="128"/>
      <c r="KE75" s="128"/>
      <c r="KF75" s="128"/>
      <c r="KJ75" s="138"/>
      <c r="KK75" s="138"/>
    </row>
    <row r="76" spans="1:297">
      <c r="A76" s="87">
        <f t="shared" si="1"/>
        <v>39</v>
      </c>
      <c r="B76" s="83">
        <f>_xll.flu_SPT2025($D$10,$D$13,$D$14,$D$23,$D$16,$D$17,$I$11:$J$25,$R$19:$S$108,FALSE,FALSE,"Cao độ",A76,$D$18)</f>
        <v>36</v>
      </c>
      <c r="C76" s="87" t="str">
        <f>IF(B76="","",_xll.TimTenLoaiDat(B76,$G$11:$I$25))</f>
        <v>Lớp 6</v>
      </c>
      <c r="D76" s="87" t="str">
        <f>IF(B76="","",_xll.TimTinhChatDat(B76,$I$11:$J$25))</f>
        <v>Đất rời</v>
      </c>
      <c r="E76" s="95">
        <f>IF(B76="","",_xll.NoiSuySPT(B76,$R$19:$S$108,$D$17,$D$13,0,0))</f>
        <v>28.5</v>
      </c>
      <c r="F76" s="125">
        <f>IF(B76="","",_xll.qbEQ_SPT2025($D$10,$D$13,$D$14,B76,$D$17,$I$11:$J$25,$R$19:$S$108,$D$19,$I$11:$O$25,$D$12,"ganmaqb",$D$20))</f>
        <v>0.39276</v>
      </c>
      <c r="G76" s="95">
        <f>IF(B76="","",IF(D76="Đất dính","-",_xll.qbEQ_SPT2025($D$10,$D$13,$D$14,B76,$D$17,$I$11:$J$25,$R$19:$S$108,$D$19,$I$11:$O$25,$D$12,"",$D$20)))</f>
        <v>1343.2392</v>
      </c>
      <c r="H76" s="95" t="str">
        <f>IF(B76="","",IF(D76="Đất dính",_xll.qbEQ_SPT2025($D$10,$D$13,$D$14,B76,$D$17,$I$11:$J$25,$R$19:$S$108,$D$19,$I$11:$O$25,$D$12,"",$D$20),"-"))</f>
        <v>-</v>
      </c>
      <c r="I76" s="95">
        <f t="shared" si="4"/>
        <v>1054.97760068346</v>
      </c>
      <c r="J76" s="96">
        <f>_xll.flu_SPT2025($D$10,$D$13,$D$14,$D$23,$D$16,$D$17,$I$11:$J$25,$R$19:$S$108,FALSE,FALSE,"Li",A76,$D$18)</f>
        <v>1</v>
      </c>
      <c r="K76" s="150">
        <f>IF(B76="","",_xll.fluEQ_SPT2025($D$10,$D$13,$D$14,$D$23,$D$16,$D$17,$I$11:$J$25,$R$19:$S$108,FALSE,FALSE,"ganmafl",A76,$D$18,$D$19,$I$11:$O$25,$D$12,$J$29,$D$20))</f>
        <v>0.48552000000000001</v>
      </c>
      <c r="L76" s="95">
        <f>IF(D76="Đất dính","-",_xll.fluEQ_SPT2025($D$10,$D$13,$D$14,$D$23,$D$16,$D$17,$I$11:$J$25,$R$19:$S$108,FALSE,FALSE,"f",A76,$D$18,$D$19,$I$11:$O$25,$D$12,$J$29,$D$20))</f>
        <v>45.663156000000001</v>
      </c>
      <c r="M76" s="95" t="str">
        <f>IF(B76="","",IF(D76="Đất dính",_xll.fluEQ_SPT2025($D$10,$D$13,$D$14,$D$23,$D$16,$D$17,$I$11:$J$25,$R$19:$S$108,FALSE,FALSE,"f",A76,$D$18,$D$19,$I$11:$O$25,$D$12,$J$29,$D$20),"-"))</f>
        <v>-</v>
      </c>
      <c r="N76" s="95">
        <f>_xll.fluEQ_SPT2025($D$10,$D$13,$D$14,$D$23,$D$16,$D$17,$I$11:$J$25,$R$19:$S$108,FALSE,FALSE,"flu",A76,$D$18,$D$19,$I$11:$O$25,$D$12,$J$29,$D$20)</f>
        <v>2593.8595174137299</v>
      </c>
      <c r="O76" s="87">
        <f t="shared" si="3"/>
        <v>3648.8371180971899</v>
      </c>
      <c r="P76" s="65"/>
      <c r="R76" s="138"/>
      <c r="S76" s="138"/>
      <c r="Z76" s="138"/>
      <c r="AA76" s="138"/>
      <c r="AB76" s="128"/>
      <c r="AC76" s="128"/>
      <c r="AD76" s="128"/>
      <c r="AE76" s="128"/>
      <c r="AF76" s="128"/>
      <c r="AJ76" s="138"/>
      <c r="AK76" s="138"/>
      <c r="AL76" s="128"/>
      <c r="AM76" s="128"/>
      <c r="AN76" s="128"/>
      <c r="AO76" s="128"/>
      <c r="AP76" s="128"/>
      <c r="AT76" s="138"/>
      <c r="AU76" s="138"/>
      <c r="AV76" s="128"/>
      <c r="AW76" s="128"/>
      <c r="AX76" s="128"/>
      <c r="AY76" s="128"/>
      <c r="AZ76" s="128"/>
      <c r="BD76" s="138"/>
      <c r="BE76" s="138"/>
      <c r="BF76" s="128"/>
      <c r="BG76" s="128"/>
      <c r="BH76" s="128"/>
      <c r="BI76" s="128"/>
      <c r="BJ76" s="128"/>
      <c r="BN76" s="138"/>
      <c r="BO76" s="138"/>
      <c r="BP76" s="128"/>
      <c r="BQ76" s="128"/>
      <c r="BR76" s="128"/>
      <c r="BS76" s="128"/>
      <c r="BT76" s="128"/>
      <c r="BX76" s="138"/>
      <c r="BY76" s="138"/>
      <c r="BZ76" s="128"/>
      <c r="CA76" s="128"/>
      <c r="CB76" s="128"/>
      <c r="CC76" s="128"/>
      <c r="CD76" s="128"/>
      <c r="CH76" s="138"/>
      <c r="CI76" s="138"/>
      <c r="CJ76" s="128"/>
      <c r="CK76" s="128"/>
      <c r="CL76" s="128"/>
      <c r="CM76" s="128"/>
      <c r="CN76" s="128"/>
      <c r="CR76" s="138"/>
      <c r="CS76" s="138"/>
      <c r="CT76" s="128"/>
      <c r="CU76" s="128"/>
      <c r="CV76" s="128"/>
      <c r="CW76" s="128"/>
      <c r="CX76" s="128"/>
      <c r="DB76" s="138"/>
      <c r="DC76" s="138"/>
      <c r="DD76" s="128"/>
      <c r="DE76" s="128"/>
      <c r="DF76" s="128"/>
      <c r="DG76" s="128"/>
      <c r="DH76" s="128"/>
      <c r="DL76" s="138"/>
      <c r="DM76" s="138"/>
      <c r="DN76" s="128"/>
      <c r="DO76" s="128"/>
      <c r="DP76" s="128"/>
      <c r="DQ76" s="128"/>
      <c r="DR76" s="128"/>
      <c r="DV76" s="138"/>
      <c r="DW76" s="138"/>
      <c r="DX76" s="128"/>
      <c r="DY76" s="128"/>
      <c r="DZ76" s="128"/>
      <c r="EA76" s="128"/>
      <c r="EB76" s="128"/>
      <c r="EF76" s="138"/>
      <c r="EG76" s="138"/>
      <c r="EH76" s="128"/>
      <c r="EI76" s="128"/>
      <c r="EJ76" s="128"/>
      <c r="EK76" s="128"/>
      <c r="EL76" s="128"/>
      <c r="EP76" s="138"/>
      <c r="EQ76" s="138"/>
      <c r="ER76" s="128"/>
      <c r="ES76" s="128"/>
      <c r="ET76" s="128"/>
      <c r="EU76" s="128"/>
      <c r="EV76" s="128"/>
      <c r="EZ76" s="138"/>
      <c r="FA76" s="138"/>
      <c r="FB76" s="128"/>
      <c r="FC76" s="128"/>
      <c r="FD76" s="128"/>
      <c r="FE76" s="128"/>
      <c r="FF76" s="128"/>
      <c r="FJ76" s="138"/>
      <c r="FK76" s="138"/>
      <c r="FL76" s="128"/>
      <c r="FM76" s="128"/>
      <c r="FN76" s="128"/>
      <c r="FO76" s="128"/>
      <c r="FP76" s="128"/>
      <c r="FT76" s="138"/>
      <c r="FU76" s="138"/>
      <c r="FV76" s="128"/>
      <c r="FW76" s="128"/>
      <c r="FX76" s="128"/>
      <c r="FY76" s="128"/>
      <c r="FZ76" s="128"/>
      <c r="GD76" s="138"/>
      <c r="GE76" s="138"/>
      <c r="GF76" s="128"/>
      <c r="GG76" s="128"/>
      <c r="GH76" s="128"/>
      <c r="GI76" s="128"/>
      <c r="GJ76" s="128"/>
      <c r="GN76" s="138"/>
      <c r="GO76" s="138"/>
      <c r="GP76" s="128"/>
      <c r="GQ76" s="128"/>
      <c r="GR76" s="128"/>
      <c r="GS76" s="128"/>
      <c r="GT76" s="128"/>
      <c r="GX76" s="138"/>
      <c r="GY76" s="138"/>
      <c r="GZ76" s="128"/>
      <c r="HA76" s="128"/>
      <c r="HB76" s="128"/>
      <c r="HC76" s="128"/>
      <c r="HD76" s="128"/>
      <c r="HH76" s="138"/>
      <c r="HI76" s="138"/>
      <c r="HJ76" s="128"/>
      <c r="HK76" s="128"/>
      <c r="HL76" s="128"/>
      <c r="HM76" s="128"/>
      <c r="HN76" s="128"/>
      <c r="HR76" s="138"/>
      <c r="HS76" s="138"/>
      <c r="HT76" s="128"/>
      <c r="HU76" s="128"/>
      <c r="HV76" s="128"/>
      <c r="HW76" s="128"/>
      <c r="HX76" s="128"/>
      <c r="IB76" s="138"/>
      <c r="IC76" s="138"/>
      <c r="ID76" s="128"/>
      <c r="IE76" s="128"/>
      <c r="IF76" s="128"/>
      <c r="IG76" s="128"/>
      <c r="IH76" s="128"/>
      <c r="IL76" s="138"/>
      <c r="IM76" s="138"/>
      <c r="IN76" s="128"/>
      <c r="IO76" s="128"/>
      <c r="IP76" s="128"/>
      <c r="IQ76" s="128"/>
      <c r="IR76" s="128"/>
      <c r="IV76" s="138"/>
      <c r="IW76" s="138"/>
      <c r="IX76" s="128"/>
      <c r="IY76" s="128"/>
      <c r="IZ76" s="128"/>
      <c r="JA76" s="128"/>
      <c r="JB76" s="128"/>
      <c r="JF76" s="138"/>
      <c r="JG76" s="138"/>
      <c r="JH76" s="128"/>
      <c r="JI76" s="128"/>
      <c r="JJ76" s="128"/>
      <c r="JK76" s="128"/>
      <c r="JL76" s="128"/>
      <c r="JP76" s="138"/>
      <c r="JQ76" s="138"/>
      <c r="JR76" s="128"/>
      <c r="JS76" s="128"/>
      <c r="JT76" s="128"/>
      <c r="JU76" s="128"/>
      <c r="JV76" s="128"/>
      <c r="JZ76" s="138"/>
      <c r="KA76" s="138"/>
      <c r="KB76" s="128"/>
      <c r="KC76" s="128"/>
      <c r="KD76" s="128"/>
      <c r="KE76" s="128"/>
      <c r="KF76" s="128"/>
      <c r="KJ76" s="138"/>
      <c r="KK76" s="138"/>
    </row>
    <row r="77" spans="1:297">
      <c r="A77" s="87">
        <f t="shared" si="1"/>
        <v>40</v>
      </c>
      <c r="B77" s="83">
        <f>_xll.flu_SPT2025($D$10,$D$13,$D$14,$D$23,$D$16,$D$17,$I$11:$J$25,$R$19:$S$108,FALSE,FALSE,"Cao độ",A77,$D$18)</f>
        <v>37</v>
      </c>
      <c r="C77" s="87" t="str">
        <f>IF(B77="","",_xll.TimTenLoaiDat(B77,$G$11:$I$25))</f>
        <v>Lớp 6</v>
      </c>
      <c r="D77" s="87" t="str">
        <f>IF(B77="","",_xll.TimTinhChatDat(B77,$I$11:$J$25))</f>
        <v>Đất rời</v>
      </c>
      <c r="E77" s="95">
        <f>IF(B77="","",_xll.NoiSuySPT(B77,$R$19:$S$108,$D$17,$D$13,0,0))</f>
        <v>30</v>
      </c>
      <c r="F77" s="125">
        <f>IF(B77="","",_xll.qbEQ_SPT2025($D$10,$D$13,$D$14,B77,$D$17,$I$11:$J$25,$R$19:$S$108,$D$19,$I$11:$O$25,$D$12,"ganmaqb",$D$20))</f>
        <v>0.39276</v>
      </c>
      <c r="G77" s="95">
        <f>IF(B77="","",IF(D77="Đất dính","-",_xll.qbEQ_SPT2025($D$10,$D$13,$D$14,B77,$D$17,$I$11:$J$25,$R$19:$S$108,$D$19,$I$11:$O$25,$D$12,"",$D$20)))</f>
        <v>1413.9359999999999</v>
      </c>
      <c r="H77" s="95" t="str">
        <f>IF(B77="","",IF(D77="Đất dính",_xll.qbEQ_SPT2025($D$10,$D$13,$D$14,B77,$D$17,$I$11:$J$25,$R$19:$S$108,$D$19,$I$11:$O$25,$D$12,"",$D$20),"-"))</f>
        <v>-</v>
      </c>
      <c r="I77" s="95">
        <f t="shared" si="4"/>
        <v>1110.50273756153</v>
      </c>
      <c r="J77" s="96">
        <f>_xll.flu_SPT2025($D$10,$D$13,$D$14,$D$23,$D$16,$D$17,$I$11:$J$25,$R$19:$S$108,FALSE,FALSE,"Li",A77,$D$18)</f>
        <v>1</v>
      </c>
      <c r="K77" s="150">
        <f>IF(B77="","",_xll.fluEQ_SPT2025($D$10,$D$13,$D$14,$D$23,$D$16,$D$17,$I$11:$J$25,$R$19:$S$108,FALSE,FALSE,"ganmafl",A77,$D$18,$D$19,$I$11:$O$25,$D$12,$J$29,$D$20))</f>
        <v>0.48552000000000001</v>
      </c>
      <c r="L77" s="95">
        <f>IF(D77="Đất dính","-",_xll.fluEQ_SPT2025($D$10,$D$13,$D$14,$D$23,$D$16,$D$17,$I$11:$J$25,$R$19:$S$108,FALSE,FALSE,"f",A77,$D$18,$D$19,$I$11:$O$25,$D$12,$J$29,$D$20))</f>
        <v>48.066479999999999</v>
      </c>
      <c r="M77" s="95" t="str">
        <f>IF(B77="","",IF(D77="Đất dính",_xll.fluEQ_SPT2025($D$10,$D$13,$D$14,$D$23,$D$16,$D$17,$I$11:$J$25,$R$19:$S$108,FALSE,FALSE,"f",A77,$D$18,$D$19,$I$11:$O$25,$D$12,$J$29,$D$20),"-"))</f>
        <v>-</v>
      </c>
      <c r="N77" s="95">
        <f>_xll.fluEQ_SPT2025($D$10,$D$13,$D$14,$D$23,$D$16,$D$17,$I$11:$J$25,$R$19:$S$108,FALSE,FALSE,"flu",A77,$D$18,$D$19,$I$11:$O$25,$D$12,$J$29,$D$20)</f>
        <v>2744.8648178656499</v>
      </c>
      <c r="O77" s="87">
        <f t="shared" si="3"/>
        <v>3855.3675554271799</v>
      </c>
      <c r="P77" s="65"/>
      <c r="R77" s="138"/>
      <c r="S77" s="138"/>
      <c r="Z77" s="138"/>
      <c r="AA77" s="138"/>
      <c r="AB77" s="128"/>
      <c r="AC77" s="128"/>
      <c r="AD77" s="128"/>
      <c r="AE77" s="128"/>
      <c r="AF77" s="128"/>
      <c r="AJ77" s="138"/>
      <c r="AK77" s="138"/>
      <c r="AL77" s="128"/>
      <c r="AM77" s="128"/>
      <c r="AN77" s="128"/>
      <c r="AO77" s="128"/>
      <c r="AP77" s="128"/>
      <c r="AT77" s="138"/>
      <c r="AU77" s="138"/>
      <c r="AV77" s="128"/>
      <c r="AW77" s="128"/>
      <c r="AX77" s="128"/>
      <c r="AY77" s="128"/>
      <c r="AZ77" s="128"/>
      <c r="BD77" s="138"/>
      <c r="BE77" s="138"/>
      <c r="BF77" s="128"/>
      <c r="BG77" s="128"/>
      <c r="BH77" s="128"/>
      <c r="BI77" s="128"/>
      <c r="BJ77" s="128"/>
      <c r="BN77" s="138"/>
      <c r="BO77" s="138"/>
      <c r="BP77" s="128"/>
      <c r="BQ77" s="128"/>
      <c r="BR77" s="128"/>
      <c r="BS77" s="128"/>
      <c r="BT77" s="128"/>
      <c r="BX77" s="138"/>
      <c r="BY77" s="138"/>
      <c r="BZ77" s="128"/>
      <c r="CA77" s="128"/>
      <c r="CB77" s="128"/>
      <c r="CC77" s="128"/>
      <c r="CD77" s="128"/>
      <c r="CH77" s="138"/>
      <c r="CI77" s="138"/>
      <c r="CJ77" s="128"/>
      <c r="CK77" s="128"/>
      <c r="CL77" s="128"/>
      <c r="CM77" s="128"/>
      <c r="CN77" s="128"/>
      <c r="CR77" s="138"/>
      <c r="CS77" s="138"/>
      <c r="CT77" s="128"/>
      <c r="CU77" s="128"/>
      <c r="CV77" s="128"/>
      <c r="CW77" s="128"/>
      <c r="CX77" s="128"/>
      <c r="DB77" s="138"/>
      <c r="DC77" s="138"/>
      <c r="DD77" s="128"/>
      <c r="DE77" s="128"/>
      <c r="DF77" s="128"/>
      <c r="DG77" s="128"/>
      <c r="DH77" s="128"/>
      <c r="DL77" s="138"/>
      <c r="DM77" s="138"/>
      <c r="DN77" s="128"/>
      <c r="DO77" s="128"/>
      <c r="DP77" s="128"/>
      <c r="DQ77" s="128"/>
      <c r="DR77" s="128"/>
      <c r="DV77" s="138"/>
      <c r="DW77" s="138"/>
      <c r="DX77" s="128"/>
      <c r="DY77" s="128"/>
      <c r="DZ77" s="128"/>
      <c r="EA77" s="128"/>
      <c r="EB77" s="128"/>
      <c r="EF77" s="138"/>
      <c r="EG77" s="138"/>
      <c r="EH77" s="128"/>
      <c r="EI77" s="128"/>
      <c r="EJ77" s="128"/>
      <c r="EK77" s="128"/>
      <c r="EL77" s="128"/>
      <c r="EP77" s="138"/>
      <c r="EQ77" s="138"/>
      <c r="ER77" s="128"/>
      <c r="ES77" s="128"/>
      <c r="ET77" s="128"/>
      <c r="EU77" s="128"/>
      <c r="EV77" s="128"/>
      <c r="EZ77" s="138"/>
      <c r="FA77" s="138"/>
      <c r="FB77" s="128"/>
      <c r="FC77" s="128"/>
      <c r="FD77" s="128"/>
      <c r="FE77" s="128"/>
      <c r="FF77" s="128"/>
      <c r="FJ77" s="138"/>
      <c r="FK77" s="138"/>
      <c r="FL77" s="128"/>
      <c r="FM77" s="128"/>
      <c r="FN77" s="128"/>
      <c r="FO77" s="128"/>
      <c r="FP77" s="128"/>
      <c r="FT77" s="138"/>
      <c r="FU77" s="138"/>
      <c r="FV77" s="128"/>
      <c r="FW77" s="128"/>
      <c r="FX77" s="128"/>
      <c r="FY77" s="128"/>
      <c r="FZ77" s="128"/>
      <c r="GD77" s="138"/>
      <c r="GE77" s="138"/>
      <c r="GF77" s="128"/>
      <c r="GG77" s="128"/>
      <c r="GH77" s="128"/>
      <c r="GI77" s="128"/>
      <c r="GJ77" s="128"/>
      <c r="GN77" s="138"/>
      <c r="GO77" s="138"/>
      <c r="GP77" s="128"/>
      <c r="GQ77" s="128"/>
      <c r="GR77" s="128"/>
      <c r="GS77" s="128"/>
      <c r="GT77" s="128"/>
      <c r="GX77" s="138"/>
      <c r="GY77" s="138"/>
      <c r="GZ77" s="128"/>
      <c r="HA77" s="128"/>
      <c r="HB77" s="128"/>
      <c r="HC77" s="128"/>
      <c r="HD77" s="128"/>
      <c r="HH77" s="138"/>
      <c r="HI77" s="138"/>
      <c r="HJ77" s="128"/>
      <c r="HK77" s="128"/>
      <c r="HL77" s="128"/>
      <c r="HM77" s="128"/>
      <c r="HN77" s="128"/>
      <c r="HR77" s="138"/>
      <c r="HS77" s="138"/>
      <c r="HT77" s="128"/>
      <c r="HU77" s="128"/>
      <c r="HV77" s="128"/>
      <c r="HW77" s="128"/>
      <c r="HX77" s="128"/>
      <c r="IB77" s="138"/>
      <c r="IC77" s="138"/>
      <c r="ID77" s="128"/>
      <c r="IE77" s="128"/>
      <c r="IF77" s="128"/>
      <c r="IG77" s="128"/>
      <c r="IH77" s="128"/>
      <c r="IL77" s="138"/>
      <c r="IM77" s="138"/>
      <c r="IN77" s="128"/>
      <c r="IO77" s="128"/>
      <c r="IP77" s="128"/>
      <c r="IQ77" s="128"/>
      <c r="IR77" s="128"/>
      <c r="IV77" s="138"/>
      <c r="IW77" s="138"/>
      <c r="IX77" s="128"/>
      <c r="IY77" s="128"/>
      <c r="IZ77" s="128"/>
      <c r="JA77" s="128"/>
      <c r="JB77" s="128"/>
      <c r="JF77" s="138"/>
      <c r="JG77" s="138"/>
      <c r="JH77" s="128"/>
      <c r="JI77" s="128"/>
      <c r="JJ77" s="128"/>
      <c r="JK77" s="128"/>
      <c r="JL77" s="128"/>
      <c r="JP77" s="138"/>
      <c r="JQ77" s="138"/>
      <c r="JR77" s="128"/>
      <c r="JS77" s="128"/>
      <c r="JT77" s="128"/>
      <c r="JU77" s="128"/>
      <c r="JV77" s="128"/>
      <c r="JZ77" s="138"/>
      <c r="KA77" s="138"/>
      <c r="KB77" s="128"/>
      <c r="KC77" s="128"/>
      <c r="KD77" s="128"/>
      <c r="KE77" s="128"/>
      <c r="KF77" s="128"/>
      <c r="KJ77" s="138"/>
      <c r="KK77" s="138"/>
    </row>
    <row r="78" spans="1:297">
      <c r="A78" s="87">
        <f t="shared" si="1"/>
        <v>41</v>
      </c>
      <c r="B78" s="83">
        <f>_xll.flu_SPT2025($D$10,$D$13,$D$14,$D$23,$D$16,$D$17,$I$11:$J$25,$R$19:$S$108,FALSE,FALSE,"Cao độ",A78,$D$18)</f>
        <v>38</v>
      </c>
      <c r="C78" s="87" t="str">
        <f>IF(B78="","",_xll.TimTenLoaiDat(B78,$G$11:$I$25))</f>
        <v>Lớp 6</v>
      </c>
      <c r="D78" s="87" t="str">
        <f>IF(B78="","",_xll.TimTinhChatDat(B78,$I$11:$J$25))</f>
        <v>Đất rời</v>
      </c>
      <c r="E78" s="95">
        <f>IF(B78="","",_xll.NoiSuySPT(B78,$R$19:$S$108,$D$17,$D$13,0,0))</f>
        <v>25</v>
      </c>
      <c r="F78" s="125">
        <f>IF(B78="","",_xll.qbEQ_SPT2025($D$10,$D$13,$D$14,B78,$D$17,$I$11:$J$25,$R$19:$S$108,$D$19,$I$11:$O$25,$D$12,"ganmaqb",$D$20))</f>
        <v>0.39276</v>
      </c>
      <c r="G78" s="95">
        <f>IF(B78="","",IF(D78="Đất dính","-",_xll.qbEQ_SPT2025($D$10,$D$13,$D$14,B78,$D$17,$I$11:$J$25,$R$19:$S$108,$D$19,$I$11:$O$25,$D$12,"",$D$20)))</f>
        <v>1178.28</v>
      </c>
      <c r="H78" s="95" t="str">
        <f>IF(B78="","",IF(D78="Đất dính",_xll.qbEQ_SPT2025($D$10,$D$13,$D$14,B78,$D$17,$I$11:$J$25,$R$19:$S$108,$D$19,$I$11:$O$25,$D$12,"",$D$20),"-"))</f>
        <v>-</v>
      </c>
      <c r="I78" s="95">
        <f t="shared" si="4"/>
        <v>925.418947967946</v>
      </c>
      <c r="J78" s="96">
        <f>_xll.flu_SPT2025($D$10,$D$13,$D$14,$D$23,$D$16,$D$17,$I$11:$J$25,$R$19:$S$108,FALSE,FALSE,"Li",A78,$D$18)</f>
        <v>0.20000000000000301</v>
      </c>
      <c r="K78" s="150">
        <f>IF(B78="","",_xll.fluEQ_SPT2025($D$10,$D$13,$D$14,$D$23,$D$16,$D$17,$I$11:$J$25,$R$19:$S$108,FALSE,FALSE,"ganmafl",A78,$D$18,$D$19,$I$11:$O$25,$D$12,$J$29,$D$20))</f>
        <v>0.48552000000000001</v>
      </c>
      <c r="L78" s="95">
        <f>IF(D78="Đất dính","-",_xll.fluEQ_SPT2025($D$10,$D$13,$D$14,$D$23,$D$16,$D$17,$I$11:$J$25,$R$19:$S$108,FALSE,FALSE,"f",A78,$D$18,$D$19,$I$11:$O$25,$D$12,$J$29,$D$20))</f>
        <v>40.055399999999999</v>
      </c>
      <c r="M78" s="95" t="str">
        <f>IF(B78="","",IF(D78="Đất dính",_xll.fluEQ_SPT2025($D$10,$D$13,$D$14,$D$23,$D$16,$D$17,$I$11:$J$25,$R$19:$S$108,FALSE,FALSE,"f",A78,$D$18,$D$19,$I$11:$O$25,$D$12,$J$29,$D$20),"-"))</f>
        <v>-</v>
      </c>
      <c r="N78" s="95">
        <f>_xll.fluEQ_SPT2025($D$10,$D$13,$D$14,$D$23,$D$16,$D$17,$I$11:$J$25,$R$19:$S$108,FALSE,FALSE,"flu",A78,$D$18,$D$19,$I$11:$O$25,$D$12,$J$29,$D$20)</f>
        <v>2770.0323679409698</v>
      </c>
      <c r="O78" s="87">
        <f t="shared" si="3"/>
        <v>3695.4513159089101</v>
      </c>
      <c r="P78" s="65"/>
      <c r="R78" s="138"/>
      <c r="S78" s="138"/>
      <c r="Z78" s="138"/>
      <c r="AA78" s="138"/>
      <c r="AB78" s="128"/>
      <c r="AC78" s="128"/>
      <c r="AD78" s="128"/>
      <c r="AE78" s="128"/>
      <c r="AF78" s="128"/>
      <c r="AJ78" s="138"/>
      <c r="AK78" s="138"/>
      <c r="AL78" s="128"/>
      <c r="AM78" s="128"/>
      <c r="AN78" s="128"/>
      <c r="AO78" s="128"/>
      <c r="AP78" s="128"/>
      <c r="AT78" s="138"/>
      <c r="AU78" s="138"/>
      <c r="AV78" s="128"/>
      <c r="AW78" s="128"/>
      <c r="AX78" s="128"/>
      <c r="AY78" s="128"/>
      <c r="AZ78" s="128"/>
      <c r="BD78" s="138"/>
      <c r="BE78" s="138"/>
      <c r="BF78" s="128"/>
      <c r="BG78" s="128"/>
      <c r="BH78" s="128"/>
      <c r="BI78" s="128"/>
      <c r="BJ78" s="128"/>
      <c r="BN78" s="138"/>
      <c r="BO78" s="138"/>
      <c r="BP78" s="128"/>
      <c r="BQ78" s="128"/>
      <c r="BR78" s="128"/>
      <c r="BS78" s="128"/>
      <c r="BT78" s="128"/>
      <c r="BX78" s="138"/>
      <c r="BY78" s="138"/>
      <c r="BZ78" s="128"/>
      <c r="CA78" s="128"/>
      <c r="CB78" s="128"/>
      <c r="CC78" s="128"/>
      <c r="CD78" s="128"/>
      <c r="CH78" s="138"/>
      <c r="CI78" s="138"/>
      <c r="CJ78" s="128"/>
      <c r="CK78" s="128"/>
      <c r="CL78" s="128"/>
      <c r="CM78" s="128"/>
      <c r="CN78" s="128"/>
      <c r="CR78" s="138"/>
      <c r="CS78" s="138"/>
      <c r="CT78" s="128"/>
      <c r="CU78" s="128"/>
      <c r="CV78" s="128"/>
      <c r="CW78" s="128"/>
      <c r="CX78" s="128"/>
      <c r="DB78" s="138"/>
      <c r="DC78" s="138"/>
      <c r="DD78" s="128"/>
      <c r="DE78" s="128"/>
      <c r="DF78" s="128"/>
      <c r="DG78" s="128"/>
      <c r="DH78" s="128"/>
      <c r="DL78" s="138"/>
      <c r="DM78" s="138"/>
      <c r="DN78" s="128"/>
      <c r="DO78" s="128"/>
      <c r="DP78" s="128"/>
      <c r="DQ78" s="128"/>
      <c r="DR78" s="128"/>
      <c r="DV78" s="138"/>
      <c r="DW78" s="138"/>
      <c r="DX78" s="128"/>
      <c r="DY78" s="128"/>
      <c r="DZ78" s="128"/>
      <c r="EA78" s="128"/>
      <c r="EB78" s="128"/>
      <c r="EF78" s="138"/>
      <c r="EG78" s="138"/>
      <c r="EH78" s="128"/>
      <c r="EI78" s="128"/>
      <c r="EJ78" s="128"/>
      <c r="EK78" s="128"/>
      <c r="EL78" s="128"/>
      <c r="EP78" s="138"/>
      <c r="EQ78" s="138"/>
      <c r="ER78" s="128"/>
      <c r="ES78" s="128"/>
      <c r="ET78" s="128"/>
      <c r="EU78" s="128"/>
      <c r="EV78" s="128"/>
      <c r="EZ78" s="138"/>
      <c r="FA78" s="138"/>
      <c r="FB78" s="128"/>
      <c r="FC78" s="128"/>
      <c r="FD78" s="128"/>
      <c r="FE78" s="128"/>
      <c r="FF78" s="128"/>
      <c r="FJ78" s="138"/>
      <c r="FK78" s="138"/>
      <c r="FL78" s="128"/>
      <c r="FM78" s="128"/>
      <c r="FN78" s="128"/>
      <c r="FO78" s="128"/>
      <c r="FP78" s="128"/>
      <c r="FT78" s="138"/>
      <c r="FU78" s="138"/>
      <c r="FV78" s="128"/>
      <c r="FW78" s="128"/>
      <c r="FX78" s="128"/>
      <c r="FY78" s="128"/>
      <c r="FZ78" s="128"/>
      <c r="GD78" s="138"/>
      <c r="GE78" s="138"/>
      <c r="GF78" s="128"/>
      <c r="GG78" s="128"/>
      <c r="GH78" s="128"/>
      <c r="GI78" s="128"/>
      <c r="GJ78" s="128"/>
      <c r="GN78" s="138"/>
      <c r="GO78" s="138"/>
      <c r="GP78" s="128"/>
      <c r="GQ78" s="128"/>
      <c r="GR78" s="128"/>
      <c r="GS78" s="128"/>
      <c r="GT78" s="128"/>
      <c r="GX78" s="138"/>
      <c r="GY78" s="138"/>
      <c r="GZ78" s="128"/>
      <c r="HA78" s="128"/>
      <c r="HB78" s="128"/>
      <c r="HC78" s="128"/>
      <c r="HD78" s="128"/>
      <c r="HH78" s="138"/>
      <c r="HI78" s="138"/>
      <c r="HJ78" s="128"/>
      <c r="HK78" s="128"/>
      <c r="HL78" s="128"/>
      <c r="HM78" s="128"/>
      <c r="HN78" s="128"/>
      <c r="HR78" s="138"/>
      <c r="HS78" s="138"/>
      <c r="HT78" s="128"/>
      <c r="HU78" s="128"/>
      <c r="HV78" s="128"/>
      <c r="HW78" s="128"/>
      <c r="HX78" s="128"/>
      <c r="IB78" s="138"/>
      <c r="IC78" s="138"/>
      <c r="ID78" s="128"/>
      <c r="IE78" s="128"/>
      <c r="IF78" s="128"/>
      <c r="IG78" s="128"/>
      <c r="IH78" s="128"/>
      <c r="IL78" s="138"/>
      <c r="IM78" s="138"/>
      <c r="IN78" s="128"/>
      <c r="IO78" s="128"/>
      <c r="IP78" s="128"/>
      <c r="IQ78" s="128"/>
      <c r="IR78" s="128"/>
      <c r="IV78" s="138"/>
      <c r="IW78" s="138"/>
      <c r="IX78" s="128"/>
      <c r="IY78" s="128"/>
      <c r="IZ78" s="128"/>
      <c r="JA78" s="128"/>
      <c r="JB78" s="128"/>
      <c r="JF78" s="138"/>
      <c r="JG78" s="138"/>
      <c r="JH78" s="128"/>
      <c r="JI78" s="128"/>
      <c r="JJ78" s="128"/>
      <c r="JK78" s="128"/>
      <c r="JL78" s="128"/>
      <c r="JP78" s="138"/>
      <c r="JQ78" s="138"/>
      <c r="JR78" s="128"/>
      <c r="JS78" s="128"/>
      <c r="JT78" s="128"/>
      <c r="JU78" s="128"/>
      <c r="JV78" s="128"/>
      <c r="JZ78" s="138"/>
      <c r="KA78" s="138"/>
      <c r="KB78" s="128"/>
      <c r="KC78" s="128"/>
      <c r="KD78" s="128"/>
      <c r="KE78" s="128"/>
      <c r="KF78" s="128"/>
      <c r="KJ78" s="138"/>
      <c r="KK78" s="138"/>
    </row>
    <row r="79" spans="1:297">
      <c r="A79" s="87">
        <f t="shared" si="1"/>
        <v>42</v>
      </c>
      <c r="B79" s="83">
        <f>_xll.flu_SPT2025($D$10,$D$13,$D$14,$D$23,$D$16,$D$17,$I$11:$J$25,$R$19:$S$108,FALSE,FALSE,"Cao độ",A79,$D$18)</f>
        <v>38.200000000000003</v>
      </c>
      <c r="C79" s="87" t="str">
        <f>IF(B79="","",_xll.TimTenLoaiDat(B79,$G$11:$I$25))</f>
        <v>Lớp 7</v>
      </c>
      <c r="D79" s="87" t="str">
        <f>IF(B79="","",_xll.TimTinhChatDat(B79,$I$11:$J$25))</f>
        <v>Đất rời</v>
      </c>
      <c r="E79" s="95">
        <f>IF(B79="","",_xll.NoiSuySPT(B79,$R$19:$S$108,$D$17,$D$13,0,0))</f>
        <v>24</v>
      </c>
      <c r="F79" s="125">
        <f>IF(B79="","",_xll.qbEQ_SPT2025($D$10,$D$13,$D$14,B79,$D$17,$I$11:$J$25,$R$19:$S$108,$D$19,$I$11:$O$25,$D$12,"ganmaqb",$D$20))</f>
        <v>0.39276</v>
      </c>
      <c r="G79" s="95">
        <f>IF(B79="","",IF(D79="Đất dính","-",_xll.qbEQ_SPT2025($D$10,$D$13,$D$14,B79,$D$17,$I$11:$J$25,$R$19:$S$108,$D$19,$I$11:$O$25,$D$12,"",$D$20)))</f>
        <v>1131.1487999999999</v>
      </c>
      <c r="H79" s="95" t="str">
        <f>IF(B79="","",IF(D79="Đất dính",_xll.qbEQ_SPT2025($D$10,$D$13,$D$14,B79,$D$17,$I$11:$J$25,$R$19:$S$108,$D$19,$I$11:$O$25,$D$12,"",$D$20),"-"))</f>
        <v>-</v>
      </c>
      <c r="I79" s="95">
        <f t="shared" si="4"/>
        <v>888.40219004922699</v>
      </c>
      <c r="J79" s="96">
        <f>_xll.flu_SPT2025($D$10,$D$13,$D$14,$D$23,$D$16,$D$17,$I$11:$J$25,$R$19:$S$108,FALSE,FALSE,"Li",A79,$D$18)</f>
        <v>0.79999999999999705</v>
      </c>
      <c r="K79" s="150">
        <f>IF(B79="","",_xll.fluEQ_SPT2025($D$10,$D$13,$D$14,$D$23,$D$16,$D$17,$I$11:$J$25,$R$19:$S$108,FALSE,FALSE,"ganmafl",A79,$D$18,$D$19,$I$11:$O$25,$D$12,$J$29,$D$20))</f>
        <v>0.48552000000000001</v>
      </c>
      <c r="L79" s="95">
        <f>IF(D79="Đất dính","-",_xll.fluEQ_SPT2025($D$10,$D$13,$D$14,$D$23,$D$16,$D$17,$I$11:$J$25,$R$19:$S$108,FALSE,FALSE,"f",A79,$D$18,$D$19,$I$11:$O$25,$D$12,$J$29,$D$20))</f>
        <v>38.453184</v>
      </c>
      <c r="M79" s="95" t="str">
        <f>IF(B79="","",IF(D79="Đất dính",_xll.fluEQ_SPT2025($D$10,$D$13,$D$14,$D$23,$D$16,$D$17,$I$11:$J$25,$R$19:$S$108,FALSE,FALSE,"f",A79,$D$18,$D$19,$I$11:$O$25,$D$12,$J$29,$D$20),"-"))</f>
        <v>-</v>
      </c>
      <c r="N79" s="95">
        <f>_xll.fluEQ_SPT2025($D$10,$D$13,$D$14,$D$23,$D$16,$D$17,$I$11:$J$25,$R$19:$S$108,FALSE,FALSE,"flu",A79,$D$18,$D$19,$I$11:$O$25,$D$12,$J$29,$D$20)</f>
        <v>2866.6757602302</v>
      </c>
      <c r="O79" s="87">
        <f t="shared" si="3"/>
        <v>3755.0779502794298</v>
      </c>
      <c r="P79" s="65"/>
      <c r="R79" s="138"/>
      <c r="S79" s="138"/>
      <c r="Z79" s="138"/>
      <c r="AA79" s="138"/>
      <c r="AB79" s="128"/>
      <c r="AC79" s="128"/>
      <c r="AD79" s="128"/>
      <c r="AE79" s="128"/>
      <c r="AF79" s="128"/>
      <c r="AJ79" s="138"/>
      <c r="AK79" s="138"/>
      <c r="AL79" s="128"/>
      <c r="AM79" s="128"/>
      <c r="AN79" s="128"/>
      <c r="AO79" s="128"/>
      <c r="AP79" s="128"/>
      <c r="AT79" s="138"/>
      <c r="AU79" s="138"/>
      <c r="AV79" s="128"/>
      <c r="AW79" s="128"/>
      <c r="AX79" s="128"/>
      <c r="AY79" s="128"/>
      <c r="AZ79" s="128"/>
      <c r="BD79" s="138"/>
      <c r="BE79" s="138"/>
      <c r="BF79" s="128"/>
      <c r="BG79" s="128"/>
      <c r="BH79" s="128"/>
      <c r="BI79" s="128"/>
      <c r="BJ79" s="128"/>
      <c r="BN79" s="138"/>
      <c r="BO79" s="138"/>
      <c r="BP79" s="128"/>
      <c r="BQ79" s="128"/>
      <c r="BR79" s="128"/>
      <c r="BS79" s="128"/>
      <c r="BT79" s="128"/>
      <c r="BX79" s="138"/>
      <c r="BY79" s="138"/>
      <c r="BZ79" s="128"/>
      <c r="CA79" s="128"/>
      <c r="CB79" s="128"/>
      <c r="CC79" s="128"/>
      <c r="CD79" s="128"/>
      <c r="CH79" s="138"/>
      <c r="CI79" s="138"/>
      <c r="CJ79" s="128"/>
      <c r="CK79" s="128"/>
      <c r="CL79" s="128"/>
      <c r="CM79" s="128"/>
      <c r="CN79" s="128"/>
      <c r="CR79" s="138"/>
      <c r="CS79" s="138"/>
      <c r="CT79" s="128"/>
      <c r="CU79" s="128"/>
      <c r="CV79" s="128"/>
      <c r="CW79" s="128"/>
      <c r="CX79" s="128"/>
      <c r="DB79" s="138"/>
      <c r="DC79" s="138"/>
      <c r="DD79" s="128"/>
      <c r="DE79" s="128"/>
      <c r="DF79" s="128"/>
      <c r="DG79" s="128"/>
      <c r="DH79" s="128"/>
      <c r="DL79" s="138"/>
      <c r="DM79" s="138"/>
      <c r="DN79" s="128"/>
      <c r="DO79" s="128"/>
      <c r="DP79" s="128"/>
      <c r="DQ79" s="128"/>
      <c r="DR79" s="128"/>
      <c r="DV79" s="138"/>
      <c r="DW79" s="138"/>
      <c r="DX79" s="128"/>
      <c r="DY79" s="128"/>
      <c r="DZ79" s="128"/>
      <c r="EA79" s="128"/>
      <c r="EB79" s="128"/>
      <c r="EF79" s="138"/>
      <c r="EG79" s="138"/>
      <c r="EH79" s="128"/>
      <c r="EI79" s="128"/>
      <c r="EJ79" s="128"/>
      <c r="EK79" s="128"/>
      <c r="EL79" s="128"/>
      <c r="EP79" s="138"/>
      <c r="EQ79" s="138"/>
      <c r="ER79" s="128"/>
      <c r="ES79" s="128"/>
      <c r="ET79" s="128"/>
      <c r="EU79" s="128"/>
      <c r="EV79" s="128"/>
      <c r="EZ79" s="138"/>
      <c r="FA79" s="138"/>
      <c r="FB79" s="128"/>
      <c r="FC79" s="128"/>
      <c r="FD79" s="128"/>
      <c r="FE79" s="128"/>
      <c r="FF79" s="128"/>
      <c r="FJ79" s="138"/>
      <c r="FK79" s="138"/>
      <c r="FL79" s="128"/>
      <c r="FM79" s="128"/>
      <c r="FN79" s="128"/>
      <c r="FO79" s="128"/>
      <c r="FP79" s="128"/>
      <c r="FT79" s="138"/>
      <c r="FU79" s="138"/>
      <c r="FV79" s="128"/>
      <c r="FW79" s="128"/>
      <c r="FX79" s="128"/>
      <c r="FY79" s="128"/>
      <c r="FZ79" s="128"/>
      <c r="GD79" s="138"/>
      <c r="GE79" s="138"/>
      <c r="GF79" s="128"/>
      <c r="GG79" s="128"/>
      <c r="GH79" s="128"/>
      <c r="GI79" s="128"/>
      <c r="GJ79" s="128"/>
      <c r="GN79" s="138"/>
      <c r="GO79" s="138"/>
      <c r="GP79" s="128"/>
      <c r="GQ79" s="128"/>
      <c r="GR79" s="128"/>
      <c r="GS79" s="128"/>
      <c r="GT79" s="128"/>
      <c r="GX79" s="138"/>
      <c r="GY79" s="138"/>
      <c r="GZ79" s="128"/>
      <c r="HA79" s="128"/>
      <c r="HB79" s="128"/>
      <c r="HC79" s="128"/>
      <c r="HD79" s="128"/>
      <c r="HH79" s="138"/>
      <c r="HI79" s="138"/>
      <c r="HJ79" s="128"/>
      <c r="HK79" s="128"/>
      <c r="HL79" s="128"/>
      <c r="HM79" s="128"/>
      <c r="HN79" s="128"/>
      <c r="HR79" s="138"/>
      <c r="HS79" s="138"/>
      <c r="HT79" s="128"/>
      <c r="HU79" s="128"/>
      <c r="HV79" s="128"/>
      <c r="HW79" s="128"/>
      <c r="HX79" s="128"/>
      <c r="IB79" s="138"/>
      <c r="IC79" s="138"/>
      <c r="ID79" s="128"/>
      <c r="IE79" s="128"/>
      <c r="IF79" s="128"/>
      <c r="IG79" s="128"/>
      <c r="IH79" s="128"/>
      <c r="IL79" s="138"/>
      <c r="IM79" s="138"/>
      <c r="IN79" s="128"/>
      <c r="IO79" s="128"/>
      <c r="IP79" s="128"/>
      <c r="IQ79" s="128"/>
      <c r="IR79" s="128"/>
      <c r="IV79" s="138"/>
      <c r="IW79" s="138"/>
      <c r="IX79" s="128"/>
      <c r="IY79" s="128"/>
      <c r="IZ79" s="128"/>
      <c r="JA79" s="128"/>
      <c r="JB79" s="128"/>
      <c r="JF79" s="138"/>
      <c r="JG79" s="138"/>
      <c r="JH79" s="128"/>
      <c r="JI79" s="128"/>
      <c r="JJ79" s="128"/>
      <c r="JK79" s="128"/>
      <c r="JL79" s="128"/>
      <c r="JP79" s="138"/>
      <c r="JQ79" s="138"/>
      <c r="JR79" s="128"/>
      <c r="JS79" s="128"/>
      <c r="JT79" s="128"/>
      <c r="JU79" s="128"/>
      <c r="JV79" s="128"/>
      <c r="JZ79" s="138"/>
      <c r="KA79" s="138"/>
      <c r="KB79" s="128"/>
      <c r="KC79" s="128"/>
      <c r="KD79" s="128"/>
      <c r="KE79" s="128"/>
      <c r="KF79" s="128"/>
      <c r="KJ79" s="138"/>
      <c r="KK79" s="138"/>
    </row>
    <row r="80" spans="1:297">
      <c r="A80" s="87">
        <f t="shared" si="1"/>
        <v>43</v>
      </c>
      <c r="B80" s="83">
        <f>_xll.flu_SPT2025($D$10,$D$13,$D$14,$D$23,$D$16,$D$17,$I$11:$J$25,$R$19:$S$108,FALSE,FALSE,"Cao độ",A80,$D$18)</f>
        <v>39</v>
      </c>
      <c r="C80" s="87" t="str">
        <f>IF(B80="","",_xll.TimTenLoaiDat(B80,$G$11:$I$25))</f>
        <v>Lớp 7</v>
      </c>
      <c r="D80" s="87" t="str">
        <f>IF(B80="","",_xll.TimTinhChatDat(B80,$I$11:$J$25))</f>
        <v>Đất rời</v>
      </c>
      <c r="E80" s="95">
        <f>IF(B80="","",_xll.NoiSuySPT(B80,$R$19:$S$108,$D$17,$D$13,0,0))</f>
        <v>34.4</v>
      </c>
      <c r="F80" s="125">
        <f>IF(B80="","",_xll.qbEQ_SPT2025($D$10,$D$13,$D$14,B80,$D$17,$I$11:$J$25,$R$19:$S$108,$D$19,$I$11:$O$25,$D$12,"ganmaqb",$D$20))</f>
        <v>0.39276</v>
      </c>
      <c r="G80" s="95">
        <f>IF(B80="","",IF(D80="Đất dính","-",_xll.qbEQ_SPT2025($D$10,$D$13,$D$14,B80,$D$17,$I$11:$J$25,$R$19:$S$108,$D$19,$I$11:$O$25,$D$12,"",$D$20)))</f>
        <v>1621.3132800000001</v>
      </c>
      <c r="H80" s="95" t="str">
        <f>IF(B80="","",IF(D80="Đất dính",_xll.qbEQ_SPT2025($D$10,$D$13,$D$14,B80,$D$17,$I$11:$J$25,$R$19:$S$108,$D$19,$I$11:$O$25,$D$12,"",$D$20),"-"))</f>
        <v>-</v>
      </c>
      <c r="I80" s="95">
        <f t="shared" si="4"/>
        <v>1273.3764724038899</v>
      </c>
      <c r="J80" s="96">
        <f>_xll.flu_SPT2025($D$10,$D$13,$D$14,$D$23,$D$16,$D$17,$I$11:$J$25,$R$19:$S$108,FALSE,FALSE,"Li",A80,$D$18)</f>
        <v>1</v>
      </c>
      <c r="K80" s="150">
        <f>IF(B80="","",_xll.fluEQ_SPT2025($D$10,$D$13,$D$14,$D$23,$D$16,$D$17,$I$11:$J$25,$R$19:$S$108,FALSE,FALSE,"ganmafl",A80,$D$18,$D$19,$I$11:$O$25,$D$12,$J$29,$D$20))</f>
        <v>0.48552000000000001</v>
      </c>
      <c r="L80" s="95">
        <f>IF(D80="Đất dính","-",_xll.fluEQ_SPT2025($D$10,$D$13,$D$14,$D$23,$D$16,$D$17,$I$11:$J$25,$R$19:$S$108,FALSE,FALSE,"f",A80,$D$18,$D$19,$I$11:$O$25,$D$12,$J$29,$D$20))</f>
        <v>55.1162303999999</v>
      </c>
      <c r="M80" s="95" t="str">
        <f>IF(B80="","",IF(D80="Đất dính",_xll.fluEQ_SPT2025($D$10,$D$13,$D$14,$D$23,$D$16,$D$17,$I$11:$J$25,$R$19:$S$108,FALSE,FALSE,"f",A80,$D$18,$D$19,$I$11:$O$25,$D$12,$J$29,$D$20),"-"))</f>
        <v>-</v>
      </c>
      <c r="N80" s="95">
        <f>_xll.fluEQ_SPT2025($D$10,$D$13,$D$14,$D$23,$D$16,$D$17,$I$11:$J$25,$R$19:$S$108,FALSE,FALSE,"flu",A80,$D$18,$D$19,$I$11:$O$25,$D$12,$J$29,$D$20)</f>
        <v>3039.8285047484001</v>
      </c>
      <c r="O80" s="87">
        <f t="shared" si="3"/>
        <v>4313.2049771522898</v>
      </c>
      <c r="P80" s="65"/>
      <c r="R80" s="138"/>
      <c r="S80" s="138"/>
      <c r="Z80" s="138"/>
      <c r="AA80" s="138"/>
      <c r="AB80" s="128"/>
      <c r="AC80" s="128"/>
      <c r="AD80" s="128"/>
      <c r="AE80" s="128"/>
      <c r="AF80" s="128"/>
      <c r="AJ80" s="138"/>
      <c r="AK80" s="138"/>
      <c r="AL80" s="128"/>
      <c r="AM80" s="128"/>
      <c r="AN80" s="128"/>
      <c r="AO80" s="128"/>
      <c r="AP80" s="128"/>
      <c r="AT80" s="138"/>
      <c r="AU80" s="138"/>
      <c r="AV80" s="128"/>
      <c r="AW80" s="128"/>
      <c r="AX80" s="128"/>
      <c r="AY80" s="128"/>
      <c r="AZ80" s="128"/>
      <c r="BD80" s="138"/>
      <c r="BE80" s="138"/>
      <c r="BF80" s="128"/>
      <c r="BG80" s="128"/>
      <c r="BH80" s="128"/>
      <c r="BI80" s="128"/>
      <c r="BJ80" s="128"/>
      <c r="BN80" s="138"/>
      <c r="BO80" s="138"/>
      <c r="BP80" s="128"/>
      <c r="BQ80" s="128"/>
      <c r="BR80" s="128"/>
      <c r="BS80" s="128"/>
      <c r="BT80" s="128"/>
      <c r="BX80" s="138"/>
      <c r="BY80" s="138"/>
      <c r="BZ80" s="128"/>
      <c r="CA80" s="128"/>
      <c r="CB80" s="128"/>
      <c r="CC80" s="128"/>
      <c r="CD80" s="128"/>
      <c r="CH80" s="138"/>
      <c r="CI80" s="138"/>
      <c r="CJ80" s="128"/>
      <c r="CK80" s="128"/>
      <c r="CL80" s="128"/>
      <c r="CM80" s="128"/>
      <c r="CN80" s="128"/>
      <c r="CR80" s="138"/>
      <c r="CS80" s="138"/>
      <c r="CT80" s="128"/>
      <c r="CU80" s="128"/>
      <c r="CV80" s="128"/>
      <c r="CW80" s="128"/>
      <c r="CX80" s="128"/>
      <c r="DB80" s="138"/>
      <c r="DC80" s="138"/>
      <c r="DD80" s="128"/>
      <c r="DE80" s="128"/>
      <c r="DF80" s="128"/>
      <c r="DG80" s="128"/>
      <c r="DH80" s="128"/>
      <c r="DL80" s="138"/>
      <c r="DM80" s="138"/>
      <c r="DN80" s="128"/>
      <c r="DO80" s="128"/>
      <c r="DP80" s="128"/>
      <c r="DQ80" s="128"/>
      <c r="DR80" s="128"/>
      <c r="DV80" s="138"/>
      <c r="DW80" s="138"/>
      <c r="DX80" s="128"/>
      <c r="DY80" s="128"/>
      <c r="DZ80" s="128"/>
      <c r="EA80" s="128"/>
      <c r="EB80" s="128"/>
      <c r="EF80" s="138"/>
      <c r="EG80" s="138"/>
      <c r="EH80" s="128"/>
      <c r="EI80" s="128"/>
      <c r="EJ80" s="128"/>
      <c r="EK80" s="128"/>
      <c r="EL80" s="128"/>
      <c r="EP80" s="138"/>
      <c r="EQ80" s="138"/>
      <c r="ER80" s="128"/>
      <c r="ES80" s="128"/>
      <c r="ET80" s="128"/>
      <c r="EU80" s="128"/>
      <c r="EV80" s="128"/>
      <c r="EZ80" s="138"/>
      <c r="FA80" s="138"/>
      <c r="FB80" s="128"/>
      <c r="FC80" s="128"/>
      <c r="FD80" s="128"/>
      <c r="FE80" s="128"/>
      <c r="FF80" s="128"/>
      <c r="FJ80" s="138"/>
      <c r="FK80" s="138"/>
      <c r="FL80" s="128"/>
      <c r="FM80" s="128"/>
      <c r="FN80" s="128"/>
      <c r="FO80" s="128"/>
      <c r="FP80" s="128"/>
      <c r="FT80" s="138"/>
      <c r="FU80" s="138"/>
      <c r="FV80" s="128"/>
      <c r="FW80" s="128"/>
      <c r="FX80" s="128"/>
      <c r="FY80" s="128"/>
      <c r="FZ80" s="128"/>
      <c r="GD80" s="138"/>
      <c r="GE80" s="138"/>
      <c r="GF80" s="128"/>
      <c r="GG80" s="128"/>
      <c r="GH80" s="128"/>
      <c r="GI80" s="128"/>
      <c r="GJ80" s="128"/>
      <c r="GN80" s="138"/>
      <c r="GO80" s="138"/>
      <c r="GP80" s="128"/>
      <c r="GQ80" s="128"/>
      <c r="GR80" s="128"/>
      <c r="GS80" s="128"/>
      <c r="GT80" s="128"/>
      <c r="GX80" s="138"/>
      <c r="GY80" s="138"/>
      <c r="GZ80" s="128"/>
      <c r="HA80" s="128"/>
      <c r="HB80" s="128"/>
      <c r="HC80" s="128"/>
      <c r="HD80" s="128"/>
      <c r="HH80" s="138"/>
      <c r="HI80" s="138"/>
      <c r="HJ80" s="128"/>
      <c r="HK80" s="128"/>
      <c r="HL80" s="128"/>
      <c r="HM80" s="128"/>
      <c r="HN80" s="128"/>
      <c r="HR80" s="138"/>
      <c r="HS80" s="138"/>
      <c r="HT80" s="128"/>
      <c r="HU80" s="128"/>
      <c r="HV80" s="128"/>
      <c r="HW80" s="128"/>
      <c r="HX80" s="128"/>
      <c r="IB80" s="138"/>
      <c r="IC80" s="138"/>
      <c r="ID80" s="128"/>
      <c r="IE80" s="128"/>
      <c r="IF80" s="128"/>
      <c r="IG80" s="128"/>
      <c r="IH80" s="128"/>
      <c r="IL80" s="138"/>
      <c r="IM80" s="138"/>
      <c r="IN80" s="128"/>
      <c r="IO80" s="128"/>
      <c r="IP80" s="128"/>
      <c r="IQ80" s="128"/>
      <c r="IR80" s="128"/>
      <c r="IV80" s="138"/>
      <c r="IW80" s="138"/>
      <c r="IX80" s="128"/>
      <c r="IY80" s="128"/>
      <c r="IZ80" s="128"/>
      <c r="JA80" s="128"/>
      <c r="JB80" s="128"/>
      <c r="JF80" s="138"/>
      <c r="JG80" s="138"/>
      <c r="JH80" s="128"/>
      <c r="JI80" s="128"/>
      <c r="JJ80" s="128"/>
      <c r="JK80" s="128"/>
      <c r="JL80" s="128"/>
      <c r="JP80" s="138"/>
      <c r="JQ80" s="138"/>
      <c r="JR80" s="128"/>
      <c r="JS80" s="128"/>
      <c r="JT80" s="128"/>
      <c r="JU80" s="128"/>
      <c r="JV80" s="128"/>
      <c r="JZ80" s="138"/>
      <c r="KA80" s="138"/>
      <c r="KB80" s="128"/>
      <c r="KC80" s="128"/>
      <c r="KD80" s="128"/>
      <c r="KE80" s="128"/>
      <c r="KF80" s="128"/>
      <c r="KJ80" s="138"/>
      <c r="KK80" s="138"/>
    </row>
    <row r="81" spans="1:297">
      <c r="A81" s="87">
        <f t="shared" si="1"/>
        <v>44</v>
      </c>
      <c r="B81" s="83">
        <f>_xll.flu_SPT2025($D$10,$D$13,$D$14,$D$23,$D$16,$D$17,$I$11:$J$25,$R$19:$S$108,FALSE,FALSE,"Cao độ",A81,$D$18)</f>
        <v>40</v>
      </c>
      <c r="C81" s="87" t="str">
        <f>IF(B81="","",_xll.TimTenLoaiDat(B81,$G$11:$I$25))</f>
        <v>Lớp 7</v>
      </c>
      <c r="D81" s="87" t="str">
        <f>IF(B81="","",_xll.TimTinhChatDat(B81,$I$11:$J$25))</f>
        <v>Đất rời</v>
      </c>
      <c r="E81" s="95">
        <f>IF(B81="","",_xll.NoiSuySPT(B81,$R$19:$S$108,$D$17,$D$13,0,0))</f>
        <v>47.4</v>
      </c>
      <c r="F81" s="125">
        <f>IF(B81="","",_xll.qbEQ_SPT2025($D$10,$D$13,$D$14,B81,$D$17,$I$11:$J$25,$R$19:$S$108,$D$19,$I$11:$O$25,$D$12,"ganmaqb",$D$20))</f>
        <v>0.39276</v>
      </c>
      <c r="G81" s="95">
        <f>IF(B81="","",IF(D81="Đất dính","-",_xll.qbEQ_SPT2025($D$10,$D$13,$D$14,B81,$D$17,$I$11:$J$25,$R$19:$S$108,$D$19,$I$11:$O$25,$D$12,"",$D$20)))</f>
        <v>1988.9366399999999</v>
      </c>
      <c r="H81" s="95" t="str">
        <f>IF(B81="","",IF(D81="Đất dính",_xll.qbEQ_SPT2025($D$10,$D$13,$D$14,B81,$D$17,$I$11:$J$25,$R$19:$S$108,$D$19,$I$11:$O$25,$D$12,"",$D$20),"-"))</f>
        <v>-</v>
      </c>
      <c r="I81" s="95">
        <f t="shared" si="4"/>
        <v>1562.1071841698899</v>
      </c>
      <c r="J81" s="96">
        <f>_xll.flu_SPT2025($D$10,$D$13,$D$14,$D$23,$D$16,$D$17,$I$11:$J$25,$R$19:$S$108,FALSE,FALSE,"Li",A81,$D$18)</f>
        <v>0</v>
      </c>
      <c r="K81" s="150">
        <f>IF(B81="","",_xll.fluEQ_SPT2025($D$10,$D$13,$D$14,$D$23,$D$16,$D$17,$I$11:$J$25,$R$19:$S$108,FALSE,FALSE,"ganmafl",A81,$D$18,$D$19,$I$11:$O$25,$D$12,$J$29,$D$20))</f>
        <v>0.48552000000000001</v>
      </c>
      <c r="L81" s="95">
        <f>IF(D81="Đất dính","-",_xll.fluEQ_SPT2025($D$10,$D$13,$D$14,$D$23,$D$16,$D$17,$I$11:$J$25,$R$19:$S$108,FALSE,FALSE,"f",A81,$D$18,$D$19,$I$11:$O$25,$D$12,$J$29,$D$20))</f>
        <v>75.945038399999902</v>
      </c>
      <c r="M81" s="95" t="str">
        <f>IF(B81="","",IF(D81="Đất dính",_xll.fluEQ_SPT2025($D$10,$D$13,$D$14,$D$23,$D$16,$D$17,$I$11:$J$25,$R$19:$S$108,FALSE,FALSE,"f",A81,$D$18,$D$19,$I$11:$O$25,$D$12,$J$29,$D$20),"-"))</f>
        <v>-</v>
      </c>
      <c r="N81" s="95">
        <f>_xll.fluEQ_SPT2025($D$10,$D$13,$D$14,$D$23,$D$16,$D$17,$I$11:$J$25,$R$19:$S$108,FALSE,FALSE,"flu",A81,$D$18,$D$19,$I$11:$O$25,$D$12,$J$29,$D$20)</f>
        <v>3039.8285047484001</v>
      </c>
      <c r="O81" s="87">
        <f t="shared" si="3"/>
        <v>4601.93568891829</v>
      </c>
      <c r="P81" s="65"/>
      <c r="R81" s="138"/>
      <c r="S81" s="138"/>
      <c r="Z81" s="138"/>
      <c r="AA81" s="138"/>
      <c r="AB81" s="128"/>
      <c r="AC81" s="128"/>
      <c r="AD81" s="128"/>
      <c r="AE81" s="128"/>
      <c r="AF81" s="128"/>
      <c r="AJ81" s="138"/>
      <c r="AK81" s="138"/>
      <c r="AL81" s="128"/>
      <c r="AM81" s="128"/>
      <c r="AN81" s="128"/>
      <c r="AO81" s="128"/>
      <c r="AP81" s="128"/>
      <c r="AT81" s="138"/>
      <c r="AU81" s="138"/>
      <c r="AV81" s="128"/>
      <c r="AW81" s="128"/>
      <c r="AX81" s="128"/>
      <c r="AY81" s="128"/>
      <c r="AZ81" s="128"/>
      <c r="BD81" s="138"/>
      <c r="BE81" s="138"/>
      <c r="BF81" s="128"/>
      <c r="BG81" s="128"/>
      <c r="BH81" s="128"/>
      <c r="BI81" s="128"/>
      <c r="BJ81" s="128"/>
      <c r="BN81" s="138"/>
      <c r="BO81" s="138"/>
      <c r="BP81" s="128"/>
      <c r="BQ81" s="128"/>
      <c r="BR81" s="128"/>
      <c r="BS81" s="128"/>
      <c r="BT81" s="128"/>
      <c r="BX81" s="138"/>
      <c r="BY81" s="138"/>
      <c r="BZ81" s="128"/>
      <c r="CA81" s="128"/>
      <c r="CB81" s="128"/>
      <c r="CC81" s="128"/>
      <c r="CD81" s="128"/>
      <c r="CH81" s="138"/>
      <c r="CI81" s="138"/>
      <c r="CJ81" s="128"/>
      <c r="CK81" s="128"/>
      <c r="CL81" s="128"/>
      <c r="CM81" s="128"/>
      <c r="CN81" s="128"/>
      <c r="CR81" s="138"/>
      <c r="CS81" s="138"/>
      <c r="CT81" s="128"/>
      <c r="CU81" s="128"/>
      <c r="CV81" s="128"/>
      <c r="CW81" s="128"/>
      <c r="CX81" s="128"/>
      <c r="DB81" s="138"/>
      <c r="DC81" s="138"/>
      <c r="DD81" s="128"/>
      <c r="DE81" s="128"/>
      <c r="DF81" s="128"/>
      <c r="DG81" s="128"/>
      <c r="DH81" s="128"/>
      <c r="DL81" s="138"/>
      <c r="DM81" s="138"/>
      <c r="DN81" s="128"/>
      <c r="DO81" s="128"/>
      <c r="DP81" s="128"/>
      <c r="DQ81" s="128"/>
      <c r="DR81" s="128"/>
      <c r="DV81" s="138"/>
      <c r="DW81" s="138"/>
      <c r="DX81" s="128"/>
      <c r="DY81" s="128"/>
      <c r="DZ81" s="128"/>
      <c r="EA81" s="128"/>
      <c r="EB81" s="128"/>
      <c r="EF81" s="138"/>
      <c r="EG81" s="138"/>
      <c r="EH81" s="128"/>
      <c r="EI81" s="128"/>
      <c r="EJ81" s="128"/>
      <c r="EK81" s="128"/>
      <c r="EL81" s="128"/>
      <c r="EP81" s="138"/>
      <c r="EQ81" s="138"/>
      <c r="ER81" s="128"/>
      <c r="ES81" s="128"/>
      <c r="ET81" s="128"/>
      <c r="EU81" s="128"/>
      <c r="EV81" s="128"/>
      <c r="EZ81" s="138"/>
      <c r="FA81" s="138"/>
      <c r="FB81" s="128"/>
      <c r="FC81" s="128"/>
      <c r="FD81" s="128"/>
      <c r="FE81" s="128"/>
      <c r="FF81" s="128"/>
      <c r="FJ81" s="138"/>
      <c r="FK81" s="138"/>
      <c r="FL81" s="128"/>
      <c r="FM81" s="128"/>
      <c r="FN81" s="128"/>
      <c r="FO81" s="128"/>
      <c r="FP81" s="128"/>
      <c r="FT81" s="138"/>
      <c r="FU81" s="138"/>
      <c r="FV81" s="128"/>
      <c r="FW81" s="128"/>
      <c r="FX81" s="128"/>
      <c r="FY81" s="128"/>
      <c r="FZ81" s="128"/>
      <c r="GD81" s="138"/>
      <c r="GE81" s="138"/>
      <c r="GF81" s="128"/>
      <c r="GG81" s="128"/>
      <c r="GH81" s="128"/>
      <c r="GI81" s="128"/>
      <c r="GJ81" s="128"/>
      <c r="GN81" s="138"/>
      <c r="GO81" s="138"/>
      <c r="GP81" s="128"/>
      <c r="GQ81" s="128"/>
      <c r="GR81" s="128"/>
      <c r="GS81" s="128"/>
      <c r="GT81" s="128"/>
      <c r="GX81" s="138"/>
      <c r="GY81" s="138"/>
      <c r="GZ81" s="128"/>
      <c r="HA81" s="128"/>
      <c r="HB81" s="128"/>
      <c r="HC81" s="128"/>
      <c r="HD81" s="128"/>
      <c r="HH81" s="138"/>
      <c r="HI81" s="138"/>
      <c r="HJ81" s="128"/>
      <c r="HK81" s="128"/>
      <c r="HL81" s="128"/>
      <c r="HM81" s="128"/>
      <c r="HN81" s="128"/>
      <c r="HR81" s="138"/>
      <c r="HS81" s="138"/>
      <c r="HT81" s="128"/>
      <c r="HU81" s="128"/>
      <c r="HV81" s="128"/>
      <c r="HW81" s="128"/>
      <c r="HX81" s="128"/>
      <c r="IB81" s="138"/>
      <c r="IC81" s="138"/>
      <c r="ID81" s="128"/>
      <c r="IE81" s="128"/>
      <c r="IF81" s="128"/>
      <c r="IG81" s="128"/>
      <c r="IH81" s="128"/>
      <c r="IL81" s="138"/>
      <c r="IM81" s="138"/>
      <c r="IN81" s="128"/>
      <c r="IO81" s="128"/>
      <c r="IP81" s="128"/>
      <c r="IQ81" s="128"/>
      <c r="IR81" s="128"/>
      <c r="IV81" s="138"/>
      <c r="IW81" s="138"/>
      <c r="IX81" s="128"/>
      <c r="IY81" s="128"/>
      <c r="IZ81" s="128"/>
      <c r="JA81" s="128"/>
      <c r="JB81" s="128"/>
      <c r="JF81" s="138"/>
      <c r="JG81" s="138"/>
      <c r="JH81" s="128"/>
      <c r="JI81" s="128"/>
      <c r="JJ81" s="128"/>
      <c r="JK81" s="128"/>
      <c r="JL81" s="128"/>
      <c r="JP81" s="138"/>
      <c r="JQ81" s="138"/>
      <c r="JR81" s="128"/>
      <c r="JS81" s="128"/>
      <c r="JT81" s="128"/>
      <c r="JU81" s="128"/>
      <c r="JV81" s="128"/>
      <c r="JZ81" s="138"/>
      <c r="KA81" s="138"/>
      <c r="KB81" s="128"/>
      <c r="KC81" s="128"/>
      <c r="KD81" s="128"/>
      <c r="KE81" s="128"/>
      <c r="KF81" s="128"/>
      <c r="KJ81" s="138"/>
      <c r="KK81" s="138"/>
    </row>
    <row r="82" spans="1:297">
      <c r="A82" s="87">
        <f t="shared" si="1"/>
        <v>45</v>
      </c>
      <c r="B82" s="83">
        <f>_xll.flu_SPT2025($D$10,$D$13,$D$14,$D$23,$D$16,$D$17,$I$11:$J$25,$R$19:$S$108,FALSE,FALSE,"Cao độ",A82,$D$18)</f>
        <v>41</v>
      </c>
      <c r="C82" s="87" t="str">
        <f>IF(B82="","",_xll.TimTenLoaiDat(B82,$G$11:$I$25))</f>
        <v>Lớp 7</v>
      </c>
      <c r="D82" s="87" t="str">
        <f>IF(B82="","",_xll.TimTinhChatDat(B82,$I$11:$J$25))</f>
        <v>Đất rời</v>
      </c>
      <c r="E82" s="95">
        <f>IF(B82="","",_xll.NoiSuySPT(B82,$R$19:$S$108,$D$17,$D$13,0,0))</f>
        <v>50</v>
      </c>
      <c r="F82" s="125">
        <f>IF(B82="","",_xll.qbEQ_SPT2025($D$10,$D$13,$D$14,B82,$D$17,$I$11:$J$25,$R$19:$S$108,$D$19,$I$11:$O$25,$D$12,"ganmaqb",$D$20))</f>
        <v>0.39276</v>
      </c>
      <c r="G82" s="95">
        <f>IF(B82="","",IF(D82="Đất dính","-",_xll.qbEQ_SPT2025($D$10,$D$13,$D$14,B82,$D$17,$I$11:$J$25,$R$19:$S$108,$D$19,$I$11:$O$25,$D$12,"",$D$20)))</f>
        <v>2356.56</v>
      </c>
      <c r="H82" s="95" t="str">
        <f>IF(B82="","",IF(D82="Đất dính",_xll.qbEQ_SPT2025($D$10,$D$13,$D$14,B82,$D$17,$I$11:$J$25,$R$19:$S$108,$D$19,$I$11:$O$25,$D$12,"",$D$20),"-"))</f>
        <v>-</v>
      </c>
      <c r="I82" s="95">
        <f t="shared" si="4"/>
        <v>1850.8378959358899</v>
      </c>
      <c r="J82" s="96">
        <f>_xll.flu_SPT2025($D$10,$D$13,$D$14,$D$23,$D$16,$D$17,$I$11:$J$25,$R$19:$S$108,FALSE,FALSE,"Li",A82,$D$18)</f>
        <v>1</v>
      </c>
      <c r="K82" s="150">
        <f>IF(B82="","",_xll.fluEQ_SPT2025($D$10,$D$13,$D$14,$D$23,$D$16,$D$17,$I$11:$J$25,$R$19:$S$108,FALSE,FALSE,"ganmafl",A82,$D$18,$D$19,$I$11:$O$25,$D$12,$J$29,$D$20))</f>
        <v>0.48552000000000001</v>
      </c>
      <c r="L82" s="95">
        <f>IF(D82="Đất dính","-",_xll.fluEQ_SPT2025($D$10,$D$13,$D$14,$D$23,$D$16,$D$17,$I$11:$J$25,$R$19:$S$108,FALSE,FALSE,"f",A82,$D$18,$D$19,$I$11:$O$25,$D$12,$J$29,$D$20))</f>
        <v>80.110799999999998</v>
      </c>
      <c r="M82" s="95" t="str">
        <f>IF(B82="","",IF(D82="Đất dính",_xll.fluEQ_SPT2025($D$10,$D$13,$D$14,$D$23,$D$16,$D$17,$I$11:$J$25,$R$19:$S$108,FALSE,FALSE,"f",A82,$D$18,$D$19,$I$11:$O$25,$D$12,$J$29,$D$20),"-"))</f>
        <v>-</v>
      </c>
      <c r="N82" s="95">
        <f>_xll.fluEQ_SPT2025($D$10,$D$13,$D$14,$D$23,$D$16,$D$17,$I$11:$J$25,$R$19:$S$108,FALSE,FALSE,"flu",A82,$D$18,$D$19,$I$11:$O$25,$D$12,$J$29,$D$20)</f>
        <v>3291.5040055016002</v>
      </c>
      <c r="O82" s="87">
        <f t="shared" si="3"/>
        <v>5142.3419014374904</v>
      </c>
      <c r="P82" s="65"/>
      <c r="R82" s="138"/>
      <c r="S82" s="138"/>
      <c r="Z82" s="138"/>
      <c r="AA82" s="138"/>
      <c r="AB82" s="128"/>
      <c r="AC82" s="128"/>
      <c r="AD82" s="128"/>
      <c r="AE82" s="128"/>
      <c r="AF82" s="128"/>
      <c r="AJ82" s="138"/>
      <c r="AK82" s="138"/>
      <c r="AL82" s="128"/>
      <c r="AM82" s="128"/>
      <c r="AN82" s="128"/>
      <c r="AO82" s="128"/>
      <c r="AP82" s="128"/>
      <c r="AT82" s="138"/>
      <c r="AU82" s="138"/>
      <c r="AV82" s="128"/>
      <c r="AW82" s="128"/>
      <c r="AX82" s="128"/>
      <c r="AY82" s="128"/>
      <c r="AZ82" s="128"/>
      <c r="BD82" s="138"/>
      <c r="BE82" s="138"/>
      <c r="BF82" s="128"/>
      <c r="BG82" s="128"/>
      <c r="BH82" s="128"/>
      <c r="BI82" s="128"/>
      <c r="BJ82" s="128"/>
      <c r="BN82" s="138"/>
      <c r="BO82" s="138"/>
      <c r="BP82" s="128"/>
      <c r="BQ82" s="128"/>
      <c r="BR82" s="128"/>
      <c r="BS82" s="128"/>
      <c r="BT82" s="128"/>
      <c r="BX82" s="138"/>
      <c r="BY82" s="138"/>
      <c r="BZ82" s="128"/>
      <c r="CA82" s="128"/>
      <c r="CB82" s="128"/>
      <c r="CC82" s="128"/>
      <c r="CD82" s="128"/>
      <c r="CH82" s="138"/>
      <c r="CI82" s="138"/>
      <c r="CJ82" s="128"/>
      <c r="CK82" s="128"/>
      <c r="CL82" s="128"/>
      <c r="CM82" s="128"/>
      <c r="CN82" s="128"/>
      <c r="CR82" s="138"/>
      <c r="CS82" s="138"/>
      <c r="CT82" s="128"/>
      <c r="CU82" s="128"/>
      <c r="CV82" s="128"/>
      <c r="CW82" s="128"/>
      <c r="CX82" s="128"/>
      <c r="DB82" s="138"/>
      <c r="DC82" s="138"/>
      <c r="DD82" s="128"/>
      <c r="DE82" s="128"/>
      <c r="DF82" s="128"/>
      <c r="DG82" s="128"/>
      <c r="DH82" s="128"/>
      <c r="DL82" s="138"/>
      <c r="DM82" s="138"/>
      <c r="DN82" s="128"/>
      <c r="DO82" s="128"/>
      <c r="DP82" s="128"/>
      <c r="DQ82" s="128"/>
      <c r="DR82" s="128"/>
      <c r="DV82" s="138"/>
      <c r="DW82" s="138"/>
      <c r="DX82" s="128"/>
      <c r="DY82" s="128"/>
      <c r="DZ82" s="128"/>
      <c r="EA82" s="128"/>
      <c r="EB82" s="128"/>
      <c r="EF82" s="138"/>
      <c r="EG82" s="138"/>
      <c r="EH82" s="128"/>
      <c r="EI82" s="128"/>
      <c r="EJ82" s="128"/>
      <c r="EK82" s="128"/>
      <c r="EL82" s="128"/>
      <c r="EP82" s="138"/>
      <c r="EQ82" s="138"/>
      <c r="ER82" s="128"/>
      <c r="ES82" s="128"/>
      <c r="ET82" s="128"/>
      <c r="EU82" s="128"/>
      <c r="EV82" s="128"/>
      <c r="EZ82" s="138"/>
      <c r="FA82" s="138"/>
      <c r="FB82" s="128"/>
      <c r="FC82" s="128"/>
      <c r="FD82" s="128"/>
      <c r="FE82" s="128"/>
      <c r="FF82" s="128"/>
      <c r="FJ82" s="138"/>
      <c r="FK82" s="138"/>
      <c r="FL82" s="128"/>
      <c r="FM82" s="128"/>
      <c r="FN82" s="128"/>
      <c r="FO82" s="128"/>
      <c r="FP82" s="128"/>
      <c r="FT82" s="138"/>
      <c r="FU82" s="138"/>
      <c r="FV82" s="128"/>
      <c r="FW82" s="128"/>
      <c r="FX82" s="128"/>
      <c r="FY82" s="128"/>
      <c r="FZ82" s="128"/>
      <c r="GD82" s="138"/>
      <c r="GE82" s="138"/>
      <c r="GF82" s="128"/>
      <c r="GG82" s="128"/>
      <c r="GH82" s="128"/>
      <c r="GI82" s="128"/>
      <c r="GJ82" s="128"/>
      <c r="GN82" s="138"/>
      <c r="GO82" s="138"/>
      <c r="GP82" s="128"/>
      <c r="GQ82" s="128"/>
      <c r="GR82" s="128"/>
      <c r="GS82" s="128"/>
      <c r="GT82" s="128"/>
      <c r="GX82" s="138"/>
      <c r="GY82" s="138"/>
      <c r="GZ82" s="128"/>
      <c r="HA82" s="128"/>
      <c r="HB82" s="128"/>
      <c r="HC82" s="128"/>
      <c r="HD82" s="128"/>
      <c r="HH82" s="138"/>
      <c r="HI82" s="138"/>
      <c r="HJ82" s="128"/>
      <c r="HK82" s="128"/>
      <c r="HL82" s="128"/>
      <c r="HM82" s="128"/>
      <c r="HN82" s="128"/>
      <c r="HR82" s="138"/>
      <c r="HS82" s="138"/>
      <c r="HT82" s="128"/>
      <c r="HU82" s="128"/>
      <c r="HV82" s="128"/>
      <c r="HW82" s="128"/>
      <c r="HX82" s="128"/>
      <c r="IB82" s="138"/>
      <c r="IC82" s="138"/>
      <c r="ID82" s="128"/>
      <c r="IE82" s="128"/>
      <c r="IF82" s="128"/>
      <c r="IG82" s="128"/>
      <c r="IH82" s="128"/>
      <c r="IL82" s="138"/>
      <c r="IM82" s="138"/>
      <c r="IN82" s="128"/>
      <c r="IO82" s="128"/>
      <c r="IP82" s="128"/>
      <c r="IQ82" s="128"/>
      <c r="IR82" s="128"/>
      <c r="IV82" s="138"/>
      <c r="IW82" s="138"/>
      <c r="IX82" s="128"/>
      <c r="IY82" s="128"/>
      <c r="IZ82" s="128"/>
      <c r="JA82" s="128"/>
      <c r="JB82" s="128"/>
      <c r="JF82" s="138"/>
      <c r="JG82" s="138"/>
      <c r="JH82" s="128"/>
      <c r="JI82" s="128"/>
      <c r="JJ82" s="128"/>
      <c r="JK82" s="128"/>
      <c r="JL82" s="128"/>
      <c r="JP82" s="138"/>
      <c r="JQ82" s="138"/>
      <c r="JR82" s="128"/>
      <c r="JS82" s="128"/>
      <c r="JT82" s="128"/>
      <c r="JU82" s="128"/>
      <c r="JV82" s="128"/>
      <c r="JZ82" s="138"/>
      <c r="KA82" s="138"/>
      <c r="KB82" s="128"/>
      <c r="KC82" s="128"/>
      <c r="KD82" s="128"/>
      <c r="KE82" s="128"/>
      <c r="KF82" s="128"/>
      <c r="KJ82" s="138"/>
      <c r="KK82" s="138"/>
    </row>
    <row r="83" spans="1:297">
      <c r="A83" s="87">
        <f t="shared" si="1"/>
        <v>46</v>
      </c>
      <c r="B83" s="83">
        <f>_xll.flu_SPT2025($D$10,$D$13,$D$14,$D$23,$D$16,$D$17,$I$11:$J$25,$R$19:$S$108,FALSE,FALSE,"Cao độ",A83,$D$18)</f>
        <v>42</v>
      </c>
      <c r="C83" s="87" t="str">
        <f>IF(B83="","",_xll.TimTenLoaiDat(B83,$G$11:$I$25))</f>
        <v>Lớp 7</v>
      </c>
      <c r="D83" s="87" t="str">
        <f>IF(B83="","",_xll.TimTinhChatDat(B83,$I$11:$J$25))</f>
        <v>Đất rời</v>
      </c>
      <c r="E83" s="95">
        <f>IF(B83="","",_xll.NoiSuySPT(B83,$R$19:$S$108,$D$17,$D$13,0,0))</f>
        <v>50</v>
      </c>
      <c r="F83" s="125">
        <f>IF(B83="","",_xll.qbEQ_SPT2025($D$10,$D$13,$D$14,B83,$D$17,$I$11:$J$25,$R$19:$S$108,$D$19,$I$11:$O$25,$D$12,"ganmaqb",$D$20))</f>
        <v>0.39276</v>
      </c>
      <c r="G83" s="95">
        <f>IF(B83="","",IF(D83="Đất dính","-",_xll.qbEQ_SPT2025($D$10,$D$13,$D$14,B83,$D$17,$I$11:$J$25,$R$19:$S$108,$D$19,$I$11:$O$25,$D$12,"",$D$20)))</f>
        <v>2356.56</v>
      </c>
      <c r="H83" s="95" t="str">
        <f>IF(B83="","",IF(D83="Đất dính",_xll.qbEQ_SPT2025($D$10,$D$13,$D$14,B83,$D$17,$I$11:$J$25,$R$19:$S$108,$D$19,$I$11:$O$25,$D$12,"",$D$20),"-"))</f>
        <v>-</v>
      </c>
      <c r="I83" s="95">
        <f t="shared" si="4"/>
        <v>1850.8378959358899</v>
      </c>
      <c r="J83" s="96">
        <f>_xll.flu_SPT2025($D$10,$D$13,$D$14,$D$23,$D$16,$D$17,$I$11:$J$25,$R$19:$S$108,FALSE,FALSE,"Li",A83,$D$18)</f>
        <v>0</v>
      </c>
      <c r="K83" s="150">
        <f>IF(B83="","",_xll.fluEQ_SPT2025($D$10,$D$13,$D$14,$D$23,$D$16,$D$17,$I$11:$J$25,$R$19:$S$108,FALSE,FALSE,"ganmafl",A83,$D$18,$D$19,$I$11:$O$25,$D$12,$J$29,$D$20))</f>
        <v>0.48552000000000001</v>
      </c>
      <c r="L83" s="95">
        <f>IF(D83="Đất dính","-",_xll.fluEQ_SPT2025($D$10,$D$13,$D$14,$D$23,$D$16,$D$17,$I$11:$J$25,$R$19:$S$108,FALSE,FALSE,"f",A83,$D$18,$D$19,$I$11:$O$25,$D$12,$J$29,$D$20))</f>
        <v>80.110799999999998</v>
      </c>
      <c r="M83" s="95" t="str">
        <f>IF(B83="","",IF(D83="Đất dính",_xll.fluEQ_SPT2025($D$10,$D$13,$D$14,$D$23,$D$16,$D$17,$I$11:$J$25,$R$19:$S$108,FALSE,FALSE,"f",A83,$D$18,$D$19,$I$11:$O$25,$D$12,$J$29,$D$20),"-"))</f>
        <v>-</v>
      </c>
      <c r="N83" s="95">
        <f>_xll.fluEQ_SPT2025($D$10,$D$13,$D$14,$D$23,$D$16,$D$17,$I$11:$J$25,$R$19:$S$108,FALSE,FALSE,"flu",A83,$D$18,$D$19,$I$11:$O$25,$D$12,$J$29,$D$20)</f>
        <v>3291.5040055016002</v>
      </c>
      <c r="O83" s="87">
        <f t="shared" si="3"/>
        <v>5142.3419014374904</v>
      </c>
      <c r="P83" s="65"/>
      <c r="R83" s="138"/>
      <c r="S83" s="138"/>
      <c r="Z83" s="138"/>
      <c r="AA83" s="138"/>
      <c r="AB83" s="128"/>
      <c r="AC83" s="128"/>
      <c r="AD83" s="128"/>
      <c r="AE83" s="128"/>
      <c r="AF83" s="128"/>
      <c r="AJ83" s="138"/>
      <c r="AK83" s="138"/>
      <c r="AL83" s="128"/>
      <c r="AM83" s="128"/>
      <c r="AN83" s="128"/>
      <c r="AO83" s="128"/>
      <c r="AP83" s="128"/>
      <c r="AT83" s="138"/>
      <c r="AU83" s="138"/>
      <c r="AV83" s="128"/>
      <c r="AW83" s="128"/>
      <c r="AX83" s="128"/>
      <c r="AY83" s="128"/>
      <c r="AZ83" s="128"/>
      <c r="BD83" s="138"/>
      <c r="BE83" s="138"/>
      <c r="BF83" s="128"/>
      <c r="BG83" s="128"/>
      <c r="BH83" s="128"/>
      <c r="BI83" s="128"/>
      <c r="BJ83" s="128"/>
      <c r="BN83" s="138"/>
      <c r="BO83" s="138"/>
      <c r="BP83" s="128"/>
      <c r="BQ83" s="128"/>
      <c r="BR83" s="128"/>
      <c r="BS83" s="128"/>
      <c r="BT83" s="128"/>
      <c r="BX83" s="138"/>
      <c r="BY83" s="138"/>
      <c r="BZ83" s="128"/>
      <c r="CA83" s="128"/>
      <c r="CB83" s="128"/>
      <c r="CC83" s="128"/>
      <c r="CD83" s="128"/>
      <c r="CH83" s="138"/>
      <c r="CI83" s="138"/>
      <c r="CJ83" s="128"/>
      <c r="CK83" s="128"/>
      <c r="CL83" s="128"/>
      <c r="CM83" s="128"/>
      <c r="CN83" s="128"/>
      <c r="CR83" s="138"/>
      <c r="CS83" s="138"/>
      <c r="CT83" s="128"/>
      <c r="CU83" s="128"/>
      <c r="CV83" s="128"/>
      <c r="CW83" s="128"/>
      <c r="CX83" s="128"/>
      <c r="DB83" s="138"/>
      <c r="DC83" s="138"/>
      <c r="DD83" s="128"/>
      <c r="DE83" s="128"/>
      <c r="DF83" s="128"/>
      <c r="DG83" s="128"/>
      <c r="DH83" s="128"/>
      <c r="DL83" s="138"/>
      <c r="DM83" s="138"/>
      <c r="DN83" s="128"/>
      <c r="DO83" s="128"/>
      <c r="DP83" s="128"/>
      <c r="DQ83" s="128"/>
      <c r="DR83" s="128"/>
      <c r="DV83" s="138"/>
      <c r="DW83" s="138"/>
      <c r="DX83" s="128"/>
      <c r="DY83" s="128"/>
      <c r="DZ83" s="128"/>
      <c r="EA83" s="128"/>
      <c r="EB83" s="128"/>
      <c r="EF83" s="138"/>
      <c r="EG83" s="138"/>
      <c r="EH83" s="128"/>
      <c r="EI83" s="128"/>
      <c r="EJ83" s="128"/>
      <c r="EK83" s="128"/>
      <c r="EL83" s="128"/>
      <c r="EP83" s="138"/>
      <c r="EQ83" s="138"/>
      <c r="ER83" s="128"/>
      <c r="ES83" s="128"/>
      <c r="ET83" s="128"/>
      <c r="EU83" s="128"/>
      <c r="EV83" s="128"/>
      <c r="EZ83" s="138"/>
      <c r="FA83" s="138"/>
      <c r="FB83" s="128"/>
      <c r="FC83" s="128"/>
      <c r="FD83" s="128"/>
      <c r="FE83" s="128"/>
      <c r="FF83" s="128"/>
      <c r="FJ83" s="138"/>
      <c r="FK83" s="138"/>
      <c r="FL83" s="128"/>
      <c r="FM83" s="128"/>
      <c r="FN83" s="128"/>
      <c r="FO83" s="128"/>
      <c r="FP83" s="128"/>
      <c r="FT83" s="138"/>
      <c r="FU83" s="138"/>
      <c r="FV83" s="128"/>
      <c r="FW83" s="128"/>
      <c r="FX83" s="128"/>
      <c r="FY83" s="128"/>
      <c r="FZ83" s="128"/>
      <c r="GD83" s="138"/>
      <c r="GE83" s="138"/>
      <c r="GF83" s="128"/>
      <c r="GG83" s="128"/>
      <c r="GH83" s="128"/>
      <c r="GI83" s="128"/>
      <c r="GJ83" s="128"/>
      <c r="GN83" s="138"/>
      <c r="GO83" s="138"/>
      <c r="GP83" s="128"/>
      <c r="GQ83" s="128"/>
      <c r="GR83" s="128"/>
      <c r="GS83" s="128"/>
      <c r="GT83" s="128"/>
      <c r="GX83" s="138"/>
      <c r="GY83" s="138"/>
      <c r="GZ83" s="128"/>
      <c r="HA83" s="128"/>
      <c r="HB83" s="128"/>
      <c r="HC83" s="128"/>
      <c r="HD83" s="128"/>
      <c r="HH83" s="138"/>
      <c r="HI83" s="138"/>
      <c r="HJ83" s="128"/>
      <c r="HK83" s="128"/>
      <c r="HL83" s="128"/>
      <c r="HM83" s="128"/>
      <c r="HN83" s="128"/>
      <c r="HR83" s="138"/>
      <c r="HS83" s="138"/>
      <c r="HT83" s="128"/>
      <c r="HU83" s="128"/>
      <c r="HV83" s="128"/>
      <c r="HW83" s="128"/>
      <c r="HX83" s="128"/>
      <c r="IB83" s="138"/>
      <c r="IC83" s="138"/>
      <c r="ID83" s="128"/>
      <c r="IE83" s="128"/>
      <c r="IF83" s="128"/>
      <c r="IG83" s="128"/>
      <c r="IH83" s="128"/>
      <c r="IL83" s="138"/>
      <c r="IM83" s="138"/>
      <c r="IN83" s="128"/>
      <c r="IO83" s="128"/>
      <c r="IP83" s="128"/>
      <c r="IQ83" s="128"/>
      <c r="IR83" s="128"/>
      <c r="IV83" s="138"/>
      <c r="IW83" s="138"/>
      <c r="IX83" s="128"/>
      <c r="IY83" s="128"/>
      <c r="IZ83" s="128"/>
      <c r="JA83" s="128"/>
      <c r="JB83" s="128"/>
      <c r="JF83" s="138"/>
      <c r="JG83" s="138"/>
      <c r="JH83" s="128"/>
      <c r="JI83" s="128"/>
      <c r="JJ83" s="128"/>
      <c r="JK83" s="128"/>
      <c r="JL83" s="128"/>
      <c r="JP83" s="138"/>
      <c r="JQ83" s="138"/>
      <c r="JR83" s="128"/>
      <c r="JS83" s="128"/>
      <c r="JT83" s="128"/>
      <c r="JU83" s="128"/>
      <c r="JV83" s="128"/>
      <c r="JZ83" s="138"/>
      <c r="KA83" s="138"/>
      <c r="KB83" s="128"/>
      <c r="KC83" s="128"/>
      <c r="KD83" s="128"/>
      <c r="KE83" s="128"/>
      <c r="KF83" s="128"/>
      <c r="KJ83" s="138"/>
      <c r="KK83" s="138"/>
    </row>
    <row r="84" spans="1:297">
      <c r="A84" s="87">
        <f t="shared" si="1"/>
        <v>47</v>
      </c>
      <c r="B84" s="83" t="str">
        <f>_xll.flu_SPT2025($D$10,$D$13,$D$14,$D$23,$D$16,$D$17,$I$11:$J$25,$R$19:$S$108,FALSE,FALSE,"Cao độ",A84,$D$18)</f>
        <v/>
      </c>
      <c r="C84" s="87" t="str">
        <f>IF(B84="","",_xll.TimTenLoaiDat(B84,$G$11:$I$25))</f>
        <v/>
      </c>
      <c r="D84" s="87" t="str">
        <f>IF(B84="","",_xll.TimTinhChatDat(B84,$I$11:$J$25))</f>
        <v/>
      </c>
      <c r="E84" s="95" t="str">
        <f>IF(B84="","",_xll.NoiSuySPT(B84,$R$19:$S$108,$D$17,$D$13,0,0))</f>
        <v/>
      </c>
      <c r="F84" s="125" t="str">
        <f>IF(B84="","",_xll.qbEQ_SPT2025($D$10,$D$13,$D$14,B84,$D$17,$I$11:$J$25,$R$19:$S$108,$D$19,$I$11:$O$25,$D$12,"ganmaqb",$D$20))</f>
        <v/>
      </c>
      <c r="G84" s="95" t="str">
        <f>IF(B84="","",IF(D84="Đất dính","-",_xll.qbEQ_SPT2025($D$10,$D$13,$D$14,B84,$D$17,$I$11:$J$25,$R$19:$S$108,$D$19,$I$11:$O$25,$D$12,"",$D$20)))</f>
        <v/>
      </c>
      <c r="H84" s="95" t="str">
        <f>IF(B84="","",IF(D84="Đất dính",_xll.qbEQ_SPT2025($D$10,$D$13,$D$14,B84,$D$17,$I$11:$J$25,$R$19:$S$108,$D$19,$I$11:$O$25,$D$12,"",$D$20),"-"))</f>
        <v/>
      </c>
      <c r="I84" s="95" t="str">
        <f t="shared" si="4"/>
        <v/>
      </c>
      <c r="J84" s="96" t="str">
        <f>_xll.flu_SPT2025($D$10,$D$13,$D$14,$D$23,$D$16,$D$17,$I$11:$J$25,$R$19:$S$108,FALSE,FALSE,"Li",A84,$D$18)</f>
        <v/>
      </c>
      <c r="K84" s="150" t="str">
        <f>IF(B84="","",_xll.fluEQ_SPT2025($D$10,$D$13,$D$14,$D$23,$D$16,$D$17,$I$11:$J$25,$R$19:$S$108,FALSE,FALSE,"ganmafl",A84,$D$18,$D$19,$I$11:$O$25,$D$12,$J$29,$D$20))</f>
        <v/>
      </c>
      <c r="L84" s="95" t="str">
        <f>IF(D84="Đất dính","-",_xll.fluEQ_SPT2025($D$10,$D$13,$D$14,$D$23,$D$16,$D$17,$I$11:$J$25,$R$19:$S$108,FALSE,FALSE,"f",A84,$D$18,$D$19,$I$11:$O$25,$D$12,$J$29,$D$20))</f>
        <v/>
      </c>
      <c r="M84" s="95" t="str">
        <f>IF(B84="","",IF(D84="Đất dính",_xll.fluEQ_SPT2025($D$10,$D$13,$D$14,$D$23,$D$16,$D$17,$I$11:$J$25,$R$19:$S$108,FALSE,FALSE,"f",A84,$D$18,$D$19,$I$11:$O$25,$D$12,$J$29,$D$20),"-"))</f>
        <v/>
      </c>
      <c r="N84" s="95" t="str">
        <f>_xll.fluEQ_SPT2025($D$10,$D$13,$D$14,$D$23,$D$16,$D$17,$I$11:$J$25,$R$19:$S$108,FALSE,FALSE,"flu",A84,$D$18,$D$19,$I$11:$O$25,$D$12,$J$29,$D$20)</f>
        <v/>
      </c>
      <c r="O84" s="87" t="e">
        <f t="shared" si="3"/>
        <v>#N/A</v>
      </c>
      <c r="P84" s="65"/>
      <c r="R84" s="138"/>
      <c r="S84" s="138"/>
      <c r="Z84" s="138"/>
      <c r="AA84" s="138"/>
      <c r="AB84" s="128"/>
      <c r="AC84" s="128"/>
      <c r="AD84" s="128"/>
      <c r="AE84" s="128"/>
      <c r="AF84" s="128"/>
      <c r="AJ84" s="138"/>
      <c r="AK84" s="138"/>
      <c r="AL84" s="128"/>
      <c r="AM84" s="128"/>
      <c r="AN84" s="128"/>
      <c r="AO84" s="128"/>
      <c r="AP84" s="128"/>
      <c r="AT84" s="138"/>
      <c r="AU84" s="138"/>
      <c r="AV84" s="128"/>
      <c r="AW84" s="128"/>
      <c r="AX84" s="128"/>
      <c r="AY84" s="128"/>
      <c r="AZ84" s="128"/>
      <c r="BD84" s="138"/>
      <c r="BE84" s="138"/>
      <c r="BF84" s="128"/>
      <c r="BG84" s="128"/>
      <c r="BH84" s="128"/>
      <c r="BI84" s="128"/>
      <c r="BJ84" s="128"/>
      <c r="BN84" s="138"/>
      <c r="BO84" s="138"/>
      <c r="BP84" s="128"/>
      <c r="BQ84" s="128"/>
      <c r="BR84" s="128"/>
      <c r="BS84" s="128"/>
      <c r="BT84" s="128"/>
      <c r="BX84" s="138"/>
      <c r="BY84" s="138"/>
      <c r="BZ84" s="128"/>
      <c r="CA84" s="128"/>
      <c r="CB84" s="128"/>
      <c r="CC84" s="128"/>
      <c r="CD84" s="128"/>
      <c r="CH84" s="138"/>
      <c r="CI84" s="138"/>
      <c r="CJ84" s="128"/>
      <c r="CK84" s="128"/>
      <c r="CL84" s="128"/>
      <c r="CM84" s="128"/>
      <c r="CN84" s="128"/>
      <c r="CR84" s="138"/>
      <c r="CS84" s="138"/>
      <c r="CT84" s="128"/>
      <c r="CU84" s="128"/>
      <c r="CV84" s="128"/>
      <c r="CW84" s="128"/>
      <c r="CX84" s="128"/>
      <c r="DB84" s="138"/>
      <c r="DC84" s="138"/>
      <c r="DD84" s="128"/>
      <c r="DE84" s="128"/>
      <c r="DF84" s="128"/>
      <c r="DG84" s="128"/>
      <c r="DH84" s="128"/>
      <c r="DL84" s="138"/>
      <c r="DM84" s="138"/>
      <c r="DN84" s="128"/>
      <c r="DO84" s="128"/>
      <c r="DP84" s="128"/>
      <c r="DQ84" s="128"/>
      <c r="DR84" s="128"/>
      <c r="DV84" s="138"/>
      <c r="DW84" s="138"/>
      <c r="DX84" s="128"/>
      <c r="DY84" s="128"/>
      <c r="DZ84" s="128"/>
      <c r="EA84" s="128"/>
      <c r="EB84" s="128"/>
      <c r="EF84" s="138"/>
      <c r="EG84" s="138"/>
      <c r="EH84" s="128"/>
      <c r="EI84" s="128"/>
      <c r="EJ84" s="128"/>
      <c r="EK84" s="128"/>
      <c r="EL84" s="128"/>
      <c r="EP84" s="138"/>
      <c r="EQ84" s="138"/>
      <c r="ER84" s="128"/>
      <c r="ES84" s="128"/>
      <c r="ET84" s="128"/>
      <c r="EU84" s="128"/>
      <c r="EV84" s="128"/>
      <c r="EZ84" s="138"/>
      <c r="FA84" s="138"/>
      <c r="FB84" s="128"/>
      <c r="FC84" s="128"/>
      <c r="FD84" s="128"/>
      <c r="FE84" s="128"/>
      <c r="FF84" s="128"/>
      <c r="FJ84" s="138"/>
      <c r="FK84" s="138"/>
      <c r="FL84" s="128"/>
      <c r="FM84" s="128"/>
      <c r="FN84" s="128"/>
      <c r="FO84" s="128"/>
      <c r="FP84" s="128"/>
      <c r="FT84" s="138"/>
      <c r="FU84" s="138"/>
      <c r="FV84" s="128"/>
      <c r="FW84" s="128"/>
      <c r="FX84" s="128"/>
      <c r="FY84" s="128"/>
      <c r="FZ84" s="128"/>
      <c r="GD84" s="138"/>
      <c r="GE84" s="138"/>
      <c r="GF84" s="128"/>
      <c r="GG84" s="128"/>
      <c r="GH84" s="128"/>
      <c r="GI84" s="128"/>
      <c r="GJ84" s="128"/>
      <c r="GN84" s="138"/>
      <c r="GO84" s="138"/>
      <c r="GP84" s="128"/>
      <c r="GQ84" s="128"/>
      <c r="GR84" s="128"/>
      <c r="GS84" s="128"/>
      <c r="GT84" s="128"/>
      <c r="GX84" s="138"/>
      <c r="GY84" s="138"/>
      <c r="GZ84" s="128"/>
      <c r="HA84" s="128"/>
      <c r="HB84" s="128"/>
      <c r="HC84" s="128"/>
      <c r="HD84" s="128"/>
      <c r="HH84" s="138"/>
      <c r="HI84" s="138"/>
      <c r="HJ84" s="128"/>
      <c r="HK84" s="128"/>
      <c r="HL84" s="128"/>
      <c r="HM84" s="128"/>
      <c r="HN84" s="128"/>
      <c r="HR84" s="138"/>
      <c r="HS84" s="138"/>
      <c r="HT84" s="128"/>
      <c r="HU84" s="128"/>
      <c r="HV84" s="128"/>
      <c r="HW84" s="128"/>
      <c r="HX84" s="128"/>
      <c r="IB84" s="138"/>
      <c r="IC84" s="138"/>
      <c r="ID84" s="128"/>
      <c r="IE84" s="128"/>
      <c r="IF84" s="128"/>
      <c r="IG84" s="128"/>
      <c r="IH84" s="128"/>
      <c r="IL84" s="138"/>
      <c r="IM84" s="138"/>
      <c r="IN84" s="128"/>
      <c r="IO84" s="128"/>
      <c r="IP84" s="128"/>
      <c r="IQ84" s="128"/>
      <c r="IR84" s="128"/>
      <c r="IV84" s="138"/>
      <c r="IW84" s="138"/>
      <c r="IX84" s="128"/>
      <c r="IY84" s="128"/>
      <c r="IZ84" s="128"/>
      <c r="JA84" s="128"/>
      <c r="JB84" s="128"/>
      <c r="JF84" s="138"/>
      <c r="JG84" s="138"/>
      <c r="JH84" s="128"/>
      <c r="JI84" s="128"/>
      <c r="JJ84" s="128"/>
      <c r="JK84" s="128"/>
      <c r="JL84" s="128"/>
      <c r="JP84" s="138"/>
      <c r="JQ84" s="138"/>
      <c r="JR84" s="128"/>
      <c r="JS84" s="128"/>
      <c r="JT84" s="128"/>
      <c r="JU84" s="128"/>
      <c r="JV84" s="128"/>
      <c r="JZ84" s="138"/>
      <c r="KA84" s="138"/>
      <c r="KB84" s="128"/>
      <c r="KC84" s="128"/>
      <c r="KD84" s="128"/>
      <c r="KE84" s="128"/>
      <c r="KF84" s="128"/>
      <c r="KJ84" s="138"/>
      <c r="KK84" s="138"/>
    </row>
    <row r="85" spans="1:297">
      <c r="A85" s="87">
        <f t="shared" si="1"/>
        <v>48</v>
      </c>
      <c r="B85" s="83" t="str">
        <f>_xll.flu_SPT2025($D$10,$D$13,$D$14,$D$23,$D$16,$D$17,$I$11:$J$25,$R$19:$S$108,FALSE,FALSE,"Cao độ",A85,$D$18)</f>
        <v/>
      </c>
      <c r="C85" s="87" t="str">
        <f>IF(B85="","",_xll.TimTenLoaiDat(B85,$G$11:$I$25))</f>
        <v/>
      </c>
      <c r="D85" s="87" t="str">
        <f>IF(B85="","",_xll.TimTinhChatDat(B85,$I$11:$J$25))</f>
        <v/>
      </c>
      <c r="E85" s="95" t="str">
        <f>IF(B85="","",_xll.NoiSuySPT(B85,$R$19:$S$108,$D$17,$D$13,0,0))</f>
        <v/>
      </c>
      <c r="F85" s="125" t="str">
        <f>IF(B85="","",_xll.qbEQ_SPT2025($D$10,$D$13,$D$14,B85,$D$17,$I$11:$J$25,$R$19:$S$108,$D$19,$I$11:$O$25,$D$12,"ganmaqb",$D$20))</f>
        <v/>
      </c>
      <c r="G85" s="95" t="str">
        <f>IF(B85="","",IF(D85="Đất dính","-",_xll.qbEQ_SPT2025($D$10,$D$13,$D$14,B85,$D$17,$I$11:$J$25,$R$19:$S$108,$D$19,$I$11:$O$25,$D$12,"",$D$20)))</f>
        <v/>
      </c>
      <c r="H85" s="95" t="str">
        <f>IF(B85="","",IF(D85="Đất dính",_xll.qbEQ_SPT2025($D$10,$D$13,$D$14,B85,$D$17,$I$11:$J$25,$R$19:$S$108,$D$19,$I$11:$O$25,$D$12,"",$D$20),"-"))</f>
        <v/>
      </c>
      <c r="I85" s="95" t="str">
        <f t="shared" si="4"/>
        <v/>
      </c>
      <c r="J85" s="96" t="str">
        <f>_xll.flu_SPT2025($D$10,$D$13,$D$14,$D$23,$D$16,$D$17,$I$11:$J$25,$R$19:$S$108,FALSE,FALSE,"Li",A85,$D$18)</f>
        <v/>
      </c>
      <c r="K85" s="150" t="str">
        <f>IF(B85="","",_xll.fluEQ_SPT2025($D$10,$D$13,$D$14,$D$23,$D$16,$D$17,$I$11:$J$25,$R$19:$S$108,FALSE,FALSE,"ganmafl",A85,$D$18,$D$19,$I$11:$O$25,$D$12,$J$29,$D$20))</f>
        <v/>
      </c>
      <c r="L85" s="95" t="str">
        <f>IF(D85="Đất dính","-",_xll.fluEQ_SPT2025($D$10,$D$13,$D$14,$D$23,$D$16,$D$17,$I$11:$J$25,$R$19:$S$108,FALSE,FALSE,"f",A85,$D$18,$D$19,$I$11:$O$25,$D$12,$J$29,$D$20))</f>
        <v/>
      </c>
      <c r="M85" s="95" t="str">
        <f>IF(B85="","",IF(D85="Đất dính",_xll.fluEQ_SPT2025($D$10,$D$13,$D$14,$D$23,$D$16,$D$17,$I$11:$J$25,$R$19:$S$108,FALSE,FALSE,"f",A85,$D$18,$D$19,$I$11:$O$25,$D$12,$J$29,$D$20),"-"))</f>
        <v/>
      </c>
      <c r="N85" s="95" t="str">
        <f>_xll.fluEQ_SPT2025($D$10,$D$13,$D$14,$D$23,$D$16,$D$17,$I$11:$J$25,$R$19:$S$108,FALSE,FALSE,"flu",A85,$D$18,$D$19,$I$11:$O$25,$D$12,$J$29,$D$20)</f>
        <v/>
      </c>
      <c r="O85" s="87" t="e">
        <f t="shared" si="3"/>
        <v>#N/A</v>
      </c>
      <c r="P85" s="65"/>
      <c r="R85" s="138"/>
      <c r="S85" s="138"/>
      <c r="Z85" s="138"/>
      <c r="AA85" s="138"/>
      <c r="AB85" s="128"/>
      <c r="AC85" s="128"/>
      <c r="AD85" s="128"/>
      <c r="AE85" s="128"/>
      <c r="AF85" s="128"/>
      <c r="AJ85" s="138"/>
      <c r="AK85" s="138"/>
      <c r="AL85" s="128"/>
      <c r="AM85" s="128"/>
      <c r="AN85" s="128"/>
      <c r="AO85" s="128"/>
      <c r="AP85" s="128"/>
      <c r="AT85" s="138"/>
      <c r="AU85" s="138"/>
      <c r="AV85" s="128"/>
      <c r="AW85" s="128"/>
      <c r="AX85" s="128"/>
      <c r="AY85" s="128"/>
      <c r="AZ85" s="128"/>
      <c r="BD85" s="138"/>
      <c r="BE85" s="138"/>
      <c r="BF85" s="128"/>
      <c r="BG85" s="128"/>
      <c r="BH85" s="128"/>
      <c r="BI85" s="128"/>
      <c r="BJ85" s="128"/>
      <c r="BN85" s="138"/>
      <c r="BO85" s="138"/>
      <c r="BP85" s="128"/>
      <c r="BQ85" s="128"/>
      <c r="BR85" s="128"/>
      <c r="BS85" s="128"/>
      <c r="BT85" s="128"/>
      <c r="BX85" s="138"/>
      <c r="BY85" s="138"/>
      <c r="BZ85" s="128"/>
      <c r="CA85" s="128"/>
      <c r="CB85" s="128"/>
      <c r="CC85" s="128"/>
      <c r="CD85" s="128"/>
      <c r="CH85" s="138"/>
      <c r="CI85" s="138"/>
      <c r="CJ85" s="128"/>
      <c r="CK85" s="128"/>
      <c r="CL85" s="128"/>
      <c r="CM85" s="128"/>
      <c r="CN85" s="128"/>
      <c r="CR85" s="138"/>
      <c r="CS85" s="138"/>
      <c r="CT85" s="128"/>
      <c r="CU85" s="128"/>
      <c r="CV85" s="128"/>
      <c r="CW85" s="128"/>
      <c r="CX85" s="128"/>
      <c r="DB85" s="138"/>
      <c r="DC85" s="138"/>
      <c r="DD85" s="128"/>
      <c r="DE85" s="128"/>
      <c r="DF85" s="128"/>
      <c r="DG85" s="128"/>
      <c r="DH85" s="128"/>
      <c r="DL85" s="138"/>
      <c r="DM85" s="138"/>
      <c r="DN85" s="128"/>
      <c r="DO85" s="128"/>
      <c r="DP85" s="128"/>
      <c r="DQ85" s="128"/>
      <c r="DR85" s="128"/>
      <c r="DV85" s="138"/>
      <c r="DW85" s="138"/>
      <c r="DX85" s="128"/>
      <c r="DY85" s="128"/>
      <c r="DZ85" s="128"/>
      <c r="EA85" s="128"/>
      <c r="EB85" s="128"/>
      <c r="EF85" s="138"/>
      <c r="EG85" s="138"/>
      <c r="EH85" s="128"/>
      <c r="EI85" s="128"/>
      <c r="EJ85" s="128"/>
      <c r="EK85" s="128"/>
      <c r="EL85" s="128"/>
      <c r="EP85" s="138"/>
      <c r="EQ85" s="138"/>
      <c r="ER85" s="128"/>
      <c r="ES85" s="128"/>
      <c r="ET85" s="128"/>
      <c r="EU85" s="128"/>
      <c r="EV85" s="128"/>
      <c r="EZ85" s="138"/>
      <c r="FA85" s="138"/>
      <c r="FB85" s="128"/>
      <c r="FC85" s="128"/>
      <c r="FD85" s="128"/>
      <c r="FE85" s="128"/>
      <c r="FF85" s="128"/>
      <c r="FJ85" s="138"/>
      <c r="FK85" s="138"/>
      <c r="FL85" s="128"/>
      <c r="FM85" s="128"/>
      <c r="FN85" s="128"/>
      <c r="FO85" s="128"/>
      <c r="FP85" s="128"/>
      <c r="FT85" s="138"/>
      <c r="FU85" s="138"/>
      <c r="FV85" s="128"/>
      <c r="FW85" s="128"/>
      <c r="FX85" s="128"/>
      <c r="FY85" s="128"/>
      <c r="FZ85" s="128"/>
      <c r="GD85" s="138"/>
      <c r="GE85" s="138"/>
      <c r="GF85" s="128"/>
      <c r="GG85" s="128"/>
      <c r="GH85" s="128"/>
      <c r="GI85" s="128"/>
      <c r="GJ85" s="128"/>
      <c r="GN85" s="138"/>
      <c r="GO85" s="138"/>
      <c r="GP85" s="128"/>
      <c r="GQ85" s="128"/>
      <c r="GR85" s="128"/>
      <c r="GS85" s="128"/>
      <c r="GT85" s="128"/>
      <c r="GX85" s="138"/>
      <c r="GY85" s="138"/>
      <c r="GZ85" s="128"/>
      <c r="HA85" s="128"/>
      <c r="HB85" s="128"/>
      <c r="HC85" s="128"/>
      <c r="HD85" s="128"/>
      <c r="HH85" s="138"/>
      <c r="HI85" s="138"/>
      <c r="HJ85" s="128"/>
      <c r="HK85" s="128"/>
      <c r="HL85" s="128"/>
      <c r="HM85" s="128"/>
      <c r="HN85" s="128"/>
      <c r="HR85" s="138"/>
      <c r="HS85" s="138"/>
      <c r="HT85" s="128"/>
      <c r="HU85" s="128"/>
      <c r="HV85" s="128"/>
      <c r="HW85" s="128"/>
      <c r="HX85" s="128"/>
      <c r="IB85" s="138"/>
      <c r="IC85" s="138"/>
      <c r="ID85" s="128"/>
      <c r="IE85" s="128"/>
      <c r="IF85" s="128"/>
      <c r="IG85" s="128"/>
      <c r="IH85" s="128"/>
      <c r="IL85" s="138"/>
      <c r="IM85" s="138"/>
      <c r="IN85" s="128"/>
      <c r="IO85" s="128"/>
      <c r="IP85" s="128"/>
      <c r="IQ85" s="128"/>
      <c r="IR85" s="128"/>
      <c r="IV85" s="138"/>
      <c r="IW85" s="138"/>
      <c r="IX85" s="128"/>
      <c r="IY85" s="128"/>
      <c r="IZ85" s="128"/>
      <c r="JA85" s="128"/>
      <c r="JB85" s="128"/>
      <c r="JF85" s="138"/>
      <c r="JG85" s="138"/>
      <c r="JH85" s="128"/>
      <c r="JI85" s="128"/>
      <c r="JJ85" s="128"/>
      <c r="JK85" s="128"/>
      <c r="JL85" s="128"/>
      <c r="JP85" s="138"/>
      <c r="JQ85" s="138"/>
      <c r="JR85" s="128"/>
      <c r="JS85" s="128"/>
      <c r="JT85" s="128"/>
      <c r="JU85" s="128"/>
      <c r="JV85" s="128"/>
      <c r="JZ85" s="138"/>
      <c r="KA85" s="138"/>
      <c r="KB85" s="128"/>
      <c r="KC85" s="128"/>
      <c r="KD85" s="128"/>
      <c r="KE85" s="128"/>
      <c r="KF85" s="128"/>
      <c r="KJ85" s="138"/>
      <c r="KK85" s="138"/>
    </row>
    <row r="86" spans="1:297">
      <c r="A86" s="87">
        <f t="shared" si="1"/>
        <v>49</v>
      </c>
      <c r="B86" s="83" t="str">
        <f>_xll.flu_SPT2025($D$10,$D$13,$D$14,$D$23,$D$16,$D$17,$I$11:$J$25,$R$19:$S$108,FALSE,FALSE,"Cao độ",A86,$D$18)</f>
        <v/>
      </c>
      <c r="C86" s="87" t="str">
        <f>IF(B86="","",_xll.TimTenLoaiDat(B86,$G$11:$I$25))</f>
        <v/>
      </c>
      <c r="D86" s="87" t="str">
        <f>IF(B86="","",_xll.TimTinhChatDat(B86,$I$11:$J$25))</f>
        <v/>
      </c>
      <c r="E86" s="95" t="str">
        <f>IF(B86="","",_xll.NoiSuySPT(B86,$R$19:$S$108,$D$17,$D$13,0,0))</f>
        <v/>
      </c>
      <c r="F86" s="125" t="str">
        <f>IF(B86="","",_xll.qbEQ_SPT2025($D$10,$D$13,$D$14,B86,$D$17,$I$11:$J$25,$R$19:$S$108,$D$19,$I$11:$O$25,$D$12,"ganmaqb",$D$20))</f>
        <v/>
      </c>
      <c r="G86" s="95" t="str">
        <f>IF(B86="","",IF(D86="Đất dính","-",_xll.qbEQ_SPT2025($D$10,$D$13,$D$14,B86,$D$17,$I$11:$J$25,$R$19:$S$108,$D$19,$I$11:$O$25,$D$12,"",$D$20)))</f>
        <v/>
      </c>
      <c r="H86" s="95" t="str">
        <f>IF(B86="","",IF(D86="Đất dính",_xll.qbEQ_SPT2025($D$10,$D$13,$D$14,B86,$D$17,$I$11:$J$25,$R$19:$S$108,$D$19,$I$11:$O$25,$D$12,"",$D$20),"-"))</f>
        <v/>
      </c>
      <c r="I86" s="95" t="str">
        <f t="shared" si="4"/>
        <v/>
      </c>
      <c r="J86" s="96" t="str">
        <f>_xll.flu_SPT2025($D$10,$D$13,$D$14,$D$23,$D$16,$D$17,$I$11:$J$25,$R$19:$S$108,FALSE,FALSE,"Li",A86,$D$18)</f>
        <v/>
      </c>
      <c r="K86" s="150" t="str">
        <f>IF(B86="","",_xll.fluEQ_SPT2025($D$10,$D$13,$D$14,$D$23,$D$16,$D$17,$I$11:$J$25,$R$19:$S$108,FALSE,FALSE,"ganmafl",A86,$D$18,$D$19,$I$11:$O$25,$D$12,$J$29,$D$20))</f>
        <v/>
      </c>
      <c r="L86" s="95" t="str">
        <f>IF(D86="Đất dính","-",_xll.fluEQ_SPT2025($D$10,$D$13,$D$14,$D$23,$D$16,$D$17,$I$11:$J$25,$R$19:$S$108,FALSE,FALSE,"f",A86,$D$18,$D$19,$I$11:$O$25,$D$12,$J$29,$D$20))</f>
        <v/>
      </c>
      <c r="M86" s="95" t="str">
        <f>IF(B86="","",IF(D86="Đất dính",_xll.fluEQ_SPT2025($D$10,$D$13,$D$14,$D$23,$D$16,$D$17,$I$11:$J$25,$R$19:$S$108,FALSE,FALSE,"f",A86,$D$18,$D$19,$I$11:$O$25,$D$12,$J$29,$D$20),"-"))</f>
        <v/>
      </c>
      <c r="N86" s="95" t="str">
        <f>_xll.fluEQ_SPT2025($D$10,$D$13,$D$14,$D$23,$D$16,$D$17,$I$11:$J$25,$R$19:$S$108,FALSE,FALSE,"flu",A86,$D$18,$D$19,$I$11:$O$25,$D$12,$J$29,$D$20)</f>
        <v/>
      </c>
      <c r="O86" s="87" t="e">
        <f t="shared" si="3"/>
        <v>#N/A</v>
      </c>
      <c r="P86" s="65"/>
      <c r="R86" s="138"/>
      <c r="S86" s="138"/>
      <c r="Z86" s="138"/>
      <c r="AA86" s="138"/>
      <c r="AB86" s="128"/>
      <c r="AC86" s="128"/>
      <c r="AD86" s="128"/>
      <c r="AE86" s="128"/>
      <c r="AF86" s="128"/>
      <c r="AJ86" s="138"/>
      <c r="AK86" s="138"/>
      <c r="AL86" s="128"/>
      <c r="AM86" s="128"/>
      <c r="AN86" s="128"/>
      <c r="AO86" s="128"/>
      <c r="AP86" s="128"/>
      <c r="AT86" s="138"/>
      <c r="AU86" s="138"/>
      <c r="AV86" s="128"/>
      <c r="AW86" s="128"/>
      <c r="AX86" s="128"/>
      <c r="AY86" s="128"/>
      <c r="AZ86" s="128"/>
      <c r="BD86" s="138"/>
      <c r="BE86" s="138"/>
      <c r="BF86" s="128"/>
      <c r="BG86" s="128"/>
      <c r="BH86" s="128"/>
      <c r="BI86" s="128"/>
      <c r="BJ86" s="128"/>
      <c r="BN86" s="138"/>
      <c r="BO86" s="138"/>
      <c r="BP86" s="128"/>
      <c r="BQ86" s="128"/>
      <c r="BR86" s="128"/>
      <c r="BS86" s="128"/>
      <c r="BT86" s="128"/>
      <c r="BX86" s="138"/>
      <c r="BY86" s="138"/>
      <c r="BZ86" s="128"/>
      <c r="CA86" s="128"/>
      <c r="CB86" s="128"/>
      <c r="CC86" s="128"/>
      <c r="CD86" s="128"/>
      <c r="CH86" s="138"/>
      <c r="CI86" s="138"/>
      <c r="CJ86" s="128"/>
      <c r="CK86" s="128"/>
      <c r="CL86" s="128"/>
      <c r="CM86" s="128"/>
      <c r="CN86" s="128"/>
      <c r="CR86" s="138"/>
      <c r="CS86" s="138"/>
      <c r="CT86" s="128"/>
      <c r="CU86" s="128"/>
      <c r="CV86" s="128"/>
      <c r="CW86" s="128"/>
      <c r="CX86" s="128"/>
      <c r="DB86" s="138"/>
      <c r="DC86" s="138"/>
      <c r="DD86" s="128"/>
      <c r="DE86" s="128"/>
      <c r="DF86" s="128"/>
      <c r="DG86" s="128"/>
      <c r="DH86" s="128"/>
      <c r="DL86" s="138"/>
      <c r="DM86" s="138"/>
      <c r="DN86" s="128"/>
      <c r="DO86" s="128"/>
      <c r="DP86" s="128"/>
      <c r="DQ86" s="128"/>
      <c r="DR86" s="128"/>
      <c r="DV86" s="138"/>
      <c r="DW86" s="138"/>
      <c r="DX86" s="128"/>
      <c r="DY86" s="128"/>
      <c r="DZ86" s="128"/>
      <c r="EA86" s="128"/>
      <c r="EB86" s="128"/>
      <c r="EF86" s="138"/>
      <c r="EG86" s="138"/>
      <c r="EH86" s="128"/>
      <c r="EI86" s="128"/>
      <c r="EJ86" s="128"/>
      <c r="EK86" s="128"/>
      <c r="EL86" s="128"/>
      <c r="EP86" s="138"/>
      <c r="EQ86" s="138"/>
      <c r="ER86" s="128"/>
      <c r="ES86" s="128"/>
      <c r="ET86" s="128"/>
      <c r="EU86" s="128"/>
      <c r="EV86" s="128"/>
      <c r="EZ86" s="138"/>
      <c r="FA86" s="138"/>
      <c r="FB86" s="128"/>
      <c r="FC86" s="128"/>
      <c r="FD86" s="128"/>
      <c r="FE86" s="128"/>
      <c r="FF86" s="128"/>
      <c r="FJ86" s="138"/>
      <c r="FK86" s="138"/>
      <c r="FL86" s="128"/>
      <c r="FM86" s="128"/>
      <c r="FN86" s="128"/>
      <c r="FO86" s="128"/>
      <c r="FP86" s="128"/>
      <c r="FT86" s="138"/>
      <c r="FU86" s="138"/>
      <c r="FV86" s="128"/>
      <c r="FW86" s="128"/>
      <c r="FX86" s="128"/>
      <c r="FY86" s="128"/>
      <c r="FZ86" s="128"/>
      <c r="GD86" s="138"/>
      <c r="GE86" s="138"/>
      <c r="GF86" s="128"/>
      <c r="GG86" s="128"/>
      <c r="GH86" s="128"/>
      <c r="GI86" s="128"/>
      <c r="GJ86" s="128"/>
      <c r="GN86" s="138"/>
      <c r="GO86" s="138"/>
      <c r="GP86" s="128"/>
      <c r="GQ86" s="128"/>
      <c r="GR86" s="128"/>
      <c r="GS86" s="128"/>
      <c r="GT86" s="128"/>
      <c r="GX86" s="138"/>
      <c r="GY86" s="138"/>
      <c r="GZ86" s="128"/>
      <c r="HA86" s="128"/>
      <c r="HB86" s="128"/>
      <c r="HC86" s="128"/>
      <c r="HD86" s="128"/>
      <c r="HH86" s="138"/>
      <c r="HI86" s="138"/>
      <c r="HJ86" s="128"/>
      <c r="HK86" s="128"/>
      <c r="HL86" s="128"/>
      <c r="HM86" s="128"/>
      <c r="HN86" s="128"/>
      <c r="HR86" s="138"/>
      <c r="HS86" s="138"/>
      <c r="HT86" s="128"/>
      <c r="HU86" s="128"/>
      <c r="HV86" s="128"/>
      <c r="HW86" s="128"/>
      <c r="HX86" s="128"/>
      <c r="IB86" s="138"/>
      <c r="IC86" s="138"/>
      <c r="ID86" s="128"/>
      <c r="IE86" s="128"/>
      <c r="IF86" s="128"/>
      <c r="IG86" s="128"/>
      <c r="IH86" s="128"/>
      <c r="IL86" s="138"/>
      <c r="IM86" s="138"/>
      <c r="IN86" s="128"/>
      <c r="IO86" s="128"/>
      <c r="IP86" s="128"/>
      <c r="IQ86" s="128"/>
      <c r="IR86" s="128"/>
      <c r="IV86" s="138"/>
      <c r="IW86" s="138"/>
      <c r="IX86" s="128"/>
      <c r="IY86" s="128"/>
      <c r="IZ86" s="128"/>
      <c r="JA86" s="128"/>
      <c r="JB86" s="128"/>
      <c r="JF86" s="138"/>
      <c r="JG86" s="138"/>
      <c r="JH86" s="128"/>
      <c r="JI86" s="128"/>
      <c r="JJ86" s="128"/>
      <c r="JK86" s="128"/>
      <c r="JL86" s="128"/>
      <c r="JP86" s="138"/>
      <c r="JQ86" s="138"/>
      <c r="JR86" s="128"/>
      <c r="JS86" s="128"/>
      <c r="JT86" s="128"/>
      <c r="JU86" s="128"/>
      <c r="JV86" s="128"/>
      <c r="JZ86" s="138"/>
      <c r="KA86" s="138"/>
      <c r="KB86" s="128"/>
      <c r="KC86" s="128"/>
      <c r="KD86" s="128"/>
      <c r="KE86" s="128"/>
      <c r="KF86" s="128"/>
      <c r="KJ86" s="138"/>
      <c r="KK86" s="138"/>
    </row>
    <row r="87" spans="1:297">
      <c r="A87" s="87">
        <f t="shared" si="1"/>
        <v>50</v>
      </c>
      <c r="B87" s="83" t="str">
        <f>_xll.flu_SPT2025($D$10,$D$13,$D$14,$D$23,$D$16,$D$17,$I$11:$J$25,$R$19:$S$108,FALSE,FALSE,"Cao độ",A87,$D$18)</f>
        <v/>
      </c>
      <c r="C87" s="87" t="str">
        <f>IF(B87="","",_xll.TimTenLoaiDat(B87,$G$11:$I$25))</f>
        <v/>
      </c>
      <c r="D87" s="87" t="str">
        <f>IF(B87="","",_xll.TimTinhChatDat(B87,$I$11:$J$25))</f>
        <v/>
      </c>
      <c r="E87" s="95" t="str">
        <f>IF(B87="","",_xll.NoiSuySPT(B87,$R$19:$S$108,$D$17,$D$13,0,0))</f>
        <v/>
      </c>
      <c r="F87" s="125" t="str">
        <f>IF(B87="","",_xll.qbEQ_SPT2025($D$10,$D$13,$D$14,B87,$D$17,$I$11:$J$25,$R$19:$S$108,$D$19,$I$11:$O$25,$D$12,"ganmaqb",$D$20))</f>
        <v/>
      </c>
      <c r="G87" s="95" t="str">
        <f>IF(B87="","",IF(D87="Đất dính","-",_xll.qbEQ_SPT2025($D$10,$D$13,$D$14,B87,$D$17,$I$11:$J$25,$R$19:$S$108,$D$19,$I$11:$O$25,$D$12,"",$D$20)))</f>
        <v/>
      </c>
      <c r="H87" s="95" t="str">
        <f>IF(B87="","",IF(D87="Đất dính",_xll.qbEQ_SPT2025($D$10,$D$13,$D$14,B87,$D$17,$I$11:$J$25,$R$19:$S$108,$D$19,$I$11:$O$25,$D$12,"",$D$20),"-"))</f>
        <v/>
      </c>
      <c r="I87" s="95" t="str">
        <f t="shared" si="4"/>
        <v/>
      </c>
      <c r="J87" s="96" t="str">
        <f>_xll.flu_SPT2025($D$10,$D$13,$D$14,$D$23,$D$16,$D$17,$I$11:$J$25,$R$19:$S$108,FALSE,FALSE,"Li",A87,$D$18)</f>
        <v/>
      </c>
      <c r="K87" s="150" t="str">
        <f>IF(B87="","",_xll.fluEQ_SPT2025($D$10,$D$13,$D$14,$D$23,$D$16,$D$17,$I$11:$J$25,$R$19:$S$108,FALSE,FALSE,"ganmafl",A87,$D$18,$D$19,$I$11:$O$25,$D$12,$J$29,$D$20))</f>
        <v/>
      </c>
      <c r="L87" s="95" t="str">
        <f>IF(D87="Đất dính","-",_xll.fluEQ_SPT2025($D$10,$D$13,$D$14,$D$23,$D$16,$D$17,$I$11:$J$25,$R$19:$S$108,FALSE,FALSE,"f",A87,$D$18,$D$19,$I$11:$O$25,$D$12,$J$29,$D$20))</f>
        <v/>
      </c>
      <c r="M87" s="95" t="str">
        <f>IF(B87="","",IF(D87="Đất dính",_xll.fluEQ_SPT2025($D$10,$D$13,$D$14,$D$23,$D$16,$D$17,$I$11:$J$25,$R$19:$S$108,FALSE,FALSE,"f",A87,$D$18,$D$19,$I$11:$O$25,$D$12,$J$29,$D$20),"-"))</f>
        <v/>
      </c>
      <c r="N87" s="95" t="str">
        <f>_xll.fluEQ_SPT2025($D$10,$D$13,$D$14,$D$23,$D$16,$D$17,$I$11:$J$25,$R$19:$S$108,FALSE,FALSE,"flu",A87,$D$18,$D$19,$I$11:$O$25,$D$12,$J$29,$D$20)</f>
        <v/>
      </c>
      <c r="O87" s="87" t="e">
        <f t="shared" si="3"/>
        <v>#N/A</v>
      </c>
      <c r="P87" s="65"/>
      <c r="R87" s="138"/>
      <c r="S87" s="138"/>
      <c r="Z87" s="138"/>
      <c r="AA87" s="138"/>
      <c r="AB87" s="128"/>
      <c r="AC87" s="128"/>
      <c r="AD87" s="128"/>
      <c r="AE87" s="128"/>
      <c r="AF87" s="128"/>
      <c r="AJ87" s="138"/>
      <c r="AK87" s="138"/>
      <c r="AL87" s="128"/>
      <c r="AM87" s="128"/>
      <c r="AN87" s="128"/>
      <c r="AO87" s="128"/>
      <c r="AP87" s="128"/>
      <c r="AT87" s="138"/>
      <c r="AU87" s="138"/>
      <c r="AV87" s="128"/>
      <c r="AW87" s="128"/>
      <c r="AX87" s="128"/>
      <c r="AY87" s="128"/>
      <c r="AZ87" s="128"/>
      <c r="BD87" s="138"/>
      <c r="BE87" s="138"/>
      <c r="BF87" s="128"/>
      <c r="BG87" s="128"/>
      <c r="BH87" s="128"/>
      <c r="BI87" s="128"/>
      <c r="BJ87" s="128"/>
      <c r="BN87" s="138"/>
      <c r="BO87" s="138"/>
      <c r="BP87" s="128"/>
      <c r="BQ87" s="128"/>
      <c r="BR87" s="128"/>
      <c r="BS87" s="128"/>
      <c r="BT87" s="128"/>
      <c r="BX87" s="138"/>
      <c r="BY87" s="138"/>
      <c r="BZ87" s="128"/>
      <c r="CA87" s="128"/>
      <c r="CB87" s="128"/>
      <c r="CC87" s="128"/>
      <c r="CD87" s="128"/>
      <c r="CH87" s="138"/>
      <c r="CI87" s="138"/>
      <c r="CJ87" s="128"/>
      <c r="CK87" s="128"/>
      <c r="CL87" s="128"/>
      <c r="CM87" s="128"/>
      <c r="CN87" s="128"/>
      <c r="CR87" s="138"/>
      <c r="CS87" s="138"/>
      <c r="CT87" s="128"/>
      <c r="CU87" s="128"/>
      <c r="CV87" s="128"/>
      <c r="CW87" s="128"/>
      <c r="CX87" s="128"/>
      <c r="DB87" s="138"/>
      <c r="DC87" s="138"/>
      <c r="DD87" s="128"/>
      <c r="DE87" s="128"/>
      <c r="DF87" s="128"/>
      <c r="DG87" s="128"/>
      <c r="DH87" s="128"/>
      <c r="DL87" s="138"/>
      <c r="DM87" s="138"/>
      <c r="DN87" s="128"/>
      <c r="DO87" s="128"/>
      <c r="DP87" s="128"/>
      <c r="DQ87" s="128"/>
      <c r="DR87" s="128"/>
      <c r="DV87" s="138"/>
      <c r="DW87" s="138"/>
      <c r="DX87" s="128"/>
      <c r="DY87" s="128"/>
      <c r="DZ87" s="128"/>
      <c r="EA87" s="128"/>
      <c r="EB87" s="128"/>
      <c r="EF87" s="138"/>
      <c r="EG87" s="138"/>
      <c r="EH87" s="128"/>
      <c r="EI87" s="128"/>
      <c r="EJ87" s="128"/>
      <c r="EK87" s="128"/>
      <c r="EL87" s="128"/>
      <c r="EP87" s="138"/>
      <c r="EQ87" s="138"/>
      <c r="ER87" s="128"/>
      <c r="ES87" s="128"/>
      <c r="ET87" s="128"/>
      <c r="EU87" s="128"/>
      <c r="EV87" s="128"/>
      <c r="EZ87" s="138"/>
      <c r="FA87" s="138"/>
      <c r="FB87" s="128"/>
      <c r="FC87" s="128"/>
      <c r="FD87" s="128"/>
      <c r="FE87" s="128"/>
      <c r="FF87" s="128"/>
      <c r="FJ87" s="138"/>
      <c r="FK87" s="138"/>
      <c r="FL87" s="128"/>
      <c r="FM87" s="128"/>
      <c r="FN87" s="128"/>
      <c r="FO87" s="128"/>
      <c r="FP87" s="128"/>
      <c r="FT87" s="138"/>
      <c r="FU87" s="138"/>
      <c r="FV87" s="128"/>
      <c r="FW87" s="128"/>
      <c r="FX87" s="128"/>
      <c r="FY87" s="128"/>
      <c r="FZ87" s="128"/>
      <c r="GD87" s="138"/>
      <c r="GE87" s="138"/>
      <c r="GF87" s="128"/>
      <c r="GG87" s="128"/>
      <c r="GH87" s="128"/>
      <c r="GI87" s="128"/>
      <c r="GJ87" s="128"/>
      <c r="GN87" s="138"/>
      <c r="GO87" s="138"/>
      <c r="GP87" s="128"/>
      <c r="GQ87" s="128"/>
      <c r="GR87" s="128"/>
      <c r="GS87" s="128"/>
      <c r="GT87" s="128"/>
      <c r="GX87" s="138"/>
      <c r="GY87" s="138"/>
      <c r="GZ87" s="128"/>
      <c r="HA87" s="128"/>
      <c r="HB87" s="128"/>
      <c r="HC87" s="128"/>
      <c r="HD87" s="128"/>
      <c r="HH87" s="138"/>
      <c r="HI87" s="138"/>
      <c r="HJ87" s="128"/>
      <c r="HK87" s="128"/>
      <c r="HL87" s="128"/>
      <c r="HM87" s="128"/>
      <c r="HN87" s="128"/>
      <c r="HR87" s="138"/>
      <c r="HS87" s="138"/>
      <c r="HT87" s="128"/>
      <c r="HU87" s="128"/>
      <c r="HV87" s="128"/>
      <c r="HW87" s="128"/>
      <c r="HX87" s="128"/>
      <c r="IB87" s="138"/>
      <c r="IC87" s="138"/>
      <c r="ID87" s="128"/>
      <c r="IE87" s="128"/>
      <c r="IF87" s="128"/>
      <c r="IG87" s="128"/>
      <c r="IH87" s="128"/>
      <c r="IL87" s="138"/>
      <c r="IM87" s="138"/>
      <c r="IN87" s="128"/>
      <c r="IO87" s="128"/>
      <c r="IP87" s="128"/>
      <c r="IQ87" s="128"/>
      <c r="IR87" s="128"/>
      <c r="IV87" s="138"/>
      <c r="IW87" s="138"/>
      <c r="IX87" s="128"/>
      <c r="IY87" s="128"/>
      <c r="IZ87" s="128"/>
      <c r="JA87" s="128"/>
      <c r="JB87" s="128"/>
      <c r="JF87" s="138"/>
      <c r="JG87" s="138"/>
      <c r="JH87" s="128"/>
      <c r="JI87" s="128"/>
      <c r="JJ87" s="128"/>
      <c r="JK87" s="128"/>
      <c r="JL87" s="128"/>
      <c r="JP87" s="138"/>
      <c r="JQ87" s="138"/>
      <c r="JR87" s="128"/>
      <c r="JS87" s="128"/>
      <c r="JT87" s="128"/>
      <c r="JU87" s="128"/>
      <c r="JV87" s="128"/>
      <c r="JZ87" s="138"/>
      <c r="KA87" s="138"/>
      <c r="KB87" s="128"/>
      <c r="KC87" s="128"/>
      <c r="KD87" s="128"/>
      <c r="KE87" s="128"/>
      <c r="KF87" s="128"/>
      <c r="KJ87" s="138"/>
      <c r="KK87" s="138"/>
    </row>
    <row r="88" spans="1:297">
      <c r="A88" s="87">
        <f t="shared" si="1"/>
        <v>51</v>
      </c>
      <c r="B88" s="83" t="str">
        <f>_xll.flu_SPT2025($D$10,$D$13,$D$14,$D$23,$D$16,$D$17,$I$11:$J$25,$R$19:$S$108,FALSE,FALSE,"Cao độ",A88,$D$18)</f>
        <v/>
      </c>
      <c r="C88" s="87" t="str">
        <f>IF(B88="","",_xll.TimTenLoaiDat(B88,$G$11:$I$25))</f>
        <v/>
      </c>
      <c r="D88" s="87" t="str">
        <f>IF(B88="","",_xll.TimTinhChatDat(B88,$I$11:$J$25))</f>
        <v/>
      </c>
      <c r="E88" s="95" t="str">
        <f>IF(B88="","",_xll.NoiSuySPT(B88,$R$19:$S$108,$D$17,$D$13,0,0))</f>
        <v/>
      </c>
      <c r="F88" s="125" t="str">
        <f>IF(B88="","",_xll.qbEQ_SPT2025($D$10,$D$13,$D$14,B88,$D$17,$I$11:$J$25,$R$19:$S$108,$D$19,$I$11:$O$25,$D$12,"ganmaqb",$D$20))</f>
        <v/>
      </c>
      <c r="G88" s="95" t="str">
        <f>IF(B88="","",IF(D88="Đất dính","-",_xll.qbEQ_SPT2025($D$10,$D$13,$D$14,B88,$D$17,$I$11:$J$25,$R$19:$S$108,$D$19,$I$11:$O$25,$D$12,"",$D$20)))</f>
        <v/>
      </c>
      <c r="H88" s="95" t="str">
        <f>IF(B88="","",IF(D88="Đất dính",_xll.qbEQ_SPT2025($D$10,$D$13,$D$14,B88,$D$17,$I$11:$J$25,$R$19:$S$108,$D$19,$I$11:$O$25,$D$12,"",$D$20),"-"))</f>
        <v/>
      </c>
      <c r="I88" s="95" t="str">
        <f t="shared" si="4"/>
        <v/>
      </c>
      <c r="J88" s="96" t="str">
        <f>_xll.flu_SPT2025($D$10,$D$13,$D$14,$D$23,$D$16,$D$17,$I$11:$J$25,$R$19:$S$108,FALSE,FALSE,"Li",A88,$D$18)</f>
        <v/>
      </c>
      <c r="K88" s="150" t="str">
        <f>IF(B88="","",_xll.fluEQ_SPT2025($D$10,$D$13,$D$14,$D$23,$D$16,$D$17,$I$11:$J$25,$R$19:$S$108,FALSE,FALSE,"ganmafl",A88,$D$18,$D$19,$I$11:$O$25,$D$12,$J$29,$D$20))</f>
        <v/>
      </c>
      <c r="L88" s="95" t="str">
        <f>IF(D88="Đất dính","-",_xll.fluEQ_SPT2025($D$10,$D$13,$D$14,$D$23,$D$16,$D$17,$I$11:$J$25,$R$19:$S$108,FALSE,FALSE,"f",A88,$D$18,$D$19,$I$11:$O$25,$D$12,$J$29,$D$20))</f>
        <v/>
      </c>
      <c r="M88" s="95" t="str">
        <f>IF(B88="","",IF(D88="Đất dính",_xll.fluEQ_SPT2025($D$10,$D$13,$D$14,$D$23,$D$16,$D$17,$I$11:$J$25,$R$19:$S$108,FALSE,FALSE,"f",A88,$D$18,$D$19,$I$11:$O$25,$D$12,$J$29,$D$20),"-"))</f>
        <v/>
      </c>
      <c r="N88" s="95" t="str">
        <f>_xll.fluEQ_SPT2025($D$10,$D$13,$D$14,$D$23,$D$16,$D$17,$I$11:$J$25,$R$19:$S$108,FALSE,FALSE,"flu",A88,$D$18,$D$19,$I$11:$O$25,$D$12,$J$29,$D$20)</f>
        <v/>
      </c>
      <c r="O88" s="87" t="e">
        <f t="shared" si="3"/>
        <v>#N/A</v>
      </c>
      <c r="P88" s="65"/>
      <c r="R88" s="138"/>
      <c r="S88" s="138"/>
      <c r="Z88" s="138"/>
      <c r="AA88" s="138"/>
      <c r="AB88" s="128"/>
      <c r="AC88" s="128"/>
      <c r="AD88" s="128"/>
      <c r="AE88" s="128"/>
      <c r="AF88" s="128"/>
      <c r="AJ88" s="138"/>
      <c r="AK88" s="138"/>
      <c r="AL88" s="128"/>
      <c r="AM88" s="128"/>
      <c r="AN88" s="128"/>
      <c r="AO88" s="128"/>
      <c r="AP88" s="128"/>
      <c r="AT88" s="138"/>
      <c r="AU88" s="138"/>
      <c r="AV88" s="128"/>
      <c r="AW88" s="128"/>
      <c r="AX88" s="128"/>
      <c r="AY88" s="128"/>
      <c r="AZ88" s="128"/>
      <c r="BD88" s="138"/>
      <c r="BE88" s="138"/>
      <c r="BF88" s="128"/>
      <c r="BG88" s="128"/>
      <c r="BH88" s="128"/>
      <c r="BI88" s="128"/>
      <c r="BJ88" s="128"/>
      <c r="BN88" s="138"/>
      <c r="BO88" s="138"/>
      <c r="BP88" s="128"/>
      <c r="BQ88" s="128"/>
      <c r="BR88" s="128"/>
      <c r="BS88" s="128"/>
      <c r="BT88" s="128"/>
      <c r="BX88" s="138"/>
      <c r="BY88" s="138"/>
      <c r="BZ88" s="128"/>
      <c r="CA88" s="128"/>
      <c r="CB88" s="128"/>
      <c r="CC88" s="128"/>
      <c r="CD88" s="128"/>
      <c r="CH88" s="138"/>
      <c r="CI88" s="138"/>
      <c r="CJ88" s="128"/>
      <c r="CK88" s="128"/>
      <c r="CL88" s="128"/>
      <c r="CM88" s="128"/>
      <c r="CN88" s="128"/>
      <c r="CR88" s="138"/>
      <c r="CS88" s="138"/>
      <c r="CT88" s="128"/>
      <c r="CU88" s="128"/>
      <c r="CV88" s="128"/>
      <c r="CW88" s="128"/>
      <c r="CX88" s="128"/>
      <c r="DB88" s="138"/>
      <c r="DC88" s="138"/>
      <c r="DD88" s="128"/>
      <c r="DE88" s="128"/>
      <c r="DF88" s="128"/>
      <c r="DG88" s="128"/>
      <c r="DH88" s="128"/>
      <c r="DL88" s="138"/>
      <c r="DM88" s="138"/>
      <c r="DN88" s="128"/>
      <c r="DO88" s="128"/>
      <c r="DP88" s="128"/>
      <c r="DQ88" s="128"/>
      <c r="DR88" s="128"/>
      <c r="DV88" s="138"/>
      <c r="DW88" s="138"/>
      <c r="DX88" s="128"/>
      <c r="DY88" s="128"/>
      <c r="DZ88" s="128"/>
      <c r="EA88" s="128"/>
      <c r="EB88" s="128"/>
      <c r="EF88" s="138"/>
      <c r="EG88" s="138"/>
      <c r="EH88" s="128"/>
      <c r="EI88" s="128"/>
      <c r="EJ88" s="128"/>
      <c r="EK88" s="128"/>
      <c r="EL88" s="128"/>
      <c r="EP88" s="138"/>
      <c r="EQ88" s="138"/>
      <c r="ER88" s="128"/>
      <c r="ES88" s="128"/>
      <c r="ET88" s="128"/>
      <c r="EU88" s="128"/>
      <c r="EV88" s="128"/>
      <c r="EZ88" s="138"/>
      <c r="FA88" s="138"/>
      <c r="FB88" s="128"/>
      <c r="FC88" s="128"/>
      <c r="FD88" s="128"/>
      <c r="FE88" s="128"/>
      <c r="FF88" s="128"/>
      <c r="FJ88" s="138"/>
      <c r="FK88" s="138"/>
      <c r="FL88" s="128"/>
      <c r="FM88" s="128"/>
      <c r="FN88" s="128"/>
      <c r="FO88" s="128"/>
      <c r="FP88" s="128"/>
      <c r="FT88" s="138"/>
      <c r="FU88" s="138"/>
      <c r="FV88" s="128"/>
      <c r="FW88" s="128"/>
      <c r="FX88" s="128"/>
      <c r="FY88" s="128"/>
      <c r="FZ88" s="128"/>
      <c r="GD88" s="138"/>
      <c r="GE88" s="138"/>
      <c r="GF88" s="128"/>
      <c r="GG88" s="128"/>
      <c r="GH88" s="128"/>
      <c r="GI88" s="128"/>
      <c r="GJ88" s="128"/>
      <c r="GN88" s="138"/>
      <c r="GO88" s="138"/>
      <c r="GP88" s="128"/>
      <c r="GQ88" s="128"/>
      <c r="GR88" s="128"/>
      <c r="GS88" s="128"/>
      <c r="GT88" s="128"/>
      <c r="GX88" s="138"/>
      <c r="GY88" s="138"/>
      <c r="GZ88" s="128"/>
      <c r="HA88" s="128"/>
      <c r="HB88" s="128"/>
      <c r="HC88" s="128"/>
      <c r="HD88" s="128"/>
      <c r="HH88" s="138"/>
      <c r="HI88" s="138"/>
      <c r="HJ88" s="128"/>
      <c r="HK88" s="128"/>
      <c r="HL88" s="128"/>
      <c r="HM88" s="128"/>
      <c r="HN88" s="128"/>
      <c r="HR88" s="138"/>
      <c r="HS88" s="138"/>
      <c r="HT88" s="128"/>
      <c r="HU88" s="128"/>
      <c r="HV88" s="128"/>
      <c r="HW88" s="128"/>
      <c r="HX88" s="128"/>
      <c r="IB88" s="138"/>
      <c r="IC88" s="138"/>
      <c r="ID88" s="128"/>
      <c r="IE88" s="128"/>
      <c r="IF88" s="128"/>
      <c r="IG88" s="128"/>
      <c r="IH88" s="128"/>
      <c r="IL88" s="138"/>
      <c r="IM88" s="138"/>
      <c r="IN88" s="128"/>
      <c r="IO88" s="128"/>
      <c r="IP88" s="128"/>
      <c r="IQ88" s="128"/>
      <c r="IR88" s="128"/>
      <c r="IV88" s="138"/>
      <c r="IW88" s="138"/>
      <c r="IX88" s="128"/>
      <c r="IY88" s="128"/>
      <c r="IZ88" s="128"/>
      <c r="JA88" s="128"/>
      <c r="JB88" s="128"/>
      <c r="JF88" s="138"/>
      <c r="JG88" s="138"/>
      <c r="JH88" s="128"/>
      <c r="JI88" s="128"/>
      <c r="JJ88" s="128"/>
      <c r="JK88" s="128"/>
      <c r="JL88" s="128"/>
      <c r="JP88" s="138"/>
      <c r="JQ88" s="138"/>
      <c r="JR88" s="128"/>
      <c r="JS88" s="128"/>
      <c r="JT88" s="128"/>
      <c r="JU88" s="128"/>
      <c r="JV88" s="128"/>
      <c r="JZ88" s="138"/>
      <c r="KA88" s="138"/>
      <c r="KB88" s="128"/>
      <c r="KC88" s="128"/>
      <c r="KD88" s="128"/>
      <c r="KE88" s="128"/>
      <c r="KF88" s="128"/>
      <c r="KJ88" s="138"/>
      <c r="KK88" s="138"/>
    </row>
    <row r="89" spans="1:297">
      <c r="A89" s="87">
        <f t="shared" si="1"/>
        <v>52</v>
      </c>
      <c r="B89" s="83" t="str">
        <f>_xll.flu_SPT2025($D$10,$D$13,$D$14,$D$23,$D$16,$D$17,$I$11:$J$25,$R$19:$S$108,FALSE,FALSE,"Cao độ",A89,$D$18)</f>
        <v/>
      </c>
      <c r="C89" s="87" t="str">
        <f>IF(B89="","",_xll.TimTenLoaiDat(B89,$G$11:$I$25))</f>
        <v/>
      </c>
      <c r="D89" s="87" t="str">
        <f>IF(B89="","",_xll.TimTinhChatDat(B89,$I$11:$J$25))</f>
        <v/>
      </c>
      <c r="E89" s="95" t="str">
        <f>IF(B89="","",_xll.NoiSuySPT(B89,$R$19:$S$108,$D$17,$D$13,0,0))</f>
        <v/>
      </c>
      <c r="F89" s="125" t="str">
        <f>IF(B89="","",_xll.qbEQ_SPT2025($D$10,$D$13,$D$14,B89,$D$17,$I$11:$J$25,$R$19:$S$108,$D$19,$I$11:$O$25,$D$12,"ganmaqb",$D$20))</f>
        <v/>
      </c>
      <c r="G89" s="95" t="str">
        <f>IF(B89="","",IF(D89="Đất dính","-",_xll.qbEQ_SPT2025($D$10,$D$13,$D$14,B89,$D$17,$I$11:$J$25,$R$19:$S$108,$D$19,$I$11:$O$25,$D$12,"",$D$20)))</f>
        <v/>
      </c>
      <c r="H89" s="95" t="str">
        <f>IF(B89="","",IF(D89="Đất dính",_xll.qbEQ_SPT2025($D$10,$D$13,$D$14,B89,$D$17,$I$11:$J$25,$R$19:$S$108,$D$19,$I$11:$O$25,$D$12,"",$D$20),"-"))</f>
        <v/>
      </c>
      <c r="I89" s="95" t="str">
        <f t="shared" si="4"/>
        <v/>
      </c>
      <c r="J89" s="96" t="str">
        <f>_xll.flu_SPT2025($D$10,$D$13,$D$14,$D$23,$D$16,$D$17,$I$11:$J$25,$R$19:$S$108,FALSE,FALSE,"Li",A89,$D$18)</f>
        <v/>
      </c>
      <c r="K89" s="150" t="str">
        <f>IF(B89="","",_xll.fluEQ_SPT2025($D$10,$D$13,$D$14,$D$23,$D$16,$D$17,$I$11:$J$25,$R$19:$S$108,FALSE,FALSE,"ganmafl",A89,$D$18,$D$19,$I$11:$O$25,$D$12,$J$29,$D$20))</f>
        <v/>
      </c>
      <c r="L89" s="95" t="str">
        <f>IF(D89="Đất dính","-",_xll.fluEQ_SPT2025($D$10,$D$13,$D$14,$D$23,$D$16,$D$17,$I$11:$J$25,$R$19:$S$108,FALSE,FALSE,"f",A89,$D$18,$D$19,$I$11:$O$25,$D$12,$J$29,$D$20))</f>
        <v/>
      </c>
      <c r="M89" s="95" t="str">
        <f>IF(B89="","",IF(D89="Đất dính",_xll.fluEQ_SPT2025($D$10,$D$13,$D$14,$D$23,$D$16,$D$17,$I$11:$J$25,$R$19:$S$108,FALSE,FALSE,"f",A89,$D$18,$D$19,$I$11:$O$25,$D$12,$J$29,$D$20),"-"))</f>
        <v/>
      </c>
      <c r="N89" s="95" t="str">
        <f>_xll.fluEQ_SPT2025($D$10,$D$13,$D$14,$D$23,$D$16,$D$17,$I$11:$J$25,$R$19:$S$108,FALSE,FALSE,"flu",A89,$D$18,$D$19,$I$11:$O$25,$D$12,$J$29,$D$20)</f>
        <v/>
      </c>
      <c r="O89" s="87" t="e">
        <f t="shared" si="3"/>
        <v>#N/A</v>
      </c>
      <c r="P89" s="65"/>
      <c r="R89" s="138"/>
      <c r="S89" s="138"/>
      <c r="Z89" s="138"/>
      <c r="AA89" s="138"/>
      <c r="AB89" s="128"/>
      <c r="AC89" s="128"/>
      <c r="AD89" s="128"/>
      <c r="AE89" s="128"/>
      <c r="AF89" s="128"/>
      <c r="AJ89" s="138"/>
      <c r="AK89" s="138"/>
      <c r="AL89" s="128"/>
      <c r="AM89" s="128"/>
      <c r="AN89" s="128"/>
      <c r="AO89" s="128"/>
      <c r="AP89" s="128"/>
      <c r="AT89" s="138"/>
      <c r="AU89" s="138"/>
      <c r="AV89" s="128"/>
      <c r="AW89" s="128"/>
      <c r="AX89" s="128"/>
      <c r="AY89" s="128"/>
      <c r="AZ89" s="128"/>
      <c r="BD89" s="138"/>
      <c r="BE89" s="138"/>
      <c r="BF89" s="128"/>
      <c r="BG89" s="128"/>
      <c r="BH89" s="128"/>
      <c r="BI89" s="128"/>
      <c r="BJ89" s="128"/>
      <c r="BN89" s="138"/>
      <c r="BO89" s="138"/>
      <c r="BP89" s="128"/>
      <c r="BQ89" s="128"/>
      <c r="BR89" s="128"/>
      <c r="BS89" s="128"/>
      <c r="BT89" s="128"/>
      <c r="BX89" s="138"/>
      <c r="BY89" s="138"/>
      <c r="BZ89" s="128"/>
      <c r="CA89" s="128"/>
      <c r="CB89" s="128"/>
      <c r="CC89" s="128"/>
      <c r="CD89" s="128"/>
      <c r="CH89" s="138"/>
      <c r="CI89" s="138"/>
      <c r="CJ89" s="128"/>
      <c r="CK89" s="128"/>
      <c r="CL89" s="128"/>
      <c r="CM89" s="128"/>
      <c r="CN89" s="128"/>
      <c r="CR89" s="138"/>
      <c r="CS89" s="138"/>
      <c r="CT89" s="128"/>
      <c r="CU89" s="128"/>
      <c r="CV89" s="128"/>
      <c r="CW89" s="128"/>
      <c r="CX89" s="128"/>
      <c r="DB89" s="138"/>
      <c r="DC89" s="138"/>
      <c r="DD89" s="128"/>
      <c r="DE89" s="128"/>
      <c r="DF89" s="128"/>
      <c r="DG89" s="128"/>
      <c r="DH89" s="128"/>
      <c r="DL89" s="138"/>
      <c r="DM89" s="138"/>
      <c r="DN89" s="128"/>
      <c r="DO89" s="128"/>
      <c r="DP89" s="128"/>
      <c r="DQ89" s="128"/>
      <c r="DR89" s="128"/>
      <c r="DV89" s="138"/>
      <c r="DW89" s="138"/>
      <c r="DX89" s="128"/>
      <c r="DY89" s="128"/>
      <c r="DZ89" s="128"/>
      <c r="EA89" s="128"/>
      <c r="EB89" s="128"/>
      <c r="EF89" s="138"/>
      <c r="EG89" s="138"/>
      <c r="EH89" s="128"/>
      <c r="EI89" s="128"/>
      <c r="EJ89" s="128"/>
      <c r="EK89" s="128"/>
      <c r="EL89" s="128"/>
      <c r="EP89" s="138"/>
      <c r="EQ89" s="138"/>
      <c r="ER89" s="128"/>
      <c r="ES89" s="128"/>
      <c r="ET89" s="128"/>
      <c r="EU89" s="128"/>
      <c r="EV89" s="128"/>
      <c r="EZ89" s="138"/>
      <c r="FA89" s="138"/>
      <c r="FB89" s="128"/>
      <c r="FC89" s="128"/>
      <c r="FD89" s="128"/>
      <c r="FE89" s="128"/>
      <c r="FF89" s="128"/>
      <c r="FJ89" s="138"/>
      <c r="FK89" s="138"/>
      <c r="FL89" s="128"/>
      <c r="FM89" s="128"/>
      <c r="FN89" s="128"/>
      <c r="FO89" s="128"/>
      <c r="FP89" s="128"/>
      <c r="FT89" s="138"/>
      <c r="FU89" s="138"/>
      <c r="FV89" s="128"/>
      <c r="FW89" s="128"/>
      <c r="FX89" s="128"/>
      <c r="FY89" s="128"/>
      <c r="FZ89" s="128"/>
      <c r="GD89" s="138"/>
      <c r="GE89" s="138"/>
      <c r="GF89" s="128"/>
      <c r="GG89" s="128"/>
      <c r="GH89" s="128"/>
      <c r="GI89" s="128"/>
      <c r="GJ89" s="128"/>
      <c r="GN89" s="138"/>
      <c r="GO89" s="138"/>
      <c r="GP89" s="128"/>
      <c r="GQ89" s="128"/>
      <c r="GR89" s="128"/>
      <c r="GS89" s="128"/>
      <c r="GT89" s="128"/>
      <c r="GX89" s="138"/>
      <c r="GY89" s="138"/>
      <c r="GZ89" s="128"/>
      <c r="HA89" s="128"/>
      <c r="HB89" s="128"/>
      <c r="HC89" s="128"/>
      <c r="HD89" s="128"/>
      <c r="HH89" s="138"/>
      <c r="HI89" s="138"/>
      <c r="HJ89" s="128"/>
      <c r="HK89" s="128"/>
      <c r="HL89" s="128"/>
      <c r="HM89" s="128"/>
      <c r="HN89" s="128"/>
      <c r="HR89" s="138"/>
      <c r="HS89" s="138"/>
      <c r="HT89" s="128"/>
      <c r="HU89" s="128"/>
      <c r="HV89" s="128"/>
      <c r="HW89" s="128"/>
      <c r="HX89" s="128"/>
      <c r="IB89" s="138"/>
      <c r="IC89" s="138"/>
      <c r="ID89" s="128"/>
      <c r="IE89" s="128"/>
      <c r="IF89" s="128"/>
      <c r="IG89" s="128"/>
      <c r="IH89" s="128"/>
      <c r="IL89" s="138"/>
      <c r="IM89" s="138"/>
      <c r="IN89" s="128"/>
      <c r="IO89" s="128"/>
      <c r="IP89" s="128"/>
      <c r="IQ89" s="128"/>
      <c r="IR89" s="128"/>
      <c r="IV89" s="138"/>
      <c r="IW89" s="138"/>
      <c r="IX89" s="128"/>
      <c r="IY89" s="128"/>
      <c r="IZ89" s="128"/>
      <c r="JA89" s="128"/>
      <c r="JB89" s="128"/>
      <c r="JF89" s="138"/>
      <c r="JG89" s="138"/>
      <c r="JH89" s="128"/>
      <c r="JI89" s="128"/>
      <c r="JJ89" s="128"/>
      <c r="JK89" s="128"/>
      <c r="JL89" s="128"/>
      <c r="JP89" s="138"/>
      <c r="JQ89" s="138"/>
      <c r="JR89" s="128"/>
      <c r="JS89" s="128"/>
      <c r="JT89" s="128"/>
      <c r="JU89" s="128"/>
      <c r="JV89" s="128"/>
      <c r="JZ89" s="138"/>
      <c r="KA89" s="138"/>
      <c r="KB89" s="128"/>
      <c r="KC89" s="128"/>
      <c r="KD89" s="128"/>
      <c r="KE89" s="128"/>
      <c r="KF89" s="128"/>
      <c r="KJ89" s="138"/>
      <c r="KK89" s="138"/>
    </row>
    <row r="90" spans="1:297">
      <c r="A90" s="87">
        <f t="shared" si="1"/>
        <v>53</v>
      </c>
      <c r="B90" s="83" t="str">
        <f>_xll.flu_SPT2025($D$10,$D$13,$D$14,$D$23,$D$16,$D$17,$I$11:$J$25,$R$19:$S$108,FALSE,FALSE,"Cao độ",A90,$D$18)</f>
        <v/>
      </c>
      <c r="C90" s="87" t="str">
        <f>IF(B90="","",_xll.TimTenLoaiDat(B90,$G$11:$I$25))</f>
        <v/>
      </c>
      <c r="D90" s="87" t="str">
        <f>IF(B90="","",_xll.TimTinhChatDat(B90,$I$11:$J$25))</f>
        <v/>
      </c>
      <c r="E90" s="95" t="str">
        <f>IF(B90="","",_xll.NoiSuySPT(B90,$R$19:$S$108,$D$17,$D$13,0,0))</f>
        <v/>
      </c>
      <c r="F90" s="125" t="str">
        <f>IF(B90="","",_xll.qbEQ_SPT2025($D$10,$D$13,$D$14,B90,$D$17,$I$11:$J$25,$R$19:$S$108,$D$19,$I$11:$O$25,$D$12,"ganmaqb",$D$20))</f>
        <v/>
      </c>
      <c r="G90" s="95" t="str">
        <f>IF(B90="","",IF(D90="Đất dính","-",_xll.qbEQ_SPT2025($D$10,$D$13,$D$14,B90,$D$17,$I$11:$J$25,$R$19:$S$108,$D$19,$I$11:$O$25,$D$12,"",$D$20)))</f>
        <v/>
      </c>
      <c r="H90" s="95" t="str">
        <f>IF(B90="","",IF(D90="Đất dính",_xll.qbEQ_SPT2025($D$10,$D$13,$D$14,B90,$D$17,$I$11:$J$25,$R$19:$S$108,$D$19,$I$11:$O$25,$D$12,"",$D$20),"-"))</f>
        <v/>
      </c>
      <c r="I90" s="95" t="str">
        <f t="shared" si="4"/>
        <v/>
      </c>
      <c r="J90" s="96" t="str">
        <f>_xll.flu_SPT2025($D$10,$D$13,$D$14,$D$23,$D$16,$D$17,$I$11:$J$25,$R$19:$S$108,FALSE,FALSE,"Li",A90,$D$18)</f>
        <v/>
      </c>
      <c r="K90" s="150" t="str">
        <f>IF(B90="","",_xll.fluEQ_SPT2025($D$10,$D$13,$D$14,$D$23,$D$16,$D$17,$I$11:$J$25,$R$19:$S$108,FALSE,FALSE,"ganmafl",A90,$D$18,$D$19,$I$11:$O$25,$D$12,$J$29,$D$20))</f>
        <v/>
      </c>
      <c r="L90" s="95" t="str">
        <f>IF(D90="Đất dính","-",_xll.fluEQ_SPT2025($D$10,$D$13,$D$14,$D$23,$D$16,$D$17,$I$11:$J$25,$R$19:$S$108,FALSE,FALSE,"f",A90,$D$18,$D$19,$I$11:$O$25,$D$12,$J$29,$D$20))</f>
        <v/>
      </c>
      <c r="M90" s="95" t="str">
        <f>IF(B90="","",IF(D90="Đất dính",_xll.fluEQ_SPT2025($D$10,$D$13,$D$14,$D$23,$D$16,$D$17,$I$11:$J$25,$R$19:$S$108,FALSE,FALSE,"f",A90,$D$18,$D$19,$I$11:$O$25,$D$12,$J$29,$D$20),"-"))</f>
        <v/>
      </c>
      <c r="N90" s="95" t="str">
        <f>_xll.fluEQ_SPT2025($D$10,$D$13,$D$14,$D$23,$D$16,$D$17,$I$11:$J$25,$R$19:$S$108,FALSE,FALSE,"flu",A90,$D$18,$D$19,$I$11:$O$25,$D$12,$J$29,$D$20)</f>
        <v/>
      </c>
      <c r="O90" s="87" t="e">
        <f t="shared" si="3"/>
        <v>#N/A</v>
      </c>
      <c r="P90" s="65"/>
      <c r="R90" s="138"/>
      <c r="S90" s="138"/>
      <c r="Z90" s="138"/>
      <c r="AA90" s="138"/>
      <c r="AB90" s="128"/>
      <c r="AC90" s="128"/>
      <c r="AD90" s="128"/>
      <c r="AE90" s="128"/>
      <c r="AF90" s="128"/>
      <c r="AJ90" s="138"/>
      <c r="AK90" s="138"/>
      <c r="AL90" s="128"/>
      <c r="AM90" s="128"/>
      <c r="AN90" s="128"/>
      <c r="AO90" s="128"/>
      <c r="AP90" s="128"/>
      <c r="AT90" s="138"/>
      <c r="AU90" s="138"/>
      <c r="AV90" s="128"/>
      <c r="AW90" s="128"/>
      <c r="AX90" s="128"/>
      <c r="AY90" s="128"/>
      <c r="AZ90" s="128"/>
      <c r="BD90" s="138"/>
      <c r="BE90" s="138"/>
      <c r="BF90" s="128"/>
      <c r="BG90" s="128"/>
      <c r="BH90" s="128"/>
      <c r="BI90" s="128"/>
      <c r="BJ90" s="128"/>
      <c r="BN90" s="138"/>
      <c r="BO90" s="138"/>
      <c r="BP90" s="128"/>
      <c r="BQ90" s="128"/>
      <c r="BR90" s="128"/>
      <c r="BS90" s="128"/>
      <c r="BT90" s="128"/>
      <c r="BX90" s="138"/>
      <c r="BY90" s="138"/>
      <c r="BZ90" s="128"/>
      <c r="CA90" s="128"/>
      <c r="CB90" s="128"/>
      <c r="CC90" s="128"/>
      <c r="CD90" s="128"/>
      <c r="CH90" s="138"/>
      <c r="CI90" s="138"/>
      <c r="CJ90" s="128"/>
      <c r="CK90" s="128"/>
      <c r="CL90" s="128"/>
      <c r="CM90" s="128"/>
      <c r="CN90" s="128"/>
      <c r="CR90" s="138"/>
      <c r="CS90" s="138"/>
      <c r="CT90" s="128"/>
      <c r="CU90" s="128"/>
      <c r="CV90" s="128"/>
      <c r="CW90" s="128"/>
      <c r="CX90" s="128"/>
      <c r="DB90" s="138"/>
      <c r="DC90" s="138"/>
      <c r="DD90" s="128"/>
      <c r="DE90" s="128"/>
      <c r="DF90" s="128"/>
      <c r="DG90" s="128"/>
      <c r="DH90" s="128"/>
      <c r="DL90" s="138"/>
      <c r="DM90" s="138"/>
      <c r="DN90" s="128"/>
      <c r="DO90" s="128"/>
      <c r="DP90" s="128"/>
      <c r="DQ90" s="128"/>
      <c r="DR90" s="128"/>
      <c r="DV90" s="138"/>
      <c r="DW90" s="138"/>
      <c r="DX90" s="128"/>
      <c r="DY90" s="128"/>
      <c r="DZ90" s="128"/>
      <c r="EA90" s="128"/>
      <c r="EB90" s="128"/>
      <c r="EF90" s="138"/>
      <c r="EG90" s="138"/>
      <c r="EH90" s="128"/>
      <c r="EI90" s="128"/>
      <c r="EJ90" s="128"/>
      <c r="EK90" s="128"/>
      <c r="EL90" s="128"/>
      <c r="EP90" s="138"/>
      <c r="EQ90" s="138"/>
      <c r="ER90" s="128"/>
      <c r="ES90" s="128"/>
      <c r="ET90" s="128"/>
      <c r="EU90" s="128"/>
      <c r="EV90" s="128"/>
      <c r="EZ90" s="138"/>
      <c r="FA90" s="138"/>
      <c r="FB90" s="128"/>
      <c r="FC90" s="128"/>
      <c r="FD90" s="128"/>
      <c r="FE90" s="128"/>
      <c r="FF90" s="128"/>
      <c r="FJ90" s="138"/>
      <c r="FK90" s="138"/>
      <c r="FL90" s="128"/>
      <c r="FM90" s="128"/>
      <c r="FN90" s="128"/>
      <c r="FO90" s="128"/>
      <c r="FP90" s="128"/>
      <c r="FT90" s="138"/>
      <c r="FU90" s="138"/>
      <c r="FV90" s="128"/>
      <c r="FW90" s="128"/>
      <c r="FX90" s="128"/>
      <c r="FY90" s="128"/>
      <c r="FZ90" s="128"/>
      <c r="GD90" s="138"/>
      <c r="GE90" s="138"/>
      <c r="GF90" s="128"/>
      <c r="GG90" s="128"/>
      <c r="GH90" s="128"/>
      <c r="GI90" s="128"/>
      <c r="GJ90" s="128"/>
      <c r="GN90" s="138"/>
      <c r="GO90" s="138"/>
      <c r="GP90" s="128"/>
      <c r="GQ90" s="128"/>
      <c r="GR90" s="128"/>
      <c r="GS90" s="128"/>
      <c r="GT90" s="128"/>
      <c r="GX90" s="138"/>
      <c r="GY90" s="138"/>
      <c r="GZ90" s="128"/>
      <c r="HA90" s="128"/>
      <c r="HB90" s="128"/>
      <c r="HC90" s="128"/>
      <c r="HD90" s="128"/>
      <c r="HH90" s="138"/>
      <c r="HI90" s="138"/>
      <c r="HJ90" s="128"/>
      <c r="HK90" s="128"/>
      <c r="HL90" s="128"/>
      <c r="HM90" s="128"/>
      <c r="HN90" s="128"/>
      <c r="HR90" s="138"/>
      <c r="HS90" s="138"/>
      <c r="HT90" s="128"/>
      <c r="HU90" s="128"/>
      <c r="HV90" s="128"/>
      <c r="HW90" s="128"/>
      <c r="HX90" s="128"/>
      <c r="IB90" s="138"/>
      <c r="IC90" s="138"/>
      <c r="ID90" s="128"/>
      <c r="IE90" s="128"/>
      <c r="IF90" s="128"/>
      <c r="IG90" s="128"/>
      <c r="IH90" s="128"/>
      <c r="IL90" s="138"/>
      <c r="IM90" s="138"/>
      <c r="IN90" s="128"/>
      <c r="IO90" s="128"/>
      <c r="IP90" s="128"/>
      <c r="IQ90" s="128"/>
      <c r="IR90" s="128"/>
      <c r="IV90" s="138"/>
      <c r="IW90" s="138"/>
      <c r="IX90" s="128"/>
      <c r="IY90" s="128"/>
      <c r="IZ90" s="128"/>
      <c r="JA90" s="128"/>
      <c r="JB90" s="128"/>
      <c r="JF90" s="138"/>
      <c r="JG90" s="138"/>
      <c r="JH90" s="128"/>
      <c r="JI90" s="128"/>
      <c r="JJ90" s="128"/>
      <c r="JK90" s="128"/>
      <c r="JL90" s="128"/>
      <c r="JP90" s="138"/>
      <c r="JQ90" s="138"/>
      <c r="JR90" s="128"/>
      <c r="JS90" s="128"/>
      <c r="JT90" s="128"/>
      <c r="JU90" s="128"/>
      <c r="JV90" s="128"/>
      <c r="JZ90" s="138"/>
      <c r="KA90" s="138"/>
      <c r="KB90" s="128"/>
      <c r="KC90" s="128"/>
      <c r="KD90" s="128"/>
      <c r="KE90" s="128"/>
      <c r="KF90" s="128"/>
      <c r="KJ90" s="138"/>
      <c r="KK90" s="138"/>
    </row>
    <row r="91" spans="1:297">
      <c r="A91" s="87">
        <f t="shared" si="1"/>
        <v>54</v>
      </c>
      <c r="B91" s="83" t="str">
        <f>_xll.flu_SPT2025($D$10,$D$13,$D$14,$D$23,$D$16,$D$17,$I$11:$J$25,$R$19:$S$108,FALSE,FALSE,"Cao độ",A91,$D$18)</f>
        <v/>
      </c>
      <c r="C91" s="87" t="str">
        <f>IF(B91="","",_xll.TimTenLoaiDat(B91,$G$11:$I$25))</f>
        <v/>
      </c>
      <c r="D91" s="87" t="str">
        <f>IF(B91="","",_xll.TimTinhChatDat(B91,$I$11:$J$25))</f>
        <v/>
      </c>
      <c r="E91" s="95" t="str">
        <f>IF(B91="","",_xll.NoiSuySPT(B91,$R$19:$S$108,$D$17,$D$13,0,0))</f>
        <v/>
      </c>
      <c r="F91" s="125" t="str">
        <f>IF(B91="","",_xll.qbEQ_SPT2025($D$10,$D$13,$D$14,B91,$D$17,$I$11:$J$25,$R$19:$S$108,$D$19,$I$11:$O$25,$D$12,"ganmaqb",$D$20))</f>
        <v/>
      </c>
      <c r="G91" s="95" t="str">
        <f>IF(B91="","",IF(D91="Đất dính","-",_xll.qbEQ_SPT2025($D$10,$D$13,$D$14,B91,$D$17,$I$11:$J$25,$R$19:$S$108,$D$19,$I$11:$O$25,$D$12,"",$D$20)))</f>
        <v/>
      </c>
      <c r="H91" s="95" t="str">
        <f>IF(B91="","",IF(D91="Đất dính",_xll.qbEQ_SPT2025($D$10,$D$13,$D$14,B91,$D$17,$I$11:$J$25,$R$19:$S$108,$D$19,$I$11:$O$25,$D$12,"",$D$20),"-"))</f>
        <v/>
      </c>
      <c r="I91" s="95" t="str">
        <f t="shared" si="4"/>
        <v/>
      </c>
      <c r="J91" s="96" t="str">
        <f>_xll.flu_SPT2025($D$10,$D$13,$D$14,$D$23,$D$16,$D$17,$I$11:$J$25,$R$19:$S$108,FALSE,FALSE,"Li",A91,$D$18)</f>
        <v/>
      </c>
      <c r="K91" s="150" t="str">
        <f>IF(B91="","",_xll.fluEQ_SPT2025($D$10,$D$13,$D$14,$D$23,$D$16,$D$17,$I$11:$J$25,$R$19:$S$108,FALSE,FALSE,"ganmafl",A91,$D$18,$D$19,$I$11:$O$25,$D$12,$J$29,$D$20))</f>
        <v/>
      </c>
      <c r="L91" s="95" t="str">
        <f>IF(D91="Đất dính","-",_xll.fluEQ_SPT2025($D$10,$D$13,$D$14,$D$23,$D$16,$D$17,$I$11:$J$25,$R$19:$S$108,FALSE,FALSE,"f",A91,$D$18,$D$19,$I$11:$O$25,$D$12,$J$29,$D$20))</f>
        <v/>
      </c>
      <c r="M91" s="95" t="str">
        <f>IF(B91="","",IF(D91="Đất dính",_xll.fluEQ_SPT2025($D$10,$D$13,$D$14,$D$23,$D$16,$D$17,$I$11:$J$25,$R$19:$S$108,FALSE,FALSE,"f",A91,$D$18,$D$19,$I$11:$O$25,$D$12,$J$29,$D$20),"-"))</f>
        <v/>
      </c>
      <c r="N91" s="95" t="str">
        <f>_xll.fluEQ_SPT2025($D$10,$D$13,$D$14,$D$23,$D$16,$D$17,$I$11:$J$25,$R$19:$S$108,FALSE,FALSE,"flu",A91,$D$18,$D$19,$I$11:$O$25,$D$12,$J$29,$D$20)</f>
        <v/>
      </c>
      <c r="O91" s="87" t="e">
        <f t="shared" si="3"/>
        <v>#N/A</v>
      </c>
      <c r="P91" s="65"/>
      <c r="R91" s="138"/>
      <c r="S91" s="138"/>
      <c r="Z91" s="138"/>
      <c r="AA91" s="138"/>
      <c r="AB91" s="128"/>
      <c r="AC91" s="128"/>
      <c r="AD91" s="128"/>
      <c r="AE91" s="128"/>
      <c r="AF91" s="128"/>
      <c r="AJ91" s="138"/>
      <c r="AK91" s="138"/>
      <c r="AL91" s="128"/>
      <c r="AM91" s="128"/>
      <c r="AN91" s="128"/>
      <c r="AO91" s="128"/>
      <c r="AP91" s="128"/>
      <c r="AT91" s="138"/>
      <c r="AU91" s="138"/>
      <c r="AV91" s="128"/>
      <c r="AW91" s="128"/>
      <c r="AX91" s="128"/>
      <c r="AY91" s="128"/>
      <c r="AZ91" s="128"/>
      <c r="BD91" s="138"/>
      <c r="BE91" s="138"/>
      <c r="BF91" s="128"/>
      <c r="BG91" s="128"/>
      <c r="BH91" s="128"/>
      <c r="BI91" s="128"/>
      <c r="BJ91" s="128"/>
      <c r="BN91" s="138"/>
      <c r="BO91" s="138"/>
      <c r="BP91" s="128"/>
      <c r="BQ91" s="128"/>
      <c r="BR91" s="128"/>
      <c r="BS91" s="128"/>
      <c r="BT91" s="128"/>
      <c r="BX91" s="138"/>
      <c r="BY91" s="138"/>
      <c r="BZ91" s="128"/>
      <c r="CA91" s="128"/>
      <c r="CB91" s="128"/>
      <c r="CC91" s="128"/>
      <c r="CD91" s="128"/>
      <c r="CH91" s="138"/>
      <c r="CI91" s="138"/>
      <c r="CJ91" s="128"/>
      <c r="CK91" s="128"/>
      <c r="CL91" s="128"/>
      <c r="CM91" s="128"/>
      <c r="CN91" s="128"/>
      <c r="CR91" s="138"/>
      <c r="CS91" s="138"/>
      <c r="CT91" s="128"/>
      <c r="CU91" s="128"/>
      <c r="CV91" s="128"/>
      <c r="CW91" s="128"/>
      <c r="CX91" s="128"/>
      <c r="DB91" s="138"/>
      <c r="DC91" s="138"/>
      <c r="DD91" s="128"/>
      <c r="DE91" s="128"/>
      <c r="DF91" s="128"/>
      <c r="DG91" s="128"/>
      <c r="DH91" s="128"/>
      <c r="DL91" s="138"/>
      <c r="DM91" s="138"/>
      <c r="DN91" s="128"/>
      <c r="DO91" s="128"/>
      <c r="DP91" s="128"/>
      <c r="DQ91" s="128"/>
      <c r="DR91" s="128"/>
      <c r="DV91" s="138"/>
      <c r="DW91" s="138"/>
      <c r="DX91" s="128"/>
      <c r="DY91" s="128"/>
      <c r="DZ91" s="128"/>
      <c r="EA91" s="128"/>
      <c r="EB91" s="128"/>
      <c r="EF91" s="138"/>
      <c r="EG91" s="138"/>
      <c r="EH91" s="128"/>
      <c r="EI91" s="128"/>
      <c r="EJ91" s="128"/>
      <c r="EK91" s="128"/>
      <c r="EL91" s="128"/>
      <c r="EP91" s="138"/>
      <c r="EQ91" s="138"/>
      <c r="ER91" s="128"/>
      <c r="ES91" s="128"/>
      <c r="ET91" s="128"/>
      <c r="EU91" s="128"/>
      <c r="EV91" s="128"/>
      <c r="EZ91" s="138"/>
      <c r="FA91" s="138"/>
      <c r="FB91" s="128"/>
      <c r="FC91" s="128"/>
      <c r="FD91" s="128"/>
      <c r="FE91" s="128"/>
      <c r="FF91" s="128"/>
      <c r="FJ91" s="138"/>
      <c r="FK91" s="138"/>
      <c r="FL91" s="128"/>
      <c r="FM91" s="128"/>
      <c r="FN91" s="128"/>
      <c r="FO91" s="128"/>
      <c r="FP91" s="128"/>
      <c r="FT91" s="138"/>
      <c r="FU91" s="138"/>
      <c r="FV91" s="128"/>
      <c r="FW91" s="128"/>
      <c r="FX91" s="128"/>
      <c r="FY91" s="128"/>
      <c r="FZ91" s="128"/>
      <c r="GD91" s="138"/>
      <c r="GE91" s="138"/>
      <c r="GF91" s="128"/>
      <c r="GG91" s="128"/>
      <c r="GH91" s="128"/>
      <c r="GI91" s="128"/>
      <c r="GJ91" s="128"/>
      <c r="GN91" s="138"/>
      <c r="GO91" s="138"/>
      <c r="GP91" s="128"/>
      <c r="GQ91" s="128"/>
      <c r="GR91" s="128"/>
      <c r="GS91" s="128"/>
      <c r="GT91" s="128"/>
      <c r="GX91" s="138"/>
      <c r="GY91" s="138"/>
      <c r="GZ91" s="128"/>
      <c r="HA91" s="128"/>
      <c r="HB91" s="128"/>
      <c r="HC91" s="128"/>
      <c r="HD91" s="128"/>
      <c r="HH91" s="138"/>
      <c r="HI91" s="138"/>
      <c r="HJ91" s="128"/>
      <c r="HK91" s="128"/>
      <c r="HL91" s="128"/>
      <c r="HM91" s="128"/>
      <c r="HN91" s="128"/>
      <c r="HR91" s="138"/>
      <c r="HS91" s="138"/>
      <c r="HT91" s="128"/>
      <c r="HU91" s="128"/>
      <c r="HV91" s="128"/>
      <c r="HW91" s="128"/>
      <c r="HX91" s="128"/>
      <c r="IB91" s="138"/>
      <c r="IC91" s="138"/>
      <c r="ID91" s="128"/>
      <c r="IE91" s="128"/>
      <c r="IF91" s="128"/>
      <c r="IG91" s="128"/>
      <c r="IH91" s="128"/>
      <c r="IL91" s="138"/>
      <c r="IM91" s="138"/>
      <c r="IN91" s="128"/>
      <c r="IO91" s="128"/>
      <c r="IP91" s="128"/>
      <c r="IQ91" s="128"/>
      <c r="IR91" s="128"/>
      <c r="IV91" s="138"/>
      <c r="IW91" s="138"/>
      <c r="IX91" s="128"/>
      <c r="IY91" s="128"/>
      <c r="IZ91" s="128"/>
      <c r="JA91" s="128"/>
      <c r="JB91" s="128"/>
      <c r="JF91" s="138"/>
      <c r="JG91" s="138"/>
      <c r="JH91" s="128"/>
      <c r="JI91" s="128"/>
      <c r="JJ91" s="128"/>
      <c r="JK91" s="128"/>
      <c r="JL91" s="128"/>
      <c r="JP91" s="138"/>
      <c r="JQ91" s="138"/>
      <c r="JR91" s="128"/>
      <c r="JS91" s="128"/>
      <c r="JT91" s="128"/>
      <c r="JU91" s="128"/>
      <c r="JV91" s="128"/>
      <c r="JZ91" s="138"/>
      <c r="KA91" s="138"/>
      <c r="KB91" s="128"/>
      <c r="KC91" s="128"/>
      <c r="KD91" s="128"/>
      <c r="KE91" s="128"/>
      <c r="KF91" s="128"/>
      <c r="KJ91" s="138"/>
      <c r="KK91" s="138"/>
    </row>
    <row r="92" spans="1:297">
      <c r="A92" s="87">
        <f t="shared" si="1"/>
        <v>55</v>
      </c>
      <c r="B92" s="83" t="str">
        <f>_xll.flu_SPT2025($D$10,$D$13,$D$14,$D$23,$D$16,$D$17,$I$11:$J$25,$R$19:$S$108,FALSE,FALSE,"Cao độ",A92,$D$18)</f>
        <v/>
      </c>
      <c r="C92" s="87" t="str">
        <f>IF(B92="","",_xll.TimTenLoaiDat(B92,$G$11:$I$25))</f>
        <v/>
      </c>
      <c r="D92" s="87" t="str">
        <f>IF(B92="","",_xll.TimTinhChatDat(B92,$I$11:$J$25))</f>
        <v/>
      </c>
      <c r="E92" s="95" t="str">
        <f>IF(B92="","",_xll.NoiSuySPT(B92,$R$19:$S$108,$D$17,$D$13,0,0))</f>
        <v/>
      </c>
      <c r="F92" s="125" t="str">
        <f>IF(B92="","",_xll.qbEQ_SPT2025($D$10,$D$13,$D$14,B92,$D$17,$I$11:$J$25,$R$19:$S$108,$D$19,$I$11:$O$25,$D$12,"ganmaqb",$D$20))</f>
        <v/>
      </c>
      <c r="G92" s="95" t="str">
        <f>IF(B92="","",IF(D92="Đất dính","-",_xll.qbEQ_SPT2025($D$10,$D$13,$D$14,B92,$D$17,$I$11:$J$25,$R$19:$S$108,$D$19,$I$11:$O$25,$D$12,"",$D$20)))</f>
        <v/>
      </c>
      <c r="H92" s="95" t="str">
        <f>IF(B92="","",IF(D92="Đất dính",_xll.qbEQ_SPT2025($D$10,$D$13,$D$14,B92,$D$17,$I$11:$J$25,$R$19:$S$108,$D$19,$I$11:$O$25,$D$12,"",$D$20),"-"))</f>
        <v/>
      </c>
      <c r="I92" s="95" t="str">
        <f t="shared" si="4"/>
        <v/>
      </c>
      <c r="J92" s="96" t="str">
        <f>_xll.flu_SPT2025($D$10,$D$13,$D$14,$D$23,$D$16,$D$17,$I$11:$J$25,$R$19:$S$108,FALSE,FALSE,"Li",A92,$D$18)</f>
        <v/>
      </c>
      <c r="K92" s="150" t="str">
        <f>IF(B92="","",_xll.fluEQ_SPT2025($D$10,$D$13,$D$14,$D$23,$D$16,$D$17,$I$11:$J$25,$R$19:$S$108,FALSE,FALSE,"ganmafl",A92,$D$18,$D$19,$I$11:$O$25,$D$12,$J$29,$D$20))</f>
        <v/>
      </c>
      <c r="L92" s="95" t="str">
        <f>IF(D92="Đất dính","-",_xll.fluEQ_SPT2025($D$10,$D$13,$D$14,$D$23,$D$16,$D$17,$I$11:$J$25,$R$19:$S$108,FALSE,FALSE,"f",A92,$D$18,$D$19,$I$11:$O$25,$D$12,$J$29,$D$20))</f>
        <v/>
      </c>
      <c r="M92" s="95" t="str">
        <f>IF(B92="","",IF(D92="Đất dính",_xll.fluEQ_SPT2025($D$10,$D$13,$D$14,$D$23,$D$16,$D$17,$I$11:$J$25,$R$19:$S$108,FALSE,FALSE,"f",A92,$D$18,$D$19,$I$11:$O$25,$D$12,$J$29,$D$20),"-"))</f>
        <v/>
      </c>
      <c r="N92" s="95" t="str">
        <f>_xll.fluEQ_SPT2025($D$10,$D$13,$D$14,$D$23,$D$16,$D$17,$I$11:$J$25,$R$19:$S$108,FALSE,FALSE,"flu",A92,$D$18,$D$19,$I$11:$O$25,$D$12,$J$29,$D$20)</f>
        <v/>
      </c>
      <c r="O92" s="87" t="e">
        <f t="shared" si="3"/>
        <v>#N/A</v>
      </c>
      <c r="P92" s="65"/>
      <c r="R92" s="138"/>
      <c r="S92" s="138"/>
      <c r="Z92" s="138"/>
      <c r="AA92" s="138"/>
      <c r="AB92" s="128"/>
      <c r="AC92" s="128"/>
      <c r="AD92" s="128"/>
      <c r="AE92" s="128"/>
      <c r="AF92" s="128"/>
      <c r="AJ92" s="138"/>
      <c r="AK92" s="138"/>
      <c r="AL92" s="128"/>
      <c r="AM92" s="128"/>
      <c r="AN92" s="128"/>
      <c r="AO92" s="128"/>
      <c r="AP92" s="128"/>
      <c r="AT92" s="138"/>
      <c r="AU92" s="138"/>
      <c r="AV92" s="128"/>
      <c r="AW92" s="128"/>
      <c r="AX92" s="128"/>
      <c r="AY92" s="128"/>
      <c r="AZ92" s="128"/>
      <c r="BD92" s="138"/>
      <c r="BE92" s="138"/>
      <c r="BF92" s="128"/>
      <c r="BG92" s="128"/>
      <c r="BH92" s="128"/>
      <c r="BI92" s="128"/>
      <c r="BJ92" s="128"/>
      <c r="BN92" s="138"/>
      <c r="BO92" s="138"/>
      <c r="BP92" s="128"/>
      <c r="BQ92" s="128"/>
      <c r="BR92" s="128"/>
      <c r="BS92" s="128"/>
      <c r="BT92" s="128"/>
      <c r="BX92" s="138"/>
      <c r="BY92" s="138"/>
      <c r="BZ92" s="128"/>
      <c r="CA92" s="128"/>
      <c r="CB92" s="128"/>
      <c r="CC92" s="128"/>
      <c r="CD92" s="128"/>
      <c r="CH92" s="138"/>
      <c r="CI92" s="138"/>
      <c r="CJ92" s="128"/>
      <c r="CK92" s="128"/>
      <c r="CL92" s="128"/>
      <c r="CM92" s="128"/>
      <c r="CN92" s="128"/>
      <c r="CR92" s="138"/>
      <c r="CS92" s="138"/>
      <c r="CT92" s="128"/>
      <c r="CU92" s="128"/>
      <c r="CV92" s="128"/>
      <c r="CW92" s="128"/>
      <c r="CX92" s="128"/>
      <c r="DB92" s="138"/>
      <c r="DC92" s="138"/>
      <c r="DD92" s="128"/>
      <c r="DE92" s="128"/>
      <c r="DF92" s="128"/>
      <c r="DG92" s="128"/>
      <c r="DH92" s="128"/>
      <c r="DL92" s="138"/>
      <c r="DM92" s="138"/>
      <c r="DN92" s="128"/>
      <c r="DO92" s="128"/>
      <c r="DP92" s="128"/>
      <c r="DQ92" s="128"/>
      <c r="DR92" s="128"/>
      <c r="DV92" s="138"/>
      <c r="DW92" s="138"/>
      <c r="DX92" s="128"/>
      <c r="DY92" s="128"/>
      <c r="DZ92" s="128"/>
      <c r="EA92" s="128"/>
      <c r="EB92" s="128"/>
      <c r="EF92" s="138"/>
      <c r="EG92" s="138"/>
      <c r="EH92" s="128"/>
      <c r="EI92" s="128"/>
      <c r="EJ92" s="128"/>
      <c r="EK92" s="128"/>
      <c r="EL92" s="128"/>
      <c r="EP92" s="138"/>
      <c r="EQ92" s="138"/>
      <c r="ER92" s="128"/>
      <c r="ES92" s="128"/>
      <c r="ET92" s="128"/>
      <c r="EU92" s="128"/>
      <c r="EV92" s="128"/>
      <c r="EZ92" s="138"/>
      <c r="FA92" s="138"/>
      <c r="FB92" s="128"/>
      <c r="FC92" s="128"/>
      <c r="FD92" s="128"/>
      <c r="FE92" s="128"/>
      <c r="FF92" s="128"/>
      <c r="FJ92" s="138"/>
      <c r="FK92" s="138"/>
      <c r="FL92" s="128"/>
      <c r="FM92" s="128"/>
      <c r="FN92" s="128"/>
      <c r="FO92" s="128"/>
      <c r="FP92" s="128"/>
      <c r="FT92" s="138"/>
      <c r="FU92" s="138"/>
      <c r="FV92" s="128"/>
      <c r="FW92" s="128"/>
      <c r="FX92" s="128"/>
      <c r="FY92" s="128"/>
      <c r="FZ92" s="128"/>
      <c r="GD92" s="138"/>
      <c r="GE92" s="138"/>
      <c r="GF92" s="128"/>
      <c r="GG92" s="128"/>
      <c r="GH92" s="128"/>
      <c r="GI92" s="128"/>
      <c r="GJ92" s="128"/>
      <c r="GN92" s="138"/>
      <c r="GO92" s="138"/>
      <c r="GP92" s="128"/>
      <c r="GQ92" s="128"/>
      <c r="GR92" s="128"/>
      <c r="GS92" s="128"/>
      <c r="GT92" s="128"/>
      <c r="GX92" s="138"/>
      <c r="GY92" s="138"/>
      <c r="GZ92" s="128"/>
      <c r="HA92" s="128"/>
      <c r="HB92" s="128"/>
      <c r="HC92" s="128"/>
      <c r="HD92" s="128"/>
      <c r="HH92" s="138"/>
      <c r="HI92" s="138"/>
      <c r="HJ92" s="128"/>
      <c r="HK92" s="128"/>
      <c r="HL92" s="128"/>
      <c r="HM92" s="128"/>
      <c r="HN92" s="128"/>
      <c r="HR92" s="138"/>
      <c r="HS92" s="138"/>
      <c r="HT92" s="128"/>
      <c r="HU92" s="128"/>
      <c r="HV92" s="128"/>
      <c r="HW92" s="128"/>
      <c r="HX92" s="128"/>
      <c r="IB92" s="138"/>
      <c r="IC92" s="138"/>
      <c r="ID92" s="128"/>
      <c r="IE92" s="128"/>
      <c r="IF92" s="128"/>
      <c r="IG92" s="128"/>
      <c r="IH92" s="128"/>
      <c r="IL92" s="138"/>
      <c r="IM92" s="138"/>
      <c r="IN92" s="128"/>
      <c r="IO92" s="128"/>
      <c r="IP92" s="128"/>
      <c r="IQ92" s="128"/>
      <c r="IR92" s="128"/>
      <c r="IV92" s="138"/>
      <c r="IW92" s="138"/>
      <c r="IX92" s="128"/>
      <c r="IY92" s="128"/>
      <c r="IZ92" s="128"/>
      <c r="JA92" s="128"/>
      <c r="JB92" s="128"/>
      <c r="JF92" s="138"/>
      <c r="JG92" s="138"/>
      <c r="JH92" s="128"/>
      <c r="JI92" s="128"/>
      <c r="JJ92" s="128"/>
      <c r="JK92" s="128"/>
      <c r="JL92" s="128"/>
      <c r="JP92" s="138"/>
      <c r="JQ92" s="138"/>
      <c r="JR92" s="128"/>
      <c r="JS92" s="128"/>
      <c r="JT92" s="128"/>
      <c r="JU92" s="128"/>
      <c r="JV92" s="128"/>
      <c r="JZ92" s="138"/>
      <c r="KA92" s="138"/>
      <c r="KB92" s="128"/>
      <c r="KC92" s="128"/>
      <c r="KD92" s="128"/>
      <c r="KE92" s="128"/>
      <c r="KF92" s="128"/>
      <c r="KJ92" s="138"/>
      <c r="KK92" s="138"/>
    </row>
    <row r="93" spans="1:297">
      <c r="A93" s="87">
        <f t="shared" si="1"/>
        <v>56</v>
      </c>
      <c r="B93" s="83" t="str">
        <f>_xll.flu_SPT2025($D$10,$D$13,$D$14,$D$23,$D$16,$D$17,$I$11:$J$25,$R$19:$S$108,FALSE,FALSE,"Cao độ",A93,$D$18)</f>
        <v/>
      </c>
      <c r="C93" s="87" t="str">
        <f>IF(B93="","",_xll.TimTenLoaiDat(B93,$G$11:$I$25))</f>
        <v/>
      </c>
      <c r="D93" s="87" t="str">
        <f>IF(B93="","",_xll.TimTinhChatDat(B93,$I$11:$J$25))</f>
        <v/>
      </c>
      <c r="E93" s="95" t="str">
        <f>IF(B93="","",_xll.NoiSuySPT(B93,$R$19:$S$108,$D$17,$D$13,0,0))</f>
        <v/>
      </c>
      <c r="F93" s="125" t="str">
        <f>IF(B93="","",_xll.qbEQ_SPT2025($D$10,$D$13,$D$14,B93,$D$17,$I$11:$J$25,$R$19:$S$108,$D$19,$I$11:$O$25,$D$12,"ganmaqb",$D$20))</f>
        <v/>
      </c>
      <c r="G93" s="95" t="str">
        <f>IF(B93="","",IF(D93="Đất dính","-",_xll.qbEQ_SPT2025($D$10,$D$13,$D$14,B93,$D$17,$I$11:$J$25,$R$19:$S$108,$D$19,$I$11:$O$25,$D$12,"",$D$20)))</f>
        <v/>
      </c>
      <c r="H93" s="95" t="str">
        <f>IF(B93="","",IF(D93="Đất dính",_xll.qbEQ_SPT2025($D$10,$D$13,$D$14,B93,$D$17,$I$11:$J$25,$R$19:$S$108,$D$19,$I$11:$O$25,$D$12,"",$D$20),"-"))</f>
        <v/>
      </c>
      <c r="I93" s="95" t="str">
        <f t="shared" si="4"/>
        <v/>
      </c>
      <c r="J93" s="96" t="str">
        <f>_xll.flu_SPT2025($D$10,$D$13,$D$14,$D$23,$D$16,$D$17,$I$11:$J$25,$R$19:$S$108,FALSE,FALSE,"Li",A93,$D$18)</f>
        <v/>
      </c>
      <c r="K93" s="150" t="str">
        <f>IF(B93="","",_xll.fluEQ_SPT2025($D$10,$D$13,$D$14,$D$23,$D$16,$D$17,$I$11:$J$25,$R$19:$S$108,FALSE,FALSE,"ganmafl",A93,$D$18,$D$19,$I$11:$O$25,$D$12,$J$29,$D$20))</f>
        <v/>
      </c>
      <c r="L93" s="95" t="str">
        <f>IF(D93="Đất dính","-",_xll.fluEQ_SPT2025($D$10,$D$13,$D$14,$D$23,$D$16,$D$17,$I$11:$J$25,$R$19:$S$108,FALSE,FALSE,"f",A93,$D$18,$D$19,$I$11:$O$25,$D$12,$J$29,$D$20))</f>
        <v/>
      </c>
      <c r="M93" s="95" t="str">
        <f>IF(B93="","",IF(D93="Đất dính",_xll.fluEQ_SPT2025($D$10,$D$13,$D$14,$D$23,$D$16,$D$17,$I$11:$J$25,$R$19:$S$108,FALSE,FALSE,"f",A93,$D$18,$D$19,$I$11:$O$25,$D$12,$J$29,$D$20),"-"))</f>
        <v/>
      </c>
      <c r="N93" s="95" t="str">
        <f>_xll.fluEQ_SPT2025($D$10,$D$13,$D$14,$D$23,$D$16,$D$17,$I$11:$J$25,$R$19:$S$108,FALSE,FALSE,"flu",A93,$D$18,$D$19,$I$11:$O$25,$D$12,$J$29,$D$20)</f>
        <v/>
      </c>
      <c r="O93" s="87" t="e">
        <f t="shared" si="3"/>
        <v>#N/A</v>
      </c>
      <c r="P93" s="65"/>
      <c r="R93" s="138"/>
      <c r="S93" s="138"/>
      <c r="Z93" s="138"/>
      <c r="AA93" s="138"/>
      <c r="AB93" s="128"/>
      <c r="AC93" s="128"/>
      <c r="AD93" s="128"/>
      <c r="AE93" s="128"/>
      <c r="AF93" s="128"/>
      <c r="AJ93" s="138"/>
      <c r="AK93" s="138"/>
      <c r="AL93" s="128"/>
      <c r="AM93" s="128"/>
      <c r="AN93" s="128"/>
      <c r="AO93" s="128"/>
      <c r="AP93" s="128"/>
      <c r="AT93" s="138"/>
      <c r="AU93" s="138"/>
      <c r="AV93" s="128"/>
      <c r="AW93" s="128"/>
      <c r="AX93" s="128"/>
      <c r="AY93" s="128"/>
      <c r="AZ93" s="128"/>
      <c r="BD93" s="138"/>
      <c r="BE93" s="138"/>
      <c r="BF93" s="128"/>
      <c r="BG93" s="128"/>
      <c r="BH93" s="128"/>
      <c r="BI93" s="128"/>
      <c r="BJ93" s="128"/>
      <c r="BN93" s="138"/>
      <c r="BO93" s="138"/>
      <c r="BP93" s="128"/>
      <c r="BQ93" s="128"/>
      <c r="BR93" s="128"/>
      <c r="BS93" s="128"/>
      <c r="BT93" s="128"/>
      <c r="BX93" s="138"/>
      <c r="BY93" s="138"/>
      <c r="BZ93" s="128"/>
      <c r="CA93" s="128"/>
      <c r="CB93" s="128"/>
      <c r="CC93" s="128"/>
      <c r="CD93" s="128"/>
      <c r="CH93" s="138"/>
      <c r="CI93" s="138"/>
      <c r="CJ93" s="128"/>
      <c r="CK93" s="128"/>
      <c r="CL93" s="128"/>
      <c r="CM93" s="128"/>
      <c r="CN93" s="128"/>
      <c r="CR93" s="138"/>
      <c r="CS93" s="138"/>
      <c r="CT93" s="128"/>
      <c r="CU93" s="128"/>
      <c r="CV93" s="128"/>
      <c r="CW93" s="128"/>
      <c r="CX93" s="128"/>
      <c r="DB93" s="138"/>
      <c r="DC93" s="138"/>
      <c r="DD93" s="128"/>
      <c r="DE93" s="128"/>
      <c r="DF93" s="128"/>
      <c r="DG93" s="128"/>
      <c r="DH93" s="128"/>
      <c r="DL93" s="138"/>
      <c r="DM93" s="138"/>
      <c r="DN93" s="128"/>
      <c r="DO93" s="128"/>
      <c r="DP93" s="128"/>
      <c r="DQ93" s="128"/>
      <c r="DR93" s="128"/>
      <c r="DV93" s="138"/>
      <c r="DW93" s="138"/>
      <c r="DX93" s="128"/>
      <c r="DY93" s="128"/>
      <c r="DZ93" s="128"/>
      <c r="EA93" s="128"/>
      <c r="EB93" s="128"/>
      <c r="EF93" s="138"/>
      <c r="EG93" s="138"/>
      <c r="EH93" s="128"/>
      <c r="EI93" s="128"/>
      <c r="EJ93" s="128"/>
      <c r="EK93" s="128"/>
      <c r="EL93" s="128"/>
      <c r="EP93" s="138"/>
      <c r="EQ93" s="138"/>
      <c r="ER93" s="128"/>
      <c r="ES93" s="128"/>
      <c r="ET93" s="128"/>
      <c r="EU93" s="128"/>
      <c r="EV93" s="128"/>
      <c r="EZ93" s="138"/>
      <c r="FA93" s="138"/>
      <c r="FB93" s="128"/>
      <c r="FC93" s="128"/>
      <c r="FD93" s="128"/>
      <c r="FE93" s="128"/>
      <c r="FF93" s="128"/>
      <c r="FJ93" s="138"/>
      <c r="FK93" s="138"/>
      <c r="FL93" s="128"/>
      <c r="FM93" s="128"/>
      <c r="FN93" s="128"/>
      <c r="FO93" s="128"/>
      <c r="FP93" s="128"/>
      <c r="FT93" s="138"/>
      <c r="FU93" s="138"/>
      <c r="FV93" s="128"/>
      <c r="FW93" s="128"/>
      <c r="FX93" s="128"/>
      <c r="FY93" s="128"/>
      <c r="FZ93" s="128"/>
      <c r="GD93" s="138"/>
      <c r="GE93" s="138"/>
      <c r="GF93" s="128"/>
      <c r="GG93" s="128"/>
      <c r="GH93" s="128"/>
      <c r="GI93" s="128"/>
      <c r="GJ93" s="128"/>
      <c r="GN93" s="138"/>
      <c r="GO93" s="138"/>
      <c r="GP93" s="128"/>
      <c r="GQ93" s="128"/>
      <c r="GR93" s="128"/>
      <c r="GS93" s="128"/>
      <c r="GT93" s="128"/>
      <c r="GX93" s="138"/>
      <c r="GY93" s="138"/>
      <c r="GZ93" s="128"/>
      <c r="HA93" s="128"/>
      <c r="HB93" s="128"/>
      <c r="HC93" s="128"/>
      <c r="HD93" s="128"/>
      <c r="HH93" s="138"/>
      <c r="HI93" s="138"/>
      <c r="HJ93" s="128"/>
      <c r="HK93" s="128"/>
      <c r="HL93" s="128"/>
      <c r="HM93" s="128"/>
      <c r="HN93" s="128"/>
      <c r="HR93" s="138"/>
      <c r="HS93" s="138"/>
      <c r="HT93" s="128"/>
      <c r="HU93" s="128"/>
      <c r="HV93" s="128"/>
      <c r="HW93" s="128"/>
      <c r="HX93" s="128"/>
      <c r="IB93" s="138"/>
      <c r="IC93" s="138"/>
      <c r="ID93" s="128"/>
      <c r="IE93" s="128"/>
      <c r="IF93" s="128"/>
      <c r="IG93" s="128"/>
      <c r="IH93" s="128"/>
      <c r="IL93" s="138"/>
      <c r="IM93" s="138"/>
      <c r="IN93" s="128"/>
      <c r="IO93" s="128"/>
      <c r="IP93" s="128"/>
      <c r="IQ93" s="128"/>
      <c r="IR93" s="128"/>
      <c r="IV93" s="138"/>
      <c r="IW93" s="138"/>
      <c r="IX93" s="128"/>
      <c r="IY93" s="128"/>
      <c r="IZ93" s="128"/>
      <c r="JA93" s="128"/>
      <c r="JB93" s="128"/>
      <c r="JF93" s="138"/>
      <c r="JG93" s="138"/>
      <c r="JH93" s="128"/>
      <c r="JI93" s="128"/>
      <c r="JJ93" s="128"/>
      <c r="JK93" s="128"/>
      <c r="JL93" s="128"/>
      <c r="JP93" s="138"/>
      <c r="JQ93" s="138"/>
      <c r="JR93" s="128"/>
      <c r="JS93" s="128"/>
      <c r="JT93" s="128"/>
      <c r="JU93" s="128"/>
      <c r="JV93" s="128"/>
      <c r="JZ93" s="138"/>
      <c r="KA93" s="138"/>
      <c r="KB93" s="128"/>
      <c r="KC93" s="128"/>
      <c r="KD93" s="128"/>
      <c r="KE93" s="128"/>
      <c r="KF93" s="128"/>
      <c r="KJ93" s="138"/>
      <c r="KK93" s="138"/>
    </row>
    <row r="94" spans="1:297">
      <c r="A94" s="87">
        <f t="shared" si="1"/>
        <v>57</v>
      </c>
      <c r="B94" s="83" t="str">
        <f>_xll.flu_SPT2025($D$10,$D$13,$D$14,$D$23,$D$16,$D$17,$I$11:$J$25,$R$19:$S$108,FALSE,FALSE,"Cao độ",A94,$D$18)</f>
        <v/>
      </c>
      <c r="C94" s="87" t="str">
        <f>IF(B94="","",_xll.TimTenLoaiDat(B94,$G$11:$I$25))</f>
        <v/>
      </c>
      <c r="D94" s="87" t="str">
        <f>IF(B94="","",_xll.TimTinhChatDat(B94,$I$11:$J$25))</f>
        <v/>
      </c>
      <c r="E94" s="95" t="str">
        <f>IF(B94="","",_xll.NoiSuySPT(B94,$R$19:$S$108,$D$17,$D$13,0,0))</f>
        <v/>
      </c>
      <c r="F94" s="125" t="str">
        <f>IF(B94="","",_xll.qbEQ_SPT2025($D$10,$D$13,$D$14,B94,$D$17,$I$11:$J$25,$R$19:$S$108,$D$19,$I$11:$O$25,$D$12,"ganmaqb",$D$20))</f>
        <v/>
      </c>
      <c r="G94" s="95" t="str">
        <f>IF(B94="","",IF(D94="Đất dính","-",_xll.qbEQ_SPT2025($D$10,$D$13,$D$14,B94,$D$17,$I$11:$J$25,$R$19:$S$108,$D$19,$I$11:$O$25,$D$12,"",$D$20)))</f>
        <v/>
      </c>
      <c r="H94" s="95" t="str">
        <f>IF(B94="","",IF(D94="Đất dính",_xll.qbEQ_SPT2025($D$10,$D$13,$D$14,B94,$D$17,$I$11:$J$25,$R$19:$S$108,$D$19,$I$11:$O$25,$D$12,"",$D$20),"-"))</f>
        <v/>
      </c>
      <c r="I94" s="95" t="str">
        <f t="shared" si="4"/>
        <v/>
      </c>
      <c r="J94" s="96" t="str">
        <f>_xll.flu_SPT2025($D$10,$D$13,$D$14,$D$23,$D$16,$D$17,$I$11:$J$25,$R$19:$S$108,FALSE,FALSE,"Li",A94,$D$18)</f>
        <v/>
      </c>
      <c r="K94" s="150" t="str">
        <f>IF(B94="","",_xll.fluEQ_SPT2025($D$10,$D$13,$D$14,$D$23,$D$16,$D$17,$I$11:$J$25,$R$19:$S$108,FALSE,FALSE,"ganmafl",A94,$D$18,$D$19,$I$11:$O$25,$D$12,$J$29,$D$20))</f>
        <v/>
      </c>
      <c r="L94" s="95" t="str">
        <f>IF(D94="Đất dính","-",_xll.fluEQ_SPT2025($D$10,$D$13,$D$14,$D$23,$D$16,$D$17,$I$11:$J$25,$R$19:$S$108,FALSE,FALSE,"f",A94,$D$18,$D$19,$I$11:$O$25,$D$12,$J$29,$D$20))</f>
        <v/>
      </c>
      <c r="M94" s="95" t="str">
        <f>IF(B94="","",IF(D94="Đất dính",_xll.fluEQ_SPT2025($D$10,$D$13,$D$14,$D$23,$D$16,$D$17,$I$11:$J$25,$R$19:$S$108,FALSE,FALSE,"f",A94,$D$18,$D$19,$I$11:$O$25,$D$12,$J$29,$D$20),"-"))</f>
        <v/>
      </c>
      <c r="N94" s="95" t="str">
        <f>_xll.fluEQ_SPT2025($D$10,$D$13,$D$14,$D$23,$D$16,$D$17,$I$11:$J$25,$R$19:$S$108,FALSE,FALSE,"flu",A94,$D$18,$D$19,$I$11:$O$25,$D$12,$J$29,$D$20)</f>
        <v/>
      </c>
      <c r="O94" s="87" t="e">
        <f t="shared" si="3"/>
        <v>#N/A</v>
      </c>
      <c r="P94" s="65"/>
      <c r="R94" s="138"/>
      <c r="S94" s="138"/>
      <c r="Z94" s="138"/>
      <c r="AA94" s="138"/>
      <c r="AB94" s="128"/>
      <c r="AC94" s="128"/>
      <c r="AD94" s="128"/>
      <c r="AE94" s="128"/>
      <c r="AF94" s="128"/>
      <c r="AJ94" s="138"/>
      <c r="AK94" s="138"/>
      <c r="AL94" s="128"/>
      <c r="AM94" s="128"/>
      <c r="AN94" s="128"/>
      <c r="AO94" s="128"/>
      <c r="AP94" s="128"/>
      <c r="AT94" s="138"/>
      <c r="AU94" s="138"/>
      <c r="AV94" s="128"/>
      <c r="AW94" s="128"/>
      <c r="AX94" s="128"/>
      <c r="AY94" s="128"/>
      <c r="AZ94" s="128"/>
      <c r="BD94" s="138"/>
      <c r="BE94" s="138"/>
      <c r="BF94" s="128"/>
      <c r="BG94" s="128"/>
      <c r="BH94" s="128"/>
      <c r="BI94" s="128"/>
      <c r="BJ94" s="128"/>
      <c r="BN94" s="138"/>
      <c r="BO94" s="138"/>
      <c r="BP94" s="128"/>
      <c r="BQ94" s="128"/>
      <c r="BR94" s="128"/>
      <c r="BS94" s="128"/>
      <c r="BT94" s="128"/>
      <c r="BX94" s="138"/>
      <c r="BY94" s="138"/>
      <c r="BZ94" s="128"/>
      <c r="CA94" s="128"/>
      <c r="CB94" s="128"/>
      <c r="CC94" s="128"/>
      <c r="CD94" s="128"/>
      <c r="CH94" s="138"/>
      <c r="CI94" s="138"/>
      <c r="CJ94" s="128"/>
      <c r="CK94" s="128"/>
      <c r="CL94" s="128"/>
      <c r="CM94" s="128"/>
      <c r="CN94" s="128"/>
      <c r="CR94" s="138"/>
      <c r="CS94" s="138"/>
      <c r="CT94" s="128"/>
      <c r="CU94" s="128"/>
      <c r="CV94" s="128"/>
      <c r="CW94" s="128"/>
      <c r="CX94" s="128"/>
      <c r="DB94" s="138"/>
      <c r="DC94" s="138"/>
      <c r="DD94" s="128"/>
      <c r="DE94" s="128"/>
      <c r="DF94" s="128"/>
      <c r="DG94" s="128"/>
      <c r="DH94" s="128"/>
      <c r="DL94" s="138"/>
      <c r="DM94" s="138"/>
      <c r="DN94" s="128"/>
      <c r="DO94" s="128"/>
      <c r="DP94" s="128"/>
      <c r="DQ94" s="128"/>
      <c r="DR94" s="128"/>
      <c r="DV94" s="138"/>
      <c r="DW94" s="138"/>
      <c r="DX94" s="128"/>
      <c r="DY94" s="128"/>
      <c r="DZ94" s="128"/>
      <c r="EA94" s="128"/>
      <c r="EB94" s="128"/>
      <c r="EF94" s="138"/>
      <c r="EG94" s="138"/>
      <c r="EH94" s="128"/>
      <c r="EI94" s="128"/>
      <c r="EJ94" s="128"/>
      <c r="EK94" s="128"/>
      <c r="EL94" s="128"/>
      <c r="EP94" s="138"/>
      <c r="EQ94" s="138"/>
      <c r="ER94" s="128"/>
      <c r="ES94" s="128"/>
      <c r="ET94" s="128"/>
      <c r="EU94" s="128"/>
      <c r="EV94" s="128"/>
      <c r="EZ94" s="138"/>
      <c r="FA94" s="138"/>
      <c r="FB94" s="128"/>
      <c r="FC94" s="128"/>
      <c r="FD94" s="128"/>
      <c r="FE94" s="128"/>
      <c r="FF94" s="128"/>
      <c r="FJ94" s="138"/>
      <c r="FK94" s="138"/>
      <c r="FL94" s="128"/>
      <c r="FM94" s="128"/>
      <c r="FN94" s="128"/>
      <c r="FO94" s="128"/>
      <c r="FP94" s="128"/>
      <c r="FT94" s="138"/>
      <c r="FU94" s="138"/>
      <c r="FV94" s="128"/>
      <c r="FW94" s="128"/>
      <c r="FX94" s="128"/>
      <c r="FY94" s="128"/>
      <c r="FZ94" s="128"/>
      <c r="GD94" s="138"/>
      <c r="GE94" s="138"/>
      <c r="GF94" s="128"/>
      <c r="GG94" s="128"/>
      <c r="GH94" s="128"/>
      <c r="GI94" s="128"/>
      <c r="GJ94" s="128"/>
      <c r="GN94" s="138"/>
      <c r="GO94" s="138"/>
      <c r="GP94" s="128"/>
      <c r="GQ94" s="128"/>
      <c r="GR94" s="128"/>
      <c r="GS94" s="128"/>
      <c r="GT94" s="128"/>
      <c r="GX94" s="138"/>
      <c r="GY94" s="138"/>
      <c r="GZ94" s="128"/>
      <c r="HA94" s="128"/>
      <c r="HB94" s="128"/>
      <c r="HC94" s="128"/>
      <c r="HD94" s="128"/>
      <c r="HH94" s="138"/>
      <c r="HI94" s="138"/>
      <c r="HJ94" s="128"/>
      <c r="HK94" s="128"/>
      <c r="HL94" s="128"/>
      <c r="HM94" s="128"/>
      <c r="HN94" s="128"/>
      <c r="HR94" s="138"/>
      <c r="HS94" s="138"/>
      <c r="HT94" s="128"/>
      <c r="HU94" s="128"/>
      <c r="HV94" s="128"/>
      <c r="HW94" s="128"/>
      <c r="HX94" s="128"/>
      <c r="IB94" s="138"/>
      <c r="IC94" s="138"/>
      <c r="ID94" s="128"/>
      <c r="IE94" s="128"/>
      <c r="IF94" s="128"/>
      <c r="IG94" s="128"/>
      <c r="IH94" s="128"/>
      <c r="IL94" s="138"/>
      <c r="IM94" s="138"/>
      <c r="IN94" s="128"/>
      <c r="IO94" s="128"/>
      <c r="IP94" s="128"/>
      <c r="IQ94" s="128"/>
      <c r="IR94" s="128"/>
      <c r="IV94" s="138"/>
      <c r="IW94" s="138"/>
      <c r="IX94" s="128"/>
      <c r="IY94" s="128"/>
      <c r="IZ94" s="128"/>
      <c r="JA94" s="128"/>
      <c r="JB94" s="128"/>
      <c r="JF94" s="138"/>
      <c r="JG94" s="138"/>
      <c r="JH94" s="128"/>
      <c r="JI94" s="128"/>
      <c r="JJ94" s="128"/>
      <c r="JK94" s="128"/>
      <c r="JL94" s="128"/>
      <c r="JP94" s="138"/>
      <c r="JQ94" s="138"/>
      <c r="JR94" s="128"/>
      <c r="JS94" s="128"/>
      <c r="JT94" s="128"/>
      <c r="JU94" s="128"/>
      <c r="JV94" s="128"/>
      <c r="JZ94" s="138"/>
      <c r="KA94" s="138"/>
      <c r="KB94" s="128"/>
      <c r="KC94" s="128"/>
      <c r="KD94" s="128"/>
      <c r="KE94" s="128"/>
      <c r="KF94" s="128"/>
      <c r="KJ94" s="138"/>
      <c r="KK94" s="138"/>
    </row>
    <row r="95" spans="1:297">
      <c r="A95" s="87">
        <f t="shared" si="1"/>
        <v>58</v>
      </c>
      <c r="B95" s="83" t="str">
        <f>_xll.flu_SPT2025($D$10,$D$13,$D$14,$D$23,$D$16,$D$17,$I$11:$J$25,$R$19:$S$108,FALSE,FALSE,"Cao độ",A95,$D$18)</f>
        <v/>
      </c>
      <c r="C95" s="87" t="str">
        <f>IF(B95="","",_xll.TimTenLoaiDat(B95,$G$11:$I$25))</f>
        <v/>
      </c>
      <c r="D95" s="87" t="str">
        <f>IF(B95="","",_xll.TimTinhChatDat(B95,$I$11:$J$25))</f>
        <v/>
      </c>
      <c r="E95" s="95" t="str">
        <f>IF(B95="","",_xll.NoiSuySPT(B95,$R$19:$S$108,$D$17,$D$13,0,0))</f>
        <v/>
      </c>
      <c r="F95" s="125" t="str">
        <f>IF(B95="","",_xll.qbEQ_SPT2025($D$10,$D$13,$D$14,B95,$D$17,$I$11:$J$25,$R$19:$S$108,$D$19,$I$11:$O$25,$D$12,"ganmaqb",$D$20))</f>
        <v/>
      </c>
      <c r="G95" s="95" t="str">
        <f>IF(B95="","",IF(D95="Đất dính","-",_xll.qbEQ_SPT2025($D$10,$D$13,$D$14,B95,$D$17,$I$11:$J$25,$R$19:$S$108,$D$19,$I$11:$O$25,$D$12,"",$D$20)))</f>
        <v/>
      </c>
      <c r="H95" s="95" t="str">
        <f>IF(B95="","",IF(D95="Đất dính",_xll.qbEQ_SPT2025($D$10,$D$13,$D$14,B95,$D$17,$I$11:$J$25,$R$19:$S$108,$D$19,$I$11:$O$25,$D$12,"",$D$20),"-"))</f>
        <v/>
      </c>
      <c r="I95" s="95" t="str">
        <f t="shared" si="4"/>
        <v/>
      </c>
      <c r="J95" s="96" t="str">
        <f>_xll.flu_SPT2025($D$10,$D$13,$D$14,$D$23,$D$16,$D$17,$I$11:$J$25,$R$19:$S$108,FALSE,FALSE,"Li",A95,$D$18)</f>
        <v/>
      </c>
      <c r="K95" s="150" t="str">
        <f>IF(B95="","",_xll.fluEQ_SPT2025($D$10,$D$13,$D$14,$D$23,$D$16,$D$17,$I$11:$J$25,$R$19:$S$108,FALSE,FALSE,"ganmafl",A95,$D$18,$D$19,$I$11:$O$25,$D$12,$J$29,$D$20))</f>
        <v/>
      </c>
      <c r="L95" s="95" t="str">
        <f>IF(D95="Đất dính","-",_xll.fluEQ_SPT2025($D$10,$D$13,$D$14,$D$23,$D$16,$D$17,$I$11:$J$25,$R$19:$S$108,FALSE,FALSE,"f",A95,$D$18,$D$19,$I$11:$O$25,$D$12,$J$29,$D$20))</f>
        <v/>
      </c>
      <c r="M95" s="95" t="str">
        <f>IF(B95="","",IF(D95="Đất dính",_xll.fluEQ_SPT2025($D$10,$D$13,$D$14,$D$23,$D$16,$D$17,$I$11:$J$25,$R$19:$S$108,FALSE,FALSE,"f",A95,$D$18,$D$19,$I$11:$O$25,$D$12,$J$29,$D$20),"-"))</f>
        <v/>
      </c>
      <c r="N95" s="95" t="str">
        <f>_xll.fluEQ_SPT2025($D$10,$D$13,$D$14,$D$23,$D$16,$D$17,$I$11:$J$25,$R$19:$S$108,FALSE,FALSE,"flu",A95,$D$18,$D$19,$I$11:$O$25,$D$12,$J$29,$D$20)</f>
        <v/>
      </c>
      <c r="O95" s="87" t="e">
        <f t="shared" si="3"/>
        <v>#N/A</v>
      </c>
      <c r="P95" s="65"/>
      <c r="R95" s="138"/>
      <c r="S95" s="138"/>
      <c r="Z95" s="138"/>
      <c r="AA95" s="138"/>
      <c r="AB95" s="128"/>
      <c r="AC95" s="128"/>
      <c r="AD95" s="128"/>
      <c r="AE95" s="128"/>
      <c r="AF95" s="128"/>
      <c r="AJ95" s="138"/>
      <c r="AK95" s="138"/>
      <c r="AL95" s="128"/>
      <c r="AM95" s="128"/>
      <c r="AN95" s="128"/>
      <c r="AO95" s="128"/>
      <c r="AP95" s="128"/>
      <c r="AT95" s="138"/>
      <c r="AU95" s="138"/>
      <c r="AV95" s="128"/>
      <c r="AW95" s="128"/>
      <c r="AX95" s="128"/>
      <c r="AY95" s="128"/>
      <c r="AZ95" s="128"/>
      <c r="BD95" s="138"/>
      <c r="BE95" s="138"/>
      <c r="BF95" s="128"/>
      <c r="BG95" s="128"/>
      <c r="BH95" s="128"/>
      <c r="BI95" s="128"/>
      <c r="BJ95" s="128"/>
      <c r="BN95" s="138"/>
      <c r="BO95" s="138"/>
      <c r="BP95" s="128"/>
      <c r="BQ95" s="128"/>
      <c r="BR95" s="128"/>
      <c r="BS95" s="128"/>
      <c r="BT95" s="128"/>
      <c r="BX95" s="138"/>
      <c r="BY95" s="138"/>
      <c r="BZ95" s="128"/>
      <c r="CA95" s="128"/>
      <c r="CB95" s="128"/>
      <c r="CC95" s="128"/>
      <c r="CD95" s="128"/>
      <c r="CH95" s="138"/>
      <c r="CI95" s="138"/>
      <c r="CJ95" s="128"/>
      <c r="CK95" s="128"/>
      <c r="CL95" s="128"/>
      <c r="CM95" s="128"/>
      <c r="CN95" s="128"/>
      <c r="CR95" s="138"/>
      <c r="CS95" s="138"/>
      <c r="CT95" s="128"/>
      <c r="CU95" s="128"/>
      <c r="CV95" s="128"/>
      <c r="CW95" s="128"/>
      <c r="CX95" s="128"/>
      <c r="DB95" s="138"/>
      <c r="DC95" s="138"/>
      <c r="DD95" s="128"/>
      <c r="DE95" s="128"/>
      <c r="DF95" s="128"/>
      <c r="DG95" s="128"/>
      <c r="DH95" s="128"/>
      <c r="DL95" s="138"/>
      <c r="DM95" s="138"/>
      <c r="DN95" s="128"/>
      <c r="DO95" s="128"/>
      <c r="DP95" s="128"/>
      <c r="DQ95" s="128"/>
      <c r="DR95" s="128"/>
      <c r="DV95" s="138"/>
      <c r="DW95" s="138"/>
      <c r="DX95" s="128"/>
      <c r="DY95" s="128"/>
      <c r="DZ95" s="128"/>
      <c r="EA95" s="128"/>
      <c r="EB95" s="128"/>
      <c r="EF95" s="138"/>
      <c r="EG95" s="138"/>
      <c r="EH95" s="128"/>
      <c r="EI95" s="128"/>
      <c r="EJ95" s="128"/>
      <c r="EK95" s="128"/>
      <c r="EL95" s="128"/>
      <c r="EP95" s="138"/>
      <c r="EQ95" s="138"/>
      <c r="ER95" s="128"/>
      <c r="ES95" s="128"/>
      <c r="ET95" s="128"/>
      <c r="EU95" s="128"/>
      <c r="EV95" s="128"/>
      <c r="EZ95" s="138"/>
      <c r="FA95" s="138"/>
      <c r="FB95" s="128"/>
      <c r="FC95" s="128"/>
      <c r="FD95" s="128"/>
      <c r="FE95" s="128"/>
      <c r="FF95" s="128"/>
      <c r="FJ95" s="138"/>
      <c r="FK95" s="138"/>
      <c r="FL95" s="128"/>
      <c r="FM95" s="128"/>
      <c r="FN95" s="128"/>
      <c r="FO95" s="128"/>
      <c r="FP95" s="128"/>
      <c r="FT95" s="138"/>
      <c r="FU95" s="138"/>
      <c r="FV95" s="128"/>
      <c r="FW95" s="128"/>
      <c r="FX95" s="128"/>
      <c r="FY95" s="128"/>
      <c r="FZ95" s="128"/>
      <c r="GD95" s="138"/>
      <c r="GE95" s="138"/>
      <c r="GF95" s="128"/>
      <c r="GG95" s="128"/>
      <c r="GH95" s="128"/>
      <c r="GI95" s="128"/>
      <c r="GJ95" s="128"/>
      <c r="GN95" s="138"/>
      <c r="GO95" s="138"/>
      <c r="GP95" s="128"/>
      <c r="GQ95" s="128"/>
      <c r="GR95" s="128"/>
      <c r="GS95" s="128"/>
      <c r="GT95" s="128"/>
      <c r="GX95" s="138"/>
      <c r="GY95" s="138"/>
      <c r="GZ95" s="128"/>
      <c r="HA95" s="128"/>
      <c r="HB95" s="128"/>
      <c r="HC95" s="128"/>
      <c r="HD95" s="128"/>
      <c r="HH95" s="138"/>
      <c r="HI95" s="138"/>
      <c r="HJ95" s="128"/>
      <c r="HK95" s="128"/>
      <c r="HL95" s="128"/>
      <c r="HM95" s="128"/>
      <c r="HN95" s="128"/>
      <c r="HR95" s="138"/>
      <c r="HS95" s="138"/>
      <c r="HT95" s="128"/>
      <c r="HU95" s="128"/>
      <c r="HV95" s="128"/>
      <c r="HW95" s="128"/>
      <c r="HX95" s="128"/>
      <c r="IB95" s="138"/>
      <c r="IC95" s="138"/>
      <c r="ID95" s="128"/>
      <c r="IE95" s="128"/>
      <c r="IF95" s="128"/>
      <c r="IG95" s="128"/>
      <c r="IH95" s="128"/>
      <c r="IL95" s="138"/>
      <c r="IM95" s="138"/>
      <c r="IN95" s="128"/>
      <c r="IO95" s="128"/>
      <c r="IP95" s="128"/>
      <c r="IQ95" s="128"/>
      <c r="IR95" s="128"/>
      <c r="IV95" s="138"/>
      <c r="IW95" s="138"/>
      <c r="IX95" s="128"/>
      <c r="IY95" s="128"/>
      <c r="IZ95" s="128"/>
      <c r="JA95" s="128"/>
      <c r="JB95" s="128"/>
      <c r="JF95" s="138"/>
      <c r="JG95" s="138"/>
      <c r="JH95" s="128"/>
      <c r="JI95" s="128"/>
      <c r="JJ95" s="128"/>
      <c r="JK95" s="128"/>
      <c r="JL95" s="128"/>
      <c r="JP95" s="138"/>
      <c r="JQ95" s="138"/>
      <c r="JR95" s="128"/>
      <c r="JS95" s="128"/>
      <c r="JT95" s="128"/>
      <c r="JU95" s="128"/>
      <c r="JV95" s="128"/>
      <c r="JZ95" s="138"/>
      <c r="KA95" s="138"/>
      <c r="KB95" s="128"/>
      <c r="KC95" s="128"/>
      <c r="KD95" s="128"/>
      <c r="KE95" s="128"/>
      <c r="KF95" s="128"/>
      <c r="KJ95" s="138"/>
      <c r="KK95" s="138"/>
    </row>
    <row r="96" spans="1:297">
      <c r="A96" s="87">
        <f t="shared" si="1"/>
        <v>59</v>
      </c>
      <c r="B96" s="83" t="str">
        <f>_xll.flu_SPT2025($D$10,$D$13,$D$14,$D$23,$D$16,$D$17,$I$11:$J$25,$R$19:$S$108,FALSE,FALSE,"Cao độ",A96,$D$18)</f>
        <v/>
      </c>
      <c r="C96" s="87" t="str">
        <f>IF(B96="","",_xll.TimTenLoaiDat(B96,$G$11:$I$25))</f>
        <v/>
      </c>
      <c r="D96" s="87" t="str">
        <f>IF(B96="","",_xll.TimTinhChatDat(B96,$I$11:$J$25))</f>
        <v/>
      </c>
      <c r="E96" s="95" t="str">
        <f>IF(B96="","",_xll.NoiSuySPT(B96,$R$19:$S$108,$D$17,$D$13,0,0))</f>
        <v/>
      </c>
      <c r="F96" s="125" t="str">
        <f>IF(B96="","",_xll.qbEQ_SPT2025($D$10,$D$13,$D$14,B96,$D$17,$I$11:$J$25,$R$19:$S$108,$D$19,$I$11:$O$25,$D$12,"ganmaqb",$D$20))</f>
        <v/>
      </c>
      <c r="G96" s="95" t="str">
        <f>IF(B96="","",IF(D96="Đất dính","-",_xll.qbEQ_SPT2025($D$10,$D$13,$D$14,B96,$D$17,$I$11:$J$25,$R$19:$S$108,$D$19,$I$11:$O$25,$D$12,"",$D$20)))</f>
        <v/>
      </c>
      <c r="H96" s="95" t="str">
        <f>IF(B96="","",IF(D96="Đất dính",_xll.qbEQ_SPT2025($D$10,$D$13,$D$14,B96,$D$17,$I$11:$J$25,$R$19:$S$108,$D$19,$I$11:$O$25,$D$12,"",$D$20),"-"))</f>
        <v/>
      </c>
      <c r="I96" s="95" t="str">
        <f t="shared" si="4"/>
        <v/>
      </c>
      <c r="J96" s="96" t="str">
        <f>_xll.flu_SPT2025($D$10,$D$13,$D$14,$D$23,$D$16,$D$17,$I$11:$J$25,$R$19:$S$108,FALSE,FALSE,"Li",A96,$D$18)</f>
        <v/>
      </c>
      <c r="K96" s="150" t="str">
        <f>IF(B96="","",_xll.fluEQ_SPT2025($D$10,$D$13,$D$14,$D$23,$D$16,$D$17,$I$11:$J$25,$R$19:$S$108,FALSE,FALSE,"ganmafl",A96,$D$18,$D$19,$I$11:$O$25,$D$12,$J$29,$D$20))</f>
        <v/>
      </c>
      <c r="L96" s="95" t="str">
        <f>IF(D96="Đất dính","-",_xll.fluEQ_SPT2025($D$10,$D$13,$D$14,$D$23,$D$16,$D$17,$I$11:$J$25,$R$19:$S$108,FALSE,FALSE,"f",A96,$D$18,$D$19,$I$11:$O$25,$D$12,$J$29,$D$20))</f>
        <v/>
      </c>
      <c r="M96" s="95" t="str">
        <f>IF(B96="","",IF(D96="Đất dính",_xll.fluEQ_SPT2025($D$10,$D$13,$D$14,$D$23,$D$16,$D$17,$I$11:$J$25,$R$19:$S$108,FALSE,FALSE,"f",A96,$D$18,$D$19,$I$11:$O$25,$D$12,$J$29,$D$20),"-"))</f>
        <v/>
      </c>
      <c r="N96" s="95" t="str">
        <f>_xll.fluEQ_SPT2025($D$10,$D$13,$D$14,$D$23,$D$16,$D$17,$I$11:$J$25,$R$19:$S$108,FALSE,FALSE,"flu",A96,$D$18,$D$19,$I$11:$O$25,$D$12,$J$29,$D$20)</f>
        <v/>
      </c>
      <c r="O96" s="87" t="e">
        <f t="shared" si="3"/>
        <v>#N/A</v>
      </c>
      <c r="P96" s="65"/>
      <c r="R96" s="138"/>
      <c r="S96" s="138"/>
      <c r="Z96" s="138"/>
      <c r="AA96" s="138"/>
      <c r="AB96" s="128"/>
      <c r="AC96" s="128"/>
      <c r="AD96" s="128"/>
      <c r="AE96" s="128"/>
      <c r="AF96" s="128"/>
      <c r="AJ96" s="138"/>
      <c r="AK96" s="138"/>
      <c r="AL96" s="128"/>
      <c r="AM96" s="128"/>
      <c r="AN96" s="128"/>
      <c r="AO96" s="128"/>
      <c r="AP96" s="128"/>
      <c r="AT96" s="138"/>
      <c r="AU96" s="138"/>
      <c r="AV96" s="128"/>
      <c r="AW96" s="128"/>
      <c r="AX96" s="128"/>
      <c r="AY96" s="128"/>
      <c r="AZ96" s="128"/>
      <c r="BD96" s="138"/>
      <c r="BE96" s="138"/>
      <c r="BF96" s="128"/>
      <c r="BG96" s="128"/>
      <c r="BH96" s="128"/>
      <c r="BI96" s="128"/>
      <c r="BJ96" s="128"/>
      <c r="BN96" s="138"/>
      <c r="BO96" s="138"/>
      <c r="BP96" s="128"/>
      <c r="BQ96" s="128"/>
      <c r="BR96" s="128"/>
      <c r="BS96" s="128"/>
      <c r="BT96" s="128"/>
      <c r="BX96" s="138"/>
      <c r="BY96" s="138"/>
      <c r="BZ96" s="128"/>
      <c r="CA96" s="128"/>
      <c r="CB96" s="128"/>
      <c r="CC96" s="128"/>
      <c r="CD96" s="128"/>
      <c r="CH96" s="138"/>
      <c r="CI96" s="138"/>
      <c r="CJ96" s="128"/>
      <c r="CK96" s="128"/>
      <c r="CL96" s="128"/>
      <c r="CM96" s="128"/>
      <c r="CN96" s="128"/>
      <c r="CR96" s="138"/>
      <c r="CS96" s="138"/>
      <c r="CT96" s="128"/>
      <c r="CU96" s="128"/>
      <c r="CV96" s="128"/>
      <c r="CW96" s="128"/>
      <c r="CX96" s="128"/>
      <c r="DB96" s="138"/>
      <c r="DC96" s="138"/>
      <c r="DD96" s="128"/>
      <c r="DE96" s="128"/>
      <c r="DF96" s="128"/>
      <c r="DG96" s="128"/>
      <c r="DH96" s="128"/>
      <c r="DL96" s="138"/>
      <c r="DM96" s="138"/>
      <c r="DN96" s="128"/>
      <c r="DO96" s="128"/>
      <c r="DP96" s="128"/>
      <c r="DQ96" s="128"/>
      <c r="DR96" s="128"/>
      <c r="DV96" s="138"/>
      <c r="DW96" s="138"/>
      <c r="DX96" s="128"/>
      <c r="DY96" s="128"/>
      <c r="DZ96" s="128"/>
      <c r="EA96" s="128"/>
      <c r="EB96" s="128"/>
      <c r="EF96" s="138"/>
      <c r="EG96" s="138"/>
      <c r="EH96" s="128"/>
      <c r="EI96" s="128"/>
      <c r="EJ96" s="128"/>
      <c r="EK96" s="128"/>
      <c r="EL96" s="128"/>
      <c r="EP96" s="138"/>
      <c r="EQ96" s="138"/>
      <c r="ER96" s="128"/>
      <c r="ES96" s="128"/>
      <c r="ET96" s="128"/>
      <c r="EU96" s="128"/>
      <c r="EV96" s="128"/>
      <c r="EZ96" s="138"/>
      <c r="FA96" s="138"/>
      <c r="FB96" s="128"/>
      <c r="FC96" s="128"/>
      <c r="FD96" s="128"/>
      <c r="FE96" s="128"/>
      <c r="FF96" s="128"/>
      <c r="FJ96" s="138"/>
      <c r="FK96" s="138"/>
      <c r="FL96" s="128"/>
      <c r="FM96" s="128"/>
      <c r="FN96" s="128"/>
      <c r="FO96" s="128"/>
      <c r="FP96" s="128"/>
      <c r="FT96" s="138"/>
      <c r="FU96" s="138"/>
      <c r="FV96" s="128"/>
      <c r="FW96" s="128"/>
      <c r="FX96" s="128"/>
      <c r="FY96" s="128"/>
      <c r="FZ96" s="128"/>
      <c r="GD96" s="138"/>
      <c r="GE96" s="138"/>
      <c r="GF96" s="128"/>
      <c r="GG96" s="128"/>
      <c r="GH96" s="128"/>
      <c r="GI96" s="128"/>
      <c r="GJ96" s="128"/>
      <c r="GN96" s="138"/>
      <c r="GO96" s="138"/>
      <c r="GP96" s="128"/>
      <c r="GQ96" s="128"/>
      <c r="GR96" s="128"/>
      <c r="GS96" s="128"/>
      <c r="GT96" s="128"/>
      <c r="GX96" s="138"/>
      <c r="GY96" s="138"/>
      <c r="GZ96" s="128"/>
      <c r="HA96" s="128"/>
      <c r="HB96" s="128"/>
      <c r="HC96" s="128"/>
      <c r="HD96" s="128"/>
      <c r="HH96" s="138"/>
      <c r="HI96" s="138"/>
      <c r="HJ96" s="128"/>
      <c r="HK96" s="128"/>
      <c r="HL96" s="128"/>
      <c r="HM96" s="128"/>
      <c r="HN96" s="128"/>
      <c r="HR96" s="138"/>
      <c r="HS96" s="138"/>
      <c r="HT96" s="128"/>
      <c r="HU96" s="128"/>
      <c r="HV96" s="128"/>
      <c r="HW96" s="128"/>
      <c r="HX96" s="128"/>
      <c r="IB96" s="138"/>
      <c r="IC96" s="138"/>
      <c r="ID96" s="128"/>
      <c r="IE96" s="128"/>
      <c r="IF96" s="128"/>
      <c r="IG96" s="128"/>
      <c r="IH96" s="128"/>
      <c r="IL96" s="138"/>
      <c r="IM96" s="138"/>
      <c r="IN96" s="128"/>
      <c r="IO96" s="128"/>
      <c r="IP96" s="128"/>
      <c r="IQ96" s="128"/>
      <c r="IR96" s="128"/>
      <c r="IV96" s="138"/>
      <c r="IW96" s="138"/>
      <c r="IX96" s="128"/>
      <c r="IY96" s="128"/>
      <c r="IZ96" s="128"/>
      <c r="JA96" s="128"/>
      <c r="JB96" s="128"/>
      <c r="JF96" s="138"/>
      <c r="JG96" s="138"/>
      <c r="JH96" s="128"/>
      <c r="JI96" s="128"/>
      <c r="JJ96" s="128"/>
      <c r="JK96" s="128"/>
      <c r="JL96" s="128"/>
      <c r="JP96" s="138"/>
      <c r="JQ96" s="138"/>
      <c r="JR96" s="128"/>
      <c r="JS96" s="128"/>
      <c r="JT96" s="128"/>
      <c r="JU96" s="128"/>
      <c r="JV96" s="128"/>
      <c r="JZ96" s="138"/>
      <c r="KA96" s="138"/>
      <c r="KB96" s="128"/>
      <c r="KC96" s="128"/>
      <c r="KD96" s="128"/>
      <c r="KE96" s="128"/>
      <c r="KF96" s="128"/>
      <c r="KJ96" s="138"/>
      <c r="KK96" s="138"/>
    </row>
    <row r="97" spans="1:297">
      <c r="A97" s="87">
        <f t="shared" si="1"/>
        <v>60</v>
      </c>
      <c r="B97" s="83" t="str">
        <f>_xll.flu_SPT2025($D$10,$D$13,$D$14,$D$23,$D$16,$D$17,$I$11:$J$25,$R$19:$S$108,FALSE,FALSE,"Cao độ",A97,$D$18)</f>
        <v/>
      </c>
      <c r="C97" s="87" t="str">
        <f>IF(B97="","",_xll.TimTenLoaiDat(B97,$G$11:$I$25))</f>
        <v/>
      </c>
      <c r="D97" s="87" t="str">
        <f>IF(B97="","",_xll.TimTinhChatDat(B97,$I$11:$J$25))</f>
        <v/>
      </c>
      <c r="E97" s="95" t="str">
        <f>IF(B97="","",_xll.NoiSuySPT(B97,$R$19:$S$108,$D$17,$D$13,0,0))</f>
        <v/>
      </c>
      <c r="F97" s="125" t="str">
        <f>IF(B97="","",_xll.qbEQ_SPT2025($D$10,$D$13,$D$14,B97,$D$17,$I$11:$J$25,$R$19:$S$108,$D$19,$I$11:$O$25,$D$12,"ganmaqb",$D$20))</f>
        <v/>
      </c>
      <c r="G97" s="95" t="str">
        <f>IF(B97="","",IF(D97="Đất dính","-",_xll.qbEQ_SPT2025($D$10,$D$13,$D$14,B97,$D$17,$I$11:$J$25,$R$19:$S$108,$D$19,$I$11:$O$25,$D$12,"",$D$20)))</f>
        <v/>
      </c>
      <c r="H97" s="95" t="str">
        <f>IF(B97="","",IF(D97="Đất dính",_xll.qbEQ_SPT2025($D$10,$D$13,$D$14,B97,$D$17,$I$11:$J$25,$R$19:$S$108,$D$19,$I$11:$O$25,$D$12,"",$D$20),"-"))</f>
        <v/>
      </c>
      <c r="I97" s="95" t="str">
        <f t="shared" si="4"/>
        <v/>
      </c>
      <c r="J97" s="96" t="str">
        <f>_xll.flu_SPT2025($D$10,$D$13,$D$14,$D$23,$D$16,$D$17,$I$11:$J$25,$R$19:$S$108,FALSE,FALSE,"Li",A97,$D$18)</f>
        <v/>
      </c>
      <c r="K97" s="150" t="str">
        <f>IF(B97="","",_xll.fluEQ_SPT2025($D$10,$D$13,$D$14,$D$23,$D$16,$D$17,$I$11:$J$25,$R$19:$S$108,FALSE,FALSE,"ganmafl",A97,$D$18,$D$19,$I$11:$O$25,$D$12,$J$29,$D$20))</f>
        <v/>
      </c>
      <c r="L97" s="95" t="str">
        <f>IF(D97="Đất dính","-",_xll.fluEQ_SPT2025($D$10,$D$13,$D$14,$D$23,$D$16,$D$17,$I$11:$J$25,$R$19:$S$108,FALSE,FALSE,"f",A97,$D$18,$D$19,$I$11:$O$25,$D$12,$J$29,$D$20))</f>
        <v/>
      </c>
      <c r="M97" s="95" t="str">
        <f>IF(B97="","",IF(D97="Đất dính",_xll.fluEQ_SPT2025($D$10,$D$13,$D$14,$D$23,$D$16,$D$17,$I$11:$J$25,$R$19:$S$108,FALSE,FALSE,"f",A97,$D$18,$D$19,$I$11:$O$25,$D$12,$J$29,$D$20),"-"))</f>
        <v/>
      </c>
      <c r="N97" s="95" t="str">
        <f>_xll.fluEQ_SPT2025($D$10,$D$13,$D$14,$D$23,$D$16,$D$17,$I$11:$J$25,$R$19:$S$108,FALSE,FALSE,"flu",A97,$D$18,$D$19,$I$11:$O$25,$D$12,$J$29,$D$20)</f>
        <v/>
      </c>
      <c r="O97" s="87" t="e">
        <f t="shared" si="3"/>
        <v>#N/A</v>
      </c>
      <c r="P97" s="65"/>
      <c r="R97" s="138"/>
      <c r="S97" s="138"/>
      <c r="Z97" s="138"/>
      <c r="AA97" s="138"/>
      <c r="AB97" s="128"/>
      <c r="AC97" s="128"/>
      <c r="AD97" s="128"/>
      <c r="AE97" s="128"/>
      <c r="AF97" s="128"/>
      <c r="AJ97" s="138"/>
      <c r="AK97" s="138"/>
      <c r="AL97" s="128"/>
      <c r="AM97" s="128"/>
      <c r="AN97" s="128"/>
      <c r="AO97" s="128"/>
      <c r="AP97" s="128"/>
      <c r="AT97" s="138"/>
      <c r="AU97" s="138"/>
      <c r="AV97" s="128"/>
      <c r="AW97" s="128"/>
      <c r="AX97" s="128"/>
      <c r="AY97" s="128"/>
      <c r="AZ97" s="128"/>
      <c r="BD97" s="138"/>
      <c r="BE97" s="138"/>
      <c r="BF97" s="128"/>
      <c r="BG97" s="128"/>
      <c r="BH97" s="128"/>
      <c r="BI97" s="128"/>
      <c r="BJ97" s="128"/>
      <c r="BN97" s="138"/>
      <c r="BO97" s="138"/>
      <c r="BP97" s="128"/>
      <c r="BQ97" s="128"/>
      <c r="BR97" s="128"/>
      <c r="BS97" s="128"/>
      <c r="BT97" s="128"/>
      <c r="BX97" s="138"/>
      <c r="BY97" s="138"/>
      <c r="BZ97" s="128"/>
      <c r="CA97" s="128"/>
      <c r="CB97" s="128"/>
      <c r="CC97" s="128"/>
      <c r="CD97" s="128"/>
      <c r="CH97" s="138"/>
      <c r="CI97" s="138"/>
      <c r="CJ97" s="128"/>
      <c r="CK97" s="128"/>
      <c r="CL97" s="128"/>
      <c r="CM97" s="128"/>
      <c r="CN97" s="128"/>
      <c r="CR97" s="138"/>
      <c r="CS97" s="138"/>
      <c r="CT97" s="128"/>
      <c r="CU97" s="128"/>
      <c r="CV97" s="128"/>
      <c r="CW97" s="128"/>
      <c r="CX97" s="128"/>
      <c r="DB97" s="138"/>
      <c r="DC97" s="138"/>
      <c r="DD97" s="128"/>
      <c r="DE97" s="128"/>
      <c r="DF97" s="128"/>
      <c r="DG97" s="128"/>
      <c r="DH97" s="128"/>
      <c r="DL97" s="138"/>
      <c r="DM97" s="138"/>
      <c r="DN97" s="128"/>
      <c r="DO97" s="128"/>
      <c r="DP97" s="128"/>
      <c r="DQ97" s="128"/>
      <c r="DR97" s="128"/>
      <c r="DV97" s="138"/>
      <c r="DW97" s="138"/>
      <c r="DX97" s="128"/>
      <c r="DY97" s="128"/>
      <c r="DZ97" s="128"/>
      <c r="EA97" s="128"/>
      <c r="EB97" s="128"/>
      <c r="EF97" s="138"/>
      <c r="EG97" s="138"/>
      <c r="EH97" s="128"/>
      <c r="EI97" s="128"/>
      <c r="EJ97" s="128"/>
      <c r="EK97" s="128"/>
      <c r="EL97" s="128"/>
      <c r="EP97" s="138"/>
      <c r="EQ97" s="138"/>
      <c r="ER97" s="128"/>
      <c r="ES97" s="128"/>
      <c r="ET97" s="128"/>
      <c r="EU97" s="128"/>
      <c r="EV97" s="128"/>
      <c r="EZ97" s="138"/>
      <c r="FA97" s="138"/>
      <c r="FB97" s="128"/>
      <c r="FC97" s="128"/>
      <c r="FD97" s="128"/>
      <c r="FE97" s="128"/>
      <c r="FF97" s="128"/>
      <c r="FJ97" s="138"/>
      <c r="FK97" s="138"/>
      <c r="FL97" s="128"/>
      <c r="FM97" s="128"/>
      <c r="FN97" s="128"/>
      <c r="FO97" s="128"/>
      <c r="FP97" s="128"/>
      <c r="FT97" s="138"/>
      <c r="FU97" s="138"/>
      <c r="FV97" s="128"/>
      <c r="FW97" s="128"/>
      <c r="FX97" s="128"/>
      <c r="FY97" s="128"/>
      <c r="FZ97" s="128"/>
      <c r="GD97" s="138"/>
      <c r="GE97" s="138"/>
      <c r="GF97" s="128"/>
      <c r="GG97" s="128"/>
      <c r="GH97" s="128"/>
      <c r="GI97" s="128"/>
      <c r="GJ97" s="128"/>
      <c r="GN97" s="138"/>
      <c r="GO97" s="138"/>
      <c r="GP97" s="128"/>
      <c r="GQ97" s="128"/>
      <c r="GR97" s="128"/>
      <c r="GS97" s="128"/>
      <c r="GT97" s="128"/>
      <c r="GX97" s="138"/>
      <c r="GY97" s="138"/>
      <c r="GZ97" s="128"/>
      <c r="HA97" s="128"/>
      <c r="HB97" s="128"/>
      <c r="HC97" s="128"/>
      <c r="HD97" s="128"/>
      <c r="HH97" s="138"/>
      <c r="HI97" s="138"/>
      <c r="HJ97" s="128"/>
      <c r="HK97" s="128"/>
      <c r="HL97" s="128"/>
      <c r="HM97" s="128"/>
      <c r="HN97" s="128"/>
      <c r="HR97" s="138"/>
      <c r="HS97" s="138"/>
      <c r="HT97" s="128"/>
      <c r="HU97" s="128"/>
      <c r="HV97" s="128"/>
      <c r="HW97" s="128"/>
      <c r="HX97" s="128"/>
      <c r="IB97" s="138"/>
      <c r="IC97" s="138"/>
      <c r="ID97" s="128"/>
      <c r="IE97" s="128"/>
      <c r="IF97" s="128"/>
      <c r="IG97" s="128"/>
      <c r="IH97" s="128"/>
      <c r="IL97" s="138"/>
      <c r="IM97" s="138"/>
      <c r="IN97" s="128"/>
      <c r="IO97" s="128"/>
      <c r="IP97" s="128"/>
      <c r="IQ97" s="128"/>
      <c r="IR97" s="128"/>
      <c r="IV97" s="138"/>
      <c r="IW97" s="138"/>
      <c r="IX97" s="128"/>
      <c r="IY97" s="128"/>
      <c r="IZ97" s="128"/>
      <c r="JA97" s="128"/>
      <c r="JB97" s="128"/>
      <c r="JF97" s="138"/>
      <c r="JG97" s="138"/>
      <c r="JH97" s="128"/>
      <c r="JI97" s="128"/>
      <c r="JJ97" s="128"/>
      <c r="JK97" s="128"/>
      <c r="JL97" s="128"/>
      <c r="JP97" s="138"/>
      <c r="JQ97" s="138"/>
      <c r="JR97" s="128"/>
      <c r="JS97" s="128"/>
      <c r="JT97" s="128"/>
      <c r="JU97" s="128"/>
      <c r="JV97" s="128"/>
      <c r="JZ97" s="138"/>
      <c r="KA97" s="138"/>
      <c r="KB97" s="128"/>
      <c r="KC97" s="128"/>
      <c r="KD97" s="128"/>
      <c r="KE97" s="128"/>
      <c r="KF97" s="128"/>
      <c r="KJ97" s="138"/>
      <c r="KK97" s="138"/>
    </row>
    <row r="98" spans="1:297">
      <c r="A98" s="87">
        <f t="shared" si="1"/>
        <v>61</v>
      </c>
      <c r="B98" s="83" t="str">
        <f>_xll.flu_SPT2025($D$10,$D$13,$D$14,$D$23,$D$16,$D$17,$I$11:$J$25,$R$19:$S$108,FALSE,FALSE,"Cao độ",A98,$D$18)</f>
        <v/>
      </c>
      <c r="C98" s="87" t="str">
        <f>IF(B98="","",_xll.TimTenLoaiDat(B98,$G$11:$I$25))</f>
        <v/>
      </c>
      <c r="D98" s="87" t="str">
        <f>IF(B98="","",_xll.TimTinhChatDat(B98,$I$11:$J$25))</f>
        <v/>
      </c>
      <c r="E98" s="95" t="str">
        <f>IF(B98="","",_xll.NoiSuySPT(B98,$R$19:$S$108,$D$17,$D$13,0,0))</f>
        <v/>
      </c>
      <c r="F98" s="125" t="str">
        <f>IF(B98="","",_xll.qbEQ_SPT2025($D$10,$D$13,$D$14,B98,$D$17,$I$11:$J$25,$R$19:$S$108,$D$19,$I$11:$O$25,$D$12,"ganmaqb",$D$20))</f>
        <v/>
      </c>
      <c r="G98" s="95" t="str">
        <f>IF(B98="","",IF(D98="Đất dính","-",_xll.qbEQ_SPT2025($D$10,$D$13,$D$14,B98,$D$17,$I$11:$J$25,$R$19:$S$108,$D$19,$I$11:$O$25,$D$12,"",$D$20)))</f>
        <v/>
      </c>
      <c r="H98" s="95" t="str">
        <f>IF(B98="","",IF(D98="Đất dính",_xll.qbEQ_SPT2025($D$10,$D$13,$D$14,B98,$D$17,$I$11:$J$25,$R$19:$S$108,$D$19,$I$11:$O$25,$D$12,"",$D$20),"-"))</f>
        <v/>
      </c>
      <c r="I98" s="95" t="str">
        <f t="shared" si="4"/>
        <v/>
      </c>
      <c r="J98" s="96" t="str">
        <f>_xll.flu_SPT2025($D$10,$D$13,$D$14,$D$23,$D$16,$D$17,$I$11:$J$25,$R$19:$S$108,FALSE,FALSE,"Li",A98,$D$18)</f>
        <v/>
      </c>
      <c r="K98" s="150" t="str">
        <f>IF(B98="","",_xll.fluEQ_SPT2025($D$10,$D$13,$D$14,$D$23,$D$16,$D$17,$I$11:$J$25,$R$19:$S$108,FALSE,FALSE,"ganmafl",A98,$D$18,$D$19,$I$11:$O$25,$D$12,$J$29,$D$20))</f>
        <v/>
      </c>
      <c r="L98" s="95" t="str">
        <f>IF(D98="Đất dính","-",_xll.fluEQ_SPT2025($D$10,$D$13,$D$14,$D$23,$D$16,$D$17,$I$11:$J$25,$R$19:$S$108,FALSE,FALSE,"f",A98,$D$18,$D$19,$I$11:$O$25,$D$12,$J$29,$D$20))</f>
        <v/>
      </c>
      <c r="M98" s="95" t="str">
        <f>IF(B98="","",IF(D98="Đất dính",_xll.fluEQ_SPT2025($D$10,$D$13,$D$14,$D$23,$D$16,$D$17,$I$11:$J$25,$R$19:$S$108,FALSE,FALSE,"f",A98,$D$18,$D$19,$I$11:$O$25,$D$12,$J$29,$D$20),"-"))</f>
        <v/>
      </c>
      <c r="N98" s="95" t="str">
        <f>_xll.fluEQ_SPT2025($D$10,$D$13,$D$14,$D$23,$D$16,$D$17,$I$11:$J$25,$R$19:$S$108,FALSE,FALSE,"flu",A98,$D$18,$D$19,$I$11:$O$25,$D$12,$J$29,$D$20)</f>
        <v/>
      </c>
      <c r="O98" s="87" t="e">
        <f t="shared" si="3"/>
        <v>#N/A</v>
      </c>
      <c r="P98" s="65"/>
      <c r="R98" s="138"/>
      <c r="S98" s="138"/>
      <c r="Z98" s="138"/>
      <c r="AA98" s="138"/>
      <c r="AB98" s="128"/>
      <c r="AC98" s="128"/>
      <c r="AD98" s="128"/>
      <c r="AE98" s="128"/>
      <c r="AF98" s="128"/>
      <c r="AJ98" s="138"/>
      <c r="AK98" s="138"/>
      <c r="AL98" s="128"/>
      <c r="AM98" s="128"/>
      <c r="AN98" s="128"/>
      <c r="AO98" s="128"/>
      <c r="AP98" s="128"/>
      <c r="AT98" s="138"/>
      <c r="AU98" s="138"/>
      <c r="AV98" s="128"/>
      <c r="AW98" s="128"/>
      <c r="AX98" s="128"/>
      <c r="AY98" s="128"/>
      <c r="AZ98" s="128"/>
      <c r="BD98" s="138"/>
      <c r="BE98" s="138"/>
      <c r="BF98" s="128"/>
      <c r="BG98" s="128"/>
      <c r="BH98" s="128"/>
      <c r="BI98" s="128"/>
      <c r="BJ98" s="128"/>
      <c r="BN98" s="138"/>
      <c r="BO98" s="138"/>
      <c r="BP98" s="128"/>
      <c r="BQ98" s="128"/>
      <c r="BR98" s="128"/>
      <c r="BS98" s="128"/>
      <c r="BT98" s="128"/>
      <c r="BX98" s="138"/>
      <c r="BY98" s="138"/>
      <c r="BZ98" s="128"/>
      <c r="CA98" s="128"/>
      <c r="CB98" s="128"/>
      <c r="CC98" s="128"/>
      <c r="CD98" s="128"/>
      <c r="CH98" s="138"/>
      <c r="CI98" s="138"/>
      <c r="CJ98" s="128"/>
      <c r="CK98" s="128"/>
      <c r="CL98" s="128"/>
      <c r="CM98" s="128"/>
      <c r="CN98" s="128"/>
      <c r="CR98" s="138"/>
      <c r="CS98" s="138"/>
      <c r="CT98" s="128"/>
      <c r="CU98" s="128"/>
      <c r="CV98" s="128"/>
      <c r="CW98" s="128"/>
      <c r="CX98" s="128"/>
      <c r="DB98" s="138"/>
      <c r="DC98" s="138"/>
      <c r="DD98" s="128"/>
      <c r="DE98" s="128"/>
      <c r="DF98" s="128"/>
      <c r="DG98" s="128"/>
      <c r="DH98" s="128"/>
      <c r="DL98" s="138"/>
      <c r="DM98" s="138"/>
      <c r="DN98" s="128"/>
      <c r="DO98" s="128"/>
      <c r="DP98" s="128"/>
      <c r="DQ98" s="128"/>
      <c r="DR98" s="128"/>
      <c r="DV98" s="138"/>
      <c r="DW98" s="138"/>
      <c r="DX98" s="128"/>
      <c r="DY98" s="128"/>
      <c r="DZ98" s="128"/>
      <c r="EA98" s="128"/>
      <c r="EB98" s="128"/>
      <c r="EF98" s="138"/>
      <c r="EG98" s="138"/>
      <c r="EH98" s="128"/>
      <c r="EI98" s="128"/>
      <c r="EJ98" s="128"/>
      <c r="EK98" s="128"/>
      <c r="EL98" s="128"/>
      <c r="EP98" s="138"/>
      <c r="EQ98" s="138"/>
      <c r="ER98" s="128"/>
      <c r="ES98" s="128"/>
      <c r="ET98" s="128"/>
      <c r="EU98" s="128"/>
      <c r="EV98" s="128"/>
      <c r="EZ98" s="138"/>
      <c r="FA98" s="138"/>
      <c r="FB98" s="128"/>
      <c r="FC98" s="128"/>
      <c r="FD98" s="128"/>
      <c r="FE98" s="128"/>
      <c r="FF98" s="128"/>
      <c r="FJ98" s="138"/>
      <c r="FK98" s="138"/>
      <c r="FL98" s="128"/>
      <c r="FM98" s="128"/>
      <c r="FN98" s="128"/>
      <c r="FO98" s="128"/>
      <c r="FP98" s="128"/>
      <c r="FT98" s="138"/>
      <c r="FU98" s="138"/>
      <c r="FV98" s="128"/>
      <c r="FW98" s="128"/>
      <c r="FX98" s="128"/>
      <c r="FY98" s="128"/>
      <c r="FZ98" s="128"/>
      <c r="GD98" s="138"/>
      <c r="GE98" s="138"/>
      <c r="GF98" s="128"/>
      <c r="GG98" s="128"/>
      <c r="GH98" s="128"/>
      <c r="GI98" s="128"/>
      <c r="GJ98" s="128"/>
      <c r="GN98" s="138"/>
      <c r="GO98" s="138"/>
      <c r="GP98" s="128"/>
      <c r="GQ98" s="128"/>
      <c r="GR98" s="128"/>
      <c r="GS98" s="128"/>
      <c r="GT98" s="128"/>
      <c r="GX98" s="138"/>
      <c r="GY98" s="138"/>
      <c r="GZ98" s="128"/>
      <c r="HA98" s="128"/>
      <c r="HB98" s="128"/>
      <c r="HC98" s="128"/>
      <c r="HD98" s="128"/>
      <c r="HH98" s="138"/>
      <c r="HI98" s="138"/>
      <c r="HJ98" s="128"/>
      <c r="HK98" s="128"/>
      <c r="HL98" s="128"/>
      <c r="HM98" s="128"/>
      <c r="HN98" s="128"/>
      <c r="HR98" s="138"/>
      <c r="HS98" s="138"/>
      <c r="HT98" s="128"/>
      <c r="HU98" s="128"/>
      <c r="HV98" s="128"/>
      <c r="HW98" s="128"/>
      <c r="HX98" s="128"/>
      <c r="IB98" s="138"/>
      <c r="IC98" s="138"/>
      <c r="ID98" s="128"/>
      <c r="IE98" s="128"/>
      <c r="IF98" s="128"/>
      <c r="IG98" s="128"/>
      <c r="IH98" s="128"/>
      <c r="IL98" s="138"/>
      <c r="IM98" s="138"/>
      <c r="IN98" s="128"/>
      <c r="IO98" s="128"/>
      <c r="IP98" s="128"/>
      <c r="IQ98" s="128"/>
      <c r="IR98" s="128"/>
      <c r="IV98" s="138"/>
      <c r="IW98" s="138"/>
      <c r="IX98" s="128"/>
      <c r="IY98" s="128"/>
      <c r="IZ98" s="128"/>
      <c r="JA98" s="128"/>
      <c r="JB98" s="128"/>
      <c r="JF98" s="138"/>
      <c r="JG98" s="138"/>
      <c r="JH98" s="128"/>
      <c r="JI98" s="128"/>
      <c r="JJ98" s="128"/>
      <c r="JK98" s="128"/>
      <c r="JL98" s="128"/>
      <c r="JP98" s="138"/>
      <c r="JQ98" s="138"/>
      <c r="JR98" s="128"/>
      <c r="JS98" s="128"/>
      <c r="JT98" s="128"/>
      <c r="JU98" s="128"/>
      <c r="JV98" s="128"/>
      <c r="JZ98" s="138"/>
      <c r="KA98" s="138"/>
      <c r="KB98" s="128"/>
      <c r="KC98" s="128"/>
      <c r="KD98" s="128"/>
      <c r="KE98" s="128"/>
      <c r="KF98" s="128"/>
      <c r="KJ98" s="138"/>
      <c r="KK98" s="138"/>
    </row>
    <row r="99" spans="1:297">
      <c r="A99" s="87">
        <f t="shared" si="1"/>
        <v>62</v>
      </c>
      <c r="B99" s="83" t="str">
        <f>_xll.flu_SPT2025($D$10,$D$13,$D$14,$D$23,$D$16,$D$17,$I$11:$J$25,$R$19:$S$108,FALSE,FALSE,"Cao độ",A99,$D$18)</f>
        <v/>
      </c>
      <c r="C99" s="87" t="str">
        <f>IF(B99="","",_xll.TimTenLoaiDat(B99,$G$11:$I$25))</f>
        <v/>
      </c>
      <c r="D99" s="87" t="str">
        <f>IF(B99="","",_xll.TimTinhChatDat(B99,$I$11:$J$25))</f>
        <v/>
      </c>
      <c r="E99" s="95" t="str">
        <f>IF(B99="","",_xll.NoiSuySPT(B99,$R$19:$S$108,$D$17,$D$13,0,0))</f>
        <v/>
      </c>
      <c r="F99" s="125" t="str">
        <f>IF(B99="","",_xll.qbEQ_SPT2025($D$10,$D$13,$D$14,B99,$D$17,$I$11:$J$25,$R$19:$S$108,$D$19,$I$11:$O$25,$D$12,"ganmaqb",$D$20))</f>
        <v/>
      </c>
      <c r="G99" s="95" t="str">
        <f>IF(B99="","",IF(D99="Đất dính","-",_xll.qbEQ_SPT2025($D$10,$D$13,$D$14,B99,$D$17,$I$11:$J$25,$R$19:$S$108,$D$19,$I$11:$O$25,$D$12,"",$D$20)))</f>
        <v/>
      </c>
      <c r="H99" s="95" t="str">
        <f>IF(B99="","",IF(D99="Đất dính",_xll.qbEQ_SPT2025($D$10,$D$13,$D$14,B99,$D$17,$I$11:$J$25,$R$19:$S$108,$D$19,$I$11:$O$25,$D$12,"",$D$20),"-"))</f>
        <v/>
      </c>
      <c r="I99" s="95" t="str">
        <f t="shared" si="4"/>
        <v/>
      </c>
      <c r="J99" s="96" t="str">
        <f>_xll.flu_SPT2025($D$10,$D$13,$D$14,$D$23,$D$16,$D$17,$I$11:$J$25,$R$19:$S$108,FALSE,FALSE,"Li",A99,$D$18)</f>
        <v/>
      </c>
      <c r="K99" s="150" t="str">
        <f>IF(B99="","",_xll.fluEQ_SPT2025($D$10,$D$13,$D$14,$D$23,$D$16,$D$17,$I$11:$J$25,$R$19:$S$108,FALSE,FALSE,"ganmafl",A99,$D$18,$D$19,$I$11:$O$25,$D$12,$J$29,$D$20))</f>
        <v/>
      </c>
      <c r="L99" s="95" t="str">
        <f>IF(D99="Đất dính","-",_xll.fluEQ_SPT2025($D$10,$D$13,$D$14,$D$23,$D$16,$D$17,$I$11:$J$25,$R$19:$S$108,FALSE,FALSE,"f",A99,$D$18,$D$19,$I$11:$O$25,$D$12,$J$29,$D$20))</f>
        <v/>
      </c>
      <c r="M99" s="95" t="str">
        <f>IF(B99="","",IF(D99="Đất dính",_xll.fluEQ_SPT2025($D$10,$D$13,$D$14,$D$23,$D$16,$D$17,$I$11:$J$25,$R$19:$S$108,FALSE,FALSE,"f",A99,$D$18,$D$19,$I$11:$O$25,$D$12,$J$29,$D$20),"-"))</f>
        <v/>
      </c>
      <c r="N99" s="95" t="str">
        <f>_xll.fluEQ_SPT2025($D$10,$D$13,$D$14,$D$23,$D$16,$D$17,$I$11:$J$25,$R$19:$S$108,FALSE,FALSE,"flu",A99,$D$18,$D$19,$I$11:$O$25,$D$12,$J$29,$D$20)</f>
        <v/>
      </c>
      <c r="O99" s="87" t="e">
        <f t="shared" si="3"/>
        <v>#N/A</v>
      </c>
      <c r="P99" s="65"/>
      <c r="R99" s="138"/>
      <c r="S99" s="138"/>
      <c r="Z99" s="138"/>
      <c r="AA99" s="138"/>
      <c r="AB99" s="128"/>
      <c r="AC99" s="128"/>
      <c r="AD99" s="128"/>
      <c r="AE99" s="128"/>
      <c r="AF99" s="128"/>
      <c r="AJ99" s="138"/>
      <c r="AK99" s="138"/>
      <c r="AL99" s="128"/>
      <c r="AM99" s="128"/>
      <c r="AN99" s="128"/>
      <c r="AO99" s="128"/>
      <c r="AP99" s="128"/>
      <c r="AT99" s="138"/>
      <c r="AU99" s="138"/>
      <c r="AV99" s="128"/>
      <c r="AW99" s="128"/>
      <c r="AX99" s="128"/>
      <c r="AY99" s="128"/>
      <c r="AZ99" s="128"/>
      <c r="BD99" s="138"/>
      <c r="BE99" s="138"/>
      <c r="BF99" s="128"/>
      <c r="BG99" s="128"/>
      <c r="BH99" s="128"/>
      <c r="BI99" s="128"/>
      <c r="BJ99" s="128"/>
      <c r="BN99" s="138"/>
      <c r="BO99" s="138"/>
      <c r="BP99" s="128"/>
      <c r="BQ99" s="128"/>
      <c r="BR99" s="128"/>
      <c r="BS99" s="128"/>
      <c r="BT99" s="128"/>
      <c r="BX99" s="138"/>
      <c r="BY99" s="138"/>
      <c r="BZ99" s="128"/>
      <c r="CA99" s="128"/>
      <c r="CB99" s="128"/>
      <c r="CC99" s="128"/>
      <c r="CD99" s="128"/>
      <c r="CH99" s="138"/>
      <c r="CI99" s="138"/>
      <c r="CJ99" s="128"/>
      <c r="CK99" s="128"/>
      <c r="CL99" s="128"/>
      <c r="CM99" s="128"/>
      <c r="CN99" s="128"/>
      <c r="CR99" s="138"/>
      <c r="CS99" s="138"/>
      <c r="CT99" s="128"/>
      <c r="CU99" s="128"/>
      <c r="CV99" s="128"/>
      <c r="CW99" s="128"/>
      <c r="CX99" s="128"/>
      <c r="DB99" s="138"/>
      <c r="DC99" s="138"/>
      <c r="DD99" s="128"/>
      <c r="DE99" s="128"/>
      <c r="DF99" s="128"/>
      <c r="DG99" s="128"/>
      <c r="DH99" s="128"/>
      <c r="DL99" s="138"/>
      <c r="DM99" s="138"/>
      <c r="DN99" s="128"/>
      <c r="DO99" s="128"/>
      <c r="DP99" s="128"/>
      <c r="DQ99" s="128"/>
      <c r="DR99" s="128"/>
      <c r="DV99" s="138"/>
      <c r="DW99" s="138"/>
      <c r="DX99" s="128"/>
      <c r="DY99" s="128"/>
      <c r="DZ99" s="128"/>
      <c r="EA99" s="128"/>
      <c r="EB99" s="128"/>
      <c r="EF99" s="138"/>
      <c r="EG99" s="138"/>
      <c r="EH99" s="128"/>
      <c r="EI99" s="128"/>
      <c r="EJ99" s="128"/>
      <c r="EK99" s="128"/>
      <c r="EL99" s="128"/>
      <c r="EP99" s="138"/>
      <c r="EQ99" s="138"/>
      <c r="ER99" s="128"/>
      <c r="ES99" s="128"/>
      <c r="ET99" s="128"/>
      <c r="EU99" s="128"/>
      <c r="EV99" s="128"/>
      <c r="EZ99" s="138"/>
      <c r="FA99" s="138"/>
      <c r="FB99" s="128"/>
      <c r="FC99" s="128"/>
      <c r="FD99" s="128"/>
      <c r="FE99" s="128"/>
      <c r="FF99" s="128"/>
      <c r="FJ99" s="138"/>
      <c r="FK99" s="138"/>
      <c r="FL99" s="128"/>
      <c r="FM99" s="128"/>
      <c r="FN99" s="128"/>
      <c r="FO99" s="128"/>
      <c r="FP99" s="128"/>
      <c r="FT99" s="138"/>
      <c r="FU99" s="138"/>
      <c r="FV99" s="128"/>
      <c r="FW99" s="128"/>
      <c r="FX99" s="128"/>
      <c r="FY99" s="128"/>
      <c r="FZ99" s="128"/>
      <c r="GD99" s="138"/>
      <c r="GE99" s="138"/>
      <c r="GF99" s="128"/>
      <c r="GG99" s="128"/>
      <c r="GH99" s="128"/>
      <c r="GI99" s="128"/>
      <c r="GJ99" s="128"/>
      <c r="GN99" s="138"/>
      <c r="GO99" s="138"/>
      <c r="GP99" s="128"/>
      <c r="GQ99" s="128"/>
      <c r="GR99" s="128"/>
      <c r="GS99" s="128"/>
      <c r="GT99" s="128"/>
      <c r="GX99" s="138"/>
      <c r="GY99" s="138"/>
      <c r="GZ99" s="128"/>
      <c r="HA99" s="128"/>
      <c r="HB99" s="128"/>
      <c r="HC99" s="128"/>
      <c r="HD99" s="128"/>
      <c r="HH99" s="138"/>
      <c r="HI99" s="138"/>
      <c r="HJ99" s="128"/>
      <c r="HK99" s="128"/>
      <c r="HL99" s="128"/>
      <c r="HM99" s="128"/>
      <c r="HN99" s="128"/>
      <c r="HR99" s="138"/>
      <c r="HS99" s="138"/>
      <c r="HT99" s="128"/>
      <c r="HU99" s="128"/>
      <c r="HV99" s="128"/>
      <c r="HW99" s="128"/>
      <c r="HX99" s="128"/>
      <c r="IB99" s="138"/>
      <c r="IC99" s="138"/>
      <c r="ID99" s="128"/>
      <c r="IE99" s="128"/>
      <c r="IF99" s="128"/>
      <c r="IG99" s="128"/>
      <c r="IH99" s="128"/>
      <c r="IL99" s="138"/>
      <c r="IM99" s="138"/>
      <c r="IN99" s="128"/>
      <c r="IO99" s="128"/>
      <c r="IP99" s="128"/>
      <c r="IQ99" s="128"/>
      <c r="IR99" s="128"/>
      <c r="IV99" s="138"/>
      <c r="IW99" s="138"/>
      <c r="IX99" s="128"/>
      <c r="IY99" s="128"/>
      <c r="IZ99" s="128"/>
      <c r="JA99" s="128"/>
      <c r="JB99" s="128"/>
      <c r="JF99" s="138"/>
      <c r="JG99" s="138"/>
      <c r="JH99" s="128"/>
      <c r="JI99" s="128"/>
      <c r="JJ99" s="128"/>
      <c r="JK99" s="128"/>
      <c r="JL99" s="128"/>
      <c r="JP99" s="138"/>
      <c r="JQ99" s="138"/>
      <c r="JR99" s="128"/>
      <c r="JS99" s="128"/>
      <c r="JT99" s="128"/>
      <c r="JU99" s="128"/>
      <c r="JV99" s="128"/>
      <c r="JZ99" s="138"/>
      <c r="KA99" s="138"/>
      <c r="KB99" s="128"/>
      <c r="KC99" s="128"/>
      <c r="KD99" s="128"/>
      <c r="KE99" s="128"/>
      <c r="KF99" s="128"/>
      <c r="KJ99" s="138"/>
      <c r="KK99" s="138"/>
    </row>
    <row r="100" spans="1:297">
      <c r="A100" s="87">
        <f t="shared" si="1"/>
        <v>63</v>
      </c>
      <c r="B100" s="83" t="str">
        <f>_xll.flu_SPT2025($D$10,$D$13,$D$14,$D$23,$D$16,$D$17,$I$11:$J$25,$R$19:$S$108,FALSE,FALSE,"Cao độ",A100,$D$18)</f>
        <v/>
      </c>
      <c r="C100" s="87" t="str">
        <f>IF(B100="","",_xll.TimTenLoaiDat(B100,$G$11:$I$25))</f>
        <v/>
      </c>
      <c r="D100" s="87" t="str">
        <f>IF(B100="","",_xll.TimTinhChatDat(B100,$I$11:$J$25))</f>
        <v/>
      </c>
      <c r="E100" s="95" t="str">
        <f>IF(B100="","",_xll.NoiSuySPT(B100,$R$19:$S$108,$D$17,$D$13,0,0))</f>
        <v/>
      </c>
      <c r="F100" s="125" t="str">
        <f>IF(B100="","",_xll.qbEQ_SPT2025($D$10,$D$13,$D$14,B100,$D$17,$I$11:$J$25,$R$19:$S$108,$D$19,$I$11:$O$25,$D$12,"ganmaqb",$D$20))</f>
        <v/>
      </c>
      <c r="G100" s="95" t="str">
        <f>IF(B100="","",IF(D100="Đất dính","-",_xll.qbEQ_SPT2025($D$10,$D$13,$D$14,B100,$D$17,$I$11:$J$25,$R$19:$S$108,$D$19,$I$11:$O$25,$D$12,"",$D$20)))</f>
        <v/>
      </c>
      <c r="H100" s="95" t="str">
        <f>IF(B100="","",IF(D100="Đất dính",_xll.qbEQ_SPT2025($D$10,$D$13,$D$14,B100,$D$17,$I$11:$J$25,$R$19:$S$108,$D$19,$I$11:$O$25,$D$12,"",$D$20),"-"))</f>
        <v/>
      </c>
      <c r="I100" s="95" t="str">
        <f t="shared" si="4"/>
        <v/>
      </c>
      <c r="J100" s="96" t="str">
        <f>_xll.flu_SPT2025($D$10,$D$13,$D$14,$D$23,$D$16,$D$17,$I$11:$J$25,$R$19:$S$108,FALSE,FALSE,"Li",A100,$D$18)</f>
        <v/>
      </c>
      <c r="K100" s="150" t="str">
        <f>IF(B100="","",_xll.fluEQ_SPT2025($D$10,$D$13,$D$14,$D$23,$D$16,$D$17,$I$11:$J$25,$R$19:$S$108,FALSE,FALSE,"ganmafl",A100,$D$18,$D$19,$I$11:$O$25,$D$12,$J$29,$D$20))</f>
        <v/>
      </c>
      <c r="L100" s="95" t="str">
        <f>IF(D100="Đất dính","-",_xll.fluEQ_SPT2025($D$10,$D$13,$D$14,$D$23,$D$16,$D$17,$I$11:$J$25,$R$19:$S$108,FALSE,FALSE,"f",A100,$D$18,$D$19,$I$11:$O$25,$D$12,$J$29,$D$20))</f>
        <v/>
      </c>
      <c r="M100" s="95" t="str">
        <f>IF(B100="","",IF(D100="Đất dính",_xll.fluEQ_SPT2025($D$10,$D$13,$D$14,$D$23,$D$16,$D$17,$I$11:$J$25,$R$19:$S$108,FALSE,FALSE,"f",A100,$D$18,$D$19,$I$11:$O$25,$D$12,$J$29,$D$20),"-"))</f>
        <v/>
      </c>
      <c r="N100" s="95" t="str">
        <f>_xll.fluEQ_SPT2025($D$10,$D$13,$D$14,$D$23,$D$16,$D$17,$I$11:$J$25,$R$19:$S$108,FALSE,FALSE,"flu",A100,$D$18,$D$19,$I$11:$O$25,$D$12,$J$29,$D$20)</f>
        <v/>
      </c>
      <c r="O100" s="87" t="e">
        <f t="shared" si="3"/>
        <v>#N/A</v>
      </c>
      <c r="P100" s="65"/>
      <c r="R100" s="138"/>
      <c r="S100" s="138"/>
      <c r="Z100" s="138"/>
      <c r="AA100" s="138"/>
      <c r="AB100" s="128"/>
      <c r="AC100" s="128"/>
      <c r="AD100" s="128"/>
      <c r="AE100" s="128"/>
      <c r="AF100" s="128"/>
      <c r="AJ100" s="138"/>
      <c r="AK100" s="138"/>
      <c r="AL100" s="128"/>
      <c r="AM100" s="128"/>
      <c r="AN100" s="128"/>
      <c r="AO100" s="128"/>
      <c r="AP100" s="128"/>
      <c r="AT100" s="138"/>
      <c r="AU100" s="138"/>
      <c r="AV100" s="128"/>
      <c r="AW100" s="128"/>
      <c r="AX100" s="128"/>
      <c r="AY100" s="128"/>
      <c r="AZ100" s="128"/>
      <c r="BD100" s="138"/>
      <c r="BE100" s="138"/>
      <c r="BF100" s="128"/>
      <c r="BG100" s="128"/>
      <c r="BH100" s="128"/>
      <c r="BI100" s="128"/>
      <c r="BJ100" s="128"/>
      <c r="BN100" s="138"/>
      <c r="BO100" s="138"/>
      <c r="BP100" s="128"/>
      <c r="BQ100" s="128"/>
      <c r="BR100" s="128"/>
      <c r="BS100" s="128"/>
      <c r="BT100" s="128"/>
      <c r="BX100" s="138"/>
      <c r="BY100" s="138"/>
      <c r="BZ100" s="128"/>
      <c r="CA100" s="128"/>
      <c r="CB100" s="128"/>
      <c r="CC100" s="128"/>
      <c r="CD100" s="128"/>
      <c r="CH100" s="138"/>
      <c r="CI100" s="138"/>
      <c r="CJ100" s="128"/>
      <c r="CK100" s="128"/>
      <c r="CL100" s="128"/>
      <c r="CM100" s="128"/>
      <c r="CN100" s="128"/>
      <c r="CR100" s="138"/>
      <c r="CS100" s="138"/>
      <c r="CT100" s="128"/>
      <c r="CU100" s="128"/>
      <c r="CV100" s="128"/>
      <c r="CW100" s="128"/>
      <c r="CX100" s="128"/>
      <c r="DB100" s="138"/>
      <c r="DC100" s="138"/>
      <c r="DD100" s="128"/>
      <c r="DE100" s="128"/>
      <c r="DF100" s="128"/>
      <c r="DG100" s="128"/>
      <c r="DH100" s="128"/>
      <c r="DL100" s="138"/>
      <c r="DM100" s="138"/>
      <c r="DN100" s="128"/>
      <c r="DO100" s="128"/>
      <c r="DP100" s="128"/>
      <c r="DQ100" s="128"/>
      <c r="DR100" s="128"/>
      <c r="DV100" s="138"/>
      <c r="DW100" s="138"/>
      <c r="DX100" s="128"/>
      <c r="DY100" s="128"/>
      <c r="DZ100" s="128"/>
      <c r="EA100" s="128"/>
      <c r="EB100" s="128"/>
      <c r="EF100" s="138"/>
      <c r="EG100" s="138"/>
      <c r="EH100" s="128"/>
      <c r="EI100" s="128"/>
      <c r="EJ100" s="128"/>
      <c r="EK100" s="128"/>
      <c r="EL100" s="128"/>
      <c r="EP100" s="138"/>
      <c r="EQ100" s="138"/>
      <c r="ER100" s="128"/>
      <c r="ES100" s="128"/>
      <c r="ET100" s="128"/>
      <c r="EU100" s="128"/>
      <c r="EV100" s="128"/>
      <c r="EZ100" s="138"/>
      <c r="FA100" s="138"/>
      <c r="FB100" s="128"/>
      <c r="FC100" s="128"/>
      <c r="FD100" s="128"/>
      <c r="FE100" s="128"/>
      <c r="FF100" s="128"/>
      <c r="FJ100" s="138"/>
      <c r="FK100" s="138"/>
      <c r="FL100" s="128"/>
      <c r="FM100" s="128"/>
      <c r="FN100" s="128"/>
      <c r="FO100" s="128"/>
      <c r="FP100" s="128"/>
      <c r="FT100" s="138"/>
      <c r="FU100" s="138"/>
      <c r="FV100" s="128"/>
      <c r="FW100" s="128"/>
      <c r="FX100" s="128"/>
      <c r="FY100" s="128"/>
      <c r="FZ100" s="128"/>
      <c r="GD100" s="138"/>
      <c r="GE100" s="138"/>
      <c r="GF100" s="128"/>
      <c r="GG100" s="128"/>
      <c r="GH100" s="128"/>
      <c r="GI100" s="128"/>
      <c r="GJ100" s="128"/>
      <c r="GN100" s="138"/>
      <c r="GO100" s="138"/>
      <c r="GP100" s="128"/>
      <c r="GQ100" s="128"/>
      <c r="GR100" s="128"/>
      <c r="GS100" s="128"/>
      <c r="GT100" s="128"/>
      <c r="GX100" s="138"/>
      <c r="GY100" s="138"/>
      <c r="GZ100" s="128"/>
      <c r="HA100" s="128"/>
      <c r="HB100" s="128"/>
      <c r="HC100" s="128"/>
      <c r="HD100" s="128"/>
      <c r="HH100" s="138"/>
      <c r="HI100" s="138"/>
      <c r="HJ100" s="128"/>
      <c r="HK100" s="128"/>
      <c r="HL100" s="128"/>
      <c r="HM100" s="128"/>
      <c r="HN100" s="128"/>
      <c r="HR100" s="138"/>
      <c r="HS100" s="138"/>
      <c r="HT100" s="128"/>
      <c r="HU100" s="128"/>
      <c r="HV100" s="128"/>
      <c r="HW100" s="128"/>
      <c r="HX100" s="128"/>
      <c r="IB100" s="138"/>
      <c r="IC100" s="138"/>
      <c r="ID100" s="128"/>
      <c r="IE100" s="128"/>
      <c r="IF100" s="128"/>
      <c r="IG100" s="128"/>
      <c r="IH100" s="128"/>
      <c r="IL100" s="138"/>
      <c r="IM100" s="138"/>
      <c r="IN100" s="128"/>
      <c r="IO100" s="128"/>
      <c r="IP100" s="128"/>
      <c r="IQ100" s="128"/>
      <c r="IR100" s="128"/>
      <c r="IV100" s="138"/>
      <c r="IW100" s="138"/>
      <c r="IX100" s="128"/>
      <c r="IY100" s="128"/>
      <c r="IZ100" s="128"/>
      <c r="JA100" s="128"/>
      <c r="JB100" s="128"/>
      <c r="JF100" s="138"/>
      <c r="JG100" s="138"/>
      <c r="JH100" s="128"/>
      <c r="JI100" s="128"/>
      <c r="JJ100" s="128"/>
      <c r="JK100" s="128"/>
      <c r="JL100" s="128"/>
      <c r="JP100" s="138"/>
      <c r="JQ100" s="138"/>
      <c r="JR100" s="128"/>
      <c r="JS100" s="128"/>
      <c r="JT100" s="128"/>
      <c r="JU100" s="128"/>
      <c r="JV100" s="128"/>
      <c r="JZ100" s="138"/>
      <c r="KA100" s="138"/>
      <c r="KB100" s="128"/>
      <c r="KC100" s="128"/>
      <c r="KD100" s="128"/>
      <c r="KE100" s="128"/>
      <c r="KF100" s="128"/>
      <c r="KJ100" s="138"/>
      <c r="KK100" s="138"/>
    </row>
    <row r="101" spans="1:297">
      <c r="A101" s="87">
        <f t="shared" si="1"/>
        <v>64</v>
      </c>
      <c r="B101" s="83" t="str">
        <f>_xll.flu_SPT2025($D$10,$D$13,$D$14,$D$23,$D$16,$D$17,$I$11:$J$25,$R$19:$S$108,FALSE,FALSE,"Cao độ",A101,$D$18)</f>
        <v/>
      </c>
      <c r="C101" s="87" t="str">
        <f>IF(B101="","",_xll.TimTenLoaiDat(B101,$G$11:$I$25))</f>
        <v/>
      </c>
      <c r="D101" s="87" t="str">
        <f>IF(B101="","",_xll.TimTinhChatDat(B101,$I$11:$J$25))</f>
        <v/>
      </c>
      <c r="E101" s="95" t="str">
        <f>IF(B101="","",_xll.NoiSuySPT(B101,$R$19:$S$108,$D$17,$D$13,0,0))</f>
        <v/>
      </c>
      <c r="F101" s="125" t="str">
        <f>IF(B101="","",_xll.qbEQ_SPT2025($D$10,$D$13,$D$14,B101,$D$17,$I$11:$J$25,$R$19:$S$108,$D$19,$I$11:$O$25,$D$12,"ganmaqb",$D$20))</f>
        <v/>
      </c>
      <c r="G101" s="95" t="str">
        <f>IF(B101="","",IF(D101="Đất dính","-",_xll.qbEQ_SPT2025($D$10,$D$13,$D$14,B101,$D$17,$I$11:$J$25,$R$19:$S$108,$D$19,$I$11:$O$25,$D$12,"",$D$20)))</f>
        <v/>
      </c>
      <c r="H101" s="95" t="str">
        <f>IF(B101="","",IF(D101="Đất dính",_xll.qbEQ_SPT2025($D$10,$D$13,$D$14,B101,$D$17,$I$11:$J$25,$R$19:$S$108,$D$19,$I$11:$O$25,$D$12,"",$D$20),"-"))</f>
        <v/>
      </c>
      <c r="I101" s="95" t="str">
        <f t="shared" ref="I101:I106" si="5">IF(B101="","",MAX(G101,H101)*$D$22)</f>
        <v/>
      </c>
      <c r="J101" s="96" t="str">
        <f>_xll.flu_SPT2025($D$10,$D$13,$D$14,$D$23,$D$16,$D$17,$I$11:$J$25,$R$19:$S$108,FALSE,FALSE,"Li",A101,$D$18)</f>
        <v/>
      </c>
      <c r="K101" s="150" t="str">
        <f>IF(B101="","",_xll.fluEQ_SPT2025($D$10,$D$13,$D$14,$D$23,$D$16,$D$17,$I$11:$J$25,$R$19:$S$108,FALSE,FALSE,"ganmafl",A101,$D$18,$D$19,$I$11:$O$25,$D$12,$J$29,$D$20))</f>
        <v/>
      </c>
      <c r="L101" s="95" t="str">
        <f>IF(D101="Đất dính","-",_xll.fluEQ_SPT2025($D$10,$D$13,$D$14,$D$23,$D$16,$D$17,$I$11:$J$25,$R$19:$S$108,FALSE,FALSE,"f",A101,$D$18,$D$19,$I$11:$O$25,$D$12,$J$29,$D$20))</f>
        <v/>
      </c>
      <c r="M101" s="95" t="str">
        <f>IF(B101="","",IF(D101="Đất dính",_xll.fluEQ_SPT2025($D$10,$D$13,$D$14,$D$23,$D$16,$D$17,$I$11:$J$25,$R$19:$S$108,FALSE,FALSE,"f",A101,$D$18,$D$19,$I$11:$O$25,$D$12,$J$29,$D$20),"-"))</f>
        <v/>
      </c>
      <c r="N101" s="95" t="str">
        <f>_xll.fluEQ_SPT2025($D$10,$D$13,$D$14,$D$23,$D$16,$D$17,$I$11:$J$25,$R$19:$S$108,FALSE,FALSE,"flu",A101,$D$18,$D$19,$I$11:$O$25,$D$12,$J$29,$D$20)</f>
        <v/>
      </c>
      <c r="O101" s="87" t="e">
        <f t="shared" si="3"/>
        <v>#N/A</v>
      </c>
      <c r="P101" s="65"/>
      <c r="R101" s="138"/>
      <c r="S101" s="138"/>
      <c r="Z101" s="138"/>
      <c r="AA101" s="138"/>
      <c r="AB101" s="128"/>
      <c r="AC101" s="128"/>
      <c r="AD101" s="128"/>
      <c r="AE101" s="128"/>
      <c r="AF101" s="128"/>
      <c r="AJ101" s="138"/>
      <c r="AK101" s="138"/>
      <c r="AL101" s="128"/>
      <c r="AM101" s="128"/>
      <c r="AN101" s="128"/>
      <c r="AO101" s="128"/>
      <c r="AP101" s="128"/>
      <c r="AT101" s="138"/>
      <c r="AU101" s="138"/>
      <c r="AV101" s="128"/>
      <c r="AW101" s="128"/>
      <c r="AX101" s="128"/>
      <c r="AY101" s="128"/>
      <c r="AZ101" s="128"/>
      <c r="BD101" s="138"/>
      <c r="BE101" s="138"/>
      <c r="BF101" s="128"/>
      <c r="BG101" s="128"/>
      <c r="BH101" s="128"/>
      <c r="BI101" s="128"/>
      <c r="BJ101" s="128"/>
      <c r="BN101" s="138"/>
      <c r="BO101" s="138"/>
      <c r="BP101" s="128"/>
      <c r="BQ101" s="128"/>
      <c r="BR101" s="128"/>
      <c r="BS101" s="128"/>
      <c r="BT101" s="128"/>
      <c r="BX101" s="138"/>
      <c r="BY101" s="138"/>
      <c r="BZ101" s="128"/>
      <c r="CA101" s="128"/>
      <c r="CB101" s="128"/>
      <c r="CC101" s="128"/>
      <c r="CD101" s="128"/>
      <c r="CH101" s="138"/>
      <c r="CI101" s="138"/>
      <c r="CJ101" s="128"/>
      <c r="CK101" s="128"/>
      <c r="CL101" s="128"/>
      <c r="CM101" s="128"/>
      <c r="CN101" s="128"/>
      <c r="CR101" s="138"/>
      <c r="CS101" s="138"/>
      <c r="CT101" s="128"/>
      <c r="CU101" s="128"/>
      <c r="CV101" s="128"/>
      <c r="CW101" s="128"/>
      <c r="CX101" s="128"/>
      <c r="DB101" s="138"/>
      <c r="DC101" s="138"/>
      <c r="DD101" s="128"/>
      <c r="DE101" s="128"/>
      <c r="DF101" s="128"/>
      <c r="DG101" s="128"/>
      <c r="DH101" s="128"/>
      <c r="DL101" s="138"/>
      <c r="DM101" s="138"/>
      <c r="DN101" s="128"/>
      <c r="DO101" s="128"/>
      <c r="DP101" s="128"/>
      <c r="DQ101" s="128"/>
      <c r="DR101" s="128"/>
      <c r="DV101" s="138"/>
      <c r="DW101" s="138"/>
      <c r="DX101" s="128"/>
      <c r="DY101" s="128"/>
      <c r="DZ101" s="128"/>
      <c r="EA101" s="128"/>
      <c r="EB101" s="128"/>
      <c r="EF101" s="138"/>
      <c r="EG101" s="138"/>
      <c r="EH101" s="128"/>
      <c r="EI101" s="128"/>
      <c r="EJ101" s="128"/>
      <c r="EK101" s="128"/>
      <c r="EL101" s="128"/>
      <c r="EP101" s="138"/>
      <c r="EQ101" s="138"/>
      <c r="ER101" s="128"/>
      <c r="ES101" s="128"/>
      <c r="ET101" s="128"/>
      <c r="EU101" s="128"/>
      <c r="EV101" s="128"/>
      <c r="EZ101" s="138"/>
      <c r="FA101" s="138"/>
      <c r="FB101" s="128"/>
      <c r="FC101" s="128"/>
      <c r="FD101" s="128"/>
      <c r="FE101" s="128"/>
      <c r="FF101" s="128"/>
      <c r="FJ101" s="138"/>
      <c r="FK101" s="138"/>
      <c r="FL101" s="128"/>
      <c r="FM101" s="128"/>
      <c r="FN101" s="128"/>
      <c r="FO101" s="128"/>
      <c r="FP101" s="128"/>
      <c r="FT101" s="138"/>
      <c r="FU101" s="138"/>
      <c r="FV101" s="128"/>
      <c r="FW101" s="128"/>
      <c r="FX101" s="128"/>
      <c r="FY101" s="128"/>
      <c r="FZ101" s="128"/>
      <c r="GD101" s="138"/>
      <c r="GE101" s="138"/>
      <c r="GF101" s="128"/>
      <c r="GG101" s="128"/>
      <c r="GH101" s="128"/>
      <c r="GI101" s="128"/>
      <c r="GJ101" s="128"/>
      <c r="GN101" s="138"/>
      <c r="GO101" s="138"/>
      <c r="GP101" s="128"/>
      <c r="GQ101" s="128"/>
      <c r="GR101" s="128"/>
      <c r="GS101" s="128"/>
      <c r="GT101" s="128"/>
      <c r="GX101" s="138"/>
      <c r="GY101" s="138"/>
      <c r="GZ101" s="128"/>
      <c r="HA101" s="128"/>
      <c r="HB101" s="128"/>
      <c r="HC101" s="128"/>
      <c r="HD101" s="128"/>
      <c r="HH101" s="138"/>
      <c r="HI101" s="138"/>
      <c r="HJ101" s="128"/>
      <c r="HK101" s="128"/>
      <c r="HL101" s="128"/>
      <c r="HM101" s="128"/>
      <c r="HN101" s="128"/>
      <c r="HR101" s="138"/>
      <c r="HS101" s="138"/>
      <c r="HT101" s="128"/>
      <c r="HU101" s="128"/>
      <c r="HV101" s="128"/>
      <c r="HW101" s="128"/>
      <c r="HX101" s="128"/>
      <c r="IB101" s="138"/>
      <c r="IC101" s="138"/>
      <c r="ID101" s="128"/>
      <c r="IE101" s="128"/>
      <c r="IF101" s="128"/>
      <c r="IG101" s="128"/>
      <c r="IH101" s="128"/>
      <c r="IL101" s="138"/>
      <c r="IM101" s="138"/>
      <c r="IN101" s="128"/>
      <c r="IO101" s="128"/>
      <c r="IP101" s="128"/>
      <c r="IQ101" s="128"/>
      <c r="IR101" s="128"/>
      <c r="IV101" s="138"/>
      <c r="IW101" s="138"/>
      <c r="IX101" s="128"/>
      <c r="IY101" s="128"/>
      <c r="IZ101" s="128"/>
      <c r="JA101" s="128"/>
      <c r="JB101" s="128"/>
      <c r="JF101" s="138"/>
      <c r="JG101" s="138"/>
      <c r="JH101" s="128"/>
      <c r="JI101" s="128"/>
      <c r="JJ101" s="128"/>
      <c r="JK101" s="128"/>
      <c r="JL101" s="128"/>
      <c r="JP101" s="138"/>
      <c r="JQ101" s="138"/>
      <c r="JR101" s="128"/>
      <c r="JS101" s="128"/>
      <c r="JT101" s="128"/>
      <c r="JU101" s="128"/>
      <c r="JV101" s="128"/>
      <c r="JZ101" s="138"/>
      <c r="KA101" s="138"/>
      <c r="KB101" s="128"/>
      <c r="KC101" s="128"/>
      <c r="KD101" s="128"/>
      <c r="KE101" s="128"/>
      <c r="KF101" s="128"/>
      <c r="KJ101" s="138"/>
      <c r="KK101" s="138"/>
    </row>
    <row r="102" spans="1:297">
      <c r="A102" s="87">
        <f t="shared" ref="A102:A106" si="6">+A101+1</f>
        <v>65</v>
      </c>
      <c r="B102" s="83" t="str">
        <f>_xll.flu_SPT2025($D$10,$D$13,$D$14,$D$23,$D$16,$D$17,$I$11:$J$25,$R$19:$S$108,FALSE,FALSE,"Cao độ",A102,$D$18)</f>
        <v/>
      </c>
      <c r="C102" s="87" t="str">
        <f>IF(B102="","",_xll.TimTenLoaiDat(B102,$G$11:$I$25))</f>
        <v/>
      </c>
      <c r="D102" s="87" t="str">
        <f>IF(B102="","",_xll.TimTinhChatDat(B102,$I$11:$J$25))</f>
        <v/>
      </c>
      <c r="E102" s="95" t="str">
        <f>IF(B102="","",_xll.NoiSuySPT(B102,$R$19:$S$108,$D$17,$D$13,0,0))</f>
        <v/>
      </c>
      <c r="F102" s="125" t="str">
        <f>IF(B102="","",_xll.qbEQ_SPT2025($D$10,$D$13,$D$14,B102,$D$17,$I$11:$J$25,$R$19:$S$108,$D$19,$I$11:$O$25,$D$12,"ganmaqb",$D$20))</f>
        <v/>
      </c>
      <c r="G102" s="95" t="str">
        <f>IF(B102="","",IF(D102="Đất dính","-",_xll.qbEQ_SPT2025($D$10,$D$13,$D$14,B102,$D$17,$I$11:$J$25,$R$19:$S$108,$D$19,$I$11:$O$25,$D$12,"",$D$20)))</f>
        <v/>
      </c>
      <c r="H102" s="95" t="str">
        <f>IF(B102="","",IF(D102="Đất dính",_xll.qbEQ_SPT2025($D$10,$D$13,$D$14,B102,$D$17,$I$11:$J$25,$R$19:$S$108,$D$19,$I$11:$O$25,$D$12,"",$D$20),"-"))</f>
        <v/>
      </c>
      <c r="I102" s="95" t="str">
        <f t="shared" si="5"/>
        <v/>
      </c>
      <c r="J102" s="96" t="str">
        <f>_xll.flu_SPT2025($D$10,$D$13,$D$14,$D$23,$D$16,$D$17,$I$11:$J$25,$R$19:$S$108,FALSE,FALSE,"Li",A102,$D$18)</f>
        <v/>
      </c>
      <c r="K102" s="150" t="str">
        <f>IF(B102="","",_xll.fluEQ_SPT2025($D$10,$D$13,$D$14,$D$23,$D$16,$D$17,$I$11:$J$25,$R$19:$S$108,FALSE,FALSE,"ganmafl",A102,$D$18,$D$19,$I$11:$O$25,$D$12,$J$29,$D$20))</f>
        <v/>
      </c>
      <c r="L102" s="95" t="str">
        <f>IF(D102="Đất dính","-",_xll.fluEQ_SPT2025($D$10,$D$13,$D$14,$D$23,$D$16,$D$17,$I$11:$J$25,$R$19:$S$108,FALSE,FALSE,"f",A102,$D$18,$D$19,$I$11:$O$25,$D$12,$J$29,$D$20))</f>
        <v/>
      </c>
      <c r="M102" s="95" t="str">
        <f>IF(B102="","",IF(D102="Đất dính",_xll.fluEQ_SPT2025($D$10,$D$13,$D$14,$D$23,$D$16,$D$17,$I$11:$J$25,$R$19:$S$108,FALSE,FALSE,"f",A102,$D$18,$D$19,$I$11:$O$25,$D$12,$J$29,$D$20),"-"))</f>
        <v/>
      </c>
      <c r="N102" s="95" t="str">
        <f>_xll.fluEQ_SPT2025($D$10,$D$13,$D$14,$D$23,$D$16,$D$17,$I$11:$J$25,$R$19:$S$108,FALSE,FALSE,"flu",A102,$D$18,$D$19,$I$11:$O$25,$D$12,$J$29,$D$20)</f>
        <v/>
      </c>
      <c r="O102" s="87" t="e">
        <f t="shared" ref="O102:O106" si="7">IF(B102="",NA(),N102+I102)</f>
        <v>#N/A</v>
      </c>
      <c r="P102" s="65"/>
      <c r="R102" s="138"/>
      <c r="S102" s="138"/>
      <c r="Z102" s="138"/>
      <c r="AA102" s="138"/>
      <c r="AB102" s="128"/>
      <c r="AC102" s="128"/>
      <c r="AD102" s="128"/>
      <c r="AE102" s="128"/>
      <c r="AF102" s="128"/>
      <c r="AJ102" s="138"/>
      <c r="AK102" s="138"/>
      <c r="AL102" s="128"/>
      <c r="AM102" s="128"/>
      <c r="AN102" s="128"/>
      <c r="AO102" s="128"/>
      <c r="AP102" s="128"/>
      <c r="AT102" s="138"/>
      <c r="AU102" s="138"/>
      <c r="AV102" s="128"/>
      <c r="AW102" s="128"/>
      <c r="AX102" s="128"/>
      <c r="AY102" s="128"/>
      <c r="AZ102" s="128"/>
      <c r="BD102" s="138"/>
      <c r="BE102" s="138"/>
      <c r="BF102" s="128"/>
      <c r="BG102" s="128"/>
      <c r="BH102" s="128"/>
      <c r="BI102" s="128"/>
      <c r="BJ102" s="128"/>
      <c r="BN102" s="138"/>
      <c r="BO102" s="138"/>
      <c r="BP102" s="128"/>
      <c r="BQ102" s="128"/>
      <c r="BR102" s="128"/>
      <c r="BS102" s="128"/>
      <c r="BT102" s="128"/>
      <c r="BX102" s="138"/>
      <c r="BY102" s="138"/>
      <c r="BZ102" s="128"/>
      <c r="CA102" s="128"/>
      <c r="CB102" s="128"/>
      <c r="CC102" s="128"/>
      <c r="CD102" s="128"/>
      <c r="CH102" s="138"/>
      <c r="CI102" s="138"/>
      <c r="CJ102" s="128"/>
      <c r="CK102" s="128"/>
      <c r="CL102" s="128"/>
      <c r="CM102" s="128"/>
      <c r="CN102" s="128"/>
      <c r="CR102" s="138"/>
      <c r="CS102" s="138"/>
      <c r="CT102" s="128"/>
      <c r="CU102" s="128"/>
      <c r="CV102" s="128"/>
      <c r="CW102" s="128"/>
      <c r="CX102" s="128"/>
      <c r="DB102" s="138"/>
      <c r="DC102" s="138"/>
      <c r="DD102" s="128"/>
      <c r="DE102" s="128"/>
      <c r="DF102" s="128"/>
      <c r="DG102" s="128"/>
      <c r="DH102" s="128"/>
      <c r="DL102" s="138"/>
      <c r="DM102" s="138"/>
      <c r="DN102" s="128"/>
      <c r="DO102" s="128"/>
      <c r="DP102" s="128"/>
      <c r="DQ102" s="128"/>
      <c r="DR102" s="128"/>
      <c r="DV102" s="138"/>
      <c r="DW102" s="138"/>
      <c r="DX102" s="128"/>
      <c r="DY102" s="128"/>
      <c r="DZ102" s="128"/>
      <c r="EA102" s="128"/>
      <c r="EB102" s="128"/>
      <c r="EF102" s="138"/>
      <c r="EG102" s="138"/>
      <c r="EH102" s="128"/>
      <c r="EI102" s="128"/>
      <c r="EJ102" s="128"/>
      <c r="EK102" s="128"/>
      <c r="EL102" s="128"/>
      <c r="EP102" s="138"/>
      <c r="EQ102" s="138"/>
      <c r="ER102" s="128"/>
      <c r="ES102" s="128"/>
      <c r="ET102" s="128"/>
      <c r="EU102" s="128"/>
      <c r="EV102" s="128"/>
      <c r="EZ102" s="138"/>
      <c r="FA102" s="138"/>
      <c r="FB102" s="128"/>
      <c r="FC102" s="128"/>
      <c r="FD102" s="128"/>
      <c r="FE102" s="128"/>
      <c r="FF102" s="128"/>
      <c r="FJ102" s="138"/>
      <c r="FK102" s="138"/>
      <c r="FL102" s="128"/>
      <c r="FM102" s="128"/>
      <c r="FN102" s="128"/>
      <c r="FO102" s="128"/>
      <c r="FP102" s="128"/>
      <c r="FT102" s="138"/>
      <c r="FU102" s="138"/>
      <c r="FV102" s="128"/>
      <c r="FW102" s="128"/>
      <c r="FX102" s="128"/>
      <c r="FY102" s="128"/>
      <c r="FZ102" s="128"/>
      <c r="GD102" s="138"/>
      <c r="GE102" s="138"/>
      <c r="GF102" s="128"/>
      <c r="GG102" s="128"/>
      <c r="GH102" s="128"/>
      <c r="GI102" s="128"/>
      <c r="GJ102" s="128"/>
      <c r="GN102" s="138"/>
      <c r="GO102" s="138"/>
      <c r="GP102" s="128"/>
      <c r="GQ102" s="128"/>
      <c r="GR102" s="128"/>
      <c r="GS102" s="128"/>
      <c r="GT102" s="128"/>
      <c r="GX102" s="138"/>
      <c r="GY102" s="138"/>
      <c r="GZ102" s="128"/>
      <c r="HA102" s="128"/>
      <c r="HB102" s="128"/>
      <c r="HC102" s="128"/>
      <c r="HD102" s="128"/>
      <c r="HH102" s="138"/>
      <c r="HI102" s="138"/>
      <c r="HJ102" s="128"/>
      <c r="HK102" s="128"/>
      <c r="HL102" s="128"/>
      <c r="HM102" s="128"/>
      <c r="HN102" s="128"/>
      <c r="HR102" s="138"/>
      <c r="HS102" s="138"/>
      <c r="HT102" s="128"/>
      <c r="HU102" s="128"/>
      <c r="HV102" s="128"/>
      <c r="HW102" s="128"/>
      <c r="HX102" s="128"/>
      <c r="IB102" s="138"/>
      <c r="IC102" s="138"/>
      <c r="ID102" s="128"/>
      <c r="IE102" s="128"/>
      <c r="IF102" s="128"/>
      <c r="IG102" s="128"/>
      <c r="IH102" s="128"/>
      <c r="IL102" s="138"/>
      <c r="IM102" s="138"/>
      <c r="IN102" s="128"/>
      <c r="IO102" s="128"/>
      <c r="IP102" s="128"/>
      <c r="IQ102" s="128"/>
      <c r="IR102" s="128"/>
      <c r="IV102" s="138"/>
      <c r="IW102" s="138"/>
      <c r="IX102" s="128"/>
      <c r="IY102" s="128"/>
      <c r="IZ102" s="128"/>
      <c r="JA102" s="128"/>
      <c r="JB102" s="128"/>
      <c r="JF102" s="138"/>
      <c r="JG102" s="138"/>
      <c r="JH102" s="128"/>
      <c r="JI102" s="128"/>
      <c r="JJ102" s="128"/>
      <c r="JK102" s="128"/>
      <c r="JL102" s="128"/>
      <c r="JP102" s="138"/>
      <c r="JQ102" s="138"/>
      <c r="JR102" s="128"/>
      <c r="JS102" s="128"/>
      <c r="JT102" s="128"/>
      <c r="JU102" s="128"/>
      <c r="JV102" s="128"/>
      <c r="JZ102" s="138"/>
      <c r="KA102" s="138"/>
      <c r="KB102" s="128"/>
      <c r="KC102" s="128"/>
      <c r="KD102" s="128"/>
      <c r="KE102" s="128"/>
      <c r="KF102" s="128"/>
      <c r="KJ102" s="138"/>
      <c r="KK102" s="138"/>
    </row>
    <row r="103" spans="1:297">
      <c r="A103" s="87">
        <f t="shared" si="6"/>
        <v>66</v>
      </c>
      <c r="B103" s="83" t="str">
        <f>_xll.flu_SPT2025($D$10,$D$13,$D$14,$D$23,$D$16,$D$17,$I$11:$J$25,$R$19:$S$108,FALSE,FALSE,"Cao độ",A103,$D$18)</f>
        <v/>
      </c>
      <c r="C103" s="87" t="str">
        <f>IF(B103="","",_xll.TimTenLoaiDat(B103,$G$11:$I$25))</f>
        <v/>
      </c>
      <c r="D103" s="87" t="str">
        <f>IF(B103="","",_xll.TimTinhChatDat(B103,$I$11:$J$25))</f>
        <v/>
      </c>
      <c r="E103" s="95" t="str">
        <f>IF(B103="","",_xll.NoiSuySPT(B103,$R$19:$S$108,$D$17,$D$13,0,0))</f>
        <v/>
      </c>
      <c r="F103" s="125" t="str">
        <f>IF(B103="","",_xll.qbEQ_SPT2025($D$10,$D$13,$D$14,B103,$D$17,$I$11:$J$25,$R$19:$S$108,$D$19,$I$11:$O$25,$D$12,"ganmaqb",$D$20))</f>
        <v/>
      </c>
      <c r="G103" s="95" t="str">
        <f>IF(B103="","",IF(D103="Đất dính","-",_xll.qbEQ_SPT2025($D$10,$D$13,$D$14,B103,$D$17,$I$11:$J$25,$R$19:$S$108,$D$19,$I$11:$O$25,$D$12,"",$D$20)))</f>
        <v/>
      </c>
      <c r="H103" s="95" t="str">
        <f>IF(B103="","",IF(D103="Đất dính",_xll.qbEQ_SPT2025($D$10,$D$13,$D$14,B103,$D$17,$I$11:$J$25,$R$19:$S$108,$D$19,$I$11:$O$25,$D$12,"",$D$20),"-"))</f>
        <v/>
      </c>
      <c r="I103" s="95" t="str">
        <f t="shared" si="5"/>
        <v/>
      </c>
      <c r="J103" s="96" t="str">
        <f>_xll.flu_SPT2025($D$10,$D$13,$D$14,$D$23,$D$16,$D$17,$I$11:$J$25,$R$19:$S$108,FALSE,FALSE,"Li",A103,$D$18)</f>
        <v/>
      </c>
      <c r="K103" s="150" t="str">
        <f>IF(B103="","",_xll.fluEQ_SPT2025($D$10,$D$13,$D$14,$D$23,$D$16,$D$17,$I$11:$J$25,$R$19:$S$108,FALSE,FALSE,"ganmafl",A103,$D$18,$D$19,$I$11:$O$25,$D$12,$J$29,$D$20))</f>
        <v/>
      </c>
      <c r="L103" s="95" t="str">
        <f>IF(D103="Đất dính","-",_xll.fluEQ_SPT2025($D$10,$D$13,$D$14,$D$23,$D$16,$D$17,$I$11:$J$25,$R$19:$S$108,FALSE,FALSE,"f",A103,$D$18,$D$19,$I$11:$O$25,$D$12,$J$29,$D$20))</f>
        <v/>
      </c>
      <c r="M103" s="95" t="str">
        <f>IF(B103="","",IF(D103="Đất dính",_xll.fluEQ_SPT2025($D$10,$D$13,$D$14,$D$23,$D$16,$D$17,$I$11:$J$25,$R$19:$S$108,FALSE,FALSE,"f",A103,$D$18,$D$19,$I$11:$O$25,$D$12,$J$29,$D$20),"-"))</f>
        <v/>
      </c>
      <c r="N103" s="95" t="str">
        <f>_xll.fluEQ_SPT2025($D$10,$D$13,$D$14,$D$23,$D$16,$D$17,$I$11:$J$25,$R$19:$S$108,FALSE,FALSE,"flu",A103,$D$18,$D$19,$I$11:$O$25,$D$12,$J$29,$D$20)</f>
        <v/>
      </c>
      <c r="O103" s="87" t="e">
        <f t="shared" si="7"/>
        <v>#N/A</v>
      </c>
      <c r="P103" s="65"/>
      <c r="R103" s="138"/>
      <c r="S103" s="138"/>
      <c r="Z103" s="138"/>
      <c r="AA103" s="138"/>
      <c r="AB103" s="128"/>
      <c r="AC103" s="128"/>
      <c r="AD103" s="128"/>
      <c r="AE103" s="128"/>
      <c r="AF103" s="128"/>
      <c r="AJ103" s="138"/>
      <c r="AK103" s="138"/>
      <c r="AL103" s="128"/>
      <c r="AM103" s="128"/>
      <c r="AN103" s="128"/>
      <c r="AO103" s="128"/>
      <c r="AP103" s="128"/>
      <c r="AT103" s="138"/>
      <c r="AU103" s="138"/>
      <c r="AV103" s="128"/>
      <c r="AW103" s="128"/>
      <c r="AX103" s="128"/>
      <c r="AY103" s="128"/>
      <c r="AZ103" s="128"/>
      <c r="BD103" s="138"/>
      <c r="BE103" s="138"/>
      <c r="BF103" s="128"/>
      <c r="BG103" s="128"/>
      <c r="BH103" s="128"/>
      <c r="BI103" s="128"/>
      <c r="BJ103" s="128"/>
      <c r="BN103" s="138"/>
      <c r="BO103" s="138"/>
      <c r="BP103" s="128"/>
      <c r="BQ103" s="128"/>
      <c r="BR103" s="128"/>
      <c r="BS103" s="128"/>
      <c r="BT103" s="128"/>
      <c r="BX103" s="138"/>
      <c r="BY103" s="138"/>
      <c r="BZ103" s="128"/>
      <c r="CA103" s="128"/>
      <c r="CB103" s="128"/>
      <c r="CC103" s="128"/>
      <c r="CD103" s="128"/>
      <c r="CH103" s="138"/>
      <c r="CI103" s="138"/>
      <c r="CJ103" s="128"/>
      <c r="CK103" s="128"/>
      <c r="CL103" s="128"/>
      <c r="CM103" s="128"/>
      <c r="CN103" s="128"/>
      <c r="CR103" s="138"/>
      <c r="CS103" s="138"/>
      <c r="CT103" s="128"/>
      <c r="CU103" s="128"/>
      <c r="CV103" s="128"/>
      <c r="CW103" s="128"/>
      <c r="CX103" s="128"/>
      <c r="DB103" s="138"/>
      <c r="DC103" s="138"/>
      <c r="DD103" s="128"/>
      <c r="DE103" s="128"/>
      <c r="DF103" s="128"/>
      <c r="DG103" s="128"/>
      <c r="DH103" s="128"/>
      <c r="DL103" s="138"/>
      <c r="DM103" s="138"/>
      <c r="DN103" s="128"/>
      <c r="DO103" s="128"/>
      <c r="DP103" s="128"/>
      <c r="DQ103" s="128"/>
      <c r="DR103" s="128"/>
      <c r="DV103" s="138"/>
      <c r="DW103" s="138"/>
      <c r="DX103" s="128"/>
      <c r="DY103" s="128"/>
      <c r="DZ103" s="128"/>
      <c r="EA103" s="128"/>
      <c r="EB103" s="128"/>
      <c r="EF103" s="138"/>
      <c r="EG103" s="138"/>
      <c r="EH103" s="128"/>
      <c r="EI103" s="128"/>
      <c r="EJ103" s="128"/>
      <c r="EK103" s="128"/>
      <c r="EL103" s="128"/>
      <c r="EP103" s="138"/>
      <c r="EQ103" s="138"/>
      <c r="ER103" s="128"/>
      <c r="ES103" s="128"/>
      <c r="ET103" s="128"/>
      <c r="EU103" s="128"/>
      <c r="EV103" s="128"/>
      <c r="EZ103" s="138"/>
      <c r="FA103" s="138"/>
      <c r="FB103" s="128"/>
      <c r="FC103" s="128"/>
      <c r="FD103" s="128"/>
      <c r="FE103" s="128"/>
      <c r="FF103" s="128"/>
      <c r="FJ103" s="138"/>
      <c r="FK103" s="138"/>
      <c r="FL103" s="128"/>
      <c r="FM103" s="128"/>
      <c r="FN103" s="128"/>
      <c r="FO103" s="128"/>
      <c r="FP103" s="128"/>
      <c r="FT103" s="138"/>
      <c r="FU103" s="138"/>
      <c r="FV103" s="128"/>
      <c r="FW103" s="128"/>
      <c r="FX103" s="128"/>
      <c r="FY103" s="128"/>
      <c r="FZ103" s="128"/>
      <c r="GD103" s="138"/>
      <c r="GE103" s="138"/>
      <c r="GF103" s="128"/>
      <c r="GG103" s="128"/>
      <c r="GH103" s="128"/>
      <c r="GI103" s="128"/>
      <c r="GJ103" s="128"/>
      <c r="GN103" s="138"/>
      <c r="GO103" s="138"/>
      <c r="GP103" s="128"/>
      <c r="GQ103" s="128"/>
      <c r="GR103" s="128"/>
      <c r="GS103" s="128"/>
      <c r="GT103" s="128"/>
      <c r="GX103" s="138"/>
      <c r="GY103" s="138"/>
      <c r="GZ103" s="128"/>
      <c r="HA103" s="128"/>
      <c r="HB103" s="128"/>
      <c r="HC103" s="128"/>
      <c r="HD103" s="128"/>
      <c r="HH103" s="138"/>
      <c r="HI103" s="138"/>
      <c r="HJ103" s="128"/>
      <c r="HK103" s="128"/>
      <c r="HL103" s="128"/>
      <c r="HM103" s="128"/>
      <c r="HN103" s="128"/>
      <c r="HR103" s="138"/>
      <c r="HS103" s="138"/>
      <c r="HT103" s="128"/>
      <c r="HU103" s="128"/>
      <c r="HV103" s="128"/>
      <c r="HW103" s="128"/>
      <c r="HX103" s="128"/>
      <c r="IB103" s="138"/>
      <c r="IC103" s="138"/>
      <c r="ID103" s="128"/>
      <c r="IE103" s="128"/>
      <c r="IF103" s="128"/>
      <c r="IG103" s="128"/>
      <c r="IH103" s="128"/>
      <c r="IL103" s="138"/>
      <c r="IM103" s="138"/>
      <c r="IN103" s="128"/>
      <c r="IO103" s="128"/>
      <c r="IP103" s="128"/>
      <c r="IQ103" s="128"/>
      <c r="IR103" s="128"/>
      <c r="IV103" s="138"/>
      <c r="IW103" s="138"/>
      <c r="IX103" s="128"/>
      <c r="IY103" s="128"/>
      <c r="IZ103" s="128"/>
      <c r="JA103" s="128"/>
      <c r="JB103" s="128"/>
      <c r="JF103" s="138"/>
      <c r="JG103" s="138"/>
      <c r="JH103" s="128"/>
      <c r="JI103" s="128"/>
      <c r="JJ103" s="128"/>
      <c r="JK103" s="128"/>
      <c r="JL103" s="128"/>
      <c r="JP103" s="138"/>
      <c r="JQ103" s="138"/>
      <c r="JR103" s="128"/>
      <c r="JS103" s="128"/>
      <c r="JT103" s="128"/>
      <c r="JU103" s="128"/>
      <c r="JV103" s="128"/>
      <c r="JZ103" s="138"/>
      <c r="KA103" s="138"/>
      <c r="KB103" s="128"/>
      <c r="KC103" s="128"/>
      <c r="KD103" s="128"/>
      <c r="KE103" s="128"/>
      <c r="KF103" s="128"/>
      <c r="KJ103" s="138"/>
      <c r="KK103" s="138"/>
    </row>
    <row r="104" spans="1:297">
      <c r="A104" s="87">
        <f t="shared" si="6"/>
        <v>67</v>
      </c>
      <c r="B104" s="83" t="str">
        <f>_xll.flu_SPT2025($D$10,$D$13,$D$14,$D$23,$D$16,$D$17,$I$11:$J$25,$R$19:$S$108,FALSE,FALSE,"Cao độ",A104,$D$18)</f>
        <v/>
      </c>
      <c r="C104" s="87" t="str">
        <f>IF(B104="","",_xll.TimTenLoaiDat(B104,$G$11:$I$25))</f>
        <v/>
      </c>
      <c r="D104" s="87" t="str">
        <f>IF(B104="","",_xll.TimTinhChatDat(B104,$I$11:$J$25))</f>
        <v/>
      </c>
      <c r="E104" s="95" t="str">
        <f>IF(B104="","",_xll.NoiSuySPT(B104,$R$19:$S$108,$D$17,$D$13,0,0))</f>
        <v/>
      </c>
      <c r="F104" s="125" t="str">
        <f>IF(B104="","",_xll.qbEQ_SPT2025($D$10,$D$13,$D$14,B104,$D$17,$I$11:$J$25,$R$19:$S$108,$D$19,$I$11:$O$25,$D$12,"ganmaqb",$D$20))</f>
        <v/>
      </c>
      <c r="G104" s="95" t="str">
        <f>IF(B104="","",IF(D104="Đất dính","-",_xll.qbEQ_SPT2025($D$10,$D$13,$D$14,B104,$D$17,$I$11:$J$25,$R$19:$S$108,$D$19,$I$11:$O$25,$D$12,"",$D$20)))</f>
        <v/>
      </c>
      <c r="H104" s="95" t="str">
        <f>IF(B104="","",IF(D104="Đất dính",_xll.qbEQ_SPT2025($D$10,$D$13,$D$14,B104,$D$17,$I$11:$J$25,$R$19:$S$108,$D$19,$I$11:$O$25,$D$12,"",$D$20),"-"))</f>
        <v/>
      </c>
      <c r="I104" s="95" t="str">
        <f t="shared" si="5"/>
        <v/>
      </c>
      <c r="J104" s="96" t="str">
        <f>_xll.flu_SPT2025($D$10,$D$13,$D$14,$D$23,$D$16,$D$17,$I$11:$J$25,$R$19:$S$108,FALSE,FALSE,"Li",A104,$D$18)</f>
        <v/>
      </c>
      <c r="K104" s="150" t="str">
        <f>IF(B104="","",_xll.fluEQ_SPT2025($D$10,$D$13,$D$14,$D$23,$D$16,$D$17,$I$11:$J$25,$R$19:$S$108,FALSE,FALSE,"ganmafl",A104,$D$18,$D$19,$I$11:$O$25,$D$12,$J$29,$D$20))</f>
        <v/>
      </c>
      <c r="L104" s="95" t="str">
        <f>IF(D104="Đất dính","-",_xll.fluEQ_SPT2025($D$10,$D$13,$D$14,$D$23,$D$16,$D$17,$I$11:$J$25,$R$19:$S$108,FALSE,FALSE,"f",A104,$D$18,$D$19,$I$11:$O$25,$D$12,$J$29,$D$20))</f>
        <v/>
      </c>
      <c r="M104" s="95" t="str">
        <f>IF(B104="","",IF(D104="Đất dính",_xll.fluEQ_SPT2025($D$10,$D$13,$D$14,$D$23,$D$16,$D$17,$I$11:$J$25,$R$19:$S$108,FALSE,FALSE,"f",A104,$D$18,$D$19,$I$11:$O$25,$D$12,$J$29,$D$20),"-"))</f>
        <v/>
      </c>
      <c r="N104" s="95" t="str">
        <f>_xll.fluEQ_SPT2025($D$10,$D$13,$D$14,$D$23,$D$16,$D$17,$I$11:$J$25,$R$19:$S$108,FALSE,FALSE,"flu",A104,$D$18,$D$19,$I$11:$O$25,$D$12,$J$29,$D$20)</f>
        <v/>
      </c>
      <c r="O104" s="87" t="e">
        <f t="shared" si="7"/>
        <v>#N/A</v>
      </c>
      <c r="P104" s="65"/>
      <c r="R104" s="138"/>
      <c r="S104" s="138"/>
      <c r="Z104" s="138"/>
      <c r="AA104" s="138"/>
      <c r="AB104" s="128"/>
      <c r="AC104" s="128"/>
      <c r="AD104" s="128"/>
      <c r="AE104" s="128"/>
      <c r="AF104" s="128"/>
      <c r="AJ104" s="138"/>
      <c r="AK104" s="138"/>
      <c r="AL104" s="128"/>
      <c r="AM104" s="128"/>
      <c r="AN104" s="128"/>
      <c r="AO104" s="128"/>
      <c r="AP104" s="128"/>
      <c r="AT104" s="138"/>
      <c r="AU104" s="138"/>
      <c r="AV104" s="128"/>
      <c r="AW104" s="128"/>
      <c r="AX104" s="128"/>
      <c r="AY104" s="128"/>
      <c r="AZ104" s="128"/>
      <c r="BD104" s="138"/>
      <c r="BE104" s="138"/>
      <c r="BF104" s="128"/>
      <c r="BG104" s="128"/>
      <c r="BH104" s="128"/>
      <c r="BI104" s="128"/>
      <c r="BJ104" s="128"/>
      <c r="BN104" s="138"/>
      <c r="BO104" s="138"/>
      <c r="BP104" s="128"/>
      <c r="BQ104" s="128"/>
      <c r="BR104" s="128"/>
      <c r="BS104" s="128"/>
      <c r="BT104" s="128"/>
      <c r="BX104" s="138"/>
      <c r="BY104" s="138"/>
      <c r="BZ104" s="128"/>
      <c r="CA104" s="128"/>
      <c r="CB104" s="128"/>
      <c r="CC104" s="128"/>
      <c r="CD104" s="128"/>
      <c r="CH104" s="138"/>
      <c r="CI104" s="138"/>
      <c r="CJ104" s="128"/>
      <c r="CK104" s="128"/>
      <c r="CL104" s="128"/>
      <c r="CM104" s="128"/>
      <c r="CN104" s="128"/>
      <c r="CR104" s="138"/>
      <c r="CS104" s="138"/>
      <c r="CT104" s="128"/>
      <c r="CU104" s="128"/>
      <c r="CV104" s="128"/>
      <c r="CW104" s="128"/>
      <c r="CX104" s="128"/>
      <c r="DB104" s="138"/>
      <c r="DC104" s="138"/>
      <c r="DD104" s="128"/>
      <c r="DE104" s="128"/>
      <c r="DF104" s="128"/>
      <c r="DG104" s="128"/>
      <c r="DH104" s="128"/>
      <c r="DL104" s="138"/>
      <c r="DM104" s="138"/>
      <c r="DN104" s="128"/>
      <c r="DO104" s="128"/>
      <c r="DP104" s="128"/>
      <c r="DQ104" s="128"/>
      <c r="DR104" s="128"/>
      <c r="DV104" s="138"/>
      <c r="DW104" s="138"/>
      <c r="DX104" s="128"/>
      <c r="DY104" s="128"/>
      <c r="DZ104" s="128"/>
      <c r="EA104" s="128"/>
      <c r="EB104" s="128"/>
      <c r="EF104" s="138"/>
      <c r="EG104" s="138"/>
      <c r="EH104" s="128"/>
      <c r="EI104" s="128"/>
      <c r="EJ104" s="128"/>
      <c r="EK104" s="128"/>
      <c r="EL104" s="128"/>
      <c r="EP104" s="138"/>
      <c r="EQ104" s="138"/>
      <c r="ER104" s="128"/>
      <c r="ES104" s="128"/>
      <c r="ET104" s="128"/>
      <c r="EU104" s="128"/>
      <c r="EV104" s="128"/>
      <c r="EZ104" s="138"/>
      <c r="FA104" s="138"/>
      <c r="FB104" s="128"/>
      <c r="FC104" s="128"/>
      <c r="FD104" s="128"/>
      <c r="FE104" s="128"/>
      <c r="FF104" s="128"/>
      <c r="FJ104" s="138"/>
      <c r="FK104" s="138"/>
      <c r="FL104" s="128"/>
      <c r="FM104" s="128"/>
      <c r="FN104" s="128"/>
      <c r="FO104" s="128"/>
      <c r="FP104" s="128"/>
      <c r="FT104" s="138"/>
      <c r="FU104" s="138"/>
      <c r="FV104" s="128"/>
      <c r="FW104" s="128"/>
      <c r="FX104" s="128"/>
      <c r="FY104" s="128"/>
      <c r="FZ104" s="128"/>
      <c r="GD104" s="138"/>
      <c r="GE104" s="138"/>
      <c r="GF104" s="128"/>
      <c r="GG104" s="128"/>
      <c r="GH104" s="128"/>
      <c r="GI104" s="128"/>
      <c r="GJ104" s="128"/>
      <c r="GN104" s="138"/>
      <c r="GO104" s="138"/>
      <c r="GP104" s="128"/>
      <c r="GQ104" s="128"/>
      <c r="GR104" s="128"/>
      <c r="GS104" s="128"/>
      <c r="GT104" s="128"/>
      <c r="GX104" s="138"/>
      <c r="GY104" s="138"/>
      <c r="GZ104" s="128"/>
      <c r="HA104" s="128"/>
      <c r="HB104" s="128"/>
      <c r="HC104" s="128"/>
      <c r="HD104" s="128"/>
      <c r="HH104" s="138"/>
      <c r="HI104" s="138"/>
      <c r="HJ104" s="128"/>
      <c r="HK104" s="128"/>
      <c r="HL104" s="128"/>
      <c r="HM104" s="128"/>
      <c r="HN104" s="128"/>
      <c r="HR104" s="138"/>
      <c r="HS104" s="138"/>
      <c r="HT104" s="128"/>
      <c r="HU104" s="128"/>
      <c r="HV104" s="128"/>
      <c r="HW104" s="128"/>
      <c r="HX104" s="128"/>
      <c r="IB104" s="138"/>
      <c r="IC104" s="138"/>
      <c r="ID104" s="128"/>
      <c r="IE104" s="128"/>
      <c r="IF104" s="128"/>
      <c r="IG104" s="128"/>
      <c r="IH104" s="128"/>
      <c r="IL104" s="138"/>
      <c r="IM104" s="138"/>
      <c r="IN104" s="128"/>
      <c r="IO104" s="128"/>
      <c r="IP104" s="128"/>
      <c r="IQ104" s="128"/>
      <c r="IR104" s="128"/>
      <c r="IV104" s="138"/>
      <c r="IW104" s="138"/>
      <c r="IX104" s="128"/>
      <c r="IY104" s="128"/>
      <c r="IZ104" s="128"/>
      <c r="JA104" s="128"/>
      <c r="JB104" s="128"/>
      <c r="JF104" s="138"/>
      <c r="JG104" s="138"/>
      <c r="JH104" s="128"/>
      <c r="JI104" s="128"/>
      <c r="JJ104" s="128"/>
      <c r="JK104" s="128"/>
      <c r="JL104" s="128"/>
      <c r="JP104" s="138"/>
      <c r="JQ104" s="138"/>
      <c r="JR104" s="128"/>
      <c r="JS104" s="128"/>
      <c r="JT104" s="128"/>
      <c r="JU104" s="128"/>
      <c r="JV104" s="128"/>
      <c r="JZ104" s="138"/>
      <c r="KA104" s="138"/>
      <c r="KB104" s="128"/>
      <c r="KC104" s="128"/>
      <c r="KD104" s="128"/>
      <c r="KE104" s="128"/>
      <c r="KF104" s="128"/>
      <c r="KJ104" s="138"/>
      <c r="KK104" s="138"/>
    </row>
    <row r="105" spans="1:297">
      <c r="A105" s="87">
        <f t="shared" si="6"/>
        <v>68</v>
      </c>
      <c r="B105" s="83" t="str">
        <f>_xll.flu_SPT2025($D$10,$D$13,$D$14,$D$23,$D$16,$D$17,$I$11:$J$25,$R$19:$S$108,FALSE,FALSE,"Cao độ",A105,$D$18)</f>
        <v/>
      </c>
      <c r="C105" s="87" t="str">
        <f>IF(B105="","",_xll.TimTenLoaiDat(B105,$G$11:$I$25))</f>
        <v/>
      </c>
      <c r="D105" s="87" t="str">
        <f>IF(B105="","",_xll.TimTinhChatDat(B105,$I$11:$J$25))</f>
        <v/>
      </c>
      <c r="E105" s="95" t="str">
        <f>IF(B105="","",_xll.NoiSuySPT(B105,$R$19:$S$108,$D$17,$D$13,0,0))</f>
        <v/>
      </c>
      <c r="F105" s="125" t="str">
        <f>IF(B105="","",_xll.qbEQ_SPT2025($D$10,$D$13,$D$14,B105,$D$17,$I$11:$J$25,$R$19:$S$108,$D$19,$I$11:$O$25,$D$12,"ganmaqb",$D$20))</f>
        <v/>
      </c>
      <c r="G105" s="95" t="str">
        <f>IF(B105="","",IF(D105="Đất dính","-",_xll.qbEQ_SPT2025($D$10,$D$13,$D$14,B105,$D$17,$I$11:$J$25,$R$19:$S$108,$D$19,$I$11:$O$25,$D$12,"",$D$20)))</f>
        <v/>
      </c>
      <c r="H105" s="95" t="str">
        <f>IF(B105="","",IF(D105="Đất dính",_xll.qbEQ_SPT2025($D$10,$D$13,$D$14,B105,$D$17,$I$11:$J$25,$R$19:$S$108,$D$19,$I$11:$O$25,$D$12,"",$D$20),"-"))</f>
        <v/>
      </c>
      <c r="I105" s="95" t="str">
        <f t="shared" si="5"/>
        <v/>
      </c>
      <c r="J105" s="96" t="str">
        <f>_xll.flu_SPT2025($D$10,$D$13,$D$14,$D$23,$D$16,$D$17,$I$11:$J$25,$R$19:$S$108,FALSE,FALSE,"Li",A105,$D$18)</f>
        <v/>
      </c>
      <c r="K105" s="150" t="str">
        <f>IF(B105="","",_xll.fluEQ_SPT2025($D$10,$D$13,$D$14,$D$23,$D$16,$D$17,$I$11:$J$25,$R$19:$S$108,FALSE,FALSE,"ganmafl",A105,$D$18,$D$19,$I$11:$O$25,$D$12,$J$29,$D$20))</f>
        <v/>
      </c>
      <c r="L105" s="95" t="str">
        <f>IF(D105="Đất dính","-",_xll.fluEQ_SPT2025($D$10,$D$13,$D$14,$D$23,$D$16,$D$17,$I$11:$J$25,$R$19:$S$108,FALSE,FALSE,"f",A105,$D$18,$D$19,$I$11:$O$25,$D$12,$J$29,$D$20))</f>
        <v/>
      </c>
      <c r="M105" s="95" t="str">
        <f>IF(B105="","",IF(D105="Đất dính",_xll.fluEQ_SPT2025($D$10,$D$13,$D$14,$D$23,$D$16,$D$17,$I$11:$J$25,$R$19:$S$108,FALSE,FALSE,"f",A105,$D$18,$D$19,$I$11:$O$25,$D$12,$J$29,$D$20),"-"))</f>
        <v/>
      </c>
      <c r="N105" s="95" t="str">
        <f>_xll.fluEQ_SPT2025($D$10,$D$13,$D$14,$D$23,$D$16,$D$17,$I$11:$J$25,$R$19:$S$108,FALSE,FALSE,"flu",A105,$D$18,$D$19,$I$11:$O$25,$D$12,$J$29,$D$20)</f>
        <v/>
      </c>
      <c r="O105" s="87" t="e">
        <f t="shared" si="7"/>
        <v>#N/A</v>
      </c>
      <c r="P105" s="65"/>
      <c r="R105" s="138"/>
      <c r="S105" s="138"/>
      <c r="Z105" s="138"/>
      <c r="AA105" s="138"/>
      <c r="AB105" s="128"/>
      <c r="AC105" s="128"/>
      <c r="AD105" s="128"/>
      <c r="AE105" s="128"/>
      <c r="AF105" s="128"/>
      <c r="AJ105" s="138"/>
      <c r="AK105" s="138"/>
      <c r="AL105" s="128"/>
      <c r="AM105" s="128"/>
      <c r="AN105" s="128"/>
      <c r="AO105" s="128"/>
      <c r="AP105" s="128"/>
      <c r="AT105" s="138"/>
      <c r="AU105" s="138"/>
      <c r="AV105" s="128"/>
      <c r="AW105" s="128"/>
      <c r="AX105" s="128"/>
      <c r="AY105" s="128"/>
      <c r="AZ105" s="128"/>
      <c r="BD105" s="138"/>
      <c r="BE105" s="138"/>
      <c r="BF105" s="128"/>
      <c r="BG105" s="128"/>
      <c r="BH105" s="128"/>
      <c r="BI105" s="128"/>
      <c r="BJ105" s="128"/>
      <c r="BN105" s="138"/>
      <c r="BO105" s="138"/>
      <c r="BP105" s="128"/>
      <c r="BQ105" s="128"/>
      <c r="BR105" s="128"/>
      <c r="BS105" s="128"/>
      <c r="BT105" s="128"/>
      <c r="BX105" s="138"/>
      <c r="BY105" s="138"/>
      <c r="BZ105" s="128"/>
      <c r="CA105" s="128"/>
      <c r="CB105" s="128"/>
      <c r="CC105" s="128"/>
      <c r="CD105" s="128"/>
      <c r="CH105" s="138"/>
      <c r="CI105" s="138"/>
      <c r="CJ105" s="128"/>
      <c r="CK105" s="128"/>
      <c r="CL105" s="128"/>
      <c r="CM105" s="128"/>
      <c r="CN105" s="128"/>
      <c r="CR105" s="138"/>
      <c r="CS105" s="138"/>
      <c r="CT105" s="128"/>
      <c r="CU105" s="128"/>
      <c r="CV105" s="128"/>
      <c r="CW105" s="128"/>
      <c r="CX105" s="128"/>
      <c r="DB105" s="138"/>
      <c r="DC105" s="138"/>
      <c r="DD105" s="128"/>
      <c r="DE105" s="128"/>
      <c r="DF105" s="128"/>
      <c r="DG105" s="128"/>
      <c r="DH105" s="128"/>
      <c r="DL105" s="138"/>
      <c r="DM105" s="138"/>
      <c r="DN105" s="128"/>
      <c r="DO105" s="128"/>
      <c r="DP105" s="128"/>
      <c r="DQ105" s="128"/>
      <c r="DR105" s="128"/>
      <c r="DV105" s="138"/>
      <c r="DW105" s="138"/>
      <c r="DX105" s="128"/>
      <c r="DY105" s="128"/>
      <c r="DZ105" s="128"/>
      <c r="EA105" s="128"/>
      <c r="EB105" s="128"/>
      <c r="EF105" s="138"/>
      <c r="EG105" s="138"/>
      <c r="EH105" s="128"/>
      <c r="EI105" s="128"/>
      <c r="EJ105" s="128"/>
      <c r="EK105" s="128"/>
      <c r="EL105" s="128"/>
      <c r="EP105" s="138"/>
      <c r="EQ105" s="138"/>
      <c r="ER105" s="128"/>
      <c r="ES105" s="128"/>
      <c r="ET105" s="128"/>
      <c r="EU105" s="128"/>
      <c r="EV105" s="128"/>
      <c r="EZ105" s="138"/>
      <c r="FA105" s="138"/>
      <c r="FB105" s="128"/>
      <c r="FC105" s="128"/>
      <c r="FD105" s="128"/>
      <c r="FE105" s="128"/>
      <c r="FF105" s="128"/>
      <c r="FJ105" s="138"/>
      <c r="FK105" s="138"/>
      <c r="FL105" s="128"/>
      <c r="FM105" s="128"/>
      <c r="FN105" s="128"/>
      <c r="FO105" s="128"/>
      <c r="FP105" s="128"/>
      <c r="FT105" s="138"/>
      <c r="FU105" s="138"/>
      <c r="FV105" s="128"/>
      <c r="FW105" s="128"/>
      <c r="FX105" s="128"/>
      <c r="FY105" s="128"/>
      <c r="FZ105" s="128"/>
      <c r="GD105" s="138"/>
      <c r="GE105" s="138"/>
      <c r="GF105" s="128"/>
      <c r="GG105" s="128"/>
      <c r="GH105" s="128"/>
      <c r="GI105" s="128"/>
      <c r="GJ105" s="128"/>
      <c r="GN105" s="138"/>
      <c r="GO105" s="138"/>
      <c r="GP105" s="128"/>
      <c r="GQ105" s="128"/>
      <c r="GR105" s="128"/>
      <c r="GS105" s="128"/>
      <c r="GT105" s="128"/>
      <c r="GX105" s="138"/>
      <c r="GY105" s="138"/>
      <c r="GZ105" s="128"/>
      <c r="HA105" s="128"/>
      <c r="HB105" s="128"/>
      <c r="HC105" s="128"/>
      <c r="HD105" s="128"/>
      <c r="HH105" s="138"/>
      <c r="HI105" s="138"/>
      <c r="HJ105" s="128"/>
      <c r="HK105" s="128"/>
      <c r="HL105" s="128"/>
      <c r="HM105" s="128"/>
      <c r="HN105" s="128"/>
      <c r="HR105" s="138"/>
      <c r="HS105" s="138"/>
      <c r="HT105" s="128"/>
      <c r="HU105" s="128"/>
      <c r="HV105" s="128"/>
      <c r="HW105" s="128"/>
      <c r="HX105" s="128"/>
      <c r="IB105" s="138"/>
      <c r="IC105" s="138"/>
      <c r="ID105" s="128"/>
      <c r="IE105" s="128"/>
      <c r="IF105" s="128"/>
      <c r="IG105" s="128"/>
      <c r="IH105" s="128"/>
      <c r="IL105" s="138"/>
      <c r="IM105" s="138"/>
      <c r="IN105" s="128"/>
      <c r="IO105" s="128"/>
      <c r="IP105" s="128"/>
      <c r="IQ105" s="128"/>
      <c r="IR105" s="128"/>
      <c r="IV105" s="138"/>
      <c r="IW105" s="138"/>
      <c r="IX105" s="128"/>
      <c r="IY105" s="128"/>
      <c r="IZ105" s="128"/>
      <c r="JA105" s="128"/>
      <c r="JB105" s="128"/>
      <c r="JF105" s="138"/>
      <c r="JG105" s="138"/>
      <c r="JH105" s="128"/>
      <c r="JI105" s="128"/>
      <c r="JJ105" s="128"/>
      <c r="JK105" s="128"/>
      <c r="JL105" s="128"/>
      <c r="JP105" s="138"/>
      <c r="JQ105" s="138"/>
      <c r="JR105" s="128"/>
      <c r="JS105" s="128"/>
      <c r="JT105" s="128"/>
      <c r="JU105" s="128"/>
      <c r="JV105" s="128"/>
      <c r="JZ105" s="138"/>
      <c r="KA105" s="138"/>
      <c r="KB105" s="128"/>
      <c r="KC105" s="128"/>
      <c r="KD105" s="128"/>
      <c r="KE105" s="128"/>
      <c r="KF105" s="128"/>
      <c r="KJ105" s="138"/>
      <c r="KK105" s="138"/>
    </row>
    <row r="106" spans="1:297">
      <c r="A106" s="87">
        <f t="shared" si="6"/>
        <v>69</v>
      </c>
      <c r="B106" s="83" t="str">
        <f>_xll.flu_SPT2025($D$10,$D$13,$D$14,$D$23,$D$16,$D$17,$I$11:$J$25,$R$19:$S$108,FALSE,FALSE,"Cao độ",A106,$D$18)</f>
        <v/>
      </c>
      <c r="C106" s="87" t="str">
        <f>IF(B106="","",_xll.TimTenLoaiDat(B106,$G$11:$I$25))</f>
        <v/>
      </c>
      <c r="D106" s="87" t="str">
        <f>IF(B106="","",_xll.TimTinhChatDat(B106,$I$11:$J$25))</f>
        <v/>
      </c>
      <c r="E106" s="95" t="str">
        <f>IF(B106="","",_xll.NoiSuySPT(B106,$R$19:$S$108,$D$17,$D$13,0,0))</f>
        <v/>
      </c>
      <c r="F106" s="125" t="str">
        <f>IF(B106="","",_xll.qbEQ_SPT2025($D$10,$D$13,$D$14,B106,$D$17,$I$11:$J$25,$R$19:$S$108,$D$19,$I$11:$O$25,$D$12,"ganmaqb",$D$20))</f>
        <v/>
      </c>
      <c r="G106" s="95" t="str">
        <f>IF(B106="","",IF(D106="Đất dính","-",_xll.qbEQ_SPT2025($D$10,$D$13,$D$14,B106,$D$17,$I$11:$J$25,$R$19:$S$108,$D$19,$I$11:$O$25,$D$12,"",$D$20)))</f>
        <v/>
      </c>
      <c r="H106" s="95" t="str">
        <f>IF(B106="","",IF(D106="Đất dính",_xll.qbEQ_SPT2025($D$10,$D$13,$D$14,B106,$D$17,$I$11:$J$25,$R$19:$S$108,$D$19,$I$11:$O$25,$D$12,"",$D$20),"-"))</f>
        <v/>
      </c>
      <c r="I106" s="95" t="str">
        <f t="shared" si="5"/>
        <v/>
      </c>
      <c r="J106" s="96" t="str">
        <f>_xll.flu_SPT2025($D$10,$D$13,$D$14,$D$23,$D$16,$D$17,$I$11:$J$25,$R$19:$S$108,FALSE,FALSE,"Li",A106,$D$18)</f>
        <v/>
      </c>
      <c r="K106" s="150" t="str">
        <f>IF(B106="","",_xll.fluEQ_SPT2025($D$10,$D$13,$D$14,$D$23,$D$16,$D$17,$I$11:$J$25,$R$19:$S$108,FALSE,FALSE,"ganmafl",A106,$D$18,$D$19,$I$11:$O$25,$D$12,$J$29,$D$20))</f>
        <v/>
      </c>
      <c r="L106" s="95" t="str">
        <f>IF(D106="Đất dính","-",_xll.fluEQ_SPT2025($D$10,$D$13,$D$14,$D$23,$D$16,$D$17,$I$11:$J$25,$R$19:$S$108,FALSE,FALSE,"f",A106,$D$18,$D$19,$I$11:$O$25,$D$12,$J$29,$D$20))</f>
        <v/>
      </c>
      <c r="M106" s="95" t="str">
        <f>IF(B106="","",IF(D106="Đất dính",_xll.fluEQ_SPT2025($D$10,$D$13,$D$14,$D$23,$D$16,$D$17,$I$11:$J$25,$R$19:$S$108,FALSE,FALSE,"f",A106,$D$18,$D$19,$I$11:$O$25,$D$12,$J$29,$D$20),"-"))</f>
        <v/>
      </c>
      <c r="N106" s="95" t="str">
        <f>_xll.fluEQ_SPT2025($D$10,$D$13,$D$14,$D$23,$D$16,$D$17,$I$11:$J$25,$R$19:$S$108,FALSE,FALSE,"flu",A106,$D$18,$D$19,$I$11:$O$25,$D$12,$J$29,$D$20)</f>
        <v/>
      </c>
      <c r="O106" s="87" t="e">
        <f t="shared" si="7"/>
        <v>#N/A</v>
      </c>
      <c r="P106" s="65"/>
      <c r="R106" s="138"/>
      <c r="S106" s="138"/>
      <c r="Z106" s="138"/>
      <c r="AA106" s="138"/>
      <c r="AB106" s="128"/>
      <c r="AC106" s="128"/>
      <c r="AD106" s="128"/>
      <c r="AE106" s="128"/>
      <c r="AF106" s="128"/>
      <c r="AJ106" s="138"/>
      <c r="AK106" s="138"/>
      <c r="AL106" s="128"/>
      <c r="AM106" s="128"/>
      <c r="AN106" s="128"/>
      <c r="AO106" s="128"/>
      <c r="AP106" s="128"/>
      <c r="AT106" s="138"/>
      <c r="AU106" s="138"/>
      <c r="AV106" s="128"/>
      <c r="AW106" s="128"/>
      <c r="AX106" s="128"/>
      <c r="AY106" s="128"/>
      <c r="AZ106" s="128"/>
      <c r="BD106" s="138"/>
      <c r="BE106" s="138"/>
      <c r="BF106" s="128"/>
      <c r="BG106" s="128"/>
      <c r="BH106" s="128"/>
      <c r="BI106" s="128"/>
      <c r="BJ106" s="128"/>
      <c r="BN106" s="138"/>
      <c r="BO106" s="138"/>
      <c r="BP106" s="128"/>
      <c r="BQ106" s="128"/>
      <c r="BR106" s="128"/>
      <c r="BS106" s="128"/>
      <c r="BT106" s="128"/>
      <c r="BX106" s="138"/>
      <c r="BY106" s="138"/>
      <c r="BZ106" s="128"/>
      <c r="CA106" s="128"/>
      <c r="CB106" s="128"/>
      <c r="CC106" s="128"/>
      <c r="CD106" s="128"/>
      <c r="CH106" s="138"/>
      <c r="CI106" s="138"/>
      <c r="CJ106" s="128"/>
      <c r="CK106" s="128"/>
      <c r="CL106" s="128"/>
      <c r="CM106" s="128"/>
      <c r="CN106" s="128"/>
      <c r="CR106" s="138"/>
      <c r="CS106" s="138"/>
      <c r="CT106" s="128"/>
      <c r="CU106" s="128"/>
      <c r="CV106" s="128"/>
      <c r="CW106" s="128"/>
      <c r="CX106" s="128"/>
      <c r="DB106" s="138"/>
      <c r="DC106" s="138"/>
      <c r="DD106" s="128"/>
      <c r="DE106" s="128"/>
      <c r="DF106" s="128"/>
      <c r="DG106" s="128"/>
      <c r="DH106" s="128"/>
      <c r="DL106" s="138"/>
      <c r="DM106" s="138"/>
      <c r="DN106" s="128"/>
      <c r="DO106" s="128"/>
      <c r="DP106" s="128"/>
      <c r="DQ106" s="128"/>
      <c r="DR106" s="128"/>
      <c r="DV106" s="138"/>
      <c r="DW106" s="138"/>
      <c r="DX106" s="128"/>
      <c r="DY106" s="128"/>
      <c r="DZ106" s="128"/>
      <c r="EA106" s="128"/>
      <c r="EB106" s="128"/>
      <c r="EF106" s="138"/>
      <c r="EG106" s="138"/>
      <c r="EH106" s="128"/>
      <c r="EI106" s="128"/>
      <c r="EJ106" s="128"/>
      <c r="EK106" s="128"/>
      <c r="EL106" s="128"/>
      <c r="EP106" s="138"/>
      <c r="EQ106" s="138"/>
      <c r="ER106" s="128"/>
      <c r="ES106" s="128"/>
      <c r="ET106" s="128"/>
      <c r="EU106" s="128"/>
      <c r="EV106" s="128"/>
      <c r="EZ106" s="138"/>
      <c r="FA106" s="138"/>
      <c r="FB106" s="128"/>
      <c r="FC106" s="128"/>
      <c r="FD106" s="128"/>
      <c r="FE106" s="128"/>
      <c r="FF106" s="128"/>
      <c r="FJ106" s="138"/>
      <c r="FK106" s="138"/>
      <c r="FL106" s="128"/>
      <c r="FM106" s="128"/>
      <c r="FN106" s="128"/>
      <c r="FO106" s="128"/>
      <c r="FP106" s="128"/>
      <c r="FT106" s="138"/>
      <c r="FU106" s="138"/>
      <c r="FV106" s="128"/>
      <c r="FW106" s="128"/>
      <c r="FX106" s="128"/>
      <c r="FY106" s="128"/>
      <c r="FZ106" s="128"/>
      <c r="GD106" s="138"/>
      <c r="GE106" s="138"/>
      <c r="GF106" s="128"/>
      <c r="GG106" s="128"/>
      <c r="GH106" s="128"/>
      <c r="GI106" s="128"/>
      <c r="GJ106" s="128"/>
      <c r="GN106" s="138"/>
      <c r="GO106" s="138"/>
      <c r="GP106" s="128"/>
      <c r="GQ106" s="128"/>
      <c r="GR106" s="128"/>
      <c r="GS106" s="128"/>
      <c r="GT106" s="128"/>
      <c r="GX106" s="138"/>
      <c r="GY106" s="138"/>
      <c r="GZ106" s="128"/>
      <c r="HA106" s="128"/>
      <c r="HB106" s="128"/>
      <c r="HC106" s="128"/>
      <c r="HD106" s="128"/>
      <c r="HH106" s="138"/>
      <c r="HI106" s="138"/>
      <c r="HJ106" s="128"/>
      <c r="HK106" s="128"/>
      <c r="HL106" s="128"/>
      <c r="HM106" s="128"/>
      <c r="HN106" s="128"/>
      <c r="HR106" s="138"/>
      <c r="HS106" s="138"/>
      <c r="HT106" s="128"/>
      <c r="HU106" s="128"/>
      <c r="HV106" s="128"/>
      <c r="HW106" s="128"/>
      <c r="HX106" s="128"/>
      <c r="IB106" s="138"/>
      <c r="IC106" s="138"/>
      <c r="ID106" s="128"/>
      <c r="IE106" s="128"/>
      <c r="IF106" s="128"/>
      <c r="IG106" s="128"/>
      <c r="IH106" s="128"/>
      <c r="IL106" s="138"/>
      <c r="IM106" s="138"/>
      <c r="IN106" s="128"/>
      <c r="IO106" s="128"/>
      <c r="IP106" s="128"/>
      <c r="IQ106" s="128"/>
      <c r="IR106" s="128"/>
      <c r="IV106" s="138"/>
      <c r="IW106" s="138"/>
      <c r="IX106" s="128"/>
      <c r="IY106" s="128"/>
      <c r="IZ106" s="128"/>
      <c r="JA106" s="128"/>
      <c r="JB106" s="128"/>
      <c r="JF106" s="138"/>
      <c r="JG106" s="138"/>
      <c r="JH106" s="128"/>
      <c r="JI106" s="128"/>
      <c r="JJ106" s="128"/>
      <c r="JK106" s="128"/>
      <c r="JL106" s="128"/>
      <c r="JP106" s="138"/>
      <c r="JQ106" s="138"/>
      <c r="JR106" s="128"/>
      <c r="JS106" s="128"/>
      <c r="JT106" s="128"/>
      <c r="JU106" s="128"/>
      <c r="JV106" s="128"/>
      <c r="JZ106" s="138"/>
      <c r="KA106" s="138"/>
      <c r="KB106" s="128"/>
      <c r="KC106" s="128"/>
      <c r="KD106" s="128"/>
      <c r="KE106" s="128"/>
      <c r="KF106" s="128"/>
      <c r="KJ106" s="138"/>
      <c r="KK106" s="138"/>
    </row>
    <row r="107" spans="1:297">
      <c r="A107" s="87"/>
      <c r="B107" s="83"/>
      <c r="C107" s="87"/>
      <c r="D107" s="87"/>
      <c r="E107" s="95"/>
      <c r="F107" s="125"/>
      <c r="G107" s="95"/>
      <c r="H107" s="95"/>
      <c r="I107" s="95"/>
      <c r="J107" s="96"/>
      <c r="K107" s="150"/>
      <c r="L107" s="95"/>
      <c r="M107" s="95"/>
      <c r="N107" s="95"/>
      <c r="O107" s="87"/>
      <c r="P107" s="65"/>
      <c r="R107" s="138"/>
      <c r="S107" s="138"/>
      <c r="Z107" s="138"/>
      <c r="AA107" s="138"/>
      <c r="AB107" s="128"/>
      <c r="AC107" s="128"/>
      <c r="AD107" s="128"/>
      <c r="AE107" s="128"/>
      <c r="AF107" s="128"/>
      <c r="AJ107" s="138"/>
      <c r="AK107" s="138"/>
      <c r="AL107" s="128"/>
      <c r="AM107" s="128"/>
      <c r="AN107" s="128"/>
      <c r="AO107" s="128"/>
      <c r="AP107" s="128"/>
      <c r="AT107" s="138"/>
      <c r="AU107" s="138"/>
      <c r="AV107" s="128"/>
      <c r="AW107" s="128"/>
      <c r="AX107" s="128"/>
      <c r="AY107" s="128"/>
      <c r="AZ107" s="128"/>
      <c r="BD107" s="138"/>
      <c r="BE107" s="138"/>
      <c r="BF107" s="128"/>
      <c r="BG107" s="128"/>
      <c r="BH107" s="128"/>
      <c r="BI107" s="128"/>
      <c r="BJ107" s="128"/>
      <c r="BN107" s="138"/>
      <c r="BO107" s="138"/>
      <c r="BP107" s="128"/>
      <c r="BQ107" s="128"/>
      <c r="BR107" s="128"/>
      <c r="BS107" s="128"/>
      <c r="BT107" s="128"/>
      <c r="BX107" s="138"/>
      <c r="BY107" s="138"/>
      <c r="BZ107" s="128"/>
      <c r="CA107" s="128"/>
      <c r="CB107" s="128"/>
      <c r="CC107" s="128"/>
      <c r="CD107" s="128"/>
      <c r="CH107" s="138"/>
      <c r="CI107" s="138"/>
      <c r="CJ107" s="128"/>
      <c r="CK107" s="128"/>
      <c r="CL107" s="128"/>
      <c r="CM107" s="128"/>
      <c r="CN107" s="128"/>
      <c r="CR107" s="138"/>
      <c r="CS107" s="138"/>
      <c r="CT107" s="128"/>
      <c r="CU107" s="128"/>
      <c r="CV107" s="128"/>
      <c r="CW107" s="128"/>
      <c r="CX107" s="128"/>
      <c r="DB107" s="138"/>
      <c r="DC107" s="138"/>
      <c r="DD107" s="128"/>
      <c r="DE107" s="128"/>
      <c r="DF107" s="128"/>
      <c r="DG107" s="128"/>
      <c r="DH107" s="128"/>
      <c r="DL107" s="138"/>
      <c r="DM107" s="138"/>
      <c r="DN107" s="128"/>
      <c r="DO107" s="128"/>
      <c r="DP107" s="128"/>
      <c r="DQ107" s="128"/>
      <c r="DR107" s="128"/>
      <c r="DV107" s="138"/>
      <c r="DW107" s="138"/>
      <c r="DX107" s="128"/>
      <c r="DY107" s="128"/>
      <c r="DZ107" s="128"/>
      <c r="EA107" s="128"/>
      <c r="EB107" s="128"/>
      <c r="EF107" s="138"/>
      <c r="EG107" s="138"/>
      <c r="EH107" s="128"/>
      <c r="EI107" s="128"/>
      <c r="EJ107" s="128"/>
      <c r="EK107" s="128"/>
      <c r="EL107" s="128"/>
      <c r="EP107" s="138"/>
      <c r="EQ107" s="138"/>
      <c r="ER107" s="128"/>
      <c r="ES107" s="128"/>
      <c r="ET107" s="128"/>
      <c r="EU107" s="128"/>
      <c r="EV107" s="128"/>
      <c r="EZ107" s="138"/>
      <c r="FA107" s="138"/>
      <c r="FB107" s="128"/>
      <c r="FC107" s="128"/>
      <c r="FD107" s="128"/>
      <c r="FE107" s="128"/>
      <c r="FF107" s="128"/>
      <c r="FJ107" s="138"/>
      <c r="FK107" s="138"/>
      <c r="FL107" s="128"/>
      <c r="FM107" s="128"/>
      <c r="FN107" s="128"/>
      <c r="FO107" s="128"/>
      <c r="FP107" s="128"/>
      <c r="FT107" s="138"/>
      <c r="FU107" s="138"/>
      <c r="FV107" s="128"/>
      <c r="FW107" s="128"/>
      <c r="FX107" s="128"/>
      <c r="FY107" s="128"/>
      <c r="FZ107" s="128"/>
      <c r="GD107" s="138"/>
      <c r="GE107" s="138"/>
      <c r="GF107" s="128"/>
      <c r="GG107" s="128"/>
      <c r="GH107" s="128"/>
      <c r="GI107" s="128"/>
      <c r="GJ107" s="128"/>
      <c r="GN107" s="138"/>
      <c r="GO107" s="138"/>
      <c r="GP107" s="128"/>
      <c r="GQ107" s="128"/>
      <c r="GR107" s="128"/>
      <c r="GS107" s="128"/>
      <c r="GT107" s="128"/>
      <c r="GX107" s="138"/>
      <c r="GY107" s="138"/>
      <c r="GZ107" s="128"/>
      <c r="HA107" s="128"/>
      <c r="HB107" s="128"/>
      <c r="HC107" s="128"/>
      <c r="HD107" s="128"/>
      <c r="HH107" s="138"/>
      <c r="HI107" s="138"/>
      <c r="HJ107" s="128"/>
      <c r="HK107" s="128"/>
      <c r="HL107" s="128"/>
      <c r="HM107" s="128"/>
      <c r="HN107" s="128"/>
      <c r="HR107" s="138"/>
      <c r="HS107" s="138"/>
      <c r="HT107" s="128"/>
      <c r="HU107" s="128"/>
      <c r="HV107" s="128"/>
      <c r="HW107" s="128"/>
      <c r="HX107" s="128"/>
      <c r="IB107" s="138"/>
      <c r="IC107" s="138"/>
      <c r="ID107" s="128"/>
      <c r="IE107" s="128"/>
      <c r="IF107" s="128"/>
      <c r="IG107" s="128"/>
      <c r="IH107" s="128"/>
      <c r="IL107" s="138"/>
      <c r="IM107" s="138"/>
      <c r="IN107" s="128"/>
      <c r="IO107" s="128"/>
      <c r="IP107" s="128"/>
      <c r="IQ107" s="128"/>
      <c r="IR107" s="128"/>
      <c r="IV107" s="138"/>
      <c r="IW107" s="138"/>
      <c r="IX107" s="128"/>
      <c r="IY107" s="128"/>
      <c r="IZ107" s="128"/>
      <c r="JA107" s="128"/>
      <c r="JB107" s="128"/>
      <c r="JF107" s="138"/>
      <c r="JG107" s="138"/>
      <c r="JH107" s="128"/>
      <c r="JI107" s="128"/>
      <c r="JJ107" s="128"/>
      <c r="JK107" s="128"/>
      <c r="JL107" s="128"/>
      <c r="JP107" s="138"/>
      <c r="JQ107" s="138"/>
      <c r="JR107" s="128"/>
      <c r="JS107" s="128"/>
      <c r="JT107" s="128"/>
      <c r="JU107" s="128"/>
      <c r="JV107" s="128"/>
      <c r="JZ107" s="138"/>
      <c r="KA107" s="138"/>
      <c r="KB107" s="128"/>
      <c r="KC107" s="128"/>
      <c r="KD107" s="128"/>
      <c r="KE107" s="128"/>
      <c r="KF107" s="128"/>
      <c r="KJ107" s="138"/>
      <c r="KK107" s="138"/>
    </row>
    <row r="108" spans="1:297">
      <c r="A108" s="87"/>
      <c r="B108" s="83"/>
      <c r="C108" s="87"/>
      <c r="D108" s="87"/>
      <c r="E108" s="95"/>
      <c r="F108" s="125"/>
      <c r="G108" s="95"/>
      <c r="H108" s="95"/>
      <c r="I108" s="95"/>
      <c r="J108" s="96"/>
      <c r="K108" s="150"/>
      <c r="L108" s="95"/>
      <c r="M108" s="95"/>
      <c r="N108" s="95"/>
      <c r="O108" s="87"/>
      <c r="P108" s="65"/>
      <c r="R108" s="138"/>
      <c r="S108" s="138"/>
      <c r="Z108" s="138"/>
      <c r="AA108" s="138"/>
      <c r="AB108" s="128"/>
      <c r="AC108" s="128"/>
      <c r="AD108" s="128"/>
      <c r="AE108" s="128"/>
      <c r="AF108" s="128"/>
      <c r="AJ108" s="138"/>
      <c r="AK108" s="138"/>
      <c r="AL108" s="128"/>
      <c r="AM108" s="128"/>
      <c r="AN108" s="128"/>
      <c r="AO108" s="128"/>
      <c r="AP108" s="128"/>
      <c r="AT108" s="138"/>
      <c r="AU108" s="138"/>
      <c r="AV108" s="128"/>
      <c r="AW108" s="128"/>
      <c r="AX108" s="128"/>
      <c r="AY108" s="128"/>
      <c r="AZ108" s="128"/>
      <c r="BD108" s="138"/>
      <c r="BE108" s="138"/>
      <c r="BF108" s="128"/>
      <c r="BG108" s="128"/>
      <c r="BH108" s="128"/>
      <c r="BI108" s="128"/>
      <c r="BJ108" s="128"/>
      <c r="BN108" s="138"/>
      <c r="BO108" s="138"/>
      <c r="BP108" s="128"/>
      <c r="BQ108" s="128"/>
      <c r="BR108" s="128"/>
      <c r="BS108" s="128"/>
      <c r="BT108" s="128"/>
      <c r="BX108" s="138"/>
      <c r="BY108" s="138"/>
      <c r="BZ108" s="128"/>
      <c r="CA108" s="128"/>
      <c r="CB108" s="128"/>
      <c r="CC108" s="128"/>
      <c r="CD108" s="128"/>
      <c r="CH108" s="138"/>
      <c r="CI108" s="138"/>
      <c r="CJ108" s="128"/>
      <c r="CK108" s="128"/>
      <c r="CL108" s="128"/>
      <c r="CM108" s="128"/>
      <c r="CN108" s="128"/>
      <c r="CR108" s="138"/>
      <c r="CS108" s="138"/>
      <c r="CT108" s="128"/>
      <c r="CU108" s="128"/>
      <c r="CV108" s="128"/>
      <c r="CW108" s="128"/>
      <c r="CX108" s="128"/>
      <c r="DB108" s="138"/>
      <c r="DC108" s="138"/>
      <c r="DD108" s="128"/>
      <c r="DE108" s="128"/>
      <c r="DF108" s="128"/>
      <c r="DG108" s="128"/>
      <c r="DH108" s="128"/>
      <c r="DL108" s="138"/>
      <c r="DM108" s="138"/>
      <c r="DN108" s="128"/>
      <c r="DO108" s="128"/>
      <c r="DP108" s="128"/>
      <c r="DQ108" s="128"/>
      <c r="DR108" s="128"/>
      <c r="DV108" s="138"/>
      <c r="DW108" s="138"/>
      <c r="DX108" s="128"/>
      <c r="DY108" s="128"/>
      <c r="DZ108" s="128"/>
      <c r="EA108" s="128"/>
      <c r="EB108" s="128"/>
      <c r="EF108" s="138"/>
      <c r="EG108" s="138"/>
      <c r="EH108" s="128"/>
      <c r="EI108" s="128"/>
      <c r="EJ108" s="128"/>
      <c r="EK108" s="128"/>
      <c r="EL108" s="128"/>
      <c r="EP108" s="138"/>
      <c r="EQ108" s="138"/>
      <c r="ER108" s="128"/>
      <c r="ES108" s="128"/>
      <c r="ET108" s="128"/>
      <c r="EU108" s="128"/>
      <c r="EV108" s="128"/>
      <c r="EZ108" s="138"/>
      <c r="FA108" s="138"/>
      <c r="FB108" s="128"/>
      <c r="FC108" s="128"/>
      <c r="FD108" s="128"/>
      <c r="FE108" s="128"/>
      <c r="FF108" s="128"/>
      <c r="FJ108" s="138"/>
      <c r="FK108" s="138"/>
      <c r="FL108" s="128"/>
      <c r="FM108" s="128"/>
      <c r="FN108" s="128"/>
      <c r="FO108" s="128"/>
      <c r="FP108" s="128"/>
      <c r="FT108" s="138"/>
      <c r="FU108" s="138"/>
      <c r="FV108" s="128"/>
      <c r="FW108" s="128"/>
      <c r="FX108" s="128"/>
      <c r="FY108" s="128"/>
      <c r="FZ108" s="128"/>
      <c r="GD108" s="138"/>
      <c r="GE108" s="138"/>
      <c r="GF108" s="128"/>
      <c r="GG108" s="128"/>
      <c r="GH108" s="128"/>
      <c r="GI108" s="128"/>
      <c r="GJ108" s="128"/>
      <c r="GN108" s="138"/>
      <c r="GO108" s="138"/>
      <c r="GP108" s="128"/>
      <c r="GQ108" s="128"/>
      <c r="GR108" s="128"/>
      <c r="GS108" s="128"/>
      <c r="GT108" s="128"/>
      <c r="GX108" s="138"/>
      <c r="GY108" s="138"/>
      <c r="GZ108" s="128"/>
      <c r="HA108" s="128"/>
      <c r="HB108" s="128"/>
      <c r="HC108" s="128"/>
      <c r="HD108" s="128"/>
      <c r="HH108" s="138"/>
      <c r="HI108" s="138"/>
      <c r="HJ108" s="128"/>
      <c r="HK108" s="128"/>
      <c r="HL108" s="128"/>
      <c r="HM108" s="128"/>
      <c r="HN108" s="128"/>
      <c r="HR108" s="138"/>
      <c r="HS108" s="138"/>
      <c r="HT108" s="128"/>
      <c r="HU108" s="128"/>
      <c r="HV108" s="128"/>
      <c r="HW108" s="128"/>
      <c r="HX108" s="128"/>
      <c r="IB108" s="138"/>
      <c r="IC108" s="138"/>
      <c r="ID108" s="128"/>
      <c r="IE108" s="128"/>
      <c r="IF108" s="128"/>
      <c r="IG108" s="128"/>
      <c r="IH108" s="128"/>
      <c r="IL108" s="138"/>
      <c r="IM108" s="138"/>
      <c r="IN108" s="128"/>
      <c r="IO108" s="128"/>
      <c r="IP108" s="128"/>
      <c r="IQ108" s="128"/>
      <c r="IR108" s="128"/>
      <c r="IV108" s="138"/>
      <c r="IW108" s="138"/>
      <c r="IX108" s="128"/>
      <c r="IY108" s="128"/>
      <c r="IZ108" s="128"/>
      <c r="JA108" s="128"/>
      <c r="JB108" s="128"/>
      <c r="JF108" s="138"/>
      <c r="JG108" s="138"/>
      <c r="JH108" s="128"/>
      <c r="JI108" s="128"/>
      <c r="JJ108" s="128"/>
      <c r="JK108" s="128"/>
      <c r="JL108" s="128"/>
      <c r="JP108" s="138"/>
      <c r="JQ108" s="138"/>
      <c r="JR108" s="128"/>
      <c r="JS108" s="128"/>
      <c r="JT108" s="128"/>
      <c r="JU108" s="128"/>
      <c r="JV108" s="128"/>
      <c r="JZ108" s="138"/>
      <c r="KA108" s="138"/>
      <c r="KB108" s="128"/>
      <c r="KC108" s="128"/>
      <c r="KD108" s="128"/>
      <c r="KE108" s="128"/>
      <c r="KF108" s="128"/>
      <c r="KJ108" s="138"/>
      <c r="KK108" s="138"/>
    </row>
    <row r="109" spans="1:297">
      <c r="A109" s="87"/>
      <c r="B109" s="83"/>
      <c r="C109" s="87"/>
      <c r="D109" s="87"/>
      <c r="E109" s="95"/>
      <c r="F109" s="125"/>
      <c r="G109" s="95"/>
      <c r="H109" s="95"/>
      <c r="I109" s="95"/>
      <c r="J109" s="96"/>
      <c r="K109" s="150"/>
      <c r="L109" s="95"/>
      <c r="M109" s="95"/>
      <c r="N109" s="95"/>
      <c r="O109" s="87"/>
      <c r="P109" s="65"/>
    </row>
    <row r="110" spans="1:297">
      <c r="A110" s="87"/>
      <c r="B110" s="83"/>
      <c r="C110" s="87"/>
      <c r="D110" s="87"/>
      <c r="E110" s="95"/>
      <c r="F110" s="125"/>
      <c r="G110" s="95"/>
      <c r="H110" s="95"/>
      <c r="I110" s="95"/>
      <c r="J110" s="96"/>
      <c r="K110" s="150"/>
      <c r="L110" s="95"/>
      <c r="M110" s="95"/>
      <c r="N110" s="95"/>
      <c r="O110" s="87"/>
      <c r="P110" s="65"/>
    </row>
    <row r="111" spans="1:297">
      <c r="A111" s="87"/>
      <c r="B111" s="83"/>
      <c r="C111" s="87"/>
      <c r="D111" s="87"/>
      <c r="E111" s="95"/>
      <c r="F111" s="125"/>
      <c r="G111" s="95"/>
      <c r="H111" s="95"/>
      <c r="I111" s="95"/>
      <c r="J111" s="96"/>
      <c r="K111" s="150"/>
      <c r="L111" s="95"/>
      <c r="M111" s="95"/>
      <c r="N111" s="95"/>
      <c r="O111" s="87"/>
      <c r="P111" s="65"/>
    </row>
    <row r="112" spans="1:297">
      <c r="A112" s="87"/>
      <c r="B112" s="83"/>
      <c r="C112" s="87"/>
      <c r="D112" s="87"/>
      <c r="E112" s="95"/>
      <c r="F112" s="125"/>
      <c r="G112" s="95"/>
      <c r="H112" s="95"/>
      <c r="I112" s="95"/>
      <c r="J112" s="96"/>
      <c r="K112" s="150"/>
      <c r="L112" s="95"/>
      <c r="M112" s="95"/>
      <c r="N112" s="95"/>
      <c r="O112" s="87"/>
      <c r="P112" s="65"/>
    </row>
    <row r="113" spans="1:16">
      <c r="A113" s="87"/>
      <c r="B113" s="83"/>
      <c r="C113" s="87"/>
      <c r="D113" s="87"/>
      <c r="E113" s="95"/>
      <c r="F113" s="125"/>
      <c r="G113" s="95"/>
      <c r="H113" s="95"/>
      <c r="I113" s="95"/>
      <c r="J113" s="96"/>
      <c r="K113" s="150"/>
      <c r="L113" s="95"/>
      <c r="M113" s="95"/>
      <c r="N113" s="95"/>
      <c r="O113" s="87"/>
      <c r="P113" s="65"/>
    </row>
    <row r="114" spans="1:16">
      <c r="A114" s="87"/>
      <c r="B114" s="83"/>
      <c r="C114" s="87"/>
      <c r="D114" s="87"/>
      <c r="E114" s="95"/>
      <c r="F114" s="125"/>
      <c r="G114" s="95"/>
      <c r="H114" s="95"/>
      <c r="I114" s="95"/>
      <c r="J114" s="96"/>
      <c r="K114" s="150"/>
      <c r="L114" s="95"/>
      <c r="M114" s="95"/>
      <c r="N114" s="95"/>
      <c r="O114" s="87"/>
      <c r="P114" s="65"/>
    </row>
    <row r="115" spans="1:16">
      <c r="A115" s="87"/>
      <c r="B115" s="83"/>
      <c r="C115" s="87"/>
      <c r="D115" s="87"/>
      <c r="E115" s="95"/>
      <c r="F115" s="125"/>
      <c r="G115" s="95"/>
      <c r="H115" s="95"/>
      <c r="I115" s="95"/>
      <c r="J115" s="96"/>
      <c r="K115" s="150"/>
      <c r="L115" s="95"/>
      <c r="M115" s="95"/>
      <c r="N115" s="95"/>
      <c r="O115" s="87"/>
      <c r="P115" s="65"/>
    </row>
    <row r="116" spans="1:16">
      <c r="A116" s="87"/>
      <c r="B116" s="83"/>
      <c r="C116" s="87"/>
      <c r="D116" s="87"/>
      <c r="E116" s="95"/>
      <c r="F116" s="125"/>
      <c r="G116" s="95"/>
      <c r="H116" s="95"/>
      <c r="I116" s="95"/>
      <c r="J116" s="96"/>
      <c r="K116" s="150"/>
      <c r="L116" s="95"/>
      <c r="M116" s="95"/>
      <c r="N116" s="95"/>
      <c r="O116" s="87"/>
      <c r="P116" s="65"/>
    </row>
    <row r="117" spans="1:16">
      <c r="A117" s="87"/>
      <c r="B117" s="83"/>
      <c r="C117" s="87"/>
      <c r="D117" s="87"/>
      <c r="E117" s="95"/>
      <c r="F117" s="125"/>
      <c r="G117" s="95"/>
      <c r="H117" s="95"/>
      <c r="I117" s="95"/>
      <c r="J117" s="96"/>
      <c r="K117" s="150"/>
      <c r="L117" s="95"/>
      <c r="M117" s="95"/>
      <c r="N117" s="95"/>
      <c r="O117" s="87"/>
      <c r="P117" s="65"/>
    </row>
    <row r="118" spans="1:16">
      <c r="A118" s="87"/>
      <c r="B118" s="83"/>
      <c r="C118" s="87"/>
      <c r="D118" s="87"/>
      <c r="E118" s="95"/>
      <c r="F118" s="125"/>
      <c r="G118" s="95"/>
      <c r="H118" s="95"/>
      <c r="I118" s="95"/>
      <c r="J118" s="96"/>
      <c r="K118" s="150"/>
      <c r="L118" s="95"/>
      <c r="M118" s="95"/>
      <c r="N118" s="95"/>
      <c r="O118" s="87"/>
      <c r="P118" s="65"/>
    </row>
    <row r="119" spans="1:16">
      <c r="A119" s="87"/>
      <c r="B119" s="83"/>
      <c r="C119" s="87"/>
      <c r="D119" s="87"/>
      <c r="E119" s="95"/>
      <c r="F119" s="125"/>
      <c r="G119" s="95"/>
      <c r="H119" s="95"/>
      <c r="I119" s="95"/>
      <c r="J119" s="96"/>
      <c r="K119" s="150"/>
      <c r="L119" s="95"/>
      <c r="M119" s="95"/>
      <c r="N119" s="95"/>
      <c r="O119" s="87"/>
      <c r="P119" s="65"/>
    </row>
    <row r="120" spans="1:16">
      <c r="A120" s="87"/>
      <c r="B120" s="83"/>
      <c r="C120" s="87"/>
      <c r="D120" s="87"/>
      <c r="E120" s="95"/>
      <c r="F120" s="125"/>
      <c r="G120" s="95"/>
      <c r="H120" s="95"/>
      <c r="I120" s="95"/>
      <c r="J120" s="96"/>
      <c r="K120" s="150"/>
      <c r="L120" s="95"/>
      <c r="M120" s="95"/>
      <c r="N120" s="95"/>
      <c r="O120" s="87"/>
      <c r="P120" s="65"/>
    </row>
    <row r="121" spans="1:16">
      <c r="A121" s="87"/>
      <c r="B121" s="83"/>
      <c r="C121" s="87"/>
      <c r="D121" s="87"/>
      <c r="E121" s="95"/>
      <c r="F121" s="125"/>
      <c r="G121" s="95"/>
      <c r="H121" s="95"/>
      <c r="I121" s="95"/>
      <c r="J121" s="96"/>
      <c r="K121" s="150"/>
      <c r="L121" s="95"/>
      <c r="M121" s="95"/>
      <c r="N121" s="95"/>
      <c r="O121" s="87"/>
      <c r="P121" s="65"/>
    </row>
    <row r="122" spans="1:16">
      <c r="A122" s="87"/>
      <c r="B122" s="83"/>
      <c r="C122" s="87"/>
      <c r="D122" s="87"/>
      <c r="E122" s="95"/>
      <c r="F122" s="125"/>
      <c r="G122" s="95"/>
      <c r="H122" s="95"/>
      <c r="I122" s="95"/>
      <c r="J122" s="96"/>
      <c r="K122" s="150"/>
      <c r="L122" s="95"/>
      <c r="M122" s="95"/>
      <c r="N122" s="95"/>
      <c r="O122" s="87"/>
      <c r="P122" s="65"/>
    </row>
    <row r="123" spans="1:16">
      <c r="A123" s="87"/>
      <c r="B123" s="83"/>
      <c r="C123" s="87"/>
      <c r="D123" s="87"/>
      <c r="E123" s="95"/>
      <c r="F123" s="125"/>
      <c r="G123" s="95"/>
      <c r="H123" s="95"/>
      <c r="I123" s="95"/>
      <c r="J123" s="96"/>
      <c r="K123" s="150"/>
      <c r="L123" s="95"/>
      <c r="M123" s="95"/>
      <c r="N123" s="95"/>
      <c r="O123" s="87"/>
      <c r="P123" s="65"/>
    </row>
    <row r="124" spans="1:16">
      <c r="A124" s="87"/>
      <c r="B124" s="83"/>
      <c r="C124" s="87"/>
      <c r="D124" s="87"/>
      <c r="E124" s="95"/>
      <c r="F124" s="125"/>
      <c r="G124" s="95"/>
      <c r="H124" s="95"/>
      <c r="I124" s="95"/>
      <c r="J124" s="96"/>
      <c r="K124" s="150"/>
      <c r="L124" s="95"/>
      <c r="M124" s="95"/>
      <c r="N124" s="95"/>
      <c r="O124" s="87"/>
      <c r="P124" s="65"/>
    </row>
    <row r="125" spans="1:16">
      <c r="A125" s="87"/>
      <c r="B125" s="83"/>
      <c r="C125" s="87"/>
      <c r="D125" s="87"/>
      <c r="E125" s="95"/>
      <c r="F125" s="125"/>
      <c r="G125" s="95"/>
      <c r="H125" s="95"/>
      <c r="I125" s="95"/>
      <c r="J125" s="96"/>
      <c r="K125" s="150"/>
      <c r="L125" s="95"/>
      <c r="M125" s="95"/>
      <c r="N125" s="95"/>
      <c r="O125" s="87"/>
      <c r="P125" s="65"/>
    </row>
    <row r="126" spans="1:16">
      <c r="A126" s="87"/>
      <c r="B126" s="83"/>
      <c r="C126" s="87"/>
      <c r="D126" s="87"/>
      <c r="E126" s="95"/>
      <c r="F126" s="125"/>
      <c r="G126" s="95"/>
      <c r="H126" s="95"/>
      <c r="I126" s="95"/>
      <c r="J126" s="96"/>
      <c r="K126" s="150"/>
      <c r="L126" s="95"/>
      <c r="M126" s="95"/>
      <c r="N126" s="95"/>
      <c r="O126" s="87"/>
      <c r="P126" s="65"/>
    </row>
    <row r="127" spans="1:16">
      <c r="A127" s="87"/>
      <c r="B127" s="83"/>
      <c r="C127" s="87"/>
      <c r="D127" s="87"/>
      <c r="E127" s="95"/>
      <c r="F127" s="125"/>
      <c r="G127" s="95"/>
      <c r="H127" s="95"/>
      <c r="I127" s="95"/>
      <c r="J127" s="96"/>
      <c r="K127" s="150"/>
      <c r="L127" s="95"/>
      <c r="M127" s="95"/>
      <c r="N127" s="95"/>
      <c r="O127" s="87"/>
      <c r="P127" s="65"/>
    </row>
    <row r="128" spans="1:16">
      <c r="A128" s="87"/>
      <c r="B128" s="83"/>
      <c r="C128" s="87"/>
      <c r="D128" s="87"/>
      <c r="E128" s="95"/>
      <c r="F128" s="125"/>
      <c r="G128" s="95"/>
      <c r="H128" s="95"/>
      <c r="I128" s="95"/>
      <c r="J128" s="96"/>
      <c r="K128" s="150"/>
      <c r="L128" s="95"/>
      <c r="M128" s="95"/>
      <c r="N128" s="95"/>
      <c r="O128" s="87"/>
      <c r="P128" s="65"/>
    </row>
    <row r="129" spans="1:16">
      <c r="A129" s="87"/>
      <c r="B129" s="83"/>
      <c r="C129" s="87"/>
      <c r="D129" s="87"/>
      <c r="E129" s="95"/>
      <c r="F129" s="125"/>
      <c r="G129" s="95"/>
      <c r="H129" s="95"/>
      <c r="I129" s="95"/>
      <c r="J129" s="96"/>
      <c r="K129" s="150"/>
      <c r="L129" s="95"/>
      <c r="M129" s="95"/>
      <c r="N129" s="95"/>
      <c r="O129" s="87"/>
      <c r="P129" s="65"/>
    </row>
    <row r="130" spans="1:16">
      <c r="A130" s="87"/>
      <c r="B130" s="83"/>
      <c r="C130" s="87"/>
      <c r="D130" s="87"/>
      <c r="E130" s="95"/>
      <c r="F130" s="125"/>
      <c r="G130" s="95"/>
      <c r="H130" s="95"/>
      <c r="I130" s="95"/>
      <c r="J130" s="96"/>
      <c r="K130" s="150"/>
      <c r="L130" s="95"/>
      <c r="M130" s="95"/>
      <c r="N130" s="95"/>
      <c r="O130" s="87"/>
    </row>
    <row r="131" spans="1:16">
      <c r="A131" s="87"/>
      <c r="B131" s="83"/>
      <c r="C131" s="87"/>
      <c r="D131" s="87"/>
      <c r="E131" s="95"/>
      <c r="F131" s="125"/>
      <c r="G131" s="95"/>
      <c r="H131" s="95"/>
      <c r="I131" s="95"/>
      <c r="J131" s="96"/>
      <c r="K131" s="150"/>
      <c r="L131" s="95"/>
      <c r="M131" s="95"/>
      <c r="N131" s="95"/>
      <c r="O131" s="87"/>
    </row>
  </sheetData>
  <mergeCells count="570">
    <mergeCell ref="JH1:JJ2"/>
    <mergeCell ref="KL1:KN2"/>
    <mergeCell ref="AV1:AX2"/>
    <mergeCell ref="BZ1:CB2"/>
    <mergeCell ref="DD1:DF2"/>
    <mergeCell ref="EH1:EJ2"/>
    <mergeCell ref="FL1:FN2"/>
    <mergeCell ref="GP1:GR2"/>
    <mergeCell ref="HT1:HV2"/>
    <mergeCell ref="IX1:IZ2"/>
    <mergeCell ref="KB1:KD2"/>
    <mergeCell ref="JK1:JK2"/>
    <mergeCell ref="JL1:JL2"/>
    <mergeCell ref="JU1:JU2"/>
    <mergeCell ref="JV1:JV2"/>
    <mergeCell ref="KE1:KE2"/>
    <mergeCell ref="KF1:KF2"/>
    <mergeCell ref="HC1:HC2"/>
    <mergeCell ref="HD1:HD2"/>
    <mergeCell ref="HM1:HM2"/>
    <mergeCell ref="CM1:CM2"/>
    <mergeCell ref="CN1:CN2"/>
    <mergeCell ref="CW1:CW2"/>
    <mergeCell ref="CX1:CX2"/>
    <mergeCell ref="KO1:KO2"/>
    <mergeCell ref="KP1:KP2"/>
    <mergeCell ref="AL1:AN2"/>
    <mergeCell ref="BP1:BR2"/>
    <mergeCell ref="CT1:CV2"/>
    <mergeCell ref="DX1:DZ2"/>
    <mergeCell ref="FB1:FD2"/>
    <mergeCell ref="GF1:GH2"/>
    <mergeCell ref="HJ1:HL2"/>
    <mergeCell ref="IN1:IP2"/>
    <mergeCell ref="JR1:JT2"/>
    <mergeCell ref="BF1:BH2"/>
    <mergeCell ref="CJ1:CL2"/>
    <mergeCell ref="DN1:DP2"/>
    <mergeCell ref="ER1:ET2"/>
    <mergeCell ref="FV1:FX2"/>
    <mergeCell ref="GZ1:HB2"/>
    <mergeCell ref="ID1:IF2"/>
    <mergeCell ref="FY1:FY2"/>
    <mergeCell ref="FZ1:FZ2"/>
    <mergeCell ref="GI1:GI2"/>
    <mergeCell ref="GJ1:GJ2"/>
    <mergeCell ref="GS1:GS2"/>
    <mergeCell ref="GT1:GT2"/>
    <mergeCell ref="DG1:DG2"/>
    <mergeCell ref="DH1:DH2"/>
    <mergeCell ref="DQ1:DQ2"/>
    <mergeCell ref="DR1:DR2"/>
    <mergeCell ref="EA1:EA2"/>
    <mergeCell ref="O9:O10"/>
    <mergeCell ref="O35:O36"/>
    <mergeCell ref="AE1:AE2"/>
    <mergeCell ref="AF1:AF2"/>
    <mergeCell ref="AO1:AO2"/>
    <mergeCell ref="AP1:AP2"/>
    <mergeCell ref="AY1:AY2"/>
    <mergeCell ref="AZ1:AZ2"/>
    <mergeCell ref="BI1:BI2"/>
    <mergeCell ref="AB1:AD2"/>
    <mergeCell ref="DD7:DF7"/>
    <mergeCell ref="DN7:DP7"/>
    <mergeCell ref="DX7:DZ7"/>
    <mergeCell ref="CR1:CS1"/>
    <mergeCell ref="DB1:DC1"/>
    <mergeCell ref="DL1:DM1"/>
    <mergeCell ref="DV1:DW1"/>
    <mergeCell ref="A1:O1"/>
    <mergeCell ref="Q1:T1"/>
    <mergeCell ref="G9:G10"/>
    <mergeCell ref="H9:H10"/>
    <mergeCell ref="I9:I10"/>
    <mergeCell ref="I35:I36"/>
    <mergeCell ref="J9:J10"/>
    <mergeCell ref="J32:J33"/>
    <mergeCell ref="J35:J36"/>
    <mergeCell ref="K35:K36"/>
    <mergeCell ref="N9:N10"/>
    <mergeCell ref="N35:N36"/>
    <mergeCell ref="G30:N31"/>
    <mergeCell ref="K9:M10"/>
    <mergeCell ref="G32:I33"/>
    <mergeCell ref="A34:C34"/>
    <mergeCell ref="G35:H35"/>
    <mergeCell ref="L35:M35"/>
    <mergeCell ref="A35:A36"/>
    <mergeCell ref="B35:B36"/>
    <mergeCell ref="C35:C36"/>
    <mergeCell ref="D35:D36"/>
    <mergeCell ref="E35:E36"/>
    <mergeCell ref="F35:F36"/>
    <mergeCell ref="A29:C29"/>
    <mergeCell ref="G29:I29"/>
    <mergeCell ref="K29:M29"/>
    <mergeCell ref="A30:C30"/>
    <mergeCell ref="A31:C31"/>
    <mergeCell ref="A32:C32"/>
    <mergeCell ref="K32:M32"/>
    <mergeCell ref="A33:C33"/>
    <mergeCell ref="K33:M33"/>
    <mergeCell ref="A25:C25"/>
    <mergeCell ref="K25:M25"/>
    <mergeCell ref="A26:C26"/>
    <mergeCell ref="G26:I26"/>
    <mergeCell ref="K26:M26"/>
    <mergeCell ref="G27:I27"/>
    <mergeCell ref="K27:M27"/>
    <mergeCell ref="A28:C28"/>
    <mergeCell ref="G28:I28"/>
    <mergeCell ref="K28:M28"/>
    <mergeCell ref="A20:C20"/>
    <mergeCell ref="K20:M20"/>
    <mergeCell ref="A21:C21"/>
    <mergeCell ref="K21:M21"/>
    <mergeCell ref="A22:C22"/>
    <mergeCell ref="K22:M22"/>
    <mergeCell ref="A23:C23"/>
    <mergeCell ref="K23:M23"/>
    <mergeCell ref="A24:C24"/>
    <mergeCell ref="K24:M24"/>
    <mergeCell ref="KB15:KD15"/>
    <mergeCell ref="KL15:KN15"/>
    <mergeCell ref="A16:C16"/>
    <mergeCell ref="K16:M16"/>
    <mergeCell ref="A17:C17"/>
    <mergeCell ref="K17:M17"/>
    <mergeCell ref="A18:C18"/>
    <mergeCell ref="K18:M18"/>
    <mergeCell ref="A19:C19"/>
    <mergeCell ref="K19:M19"/>
    <mergeCell ref="GP15:GR15"/>
    <mergeCell ref="GZ15:HB15"/>
    <mergeCell ref="HJ15:HL15"/>
    <mergeCell ref="HT15:HV15"/>
    <mergeCell ref="ID15:IF15"/>
    <mergeCell ref="IN15:IP15"/>
    <mergeCell ref="IX15:IZ15"/>
    <mergeCell ref="JH15:JJ15"/>
    <mergeCell ref="JR15:JT15"/>
    <mergeCell ref="IX14:IZ14"/>
    <mergeCell ref="JH14:JJ14"/>
    <mergeCell ref="JR14:JT14"/>
    <mergeCell ref="KB14:KD14"/>
    <mergeCell ref="KL14:KN14"/>
    <mergeCell ref="A15:C15"/>
    <mergeCell ref="K15:M15"/>
    <mergeCell ref="AB15:AD15"/>
    <mergeCell ref="AL15:AN15"/>
    <mergeCell ref="AV15:AX15"/>
    <mergeCell ref="BF15:BH15"/>
    <mergeCell ref="BP15:BR15"/>
    <mergeCell ref="BZ15:CB15"/>
    <mergeCell ref="CJ15:CL15"/>
    <mergeCell ref="CT15:CV15"/>
    <mergeCell ref="DD15:DF15"/>
    <mergeCell ref="DN15:DP15"/>
    <mergeCell ref="DX15:DZ15"/>
    <mergeCell ref="EH15:EJ15"/>
    <mergeCell ref="ER15:ET15"/>
    <mergeCell ref="FB15:FD15"/>
    <mergeCell ref="FL15:FN15"/>
    <mergeCell ref="FV15:FX15"/>
    <mergeCell ref="GF15:GH15"/>
    <mergeCell ref="FL14:FN14"/>
    <mergeCell ref="FV14:FX14"/>
    <mergeCell ref="GF14:GH14"/>
    <mergeCell ref="GP14:GR14"/>
    <mergeCell ref="GZ14:HB14"/>
    <mergeCell ref="HJ14:HL14"/>
    <mergeCell ref="HT14:HV14"/>
    <mergeCell ref="ID14:IF14"/>
    <mergeCell ref="IN14:IP14"/>
    <mergeCell ref="HT13:HV13"/>
    <mergeCell ref="ID13:IF13"/>
    <mergeCell ref="IN13:IP13"/>
    <mergeCell ref="IX13:IZ13"/>
    <mergeCell ref="JH13:JJ13"/>
    <mergeCell ref="JR13:JT13"/>
    <mergeCell ref="KB13:KD13"/>
    <mergeCell ref="KL13:KN13"/>
    <mergeCell ref="A14:C14"/>
    <mergeCell ref="K14:M14"/>
    <mergeCell ref="AB14:AD14"/>
    <mergeCell ref="AL14:AN14"/>
    <mergeCell ref="AV14:AX14"/>
    <mergeCell ref="BF14:BH14"/>
    <mergeCell ref="BP14:BR14"/>
    <mergeCell ref="BZ14:CB14"/>
    <mergeCell ref="CJ14:CL14"/>
    <mergeCell ref="CT14:CV14"/>
    <mergeCell ref="DD14:DF14"/>
    <mergeCell ref="DN14:DP14"/>
    <mergeCell ref="DX14:DZ14"/>
    <mergeCell ref="EH14:EJ14"/>
    <mergeCell ref="ER14:ET14"/>
    <mergeCell ref="FB14:FD14"/>
    <mergeCell ref="KB12:KD12"/>
    <mergeCell ref="KL12:KN12"/>
    <mergeCell ref="A13:C13"/>
    <mergeCell ref="K13:M13"/>
    <mergeCell ref="AB13:AD13"/>
    <mergeCell ref="AL13:AN13"/>
    <mergeCell ref="AV13:AX13"/>
    <mergeCell ref="BF13:BH13"/>
    <mergeCell ref="BP13:BR13"/>
    <mergeCell ref="BZ13:CB13"/>
    <mergeCell ref="CJ13:CL13"/>
    <mergeCell ref="CT13:CV13"/>
    <mergeCell ref="DD13:DF13"/>
    <mergeCell ref="DN13:DP13"/>
    <mergeCell ref="DX13:DZ13"/>
    <mergeCell ref="EH13:EJ13"/>
    <mergeCell ref="ER13:ET13"/>
    <mergeCell ref="FB13:FD13"/>
    <mergeCell ref="FL13:FN13"/>
    <mergeCell ref="FV13:FX13"/>
    <mergeCell ref="GF13:GH13"/>
    <mergeCell ref="GP13:GR13"/>
    <mergeCell ref="GZ13:HB13"/>
    <mergeCell ref="HJ13:HL13"/>
    <mergeCell ref="GP12:GR12"/>
    <mergeCell ref="GZ12:HB12"/>
    <mergeCell ref="HJ12:HL12"/>
    <mergeCell ref="HT12:HV12"/>
    <mergeCell ref="ID12:IF12"/>
    <mergeCell ref="IN12:IP12"/>
    <mergeCell ref="IX12:IZ12"/>
    <mergeCell ref="JH12:JJ12"/>
    <mergeCell ref="JR12:JT12"/>
    <mergeCell ref="IX11:IZ11"/>
    <mergeCell ref="JH11:JJ11"/>
    <mergeCell ref="JR11:JT11"/>
    <mergeCell ref="KB11:KD11"/>
    <mergeCell ref="KL11:KN11"/>
    <mergeCell ref="A12:C12"/>
    <mergeCell ref="K12:M12"/>
    <mergeCell ref="AB12:AD12"/>
    <mergeCell ref="AL12:AN12"/>
    <mergeCell ref="AV12:AX12"/>
    <mergeCell ref="BF12:BH12"/>
    <mergeCell ref="BP12:BR12"/>
    <mergeCell ref="BZ12:CB12"/>
    <mergeCell ref="CJ12:CL12"/>
    <mergeCell ref="CT12:CV12"/>
    <mergeCell ref="DD12:DF12"/>
    <mergeCell ref="DN12:DP12"/>
    <mergeCell ref="DX12:DZ12"/>
    <mergeCell ref="EH12:EJ12"/>
    <mergeCell ref="ER12:ET12"/>
    <mergeCell ref="FB12:FD12"/>
    <mergeCell ref="FL12:FN12"/>
    <mergeCell ref="FV12:FX12"/>
    <mergeCell ref="GF12:GH12"/>
    <mergeCell ref="FL11:FN11"/>
    <mergeCell ref="FV11:FX11"/>
    <mergeCell ref="GF11:GH11"/>
    <mergeCell ref="GP11:GR11"/>
    <mergeCell ref="GZ11:HB11"/>
    <mergeCell ref="HJ11:HL11"/>
    <mergeCell ref="HT11:HV11"/>
    <mergeCell ref="ID11:IF11"/>
    <mergeCell ref="IN11:IP11"/>
    <mergeCell ref="HT10:HV10"/>
    <mergeCell ref="ID10:IF10"/>
    <mergeCell ref="IN10:IP10"/>
    <mergeCell ref="IX10:IZ10"/>
    <mergeCell ref="JH10:JJ10"/>
    <mergeCell ref="JR10:JT10"/>
    <mergeCell ref="KB10:KD10"/>
    <mergeCell ref="KL10:KN10"/>
    <mergeCell ref="A11:C11"/>
    <mergeCell ref="K11:M11"/>
    <mergeCell ref="AB11:AD11"/>
    <mergeCell ref="AL11:AN11"/>
    <mergeCell ref="AV11:AX11"/>
    <mergeCell ref="BF11:BH11"/>
    <mergeCell ref="BP11:BR11"/>
    <mergeCell ref="BZ11:CB11"/>
    <mergeCell ref="CJ11:CL11"/>
    <mergeCell ref="CT11:CV11"/>
    <mergeCell ref="DD11:DF11"/>
    <mergeCell ref="DN11:DP11"/>
    <mergeCell ref="DX11:DZ11"/>
    <mergeCell ref="EH11:EJ11"/>
    <mergeCell ref="ER11:ET11"/>
    <mergeCell ref="FB11:FD11"/>
    <mergeCell ref="JR9:JT9"/>
    <mergeCell ref="KB9:KD9"/>
    <mergeCell ref="KL9:KN9"/>
    <mergeCell ref="A10:C10"/>
    <mergeCell ref="AB10:AD10"/>
    <mergeCell ref="AL10:AN10"/>
    <mergeCell ref="AV10:AX10"/>
    <mergeCell ref="BF10:BH10"/>
    <mergeCell ref="BP10:BR10"/>
    <mergeCell ref="BZ10:CB10"/>
    <mergeCell ref="CJ10:CL10"/>
    <mergeCell ref="CT10:CV10"/>
    <mergeCell ref="DD10:DF10"/>
    <mergeCell ref="DN10:DP10"/>
    <mergeCell ref="DX10:DZ10"/>
    <mergeCell ref="EH10:EJ10"/>
    <mergeCell ref="ER10:ET10"/>
    <mergeCell ref="FB10:FD10"/>
    <mergeCell ref="FL10:FN10"/>
    <mergeCell ref="FV10:FX10"/>
    <mergeCell ref="GF10:GH10"/>
    <mergeCell ref="GP10:GR10"/>
    <mergeCell ref="GZ10:HB10"/>
    <mergeCell ref="HJ10:HL10"/>
    <mergeCell ref="GF9:GH9"/>
    <mergeCell ref="GP9:GR9"/>
    <mergeCell ref="GZ9:HB9"/>
    <mergeCell ref="HJ9:HL9"/>
    <mergeCell ref="HT9:HV9"/>
    <mergeCell ref="ID9:IF9"/>
    <mergeCell ref="IN9:IP9"/>
    <mergeCell ref="IX9:IZ9"/>
    <mergeCell ref="JH9:JJ9"/>
    <mergeCell ref="ID8:IF8"/>
    <mergeCell ref="IN8:IP8"/>
    <mergeCell ref="IX8:IZ8"/>
    <mergeCell ref="JH8:JJ8"/>
    <mergeCell ref="JR8:JT8"/>
    <mergeCell ref="KB8:KD8"/>
    <mergeCell ref="KL8:KN8"/>
    <mergeCell ref="A9:C9"/>
    <mergeCell ref="AB9:AD9"/>
    <mergeCell ref="AL9:AN9"/>
    <mergeCell ref="AV9:AX9"/>
    <mergeCell ref="BF9:BH9"/>
    <mergeCell ref="BP9:BR9"/>
    <mergeCell ref="BZ9:CB9"/>
    <mergeCell ref="CJ9:CL9"/>
    <mergeCell ref="CT9:CV9"/>
    <mergeCell ref="DD9:DF9"/>
    <mergeCell ref="DN9:DP9"/>
    <mergeCell ref="DX9:DZ9"/>
    <mergeCell ref="EH9:EJ9"/>
    <mergeCell ref="ER9:ET9"/>
    <mergeCell ref="FB9:FD9"/>
    <mergeCell ref="FL9:FN9"/>
    <mergeCell ref="FV9:FX9"/>
    <mergeCell ref="KB7:KD7"/>
    <mergeCell ref="KL7:KN7"/>
    <mergeCell ref="A8:O8"/>
    <mergeCell ref="AB8:AD8"/>
    <mergeCell ref="AL8:AN8"/>
    <mergeCell ref="AV8:AX8"/>
    <mergeCell ref="BF8:BH8"/>
    <mergeCell ref="BP8:BR8"/>
    <mergeCell ref="BZ8:CB8"/>
    <mergeCell ref="CJ8:CL8"/>
    <mergeCell ref="CT8:CV8"/>
    <mergeCell ref="DD8:DF8"/>
    <mergeCell ref="DN8:DP8"/>
    <mergeCell ref="DX8:DZ8"/>
    <mergeCell ref="EH8:EJ8"/>
    <mergeCell ref="ER8:ET8"/>
    <mergeCell ref="FB8:FD8"/>
    <mergeCell ref="FL8:FN8"/>
    <mergeCell ref="FV8:FX8"/>
    <mergeCell ref="GF8:GH8"/>
    <mergeCell ref="GP8:GR8"/>
    <mergeCell ref="GZ8:HB8"/>
    <mergeCell ref="HJ8:HL8"/>
    <mergeCell ref="HT8:HV8"/>
    <mergeCell ref="GP7:GR7"/>
    <mergeCell ref="GZ7:HB7"/>
    <mergeCell ref="HJ7:HL7"/>
    <mergeCell ref="HT7:HV7"/>
    <mergeCell ref="ID7:IF7"/>
    <mergeCell ref="IN7:IP7"/>
    <mergeCell ref="IX7:IZ7"/>
    <mergeCell ref="JH7:JJ7"/>
    <mergeCell ref="JR7:JT7"/>
    <mergeCell ref="EH7:EJ7"/>
    <mergeCell ref="ER7:ET7"/>
    <mergeCell ref="FB7:FD7"/>
    <mergeCell ref="FL7:FN7"/>
    <mergeCell ref="FV7:FX7"/>
    <mergeCell ref="GF7:GH7"/>
    <mergeCell ref="A7:O7"/>
    <mergeCell ref="AB7:AD7"/>
    <mergeCell ref="AL7:AN7"/>
    <mergeCell ref="AV7:AX7"/>
    <mergeCell ref="BF7:BH7"/>
    <mergeCell ref="BP7:BR7"/>
    <mergeCell ref="BZ7:CB7"/>
    <mergeCell ref="CJ7:CL7"/>
    <mergeCell ref="CT7:CV7"/>
    <mergeCell ref="HJ6:HL6"/>
    <mergeCell ref="HT6:HV6"/>
    <mergeCell ref="ID6:IF6"/>
    <mergeCell ref="IN6:IP6"/>
    <mergeCell ref="IX6:IZ6"/>
    <mergeCell ref="JH6:JJ6"/>
    <mergeCell ref="JR6:JT6"/>
    <mergeCell ref="KB6:KD6"/>
    <mergeCell ref="KL6:KN6"/>
    <mergeCell ref="JH5:JJ5"/>
    <mergeCell ref="JR5:JT5"/>
    <mergeCell ref="KB5:KD5"/>
    <mergeCell ref="KL5:KN5"/>
    <mergeCell ref="A6:O6"/>
    <mergeCell ref="AB6:AD6"/>
    <mergeCell ref="AL6:AN6"/>
    <mergeCell ref="AV6:AX6"/>
    <mergeCell ref="BF6:BH6"/>
    <mergeCell ref="BP6:BR6"/>
    <mergeCell ref="BZ6:CB6"/>
    <mergeCell ref="CJ6:CL6"/>
    <mergeCell ref="CT6:CV6"/>
    <mergeCell ref="DD6:DF6"/>
    <mergeCell ref="DN6:DP6"/>
    <mergeCell ref="DX6:DZ6"/>
    <mergeCell ref="EH6:EJ6"/>
    <mergeCell ref="ER6:ET6"/>
    <mergeCell ref="FB6:FD6"/>
    <mergeCell ref="FL6:FN6"/>
    <mergeCell ref="FV6:FX6"/>
    <mergeCell ref="GF6:GH6"/>
    <mergeCell ref="GP6:GR6"/>
    <mergeCell ref="GZ6:HB6"/>
    <mergeCell ref="FV5:FX5"/>
    <mergeCell ref="GF5:GH5"/>
    <mergeCell ref="GP5:GR5"/>
    <mergeCell ref="GZ5:HB5"/>
    <mergeCell ref="HJ5:HL5"/>
    <mergeCell ref="HT5:HV5"/>
    <mergeCell ref="ID5:IF5"/>
    <mergeCell ref="IN5:IP5"/>
    <mergeCell ref="IX5:IZ5"/>
    <mergeCell ref="IX4:IZ4"/>
    <mergeCell ref="JH4:JJ4"/>
    <mergeCell ref="JR4:JT4"/>
    <mergeCell ref="KB4:KD4"/>
    <mergeCell ref="KL4:KN4"/>
    <mergeCell ref="A5:C5"/>
    <mergeCell ref="D5:I5"/>
    <mergeCell ref="J5:M5"/>
    <mergeCell ref="N5:O5"/>
    <mergeCell ref="AB5:AD5"/>
    <mergeCell ref="AL5:AN5"/>
    <mergeCell ref="AV5:AX5"/>
    <mergeCell ref="BF5:BH5"/>
    <mergeCell ref="BP5:BR5"/>
    <mergeCell ref="BZ5:CB5"/>
    <mergeCell ref="CJ5:CL5"/>
    <mergeCell ref="CT5:CV5"/>
    <mergeCell ref="DD5:DF5"/>
    <mergeCell ref="DN5:DP5"/>
    <mergeCell ref="DX5:DZ5"/>
    <mergeCell ref="EH5:EJ5"/>
    <mergeCell ref="ER5:ET5"/>
    <mergeCell ref="FB5:FD5"/>
    <mergeCell ref="FL5:FN5"/>
    <mergeCell ref="FL4:FN4"/>
    <mergeCell ref="FV4:FX4"/>
    <mergeCell ref="GF4:GH4"/>
    <mergeCell ref="GP4:GR4"/>
    <mergeCell ref="GZ4:HB4"/>
    <mergeCell ref="HJ4:HL4"/>
    <mergeCell ref="HT4:HV4"/>
    <mergeCell ref="ID4:IF4"/>
    <mergeCell ref="IN4:IP4"/>
    <mergeCell ref="IN3:IP3"/>
    <mergeCell ref="IX3:IZ3"/>
    <mergeCell ref="JH3:JJ3"/>
    <mergeCell ref="JR3:JT3"/>
    <mergeCell ref="KB3:KD3"/>
    <mergeCell ref="KL3:KN3"/>
    <mergeCell ref="A4:C4"/>
    <mergeCell ref="D4:I4"/>
    <mergeCell ref="J4:M4"/>
    <mergeCell ref="N4:O4"/>
    <mergeCell ref="AB4:AD4"/>
    <mergeCell ref="AL4:AN4"/>
    <mergeCell ref="AV4:AX4"/>
    <mergeCell ref="BF4:BH4"/>
    <mergeCell ref="BP4:BR4"/>
    <mergeCell ref="BZ4:CB4"/>
    <mergeCell ref="CJ4:CL4"/>
    <mergeCell ref="CT4:CV4"/>
    <mergeCell ref="DD4:DF4"/>
    <mergeCell ref="DN4:DP4"/>
    <mergeCell ref="DX4:DZ4"/>
    <mergeCell ref="EH4:EJ4"/>
    <mergeCell ref="ER4:ET4"/>
    <mergeCell ref="FB4:FD4"/>
    <mergeCell ref="FB3:FD3"/>
    <mergeCell ref="FL3:FN3"/>
    <mergeCell ref="FV3:FX3"/>
    <mergeCell ref="GF3:GH3"/>
    <mergeCell ref="GP3:GR3"/>
    <mergeCell ref="GZ3:HB3"/>
    <mergeCell ref="HJ3:HL3"/>
    <mergeCell ref="HT3:HV3"/>
    <mergeCell ref="ID3:IF3"/>
    <mergeCell ref="JP1:JQ1"/>
    <mergeCell ref="JZ1:KA1"/>
    <mergeCell ref="KJ1:KK1"/>
    <mergeCell ref="A2:C2"/>
    <mergeCell ref="D2:I2"/>
    <mergeCell ref="J2:M2"/>
    <mergeCell ref="N2:O2"/>
    <mergeCell ref="A3:C3"/>
    <mergeCell ref="D3:I3"/>
    <mergeCell ref="J3:M3"/>
    <mergeCell ref="N3:O3"/>
    <mergeCell ref="AB3:AD3"/>
    <mergeCell ref="AL3:AN3"/>
    <mergeCell ref="AV3:AX3"/>
    <mergeCell ref="BF3:BH3"/>
    <mergeCell ref="BP3:BR3"/>
    <mergeCell ref="BZ3:CB3"/>
    <mergeCell ref="CJ3:CL3"/>
    <mergeCell ref="CT3:CV3"/>
    <mergeCell ref="DD3:DF3"/>
    <mergeCell ref="DN3:DP3"/>
    <mergeCell ref="DX3:DZ3"/>
    <mergeCell ref="EH3:EJ3"/>
    <mergeCell ref="ER3:ET3"/>
    <mergeCell ref="GD1:GE1"/>
    <mergeCell ref="GN1:GO1"/>
    <mergeCell ref="GX1:GY1"/>
    <mergeCell ref="HH1:HI1"/>
    <mergeCell ref="HR1:HS1"/>
    <mergeCell ref="IB1:IC1"/>
    <mergeCell ref="IL1:IM1"/>
    <mergeCell ref="IV1:IW1"/>
    <mergeCell ref="JF1:JG1"/>
    <mergeCell ref="HN1:HN2"/>
    <mergeCell ref="HW1:HW2"/>
    <mergeCell ref="HX1:HX2"/>
    <mergeCell ref="IG1:IG2"/>
    <mergeCell ref="IH1:IH2"/>
    <mergeCell ref="IQ1:IQ2"/>
    <mergeCell ref="IR1:IR2"/>
    <mergeCell ref="JA1:JA2"/>
    <mergeCell ref="JB1:JB2"/>
    <mergeCell ref="EF1:EG1"/>
    <mergeCell ref="EP1:EQ1"/>
    <mergeCell ref="EZ1:FA1"/>
    <mergeCell ref="FJ1:FK1"/>
    <mergeCell ref="FT1:FU1"/>
    <mergeCell ref="EB1:EB2"/>
    <mergeCell ref="EK1:EK2"/>
    <mergeCell ref="EL1:EL2"/>
    <mergeCell ref="EU1:EU2"/>
    <mergeCell ref="EV1:EV2"/>
    <mergeCell ref="FE1:FE2"/>
    <mergeCell ref="FF1:FF2"/>
    <mergeCell ref="FO1:FO2"/>
    <mergeCell ref="FP1:FP2"/>
    <mergeCell ref="Z1:AA1"/>
    <mergeCell ref="AJ1:AK1"/>
    <mergeCell ref="AT1:AU1"/>
    <mergeCell ref="BD1:BE1"/>
    <mergeCell ref="BN1:BO1"/>
    <mergeCell ref="BX1:BY1"/>
    <mergeCell ref="CH1:CI1"/>
    <mergeCell ref="BJ1:BJ2"/>
    <mergeCell ref="BS1:BS2"/>
    <mergeCell ref="BT1:BT2"/>
    <mergeCell ref="CC1:CC2"/>
    <mergeCell ref="CD1:CD2"/>
  </mergeCells>
  <conditionalFormatting sqref="I37:I15036">
    <cfRule type="dataBar" priority="3">
      <dataBar>
        <cfvo type="min"/>
        <cfvo type="max"/>
        <color rgb="FF63C384"/>
      </dataBar>
      <extLst>
        <ext xmlns:x14="http://schemas.microsoft.com/office/spreadsheetml/2009/9/main" uri="{B025F937-C7B1-47D3-B67F-A62EFF666E3E}">
          <x14:id>{5A258062-B1B9-461E-9D47-8D2CBA436C95}</x14:id>
        </ext>
      </extLst>
    </cfRule>
  </conditionalFormatting>
  <conditionalFormatting sqref="N37:N15036">
    <cfRule type="dataBar" priority="2">
      <dataBar>
        <cfvo type="min"/>
        <cfvo type="max"/>
        <color rgb="FFFF555A"/>
      </dataBar>
      <extLst>
        <ext xmlns:x14="http://schemas.microsoft.com/office/spreadsheetml/2009/9/main" uri="{B025F937-C7B1-47D3-B67F-A62EFF666E3E}">
          <x14:id>{05676A42-DC95-49BB-8DFF-2CFFF8BA5ED9}</x14:id>
        </ext>
      </extLst>
    </cfRule>
  </conditionalFormatting>
  <conditionalFormatting sqref="O37:O15036 P35:P15034">
    <cfRule type="dataBar" priority="62">
      <dataBar>
        <cfvo type="min"/>
        <cfvo type="max"/>
        <color rgb="FF008AEF"/>
      </dataBar>
      <extLst>
        <ext xmlns:x14="http://schemas.microsoft.com/office/spreadsheetml/2009/9/main" uri="{B025F937-C7B1-47D3-B67F-A62EFF666E3E}">
          <x14:id>{CEE5278A-8A4D-47E9-A901-51F0C0746A56}</x14:id>
        </ext>
      </extLst>
    </cfRule>
  </conditionalFormatting>
  <conditionalFormatting sqref="E37:F15036">
    <cfRule type="dataBar" priority="4">
      <dataBar>
        <cfvo type="min"/>
        <cfvo type="max"/>
        <color rgb="FF638EC6"/>
      </dataBar>
      <extLst>
        <ext xmlns:x14="http://schemas.microsoft.com/office/spreadsheetml/2009/9/main" uri="{B025F937-C7B1-47D3-B67F-A62EFF666E3E}">
          <x14:id>{21B326C8-C4CA-48B0-B8C2-30C69037ECB0}</x14:id>
        </ext>
      </extLst>
    </cfRule>
  </conditionalFormatting>
  <conditionalFormatting sqref="B37:B15036">
    <cfRule type="cellIs" dxfId="5" priority="51" operator="equal">
      <formula>$D$17</formula>
    </cfRule>
    <cfRule type="cellIs" dxfId="4" priority="50" operator="equal">
      <formula>$D$16</formula>
    </cfRule>
  </conditionalFormatting>
  <dataValidations count="11">
    <dataValidation type="list" allowBlank="1" showInputMessage="1" showErrorMessage="1" sqref="D10">
      <formula1>"Cọc khoan nhồi, Cọc khoan thả, Cọc ống, Cọc vít,Cọc đóng ép"</formula1>
    </dataValidation>
    <dataValidation type="list" allowBlank="1" showInputMessage="1" showErrorMessage="1" sqref="E10:F10">
      <formula1>"Cọc nhồi, Cọc khoan, Cọc đào thả, Cọc vít,Cọc đóng ép"</formula1>
    </dataValidation>
    <dataValidation type="list" allowBlank="1" showInputMessage="1" showErrorMessage="1" sqref="D11:F11">
      <formula1>"Cọc Vuông,Cọc Tròn"</formula1>
    </dataValidation>
    <dataValidation type="list" allowBlank="1" showInputMessage="1" showErrorMessage="1" sqref="D12">
      <formula1>"Cọc đóng,Cọc nhồi chiếm chỗ,Cọc khoan"</formula1>
    </dataValidation>
    <dataValidation type="list" allowBlank="1" showInputMessage="1" showErrorMessage="1" sqref="D20">
      <formula1>"Loại 1,Loại 2"</formula1>
    </dataValidation>
    <dataValidation type="list" allowBlank="1" showInputMessage="1" showErrorMessage="1" sqref="N26">
      <formula1>B2.Capdoben</formula1>
    </dataValidation>
    <dataValidation type="list" allowBlank="1" showInputMessage="1" showErrorMessage="1" sqref="D28">
      <formula1>"C1,C2,C3"</formula1>
    </dataValidation>
    <dataValidation type="list" allowBlank="1" showInputMessage="1" showErrorMessage="1" sqref="D31">
      <formula1>"Yes,No"</formula1>
    </dataValidation>
    <dataValidation type="list" allowBlank="1" showInputMessage="1" showErrorMessage="1" sqref="J11:J25 AA3:AA15 AK3:AK15 AU3:AU15 BE3:BE15 BO3:BO15 BY3:BY15 CI3:CI15 CS3:CS15 DC3:DC15 DM3:DM15 DW3:DW15 EG3:EG15 EQ3:EQ15 FA3:FA15 FK3:FK15 FU3:FU15 GE3:GE15 GO3:GO15 GY3:GY15 HI3:HI15 HS3:HS15 IC3:IC15 IM3:IM15 IW3:IW15 JG3:JG15 JQ3:JQ15 KA3:KA15 KK3:KK15">
      <formula1>"Đất dính,Đất rời"</formula1>
    </dataValidation>
    <dataValidation type="list" allowBlank="1" showInputMessage="1" showErrorMessage="1" sqref="O11:O25 AF3:AF15 AP3:AP15 AZ3:AZ15 BJ3:BJ15 BT3:BT15 CD3:CD15 CN3:CN15 CX3:CX15 DH3:DH15 DR3:DR15 EB3:EB15 EL3:EL15 EV3:EV15 FF3:FF15 FP3:FP15 FZ3:FZ15 GJ3:GJ15 GT3:GT15 HD3:HD15 HN3:HN15 HX3:HX15 IH3:IH15 IR3:IR15 JB3:JB15 JL3:JL15 JV3:JV15 KF3:KF15 KP3:KP15">
      <formula1>" ,A,B,C,D,E,Lấy theo SPT Cao độ"</formula1>
    </dataValidation>
    <dataValidation type="list" allowBlank="1" showInputMessage="1" showErrorMessage="1" sqref="K11:M25 AB3:AD15 BF3:BH15 CJ3:CL15 DN3:DP15 ER3:ET15 FV3:FX15 GZ3:HB15 ID3:IF15 JH3:JJ15 KL3:KN15 AL3:AN15 BP3:BR15 CT3:CV15 DX3:DZ15 FB3:FD15 GF3:GH15 HJ3:HL15 IN3:IP15 JR3:JT15 AV3:AX15 BZ3:CB15 DD3:DF15 EH3:EJ15 FL3:FN15 GP3:GR15 HT3:HV15 IX3:IZ15 KB3:KD15">
      <formula1>"Đất sét có chỉ số chảy =,Cát Chặt ít ẩm và ẩm,Cát Chặt bão hòa nước,Cát Chặt vừa ít ẩm và ẩm,Cát Chặt vừa bão hòa nước,Đá và Đất Hòn lớn"</formula1>
    </dataValidation>
  </dataValidations>
  <pageMargins left="0.59055118110236204" right="0.39370078740157499" top="0.39370078740157499" bottom="0.39370078740157499" header="0.15748031496063" footer="0.15748031496063"/>
  <pageSetup paperSize="9" scale="72"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Pict="0" macro="[0]!LayDuLieuTheoCotEQ">
                <anchor moveWithCells="1" sizeWithCells="1">
                  <from>
                    <xdr:col>0</xdr:col>
                    <xdr:colOff>47625</xdr:colOff>
                    <xdr:row>7</xdr:row>
                    <xdr:rowOff>19050</xdr:rowOff>
                  </from>
                  <to>
                    <xdr:col>3</xdr:col>
                    <xdr:colOff>685800</xdr:colOff>
                    <xdr:row>7</xdr:row>
                    <xdr:rowOff>200025</xdr:rowOff>
                  </to>
                </anchor>
              </controlPr>
            </control>
          </mc:Choice>
        </mc:AlternateContent>
        <mc:AlternateContent xmlns:mc="http://schemas.openxmlformats.org/markup-compatibility/2006">
          <mc:Choice Requires="x14">
            <control shapeId="26626" r:id="rId5" name="Button 2">
              <controlPr defaultSize="0" print="0" autoPict="0" macro="[0]!InTMHoKhoanRaPDFEQ">
                <anchor moveWithCells="1" sizeWithCells="1">
                  <from>
                    <xdr:col>19</xdr:col>
                    <xdr:colOff>542925</xdr:colOff>
                    <xdr:row>16</xdr:row>
                    <xdr:rowOff>0</xdr:rowOff>
                  </from>
                  <to>
                    <xdr:col>21</xdr:col>
                    <xdr:colOff>542925</xdr:colOff>
                    <xdr:row>18</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5A258062-B1B9-461E-9D47-8D2CBA436C95}">
            <x14:dataBar minLength="0" maxLength="100" border="1" negativeBarBorderColorSameAsPositive="0">
              <x14:cfvo type="autoMin"/>
              <x14:cfvo type="autoMax"/>
              <x14:borderColor rgb="FF63C384"/>
              <x14:negativeFillColor rgb="FFFF0000"/>
              <x14:negativeBorderColor rgb="FFFF0000"/>
              <x14:axisColor rgb="FF000000"/>
            </x14:dataBar>
          </x14:cfRule>
          <xm:sqref>I37:I15036</xm:sqref>
        </x14:conditionalFormatting>
        <x14:conditionalFormatting xmlns:xm="http://schemas.microsoft.com/office/excel/2006/main">
          <x14:cfRule type="dataBar" id="{05676A42-DC95-49BB-8DFF-2CFFF8BA5ED9}">
            <x14:dataBar minLength="0" maxLength="100" border="1" negativeBarBorderColorSameAsPositive="0">
              <x14:cfvo type="autoMin"/>
              <x14:cfvo type="autoMax"/>
              <x14:borderColor rgb="FFFF555A"/>
              <x14:negativeFillColor rgb="FFFF0000"/>
              <x14:negativeBorderColor rgb="FFFF0000"/>
              <x14:axisColor rgb="FF000000"/>
            </x14:dataBar>
          </x14:cfRule>
          <xm:sqref>N37:N15036</xm:sqref>
        </x14:conditionalFormatting>
        <x14:conditionalFormatting xmlns:xm="http://schemas.microsoft.com/office/excel/2006/main">
          <x14:cfRule type="dataBar" id="{CEE5278A-8A4D-47E9-A901-51F0C0746A56}">
            <x14:dataBar minLength="0" maxLength="100" gradient="0">
              <x14:cfvo type="autoMin"/>
              <x14:cfvo type="autoMax"/>
              <x14:negativeFillColor rgb="FFFF0000"/>
              <x14:axisColor rgb="FF000000"/>
            </x14:dataBar>
          </x14:cfRule>
          <xm:sqref>O37:O15036 P35:P15034</xm:sqref>
        </x14:conditionalFormatting>
        <x14:conditionalFormatting xmlns:xm="http://schemas.microsoft.com/office/excel/2006/main">
          <x14:cfRule type="dataBar" id="{21B326C8-C4CA-48B0-B8C2-30C69037ECB0}">
            <x14:dataBar minLength="0" maxLength="100" border="1" negativeBarBorderColorSameAsPositive="0">
              <x14:cfvo type="autoMin"/>
              <x14:cfvo type="autoMax"/>
              <x14:borderColor rgb="FF638EC6"/>
              <x14:negativeFillColor rgb="FFFF0000"/>
              <x14:negativeBorderColor rgb="FFFF0000"/>
              <x14:axisColor rgb="FF000000"/>
            </x14:dataBar>
          </x14:cfRule>
          <xm:sqref>E37:F15036</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00FF"/>
    <pageSetUpPr fitToPage="1"/>
  </sheetPr>
  <dimension ref="A1:X48"/>
  <sheetViews>
    <sheetView view="pageBreakPreview" topLeftCell="A7" zoomScale="115" zoomScaleNormal="115" workbookViewId="0">
      <selection activeCell="D29" sqref="D29"/>
    </sheetView>
  </sheetViews>
  <sheetFormatPr defaultColWidth="8.140625" defaultRowHeight="12.75"/>
  <cols>
    <col min="1" max="1" width="8" style="81" customWidth="1"/>
    <col min="2" max="2" width="10.28515625" style="114" customWidth="1"/>
    <col min="3" max="3" width="8.140625" style="81" customWidth="1"/>
    <col min="4" max="4" width="10.5703125" style="81" customWidth="1"/>
    <col min="5" max="5" width="5.140625" style="81" customWidth="1"/>
    <col min="6" max="6" width="8.7109375" style="81" customWidth="1"/>
    <col min="7" max="7" width="9.28515625" style="81" customWidth="1"/>
    <col min="8" max="8" width="8.42578125" style="81" customWidth="1"/>
    <col min="9" max="9" width="9.42578125" style="114" customWidth="1"/>
    <col min="10" max="10" width="8" style="81" customWidth="1"/>
    <col min="11" max="11" width="8.5703125" style="81" customWidth="1"/>
    <col min="12" max="12" width="7.85546875" style="81" customWidth="1"/>
    <col min="13" max="13" width="9.42578125" style="81" customWidth="1"/>
    <col min="14" max="16384" width="8.140625" style="43"/>
  </cols>
  <sheetData>
    <row r="1" spans="1:13" ht="30" customHeight="1">
      <c r="A1" s="408" t="s">
        <v>228</v>
      </c>
      <c r="B1" s="408"/>
      <c r="C1" s="408"/>
      <c r="D1" s="408"/>
      <c r="E1" s="408"/>
      <c r="F1" s="408"/>
      <c r="G1" s="408"/>
      <c r="H1" s="408"/>
      <c r="I1" s="408"/>
      <c r="J1" s="408"/>
      <c r="K1" s="408"/>
      <c r="L1" s="408"/>
      <c r="M1" s="532"/>
    </row>
    <row r="2" spans="1:13" ht="15.75" customHeight="1">
      <c r="A2" s="409" t="s">
        <v>253</v>
      </c>
      <c r="B2" s="409"/>
      <c r="C2" s="409"/>
      <c r="D2" s="410" t="s">
        <v>254</v>
      </c>
      <c r="E2" s="410"/>
      <c r="F2" s="410"/>
      <c r="G2" s="410"/>
      <c r="H2" s="410"/>
      <c r="I2" s="535" t="s">
        <v>255</v>
      </c>
      <c r="J2" s="536"/>
      <c r="K2" s="537"/>
      <c r="L2" s="538" t="s">
        <v>256</v>
      </c>
      <c r="M2" s="512"/>
    </row>
    <row r="3" spans="1:13" ht="15">
      <c r="A3" s="409" t="s">
        <v>257</v>
      </c>
      <c r="B3" s="409"/>
      <c r="C3" s="409"/>
      <c r="D3" s="410" t="s">
        <v>254</v>
      </c>
      <c r="E3" s="410"/>
      <c r="F3" s="410"/>
      <c r="G3" s="410"/>
      <c r="H3" s="410"/>
      <c r="I3" s="535" t="s">
        <v>258</v>
      </c>
      <c r="J3" s="512"/>
      <c r="K3" s="513"/>
      <c r="L3" s="539">
        <f ca="1">TODAY()</f>
        <v>46281</v>
      </c>
      <c r="M3" s="512"/>
    </row>
    <row r="4" spans="1:13" ht="15">
      <c r="A4" s="409" t="s">
        <v>260</v>
      </c>
      <c r="B4" s="409"/>
      <c r="C4" s="409"/>
      <c r="D4" s="410" t="s">
        <v>254</v>
      </c>
      <c r="E4" s="410"/>
      <c r="F4" s="410"/>
      <c r="G4" s="410"/>
      <c r="H4" s="410"/>
      <c r="I4" s="535" t="s">
        <v>261</v>
      </c>
      <c r="J4" s="512"/>
      <c r="K4" s="513"/>
      <c r="L4" s="538" t="s">
        <v>254</v>
      </c>
      <c r="M4" s="512"/>
    </row>
    <row r="5" spans="1:13" ht="15">
      <c r="A5" s="409" t="s">
        <v>265</v>
      </c>
      <c r="B5" s="409"/>
      <c r="C5" s="409"/>
      <c r="D5" s="414" t="s">
        <v>976</v>
      </c>
      <c r="E5" s="414"/>
      <c r="F5" s="414"/>
      <c r="G5" s="414"/>
      <c r="H5" s="414"/>
      <c r="I5" s="535" t="s">
        <v>267</v>
      </c>
      <c r="J5" s="512"/>
      <c r="K5" s="513"/>
      <c r="L5" s="538" t="s">
        <v>254</v>
      </c>
      <c r="M5" s="512"/>
    </row>
    <row r="6" spans="1:13" ht="21" customHeight="1">
      <c r="A6" s="572"/>
      <c r="B6" s="573"/>
      <c r="C6" s="573"/>
      <c r="D6" s="573"/>
      <c r="E6" s="573"/>
      <c r="F6" s="573"/>
      <c r="G6" s="573"/>
      <c r="H6" s="573"/>
      <c r="I6" s="573"/>
      <c r="J6" s="573"/>
      <c r="K6" s="573"/>
      <c r="L6" s="573"/>
      <c r="M6" s="573"/>
    </row>
    <row r="7" spans="1:13">
      <c r="A7" s="540" t="s">
        <v>1026</v>
      </c>
      <c r="B7" s="427"/>
      <c r="C7" s="427"/>
      <c r="D7" s="427"/>
      <c r="E7" s="427"/>
      <c r="F7" s="427"/>
      <c r="G7" s="427"/>
      <c r="H7" s="427"/>
      <c r="I7" s="427"/>
      <c r="J7" s="427"/>
      <c r="K7" s="427"/>
      <c r="L7" s="427"/>
      <c r="M7" s="427"/>
    </row>
    <row r="8" spans="1:13" ht="16.5" customHeight="1">
      <c r="A8" s="431"/>
      <c r="B8" s="432"/>
      <c r="C8" s="432"/>
      <c r="D8" s="432"/>
      <c r="E8" s="432"/>
      <c r="F8" s="432"/>
      <c r="G8" s="432"/>
      <c r="H8" s="432"/>
      <c r="I8" s="432"/>
      <c r="J8" s="432"/>
      <c r="K8" s="432"/>
      <c r="L8" s="432"/>
      <c r="M8" s="432"/>
    </row>
    <row r="9" spans="1:13" ht="13.15" customHeight="1">
      <c r="A9" s="434" t="s">
        <v>283</v>
      </c>
      <c r="B9" s="434"/>
      <c r="C9" s="434"/>
      <c r="D9" s="13" t="s">
        <v>946</v>
      </c>
      <c r="E9" s="47"/>
      <c r="F9" s="541" t="s">
        <v>973</v>
      </c>
      <c r="G9" s="542" t="s">
        <v>229</v>
      </c>
      <c r="H9" s="544" t="s">
        <v>979</v>
      </c>
      <c r="I9" s="115"/>
      <c r="J9" s="115"/>
      <c r="K9" s="115"/>
      <c r="L9" s="65"/>
      <c r="M9" s="65"/>
    </row>
    <row r="10" spans="1:13" ht="15.6" customHeight="1">
      <c r="A10" s="434" t="s">
        <v>980</v>
      </c>
      <c r="B10" s="434"/>
      <c r="C10" s="434"/>
      <c r="D10" s="13" t="s">
        <v>104</v>
      </c>
      <c r="E10" s="48"/>
      <c r="F10" s="541"/>
      <c r="G10" s="543"/>
      <c r="H10" s="544"/>
      <c r="I10" s="115"/>
      <c r="J10" s="115"/>
      <c r="K10" s="115"/>
      <c r="L10" s="65"/>
      <c r="M10" s="65"/>
    </row>
    <row r="11" spans="1:13" ht="15" customHeight="1">
      <c r="A11" s="434" t="s">
        <v>981</v>
      </c>
      <c r="B11" s="434"/>
      <c r="C11" s="434"/>
      <c r="D11" s="13" t="s">
        <v>299</v>
      </c>
      <c r="E11" s="48"/>
      <c r="F11" s="13" t="s">
        <v>262</v>
      </c>
      <c r="G11" s="8" t="s">
        <v>263</v>
      </c>
      <c r="H11" s="50">
        <v>0</v>
      </c>
      <c r="I11" s="115"/>
      <c r="J11" s="116"/>
      <c r="K11" s="116"/>
      <c r="L11" s="65"/>
      <c r="M11" s="65"/>
    </row>
    <row r="12" spans="1:13" ht="15.6" customHeight="1">
      <c r="A12" s="434" t="s">
        <v>298</v>
      </c>
      <c r="B12" s="434"/>
      <c r="C12" s="434"/>
      <c r="D12" s="18">
        <v>1</v>
      </c>
      <c r="E12" s="54"/>
      <c r="F12" s="13" t="s">
        <v>268</v>
      </c>
      <c r="G12" s="8" t="s">
        <v>269</v>
      </c>
      <c r="H12" s="50">
        <v>1.5</v>
      </c>
      <c r="I12" s="115"/>
      <c r="J12" s="116"/>
      <c r="K12" s="116"/>
      <c r="L12" s="65"/>
      <c r="M12" s="65"/>
    </row>
    <row r="13" spans="1:13" ht="15.6" customHeight="1">
      <c r="A13" s="545" t="s">
        <v>982</v>
      </c>
      <c r="B13" s="545"/>
      <c r="C13" s="545"/>
      <c r="D13" s="19">
        <v>0</v>
      </c>
      <c r="E13" s="55"/>
      <c r="F13" s="13" t="s">
        <v>270</v>
      </c>
      <c r="G13" s="8" t="s">
        <v>269</v>
      </c>
      <c r="H13" s="50">
        <v>7</v>
      </c>
      <c r="I13" s="115"/>
      <c r="J13" s="116"/>
      <c r="K13" s="116"/>
      <c r="L13" s="65"/>
      <c r="M13" s="65"/>
    </row>
    <row r="14" spans="1:13">
      <c r="A14" s="545" t="s">
        <v>983</v>
      </c>
      <c r="B14" s="545"/>
      <c r="C14" s="545"/>
      <c r="D14" s="19">
        <v>0</v>
      </c>
      <c r="E14" s="48"/>
      <c r="F14" s="13" t="s">
        <v>274</v>
      </c>
      <c r="G14" s="8" t="s">
        <v>269</v>
      </c>
      <c r="H14" s="50">
        <v>10.5</v>
      </c>
      <c r="I14" s="115"/>
      <c r="J14" s="116"/>
      <c r="K14" s="116"/>
      <c r="L14" s="65"/>
      <c r="M14" s="65"/>
    </row>
    <row r="15" spans="1:13" ht="15.6" customHeight="1">
      <c r="A15" s="434" t="s">
        <v>307</v>
      </c>
      <c r="B15" s="434"/>
      <c r="C15" s="434"/>
      <c r="D15" s="13">
        <v>15</v>
      </c>
      <c r="E15" s="56"/>
      <c r="F15" s="13" t="s">
        <v>277</v>
      </c>
      <c r="G15" s="8" t="s">
        <v>278</v>
      </c>
      <c r="H15" s="50">
        <v>12.2</v>
      </c>
      <c r="I15" s="115"/>
      <c r="J15" s="116"/>
      <c r="K15" s="116"/>
      <c r="L15" s="65"/>
      <c r="M15" s="65"/>
    </row>
    <row r="16" spans="1:13" ht="15.6" customHeight="1">
      <c r="A16" s="434" t="s">
        <v>305</v>
      </c>
      <c r="B16" s="434"/>
      <c r="C16" s="434"/>
      <c r="D16" s="13">
        <v>43.2</v>
      </c>
      <c r="E16" s="56">
        <f>D16</f>
        <v>43.2</v>
      </c>
      <c r="F16" s="13" t="s">
        <v>282</v>
      </c>
      <c r="G16" s="8" t="s">
        <v>278</v>
      </c>
      <c r="H16" s="50">
        <v>27</v>
      </c>
      <c r="I16" s="115"/>
      <c r="J16" s="116"/>
      <c r="K16" s="116"/>
      <c r="L16" s="65"/>
      <c r="M16" s="65"/>
    </row>
    <row r="17" spans="1:19">
      <c r="A17" s="546" t="s">
        <v>1027</v>
      </c>
      <c r="B17" s="547"/>
      <c r="C17" s="548"/>
      <c r="D17" s="117">
        <f>F33</f>
        <v>5</v>
      </c>
      <c r="E17" s="58"/>
      <c r="F17" s="13" t="s">
        <v>289</v>
      </c>
      <c r="G17" s="8" t="s">
        <v>1028</v>
      </c>
      <c r="H17" s="50">
        <v>38.200000000000003</v>
      </c>
      <c r="I17" s="115"/>
      <c r="J17" s="116"/>
      <c r="K17" s="116"/>
      <c r="L17" s="65"/>
      <c r="M17" s="65"/>
    </row>
    <row r="18" spans="1:19" ht="15.6" customHeight="1">
      <c r="A18" s="434" t="s">
        <v>316</v>
      </c>
      <c r="B18" s="434"/>
      <c r="C18" s="434"/>
      <c r="D18" s="11">
        <f>ABS(D16-D15)</f>
        <v>28.2</v>
      </c>
      <c r="E18" s="58"/>
      <c r="F18" s="13"/>
      <c r="G18" s="8"/>
      <c r="H18" s="50"/>
      <c r="I18" s="115"/>
      <c r="J18" s="116"/>
      <c r="K18" s="116"/>
      <c r="L18" s="65"/>
      <c r="M18" s="65"/>
    </row>
    <row r="19" spans="1:19" ht="15.75">
      <c r="A19" s="434" t="s">
        <v>986</v>
      </c>
      <c r="B19" s="434"/>
      <c r="C19" s="434"/>
      <c r="D19" s="20">
        <f>IF(D11="Cọc tròn",PI()*(D12^2-D13^2)/4,D12^2)</f>
        <v>0.78539816339744795</v>
      </c>
      <c r="E19" s="60"/>
      <c r="F19" s="13"/>
      <c r="G19" s="8"/>
      <c r="H19" s="50"/>
      <c r="I19" s="115"/>
      <c r="J19" s="116"/>
      <c r="K19" s="116"/>
      <c r="L19" s="65"/>
      <c r="M19" s="65"/>
    </row>
    <row r="20" spans="1:19">
      <c r="A20" s="434" t="s">
        <v>313</v>
      </c>
      <c r="B20" s="434"/>
      <c r="C20" s="434"/>
      <c r="D20" s="20">
        <f>IF(D11="Cọc tròn",PI()*D12,4*D12)</f>
        <v>3.14159265358979</v>
      </c>
      <c r="E20" s="61"/>
      <c r="F20" s="13"/>
      <c r="G20" s="118"/>
      <c r="H20" s="50"/>
      <c r="I20" s="115"/>
      <c r="J20" s="119"/>
      <c r="K20" s="119"/>
      <c r="L20" s="65"/>
      <c r="M20" s="65"/>
    </row>
    <row r="21" spans="1:19" ht="15.75">
      <c r="A21" s="17" t="s">
        <v>990</v>
      </c>
      <c r="B21" s="73">
        <v>0</v>
      </c>
      <c r="C21" s="74"/>
      <c r="D21" s="75">
        <f>$F$31*$F$41*$F$32</f>
        <v>12642.666435946399</v>
      </c>
      <c r="E21" s="61"/>
      <c r="F21" s="13"/>
      <c r="G21" s="118"/>
      <c r="H21" s="50"/>
      <c r="I21" s="115"/>
      <c r="J21" s="119"/>
      <c r="K21" s="119"/>
      <c r="L21" s="65"/>
      <c r="M21" s="65"/>
    </row>
    <row r="22" spans="1:19">
      <c r="A22" s="549" t="str">
        <f>"Cấp hậu quả của công trình:"</f>
        <v>Cấp hậu quả của công trình:</v>
      </c>
      <c r="B22" s="549"/>
      <c r="C22" s="549"/>
      <c r="D22" s="78" t="s">
        <v>182</v>
      </c>
      <c r="E22" s="61"/>
      <c r="F22" s="13"/>
      <c r="G22" s="118"/>
      <c r="H22" s="50"/>
      <c r="I22" s="115"/>
      <c r="J22" s="119"/>
      <c r="K22" s="119"/>
      <c r="L22" s="65"/>
      <c r="M22" s="65"/>
    </row>
    <row r="23" spans="1:19">
      <c r="A23" s="550" t="s">
        <v>894</v>
      </c>
      <c r="B23" s="550"/>
      <c r="C23" s="550"/>
      <c r="D23" s="83">
        <f>IF(D22="C1",1,IF(D22="C2",1.15,1.2))</f>
        <v>1.2</v>
      </c>
      <c r="E23" s="61"/>
      <c r="F23" s="13"/>
      <c r="G23" s="118"/>
      <c r="H23" s="50"/>
      <c r="I23" s="115"/>
      <c r="J23" s="119"/>
      <c r="K23" s="119"/>
      <c r="L23" s="65"/>
      <c r="M23" s="65"/>
    </row>
    <row r="24" spans="1:19" ht="15">
      <c r="A24" s="550" t="s">
        <v>991</v>
      </c>
      <c r="B24" s="525"/>
      <c r="C24" s="525"/>
      <c r="D24" s="84">
        <v>1.4</v>
      </c>
      <c r="E24" s="61"/>
      <c r="F24" s="13"/>
      <c r="G24" s="118"/>
      <c r="H24" s="50"/>
      <c r="I24" s="115"/>
      <c r="J24" s="119"/>
      <c r="K24" s="119"/>
      <c r="L24" s="65"/>
      <c r="M24" s="65"/>
    </row>
    <row r="25" spans="1:19">
      <c r="A25" s="546" t="s">
        <v>992</v>
      </c>
      <c r="B25" s="547"/>
      <c r="C25" s="548"/>
      <c r="D25" s="57" t="s">
        <v>993</v>
      </c>
      <c r="E25" s="61"/>
      <c r="F25" s="553" t="s">
        <v>994</v>
      </c>
      <c r="G25" s="553"/>
      <c r="H25" s="553"/>
      <c r="I25" s="553"/>
      <c r="J25" s="553"/>
      <c r="K25" s="553"/>
      <c r="L25" s="553"/>
      <c r="M25" s="553"/>
    </row>
    <row r="26" spans="1:19" ht="15" customHeight="1">
      <c r="A26" s="550" t="s">
        <v>995</v>
      </c>
      <c r="B26" s="550"/>
      <c r="C26" s="550"/>
      <c r="D26" s="75">
        <f>IF(D25="Yes",IF(D11="Cọc tròn",PI()*(D12^2-D14^2)/4,D12^2)*D18*2.5*10*IF($D$22="C1",1.1,IF(D22="C2",1.1,1.1)),0)</f>
        <v>609.07627571472096</v>
      </c>
      <c r="E26" s="61"/>
      <c r="F26" s="553"/>
      <c r="G26" s="553"/>
      <c r="H26" s="553"/>
      <c r="I26" s="553"/>
      <c r="J26" s="553"/>
      <c r="K26" s="553"/>
      <c r="L26" s="553"/>
      <c r="M26" s="553"/>
    </row>
    <row r="27" spans="1:19" ht="15.75">
      <c r="A27" s="550" t="s">
        <v>996</v>
      </c>
      <c r="B27" s="525"/>
      <c r="C27" s="525"/>
      <c r="D27" s="85">
        <f>FLOOR(D21/D24-D26,10)</f>
        <v>8420</v>
      </c>
      <c r="E27" s="61"/>
      <c r="F27" s="552" t="s">
        <v>991</v>
      </c>
      <c r="G27" s="552"/>
      <c r="H27" s="556">
        <v>1.6</v>
      </c>
      <c r="I27" s="550" t="s">
        <v>996</v>
      </c>
      <c r="J27" s="525"/>
      <c r="K27" s="525"/>
      <c r="L27" s="88">
        <f>FLOOR(D21/H27-D26,10)</f>
        <v>7290</v>
      </c>
    </row>
    <row r="28" spans="1:19" ht="15.75">
      <c r="A28" s="550" t="s">
        <v>997</v>
      </c>
      <c r="B28" s="525"/>
      <c r="C28" s="525"/>
      <c r="D28" s="86">
        <f>FLOOR(D21/(D23*D24)-D26*D23,10)</f>
        <v>6790</v>
      </c>
      <c r="E28" s="61"/>
      <c r="F28" s="552"/>
      <c r="G28" s="552"/>
      <c r="H28" s="556"/>
      <c r="I28" s="550" t="s">
        <v>997</v>
      </c>
      <c r="J28" s="525"/>
      <c r="K28" s="525"/>
      <c r="L28" s="89">
        <f>FLOOR(D21/(D23*H27)-D26,10)</f>
        <v>5970</v>
      </c>
    </row>
    <row r="29" spans="1:19" ht="15">
      <c r="A29" s="79"/>
      <c r="B29" s="90"/>
      <c r="C29" s="90"/>
      <c r="D29" s="72"/>
      <c r="E29" s="61"/>
      <c r="F29" s="79"/>
      <c r="G29" s="79"/>
      <c r="H29" s="112"/>
      <c r="I29" s="79"/>
      <c r="J29" s="79"/>
      <c r="K29" s="79"/>
      <c r="L29" s="113"/>
      <c r="M29" s="65"/>
    </row>
    <row r="30" spans="1:19" ht="15">
      <c r="A30" s="91" t="s">
        <v>7</v>
      </c>
      <c r="B30" s="90"/>
      <c r="C30" s="90"/>
      <c r="D30" s="72"/>
      <c r="E30" s="61"/>
      <c r="F30" s="120"/>
      <c r="G30" s="121"/>
      <c r="H30" s="121"/>
      <c r="I30" s="121"/>
      <c r="J30" s="121"/>
      <c r="K30" s="121"/>
      <c r="L30" s="121"/>
      <c r="M30" s="121"/>
    </row>
    <row r="31" spans="1:19" ht="12.75" customHeight="1">
      <c r="A31" s="550" t="s">
        <v>1029</v>
      </c>
      <c r="B31" s="550"/>
      <c r="C31" s="550"/>
      <c r="D31" s="550"/>
      <c r="E31" s="550"/>
      <c r="F31" s="122">
        <v>1</v>
      </c>
      <c r="G31" s="123"/>
      <c r="H31" s="76"/>
      <c r="I31" s="76"/>
      <c r="J31" s="76"/>
      <c r="K31" s="76"/>
      <c r="L31" s="76"/>
      <c r="M31" s="65"/>
      <c r="O31" s="586" t="s">
        <v>1030</v>
      </c>
      <c r="P31" s="586"/>
      <c r="Q31" s="586"/>
      <c r="R31" s="586"/>
      <c r="S31" s="586"/>
    </row>
    <row r="32" spans="1:19" ht="15.75">
      <c r="A32" s="434" t="s">
        <v>1031</v>
      </c>
      <c r="B32" s="434"/>
      <c r="C32" s="434"/>
      <c r="D32" s="434"/>
      <c r="E32" s="434"/>
      <c r="F32" s="124">
        <f>IF(D11="Cọc tròn",PI()*(D12^2-D13^2)/4,D12^2)</f>
        <v>0.78539816339744795</v>
      </c>
      <c r="G32" s="123"/>
      <c r="H32" s="76"/>
      <c r="I32" s="76"/>
      <c r="J32" s="76"/>
      <c r="K32" s="76"/>
      <c r="L32" s="76"/>
      <c r="M32" s="65"/>
      <c r="O32" s="574" t="s">
        <v>1013</v>
      </c>
      <c r="P32" s="574"/>
      <c r="Q32" s="574"/>
      <c r="R32" s="574"/>
      <c r="S32" s="59">
        <v>8.48E-2</v>
      </c>
    </row>
    <row r="33" spans="1:24" ht="15.75">
      <c r="A33" s="550" t="s">
        <v>1032</v>
      </c>
      <c r="B33" s="550"/>
      <c r="C33" s="550"/>
      <c r="D33" s="550"/>
      <c r="E33" s="550"/>
      <c r="F33" s="124">
        <f>_xll.LNgamTrongDat($D$16,$H$11:$I$24)</f>
        <v>5</v>
      </c>
      <c r="G33" s="123"/>
      <c r="H33" s="76"/>
      <c r="I33" s="76"/>
      <c r="J33" s="76"/>
      <c r="K33" s="76"/>
      <c r="L33" s="76"/>
      <c r="M33" s="65"/>
      <c r="O33" s="574" t="s">
        <v>1011</v>
      </c>
      <c r="P33" s="574"/>
      <c r="Q33" s="574"/>
      <c r="R33" s="574"/>
      <c r="S33" s="13" t="s">
        <v>1012</v>
      </c>
    </row>
    <row r="34" spans="1:24" ht="15.75">
      <c r="A34" s="550" t="s">
        <v>1033</v>
      </c>
      <c r="B34" s="550"/>
      <c r="C34" s="550"/>
      <c r="D34" s="550"/>
      <c r="E34" s="550"/>
      <c r="F34" s="122">
        <v>1.4</v>
      </c>
      <c r="G34" s="123"/>
      <c r="H34" s="76"/>
      <c r="I34" s="76"/>
      <c r="J34" s="76"/>
      <c r="K34" s="76"/>
      <c r="L34" s="76"/>
      <c r="M34" s="65"/>
      <c r="O34" s="550" t="s">
        <v>1034</v>
      </c>
      <c r="P34" s="550"/>
      <c r="Q34" s="550"/>
      <c r="R34" s="550"/>
      <c r="S34" s="125">
        <f>_xll.TinhGammaqb(S32,"Cát Chặt ít ẩm và ẩm","Cát Chặt ít ẩm và ẩm",0,$S$33)</f>
        <v>1</v>
      </c>
    </row>
    <row r="35" spans="1:24" s="35" customFormat="1">
      <c r="A35" s="575" t="s">
        <v>1035</v>
      </c>
      <c r="B35" s="575"/>
      <c r="C35" s="575"/>
      <c r="D35" s="575"/>
      <c r="E35" s="575"/>
      <c r="F35" s="585">
        <f>31.3*1000</f>
        <v>31300</v>
      </c>
      <c r="G35" s="123"/>
      <c r="H35" s="123"/>
      <c r="I35" s="76"/>
      <c r="J35" s="123"/>
      <c r="K35" s="76"/>
      <c r="L35" s="123"/>
      <c r="M35" s="65"/>
    </row>
    <row r="36" spans="1:24" s="35" customFormat="1">
      <c r="A36" s="575"/>
      <c r="B36" s="575"/>
      <c r="C36" s="575"/>
      <c r="D36" s="575"/>
      <c r="E36" s="575"/>
      <c r="F36" s="585"/>
      <c r="G36" s="123"/>
      <c r="H36" s="123"/>
      <c r="I36" s="76"/>
      <c r="J36" s="123"/>
      <c r="K36" s="123"/>
      <c r="L36" s="123"/>
      <c r="M36" s="65"/>
    </row>
    <row r="37" spans="1:24" s="35" customFormat="1">
      <c r="A37" s="575" t="s">
        <v>1036</v>
      </c>
      <c r="B37" s="575"/>
      <c r="C37" s="575"/>
      <c r="D37" s="575"/>
      <c r="E37" s="575"/>
      <c r="F37" s="126">
        <v>30</v>
      </c>
      <c r="G37" s="123"/>
      <c r="H37" s="123"/>
      <c r="I37" s="76"/>
      <c r="J37" s="123"/>
      <c r="K37" s="123"/>
      <c r="L37" s="123"/>
      <c r="M37" s="65"/>
    </row>
    <row r="38" spans="1:24" ht="15.75">
      <c r="A38" s="550" t="s">
        <v>1037</v>
      </c>
      <c r="B38" s="550"/>
      <c r="C38" s="550"/>
      <c r="D38" s="550"/>
      <c r="E38" s="550"/>
      <c r="F38" s="124">
        <f>_xll.GetKsFromRQD(F37)</f>
        <v>0.24</v>
      </c>
      <c r="G38" s="123"/>
      <c r="H38" s="123"/>
      <c r="I38" s="76"/>
      <c r="J38" s="123"/>
      <c r="K38" s="123"/>
      <c r="L38" s="123"/>
      <c r="M38" s="65"/>
      <c r="O38" s="576" t="s">
        <v>1038</v>
      </c>
      <c r="P38" s="577"/>
      <c r="Q38" s="577"/>
      <c r="R38" s="577"/>
      <c r="S38" s="577"/>
      <c r="T38" s="577"/>
      <c r="U38" s="577"/>
      <c r="V38" s="577"/>
      <c r="W38" s="577"/>
      <c r="X38" s="578"/>
    </row>
    <row r="39" spans="1:24" ht="15.75">
      <c r="A39" s="550" t="s">
        <v>1039</v>
      </c>
      <c r="B39" s="550"/>
      <c r="C39" s="550"/>
      <c r="D39" s="550"/>
      <c r="E39" s="550"/>
      <c r="F39" s="124">
        <f>MAX($F$33/5,$D$12)</f>
        <v>1</v>
      </c>
      <c r="G39" s="123"/>
      <c r="H39" s="123"/>
      <c r="I39" s="76"/>
      <c r="J39" s="123"/>
      <c r="K39" s="123"/>
      <c r="L39" s="123"/>
      <c r="M39" s="65"/>
      <c r="O39" s="579"/>
      <c r="P39" s="580"/>
      <c r="Q39" s="580"/>
      <c r="R39" s="580"/>
      <c r="S39" s="580"/>
      <c r="T39" s="580"/>
      <c r="U39" s="580"/>
      <c r="V39" s="580"/>
      <c r="W39" s="580"/>
      <c r="X39" s="581"/>
    </row>
    <row r="40" spans="1:24" ht="15.75">
      <c r="A40" s="550" t="s">
        <v>1040</v>
      </c>
      <c r="B40" s="550"/>
      <c r="C40" s="550"/>
      <c r="D40" s="550"/>
      <c r="E40" s="550"/>
      <c r="F40" s="82">
        <f>$F$35*$F$38/$F$34</f>
        <v>5365.7142857142899</v>
      </c>
      <c r="G40" s="123"/>
      <c r="H40" s="123"/>
      <c r="I40" s="76"/>
      <c r="J40" s="123"/>
      <c r="K40" s="123"/>
      <c r="L40" s="123"/>
      <c r="M40" s="65"/>
      <c r="O40" s="579"/>
      <c r="P40" s="580"/>
      <c r="Q40" s="580"/>
      <c r="R40" s="580"/>
      <c r="S40" s="580"/>
      <c r="T40" s="580"/>
      <c r="U40" s="580"/>
      <c r="V40" s="580"/>
      <c r="W40" s="580"/>
      <c r="X40" s="581"/>
    </row>
    <row r="41" spans="1:24" ht="15.75" customHeight="1">
      <c r="A41" s="550" t="s">
        <v>1041</v>
      </c>
      <c r="B41" s="550"/>
      <c r="C41" s="550"/>
      <c r="D41" s="550"/>
      <c r="E41" s="550"/>
      <c r="F41" s="82">
        <f>MIN(IF(F33&lt;0.5,$F$40,$F$40*(1+0.4*$F$33/$F$39)),20000)</f>
        <v>16097.142857142901</v>
      </c>
      <c r="G41" s="123"/>
      <c r="H41" s="123"/>
      <c r="I41" s="76"/>
      <c r="J41" s="123"/>
      <c r="K41" s="123"/>
      <c r="L41" s="123"/>
      <c r="M41" s="65"/>
      <c r="O41" s="582"/>
      <c r="P41" s="583"/>
      <c r="Q41" s="583"/>
      <c r="R41" s="583"/>
      <c r="S41" s="583"/>
      <c r="T41" s="583"/>
      <c r="U41" s="583"/>
      <c r="V41" s="583"/>
      <c r="W41" s="583"/>
      <c r="X41" s="584"/>
    </row>
    <row r="45" spans="1:24">
      <c r="O45" s="127"/>
      <c r="P45" s="127"/>
      <c r="Q45" s="127"/>
      <c r="R45" s="127"/>
      <c r="S45" s="127"/>
      <c r="T45" s="127"/>
      <c r="U45" s="127"/>
      <c r="V45" s="127"/>
      <c r="W45" s="127"/>
      <c r="X45" s="127"/>
    </row>
    <row r="46" spans="1:24">
      <c r="O46" s="127"/>
      <c r="P46" s="127"/>
      <c r="Q46" s="127"/>
      <c r="R46" s="127"/>
      <c r="S46" s="127"/>
      <c r="T46" s="127"/>
      <c r="U46" s="127"/>
      <c r="V46" s="127"/>
      <c r="W46" s="127"/>
      <c r="X46" s="127"/>
    </row>
    <row r="47" spans="1:24">
      <c r="O47" s="127"/>
      <c r="P47" s="127"/>
      <c r="Q47" s="127"/>
      <c r="R47" s="127"/>
      <c r="S47" s="127"/>
      <c r="T47" s="127"/>
      <c r="U47" s="127"/>
      <c r="V47" s="127"/>
      <c r="W47" s="127"/>
      <c r="X47" s="127"/>
    </row>
    <row r="48" spans="1:24">
      <c r="O48" s="127"/>
      <c r="P48" s="127"/>
      <c r="Q48" s="127"/>
      <c r="R48" s="127"/>
      <c r="S48" s="127"/>
      <c r="T48" s="127"/>
      <c r="U48" s="127"/>
      <c r="V48" s="127"/>
      <c r="W48" s="127"/>
      <c r="X48" s="127"/>
    </row>
  </sheetData>
  <mergeCells count="63">
    <mergeCell ref="O31:S31"/>
    <mergeCell ref="F25:M26"/>
    <mergeCell ref="F27:G28"/>
    <mergeCell ref="A37:E37"/>
    <mergeCell ref="A38:E38"/>
    <mergeCell ref="I27:K27"/>
    <mergeCell ref="A28:C28"/>
    <mergeCell ref="I28:K28"/>
    <mergeCell ref="A31:E31"/>
    <mergeCell ref="F35:F36"/>
    <mergeCell ref="H27:H28"/>
    <mergeCell ref="A39:E39"/>
    <mergeCell ref="A40:E40"/>
    <mergeCell ref="A41:E41"/>
    <mergeCell ref="A32:E32"/>
    <mergeCell ref="O32:R32"/>
    <mergeCell ref="A33:E33"/>
    <mergeCell ref="O33:R33"/>
    <mergeCell ref="A34:E34"/>
    <mergeCell ref="O34:R34"/>
    <mergeCell ref="A35:E36"/>
    <mergeCell ref="O38:X41"/>
    <mergeCell ref="A23:C23"/>
    <mergeCell ref="A24:C24"/>
    <mergeCell ref="A25:C25"/>
    <mergeCell ref="A26:C26"/>
    <mergeCell ref="A27:C27"/>
    <mergeCell ref="A17:C17"/>
    <mergeCell ref="A18:C18"/>
    <mergeCell ref="A19:C19"/>
    <mergeCell ref="A20:C20"/>
    <mergeCell ref="A22:C22"/>
    <mergeCell ref="A12:C12"/>
    <mergeCell ref="A13:C13"/>
    <mergeCell ref="A14:C14"/>
    <mergeCell ref="A15:C15"/>
    <mergeCell ref="A16:C16"/>
    <mergeCell ref="A7:M7"/>
    <mergeCell ref="A8:M8"/>
    <mergeCell ref="A9:C9"/>
    <mergeCell ref="A10:C10"/>
    <mergeCell ref="A11:C11"/>
    <mergeCell ref="F9:F10"/>
    <mergeCell ref="G9:G10"/>
    <mergeCell ref="H9:H10"/>
    <mergeCell ref="A5:C5"/>
    <mergeCell ref="D5:H5"/>
    <mergeCell ref="I5:K5"/>
    <mergeCell ref="L5:M5"/>
    <mergeCell ref="A6:M6"/>
    <mergeCell ref="A3:C3"/>
    <mergeCell ref="D3:H3"/>
    <mergeCell ref="I3:K3"/>
    <mergeCell ref="L3:M3"/>
    <mergeCell ref="A4:C4"/>
    <mergeCell ref="D4:H4"/>
    <mergeCell ref="I4:K4"/>
    <mergeCell ref="L4:M4"/>
    <mergeCell ref="A1:M1"/>
    <mergeCell ref="A2:C2"/>
    <mergeCell ref="D2:H2"/>
    <mergeCell ref="I2:K2"/>
    <mergeCell ref="L2:M2"/>
  </mergeCells>
  <dataValidations count="6">
    <dataValidation type="list" allowBlank="1" showInputMessage="1" showErrorMessage="1" sqref="D10">
      <formula1>"Cọc khoan nhồi, Cọc khoan thả, Cọc ống, Cọc vít,Cọc đóng ép"</formula1>
    </dataValidation>
    <dataValidation type="list" allowBlank="1" showInputMessage="1" showErrorMessage="1" sqref="E10">
      <formula1>"Cọc nhồi, Cọc khoan, Cọc đào thả, Cọc vít,Cọc đóng ép"</formula1>
    </dataValidation>
    <dataValidation type="list" allowBlank="1" showInputMessage="1" showErrorMessage="1" sqref="D11:E11">
      <formula1>"Cọc Vuông,Cọc Tròn"</formula1>
    </dataValidation>
    <dataValidation type="list" allowBlank="1" showInputMessage="1" showErrorMessage="1" sqref="D22">
      <formula1>"C1,C2,C3"</formula1>
    </dataValidation>
    <dataValidation type="list" allowBlank="1" showInputMessage="1" showErrorMessage="1" sqref="D25">
      <formula1>"Yes,No"</formula1>
    </dataValidation>
    <dataValidation type="list" allowBlank="1" showInputMessage="1" showErrorMessage="1" sqref="S33">
      <formula1>"Cọc đóng,Cọc nhồi chiếm chỗ,Cọc khoan"</formula1>
    </dataValidation>
  </dataValidations>
  <pageMargins left="0.59055118110236204" right="0.39370078740157499" top="0.39370078740157499" bottom="0.39370078740157499" header="0.15748031496063" footer="0.15748031496063"/>
  <pageSetup paperSize="9" scale="82" fitToHeight="0"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00FF"/>
    <pageSetUpPr fitToPage="1"/>
  </sheetPr>
  <dimension ref="A1:T134"/>
  <sheetViews>
    <sheetView view="pageBreakPreview" topLeftCell="A11" zoomScale="115" zoomScaleNormal="115" workbookViewId="0">
      <selection activeCell="D35" sqref="D35"/>
    </sheetView>
  </sheetViews>
  <sheetFormatPr defaultColWidth="8.140625" defaultRowHeight="15"/>
  <cols>
    <col min="1" max="1" width="8" style="38" customWidth="1"/>
    <col min="2" max="2" width="10.28515625" style="39" customWidth="1"/>
    <col min="3" max="3" width="11.42578125" style="38" customWidth="1"/>
    <col min="4" max="4" width="21.5703125" style="40" customWidth="1"/>
    <col min="5" max="5" width="8.42578125" style="38" customWidth="1"/>
    <col min="6" max="6" width="8.7109375" style="38" customWidth="1"/>
    <col min="7" max="7" width="9.28515625" style="38" customWidth="1"/>
    <col min="8" max="8" width="8.42578125" style="38" customWidth="1"/>
    <col min="9" max="9" width="11.42578125" style="39" customWidth="1"/>
    <col min="10" max="10" width="10.7109375" style="38" customWidth="1"/>
    <col min="11" max="11" width="10.42578125" style="38" customWidth="1"/>
    <col min="12" max="12" width="10.5703125" style="38" customWidth="1"/>
    <col min="13" max="13" width="10.140625" style="38" customWidth="1"/>
    <col min="14" max="14" width="8.140625" style="43"/>
    <col min="21" max="16384" width="8.140625" style="43"/>
  </cols>
  <sheetData>
    <row r="1" spans="1:13" ht="30" customHeight="1">
      <c r="A1" s="408" t="s">
        <v>228</v>
      </c>
      <c r="B1" s="408"/>
      <c r="C1" s="408"/>
      <c r="D1" s="408"/>
      <c r="E1" s="408"/>
      <c r="F1" s="408"/>
      <c r="G1" s="408"/>
      <c r="H1" s="408"/>
      <c r="I1" s="408"/>
      <c r="J1" s="408"/>
      <c r="K1" s="408"/>
      <c r="L1" s="408"/>
      <c r="M1" s="532"/>
    </row>
    <row r="2" spans="1:13" ht="15.75" customHeight="1">
      <c r="A2" s="409" t="s">
        <v>253</v>
      </c>
      <c r="B2" s="409"/>
      <c r="C2" s="409"/>
      <c r="D2" s="410" t="s">
        <v>254</v>
      </c>
      <c r="E2" s="410"/>
      <c r="F2" s="410"/>
      <c r="G2" s="410"/>
      <c r="H2" s="410"/>
      <c r="I2" s="535" t="s">
        <v>255</v>
      </c>
      <c r="J2" s="536"/>
      <c r="K2" s="537"/>
      <c r="L2" s="538" t="s">
        <v>256</v>
      </c>
      <c r="M2" s="512"/>
    </row>
    <row r="3" spans="1:13">
      <c r="A3" s="409" t="s">
        <v>257</v>
      </c>
      <c r="B3" s="409"/>
      <c r="C3" s="409"/>
      <c r="D3" s="410" t="s">
        <v>254</v>
      </c>
      <c r="E3" s="410"/>
      <c r="F3" s="410"/>
      <c r="G3" s="410"/>
      <c r="H3" s="410"/>
      <c r="I3" s="535" t="s">
        <v>258</v>
      </c>
      <c r="J3" s="512"/>
      <c r="K3" s="513"/>
      <c r="L3" s="539">
        <f ca="1">TODAY()</f>
        <v>46281</v>
      </c>
      <c r="M3" s="512"/>
    </row>
    <row r="4" spans="1:13">
      <c r="A4" s="409" t="s">
        <v>260</v>
      </c>
      <c r="B4" s="409"/>
      <c r="C4" s="409"/>
      <c r="D4" s="410" t="s">
        <v>254</v>
      </c>
      <c r="E4" s="410"/>
      <c r="F4" s="410"/>
      <c r="G4" s="410"/>
      <c r="H4" s="410"/>
      <c r="I4" s="535" t="s">
        <v>261</v>
      </c>
      <c r="J4" s="512"/>
      <c r="K4" s="513"/>
      <c r="L4" s="538" t="s">
        <v>254</v>
      </c>
      <c r="M4" s="512"/>
    </row>
    <row r="5" spans="1:13">
      <c r="A5" s="409" t="s">
        <v>265</v>
      </c>
      <c r="B5" s="409"/>
      <c r="C5" s="409"/>
      <c r="D5" s="414" t="s">
        <v>976</v>
      </c>
      <c r="E5" s="414"/>
      <c r="F5" s="414"/>
      <c r="G5" s="414"/>
      <c r="H5" s="414"/>
      <c r="I5" s="535" t="s">
        <v>267</v>
      </c>
      <c r="J5" s="512"/>
      <c r="K5" s="513"/>
      <c r="L5" s="538" t="s">
        <v>254</v>
      </c>
      <c r="M5" s="512"/>
    </row>
    <row r="6" spans="1:13" ht="21" customHeight="1">
      <c r="A6" s="572"/>
      <c r="B6" s="573"/>
      <c r="C6" s="573"/>
      <c r="D6" s="573"/>
      <c r="E6" s="573"/>
      <c r="F6" s="573"/>
      <c r="G6" s="573"/>
      <c r="H6" s="573"/>
      <c r="I6" s="573"/>
      <c r="J6" s="573"/>
      <c r="K6" s="573"/>
      <c r="L6" s="573"/>
      <c r="M6" s="573"/>
    </row>
    <row r="7" spans="1:13">
      <c r="A7" s="540" t="s">
        <v>1042</v>
      </c>
      <c r="B7" s="427"/>
      <c r="C7" s="427"/>
      <c r="D7" s="427"/>
      <c r="E7" s="427"/>
      <c r="F7" s="427"/>
      <c r="G7" s="427"/>
      <c r="H7" s="427"/>
      <c r="I7" s="427"/>
      <c r="J7" s="427"/>
      <c r="K7" s="427"/>
      <c r="L7" s="427"/>
      <c r="M7" s="427"/>
    </row>
    <row r="8" spans="1:13" ht="16.5" customHeight="1">
      <c r="A8" s="431"/>
      <c r="B8" s="432"/>
      <c r="C8" s="432"/>
      <c r="D8" s="432"/>
      <c r="E8" s="432"/>
      <c r="F8" s="432"/>
      <c r="G8" s="432"/>
      <c r="H8" s="432"/>
      <c r="I8" s="432"/>
      <c r="J8" s="432"/>
      <c r="K8" s="432"/>
      <c r="L8" s="432"/>
      <c r="M8" s="432"/>
    </row>
    <row r="9" spans="1:13" ht="16.5" customHeight="1">
      <c r="A9" s="434" t="s">
        <v>283</v>
      </c>
      <c r="B9" s="434"/>
      <c r="C9" s="434"/>
      <c r="D9" s="13" t="s">
        <v>946</v>
      </c>
      <c r="E9" s="9"/>
      <c r="F9" s="587" t="s">
        <v>230</v>
      </c>
      <c r="G9" s="588" t="s">
        <v>1043</v>
      </c>
      <c r="H9" s="589" t="s">
        <v>979</v>
      </c>
      <c r="I9" s="589" t="s">
        <v>1044</v>
      </c>
      <c r="J9" s="589"/>
      <c r="K9" s="589" t="s">
        <v>1045</v>
      </c>
      <c r="L9" s="589" t="s">
        <v>1046</v>
      </c>
      <c r="M9" s="589" t="s">
        <v>1047</v>
      </c>
    </row>
    <row r="10" spans="1:13" ht="16.5" customHeight="1">
      <c r="A10" s="434" t="s">
        <v>980</v>
      </c>
      <c r="B10" s="434"/>
      <c r="C10" s="434"/>
      <c r="D10" s="13" t="s">
        <v>100</v>
      </c>
      <c r="E10" s="47"/>
      <c r="F10" s="587"/>
      <c r="G10" s="588"/>
      <c r="H10" s="589"/>
      <c r="I10" s="589"/>
      <c r="J10" s="589"/>
      <c r="K10" s="589"/>
      <c r="L10" s="589"/>
      <c r="M10" s="589"/>
    </row>
    <row r="11" spans="1:13" ht="13.15" customHeight="1">
      <c r="A11" s="434" t="s">
        <v>981</v>
      </c>
      <c r="B11" s="434"/>
      <c r="C11" s="434"/>
      <c r="D11" s="13" t="s">
        <v>299</v>
      </c>
      <c r="E11" s="48"/>
      <c r="F11" s="587"/>
      <c r="G11" s="588"/>
      <c r="H11" s="589"/>
      <c r="I11" s="589"/>
      <c r="J11" s="589"/>
      <c r="K11" s="589"/>
      <c r="L11" s="589"/>
      <c r="M11" s="589"/>
    </row>
    <row r="12" spans="1:13" ht="15.6" customHeight="1">
      <c r="A12" s="434" t="s">
        <v>298</v>
      </c>
      <c r="B12" s="434"/>
      <c r="C12" s="434"/>
      <c r="D12" s="18">
        <v>1</v>
      </c>
      <c r="E12" s="48"/>
      <c r="F12" s="13" t="s">
        <v>262</v>
      </c>
      <c r="G12" s="13" t="s">
        <v>263</v>
      </c>
      <c r="H12" s="19">
        <v>0</v>
      </c>
      <c r="I12" s="437" t="s">
        <v>940</v>
      </c>
      <c r="J12" s="437"/>
      <c r="K12" s="49"/>
      <c r="L12" s="49"/>
      <c r="M12" s="49"/>
    </row>
    <row r="13" spans="1:13" ht="15.6" customHeight="1">
      <c r="A13" s="545" t="s">
        <v>982</v>
      </c>
      <c r="B13" s="545"/>
      <c r="C13" s="545"/>
      <c r="D13" s="19">
        <v>0</v>
      </c>
      <c r="E13" s="54"/>
      <c r="F13" s="13" t="s">
        <v>268</v>
      </c>
      <c r="G13" s="13" t="s">
        <v>269</v>
      </c>
      <c r="H13" s="19">
        <v>1.5</v>
      </c>
      <c r="I13" s="437" t="s">
        <v>944</v>
      </c>
      <c r="J13" s="437"/>
      <c r="K13" s="49">
        <v>0.3</v>
      </c>
      <c r="L13" s="49">
        <v>0.6</v>
      </c>
      <c r="M13" s="49"/>
    </row>
    <row r="14" spans="1:13" ht="15.6" customHeight="1">
      <c r="A14" s="545" t="s">
        <v>983</v>
      </c>
      <c r="B14" s="545"/>
      <c r="C14" s="545"/>
      <c r="D14" s="19">
        <v>0</v>
      </c>
      <c r="E14" s="55"/>
      <c r="F14" s="13" t="s">
        <v>270</v>
      </c>
      <c r="G14" s="13" t="s">
        <v>269</v>
      </c>
      <c r="H14" s="19">
        <v>7</v>
      </c>
      <c r="I14" s="437" t="s">
        <v>944</v>
      </c>
      <c r="J14" s="437"/>
      <c r="K14" s="49">
        <v>0.2</v>
      </c>
      <c r="L14" s="49">
        <v>0.7</v>
      </c>
      <c r="M14" s="49"/>
    </row>
    <row r="15" spans="1:13" ht="15.6" customHeight="1">
      <c r="A15" s="434" t="s">
        <v>307</v>
      </c>
      <c r="B15" s="434"/>
      <c r="C15" s="434"/>
      <c r="D15" s="13">
        <v>15</v>
      </c>
      <c r="E15" s="48"/>
      <c r="F15" s="13" t="s">
        <v>274</v>
      </c>
      <c r="G15" s="13" t="s">
        <v>269</v>
      </c>
      <c r="H15" s="19">
        <v>10.5</v>
      </c>
      <c r="I15" s="437" t="s">
        <v>944</v>
      </c>
      <c r="J15" s="437"/>
      <c r="K15" s="49">
        <v>0.1</v>
      </c>
      <c r="L15" s="49">
        <v>0.8</v>
      </c>
      <c r="M15" s="49"/>
    </row>
    <row r="16" spans="1:13">
      <c r="A16" s="434" t="s">
        <v>305</v>
      </c>
      <c r="B16" s="434"/>
      <c r="C16" s="434"/>
      <c r="D16" s="13">
        <v>43.2</v>
      </c>
      <c r="E16" s="56"/>
      <c r="F16" s="13" t="s">
        <v>277</v>
      </c>
      <c r="G16" s="13" t="s">
        <v>278</v>
      </c>
      <c r="H16" s="19">
        <v>12.2</v>
      </c>
      <c r="I16" s="437" t="s">
        <v>933</v>
      </c>
      <c r="J16" s="437"/>
      <c r="K16" s="49"/>
      <c r="L16" s="49"/>
      <c r="M16" s="49"/>
    </row>
    <row r="17" spans="1:19" ht="15.6" customHeight="1">
      <c r="A17" s="546" t="s">
        <v>984</v>
      </c>
      <c r="B17" s="547"/>
      <c r="C17" s="548"/>
      <c r="D17" s="57">
        <v>1</v>
      </c>
      <c r="E17" s="56">
        <f>D16</f>
        <v>43.2</v>
      </c>
      <c r="F17" s="13" t="s">
        <v>282</v>
      </c>
      <c r="G17" s="13" t="s">
        <v>278</v>
      </c>
      <c r="H17" s="19">
        <v>27</v>
      </c>
      <c r="I17" s="437" t="s">
        <v>933</v>
      </c>
      <c r="J17" s="437"/>
      <c r="K17" s="49"/>
      <c r="L17" s="49"/>
      <c r="M17" s="49"/>
    </row>
    <row r="18" spans="1:19" ht="15.6" customHeight="1">
      <c r="A18" s="434" t="s">
        <v>316</v>
      </c>
      <c r="B18" s="434"/>
      <c r="C18" s="434"/>
      <c r="D18" s="11">
        <f>ABS(D16-D15)</f>
        <v>28.2</v>
      </c>
      <c r="E18" s="58"/>
      <c r="F18" s="13" t="s">
        <v>289</v>
      </c>
      <c r="G18" s="13" t="s">
        <v>1028</v>
      </c>
      <c r="H18" s="19">
        <v>38.200000000000003</v>
      </c>
      <c r="I18" s="437" t="s">
        <v>930</v>
      </c>
      <c r="J18" s="437"/>
      <c r="K18" s="49"/>
      <c r="L18" s="49"/>
      <c r="M18" s="49"/>
    </row>
    <row r="19" spans="1:19" ht="15.75">
      <c r="A19" s="434" t="s">
        <v>1048</v>
      </c>
      <c r="B19" s="434"/>
      <c r="C19" s="434"/>
      <c r="D19" s="20">
        <f>IF(D11="Cọc tròn",PI()*(D12^2-D14^2)/4,D12^2)</f>
        <v>0.78539816339744795</v>
      </c>
      <c r="E19" s="58"/>
      <c r="F19" s="13"/>
      <c r="G19" s="13"/>
      <c r="H19" s="19"/>
      <c r="I19" s="437"/>
      <c r="J19" s="437"/>
      <c r="K19" s="49"/>
      <c r="L19" s="49"/>
      <c r="M19" s="49"/>
    </row>
    <row r="20" spans="1:19" ht="15.6" customHeight="1">
      <c r="A20" s="434" t="s">
        <v>1049</v>
      </c>
      <c r="B20" s="434"/>
      <c r="C20" s="434"/>
      <c r="D20" s="20">
        <f>IF(D11="Cọc tròn",PI()*(D12^2-D13^2)/4,D12^2)</f>
        <v>0.78539816339744795</v>
      </c>
      <c r="E20" s="60"/>
      <c r="F20" s="13"/>
      <c r="G20" s="13"/>
      <c r="H20" s="19"/>
      <c r="I20" s="437"/>
      <c r="J20" s="437"/>
      <c r="K20" s="49"/>
      <c r="L20" s="49"/>
      <c r="M20" s="49"/>
    </row>
    <row r="21" spans="1:19">
      <c r="A21" s="434" t="s">
        <v>313</v>
      </c>
      <c r="B21" s="434"/>
      <c r="C21" s="434"/>
      <c r="D21" s="20">
        <f>IF(D11="Cọc tròn",PI()*D12,4*D12)</f>
        <v>3.14159265358979</v>
      </c>
      <c r="E21" s="61"/>
      <c r="F21" s="13"/>
      <c r="G21" s="62"/>
      <c r="H21" s="19"/>
      <c r="I21" s="437"/>
      <c r="J21" s="437"/>
      <c r="K21" s="49"/>
      <c r="L21" s="49"/>
      <c r="M21" s="49"/>
    </row>
    <row r="22" spans="1:19" ht="15.75">
      <c r="A22" s="445" t="s">
        <v>1050</v>
      </c>
      <c r="B22" s="457"/>
      <c r="C22" s="446"/>
      <c r="D22" s="64">
        <v>1</v>
      </c>
      <c r="E22" s="61"/>
      <c r="F22" s="13"/>
      <c r="G22" s="62"/>
      <c r="H22" s="19"/>
      <c r="I22" s="437"/>
      <c r="J22" s="437"/>
      <c r="K22" s="49"/>
      <c r="L22" s="49"/>
      <c r="M22" s="49"/>
    </row>
    <row r="23" spans="1:19">
      <c r="A23" s="445" t="s">
        <v>1051</v>
      </c>
      <c r="B23" s="457"/>
      <c r="C23" s="446"/>
      <c r="D23" s="64" t="b">
        <v>0</v>
      </c>
      <c r="E23" s="61"/>
      <c r="F23" s="13"/>
      <c r="G23" s="62"/>
      <c r="H23" s="19"/>
      <c r="I23" s="437"/>
      <c r="J23" s="437"/>
      <c r="K23" s="49"/>
      <c r="L23" s="49"/>
      <c r="M23" s="49"/>
      <c r="P23" s="43"/>
      <c r="Q23" s="43"/>
      <c r="R23" s="43"/>
      <c r="S23" s="43"/>
    </row>
    <row r="24" spans="1:19" ht="15.75">
      <c r="A24" s="434" t="s">
        <v>1052</v>
      </c>
      <c r="B24" s="434"/>
      <c r="C24" s="434"/>
      <c r="D24" s="21">
        <f>_xll.Qb_CocMaSatKMD($D$16,$H$12:$M$24,$D$20,$D$22,$H$27,$D$14,$D$23)</f>
        <v>13650.220079847701</v>
      </c>
      <c r="E24" s="61"/>
      <c r="F24" s="13"/>
      <c r="G24" s="62"/>
      <c r="H24" s="19"/>
      <c r="I24" s="437"/>
      <c r="J24" s="437"/>
      <c r="K24" s="49"/>
      <c r="L24" s="49"/>
      <c r="M24" s="49"/>
      <c r="P24" s="43"/>
      <c r="Q24" s="43"/>
      <c r="R24" s="43"/>
      <c r="S24" s="43"/>
    </row>
    <row r="25" spans="1:19" ht="15.75">
      <c r="A25" s="434" t="s">
        <v>1053</v>
      </c>
      <c r="B25" s="434"/>
      <c r="C25" s="434"/>
      <c r="D25" s="21">
        <f>_xll.flu_CocMaSatKMD($D$21,$D$15,$D$16,$D$22,$H$12:$M$24,TRUE,FALSE,$D$17,$D$12,$K$27,$H$27,1,"")</f>
        <v>2559.0596942052498</v>
      </c>
      <c r="E25" s="61"/>
      <c r="F25" s="87"/>
      <c r="G25" s="87"/>
      <c r="H25" s="87"/>
      <c r="I25" s="437"/>
      <c r="J25" s="437"/>
      <c r="K25" s="49"/>
      <c r="L25" s="49"/>
      <c r="M25" s="49"/>
      <c r="P25" s="43"/>
      <c r="Q25" s="43"/>
      <c r="R25" s="43"/>
      <c r="S25" s="43"/>
    </row>
    <row r="26" spans="1:19" ht="15.75">
      <c r="A26" s="434" t="s">
        <v>1054</v>
      </c>
      <c r="B26" s="434"/>
      <c r="C26" s="434"/>
      <c r="D26" s="21">
        <f>_xll.flu_CocMaSatKMD($D$21,$D$15,$D$16,$D$22,$H$12:$M$24,FALSE,TRUE,$D$17,$D$12,$K$27,$H$27,1,"")</f>
        <v>10383.585755459701</v>
      </c>
      <c r="E26" s="61"/>
      <c r="F26" s="65"/>
      <c r="G26" s="65"/>
      <c r="H26" s="65"/>
      <c r="I26" s="76"/>
      <c r="J26" s="65"/>
      <c r="K26" s="65"/>
      <c r="L26" s="65"/>
      <c r="M26" s="65"/>
      <c r="P26" s="43"/>
      <c r="Q26" s="43"/>
      <c r="R26" s="43"/>
      <c r="S26" s="43"/>
    </row>
    <row r="27" spans="1:19" ht="15.75" customHeight="1">
      <c r="A27" s="17" t="s">
        <v>990</v>
      </c>
      <c r="B27" s="73">
        <v>0</v>
      </c>
      <c r="C27" s="74">
        <f>+D26+D24</f>
        <v>24033.805835307299</v>
      </c>
      <c r="D27" s="75">
        <f>$D$24+$D$26-D25</f>
        <v>21474.7461411021</v>
      </c>
      <c r="E27" s="61"/>
      <c r="F27" s="603" t="s">
        <v>1055</v>
      </c>
      <c r="G27" s="603"/>
      <c r="H27" s="65">
        <f>VLOOKUP($F$28,'LT 10304-2025'!$AL$2:$AM$8,2,0)</f>
        <v>7</v>
      </c>
      <c r="I27" s="79" t="s">
        <v>1056</v>
      </c>
      <c r="J27" s="79"/>
      <c r="K27" s="80">
        <v>0</v>
      </c>
      <c r="L27" s="66"/>
      <c r="M27" s="66"/>
      <c r="P27" s="43"/>
      <c r="Q27" s="43"/>
      <c r="R27" s="43"/>
      <c r="S27" s="43"/>
    </row>
    <row r="28" spans="1:19">
      <c r="A28" s="549" t="str">
        <f>"Cấp hậu quả của công trình:"</f>
        <v>Cấp hậu quả của công trình:</v>
      </c>
      <c r="B28" s="549"/>
      <c r="C28" s="549"/>
      <c r="D28" s="78" t="s">
        <v>174</v>
      </c>
      <c r="E28" s="61"/>
      <c r="F28" s="597" t="s">
        <v>934</v>
      </c>
      <c r="G28" s="597"/>
      <c r="H28" s="597"/>
      <c r="I28" s="597"/>
      <c r="J28" s="597"/>
      <c r="K28" s="597"/>
      <c r="L28" s="597"/>
      <c r="M28" s="597"/>
      <c r="P28" s="43"/>
      <c r="Q28" s="43"/>
      <c r="R28" s="43"/>
      <c r="S28" s="43"/>
    </row>
    <row r="29" spans="1:19">
      <c r="A29" s="550" t="s">
        <v>894</v>
      </c>
      <c r="B29" s="550"/>
      <c r="C29" s="550"/>
      <c r="D29" s="83">
        <f>IF(D28="C1",1,IF(D28="C2",1.15,1.2))</f>
        <v>1.1499999999999999</v>
      </c>
      <c r="E29" s="61"/>
      <c r="F29" s="597"/>
      <c r="G29" s="597"/>
      <c r="H29" s="597"/>
      <c r="I29" s="597"/>
      <c r="J29" s="597"/>
      <c r="K29" s="597"/>
      <c r="L29" s="597"/>
      <c r="M29" s="597"/>
      <c r="P29" s="43"/>
      <c r="Q29" s="43"/>
      <c r="R29" s="43"/>
      <c r="S29" s="43"/>
    </row>
    <row r="30" spans="1:19">
      <c r="A30" s="546" t="s">
        <v>992</v>
      </c>
      <c r="B30" s="547"/>
      <c r="C30" s="548"/>
      <c r="D30" s="57" t="s">
        <v>993</v>
      </c>
      <c r="E30" s="61"/>
      <c r="F30" s="598"/>
      <c r="G30" s="598"/>
      <c r="H30" s="598"/>
      <c r="I30" s="598"/>
      <c r="J30" s="598"/>
      <c r="K30" s="598"/>
      <c r="L30" s="598"/>
      <c r="M30" s="598"/>
      <c r="P30" s="43"/>
      <c r="Q30" s="43"/>
      <c r="R30" s="43"/>
      <c r="S30" s="43"/>
    </row>
    <row r="31" spans="1:19">
      <c r="A31" s="550" t="s">
        <v>995</v>
      </c>
      <c r="B31" s="550"/>
      <c r="C31" s="550"/>
      <c r="D31" s="75">
        <f>IF(D30="Yes",IF(D11="Cọc tròn",PI()*(D12^2-D14^2)/4,D12^2)*D18*2.5*10*IF($D$28="C1",1.1,IF(D28="C2",1.1,1.1)),0)</f>
        <v>609.07627571472096</v>
      </c>
      <c r="E31" s="61"/>
      <c r="F31" s="591" t="s">
        <v>994</v>
      </c>
      <c r="G31" s="591"/>
      <c r="H31" s="591"/>
      <c r="I31" s="591"/>
      <c r="J31" s="591"/>
      <c r="K31" s="591"/>
      <c r="L31" s="591"/>
      <c r="M31" s="591"/>
      <c r="P31" s="43"/>
      <c r="Q31" s="43"/>
      <c r="R31" s="43"/>
      <c r="S31" s="43"/>
    </row>
    <row r="32" spans="1:19">
      <c r="A32" s="550" t="s">
        <v>991</v>
      </c>
      <c r="B32" s="590"/>
      <c r="C32" s="590"/>
      <c r="D32" s="84">
        <v>1.4</v>
      </c>
      <c r="E32" s="61"/>
      <c r="F32" s="591"/>
      <c r="G32" s="591"/>
      <c r="H32" s="591"/>
      <c r="I32" s="591"/>
      <c r="J32" s="591"/>
      <c r="K32" s="591"/>
      <c r="L32" s="591"/>
      <c r="M32" s="592"/>
    </row>
    <row r="33" spans="1:19" ht="15.75">
      <c r="A33" s="550" t="s">
        <v>996</v>
      </c>
      <c r="B33" s="525"/>
      <c r="C33" s="525"/>
      <c r="D33" s="85">
        <f>FLOOR(D27/D32-D31,10)</f>
        <v>14730</v>
      </c>
      <c r="E33" s="61"/>
      <c r="F33" s="593" t="s">
        <v>991</v>
      </c>
      <c r="G33" s="594"/>
      <c r="H33" s="601">
        <v>1.6</v>
      </c>
      <c r="I33" s="550" t="s">
        <v>996</v>
      </c>
      <c r="J33" s="525"/>
      <c r="K33" s="525"/>
      <c r="L33" s="88">
        <f>FLOOR(D27/H33-D31,10)</f>
        <v>12810</v>
      </c>
      <c r="M33" s="81"/>
    </row>
    <row r="34" spans="1:19" ht="15.75">
      <c r="A34" s="550" t="s">
        <v>997</v>
      </c>
      <c r="B34" s="525"/>
      <c r="C34" s="525"/>
      <c r="D34" s="86">
        <f>FLOOR(D27/(D29*D32)-D31*D29,10)</f>
        <v>12630</v>
      </c>
      <c r="E34" s="61"/>
      <c r="F34" s="595"/>
      <c r="G34" s="596"/>
      <c r="H34" s="602"/>
      <c r="I34" s="550" t="s">
        <v>997</v>
      </c>
      <c r="J34" s="525"/>
      <c r="K34" s="525"/>
      <c r="L34" s="89">
        <f>FLOOR(D27/(D29*H33)-D31,10)</f>
        <v>11060</v>
      </c>
      <c r="M34" s="65"/>
      <c r="P34" s="43"/>
      <c r="Q34" s="43"/>
      <c r="R34" s="43"/>
      <c r="S34" s="43"/>
    </row>
    <row r="35" spans="1:19">
      <c r="A35" s="79"/>
      <c r="B35" s="90"/>
      <c r="C35" s="90"/>
      <c r="D35" s="72"/>
      <c r="E35" s="61"/>
      <c r="F35" s="79"/>
      <c r="G35" s="79"/>
      <c r="H35" s="112"/>
      <c r="I35" s="79"/>
      <c r="J35" s="79"/>
      <c r="K35" s="79"/>
      <c r="L35" s="113"/>
      <c r="M35" s="65"/>
      <c r="P35" s="43"/>
      <c r="Q35" s="43"/>
      <c r="R35" s="43"/>
      <c r="S35" s="43"/>
    </row>
    <row r="36" spans="1:19" ht="15" customHeight="1">
      <c r="A36" s="111"/>
      <c r="B36" s="111"/>
      <c r="C36" s="111"/>
      <c r="D36" s="111"/>
      <c r="E36" s="111"/>
      <c r="F36" s="111"/>
      <c r="G36" s="111"/>
      <c r="H36" s="111"/>
      <c r="I36" s="111"/>
      <c r="J36" s="111"/>
      <c r="K36" s="111"/>
      <c r="L36" s="111"/>
      <c r="M36" s="111"/>
      <c r="P36" s="43"/>
      <c r="Q36" s="43"/>
      <c r="R36" s="43"/>
      <c r="S36" s="43"/>
    </row>
    <row r="37" spans="1:19" ht="12.75" customHeight="1">
      <c r="A37" s="554" t="s">
        <v>394</v>
      </c>
      <c r="B37" s="551" t="s">
        <v>998</v>
      </c>
      <c r="C37" s="555" t="s">
        <v>973</v>
      </c>
      <c r="D37" s="551" t="s">
        <v>999</v>
      </c>
      <c r="E37" s="551" t="s">
        <v>1057</v>
      </c>
      <c r="F37" s="94" t="s">
        <v>1058</v>
      </c>
      <c r="G37" s="551" t="s">
        <v>1059</v>
      </c>
      <c r="H37" s="551" t="s">
        <v>1060</v>
      </c>
      <c r="I37" s="551" t="s">
        <v>1061</v>
      </c>
      <c r="J37" s="599" t="s">
        <v>1003</v>
      </c>
      <c r="K37" s="551" t="s">
        <v>1062</v>
      </c>
      <c r="L37" s="551" t="s">
        <v>1063</v>
      </c>
      <c r="M37" s="551" t="s">
        <v>1064</v>
      </c>
      <c r="P37" s="43"/>
      <c r="Q37" s="43"/>
      <c r="R37" s="43"/>
      <c r="S37" s="43"/>
    </row>
    <row r="38" spans="1:19">
      <c r="A38" s="554"/>
      <c r="B38" s="551"/>
      <c r="C38" s="555"/>
      <c r="D38" s="551"/>
      <c r="E38" s="551"/>
      <c r="F38" s="94" t="s">
        <v>1065</v>
      </c>
      <c r="G38" s="551"/>
      <c r="H38" s="551"/>
      <c r="I38" s="551"/>
      <c r="J38" s="600"/>
      <c r="K38" s="551"/>
      <c r="L38" s="551"/>
      <c r="M38" s="551"/>
      <c r="P38" s="43"/>
      <c r="Q38" s="43"/>
      <c r="R38" s="43"/>
      <c r="S38" s="43"/>
    </row>
    <row r="39" spans="1:19">
      <c r="A39" s="87">
        <v>0</v>
      </c>
      <c r="B39" s="83">
        <f>_xll.flu_CocMaSatKMD($D$21,$D$15,$D$16,$D$22,$H$12:$M$24,FALSE,FALSE,$D$17,$D$12,$K$27,$H$27,A39,"Cao độ")</f>
        <v>0</v>
      </c>
      <c r="C39" s="87" t="str">
        <f>IF(B39="","",_xll.TimTenLoaiDat(B39,$F$12:$H$24))</f>
        <v>Lớp 1</v>
      </c>
      <c r="D39" s="82" t="str">
        <f>IF(B39="","",_xll.TimTinhChatDat(B39,$H$12:$I$24))</f>
        <v>Cát chặt vừa - bụi</v>
      </c>
      <c r="E39" s="96">
        <f>IF(B39="","",_xll.Qb_CocMaSatKMD(B39,$H$12:$M$24,$D$20,$D$22,$H$27,$D$14,$D$23,"GanmaRR"))</f>
        <v>0</v>
      </c>
      <c r="F39" s="95">
        <f>IF(B39="","",_xll.Qb_CocMaSatKMD(B39,$H$12:$M$24,$D$20,$D$22,$H$27,$D$14,$D$23,"qb"))</f>
        <v>0</v>
      </c>
      <c r="G39" s="95">
        <f t="shared" ref="G39:G70" si="0">IF(B39="","",$D$22*E39*F39*$D$20)</f>
        <v>0</v>
      </c>
      <c r="H39" s="96">
        <f>IF(B39="","",_xll.flu_CocMaSatKMD($D$21,$D$15,$D$16,$D$22,$H$12:$M$24,FALSE,FALSE,$D$17,$D$12,$K$27,$H$27,A39,"GanmaRf"))</f>
        <v>0.8</v>
      </c>
      <c r="I39" s="96">
        <f>IF(B39="","",_xll.flu_CocMaSatKMD($D$21,$D$15,$D$16,$D$22,$H$12:$M$24,FALSE,FALSE,$D$17,$D$12,$K$27,$H$27,A39,"Li"))</f>
        <v>1</v>
      </c>
      <c r="J39" s="95">
        <f>IF(B39="","",_xll.flu_CocMaSatKMD($D$21,$D$15,$D$16,$D$22,$H$12:$M$24,FALSE,FALSE,$D$17,$D$12,$K$27,$H$27,A39,"f"))</f>
        <v>0</v>
      </c>
      <c r="K39" s="95">
        <f>IF(B39="","",_xll.flu_CocMaSatKMD($D$21,$D$15,$D$16,$D$22,$H$12:$M$24,FALSE,FALSE,$D$17,$D$12,$K$27,$H$27,A39,"fludon"))</f>
        <v>0</v>
      </c>
      <c r="L39" s="95">
        <f>IF(B39="","",_xll.flu_CocMaSatKMD($D$21,$D$15,$D$16,$D$22,$H$12:$M$24,FALSE,FALSE,$D$17,$D$12,$K$27,$H$27,A39,"flu"))</f>
        <v>0</v>
      </c>
      <c r="M39" s="87">
        <f t="shared" ref="M39:M70" si="1">IF(B39="",NA(),L39+G39)</f>
        <v>0</v>
      </c>
      <c r="P39" s="43"/>
      <c r="Q39" s="43"/>
      <c r="R39" s="43"/>
      <c r="S39" s="43"/>
    </row>
    <row r="40" spans="1:19">
      <c r="A40" s="87">
        <f t="shared" ref="A40:A103" si="2">+A39+1</f>
        <v>1</v>
      </c>
      <c r="B40" s="83">
        <f>_xll.flu_CocMaSatKMD($D$21,$D$15,$D$16,$D$22,$H$12:$M$24,FALSE,FALSE,$D$17,$D$12,$K$27,$H$27,A40,"Cao độ")</f>
        <v>1</v>
      </c>
      <c r="C40" s="87" t="str">
        <f>IF(B40="","",_xll.TimTenLoaiDat(B40,$F$12:$H$24))</f>
        <v>Lớp 1</v>
      </c>
      <c r="D40" s="82" t="str">
        <f>IF(B40="","",_xll.TimTinhChatDat(B40,$H$12:$I$24))</f>
        <v>Cát chặt vừa - bụi</v>
      </c>
      <c r="E40" s="96">
        <f>IF(B40="","",_xll.Qb_CocMaSatKMD(B40,$H$12:$M$24,$D$20,$D$22,$H$27,$D$14,$D$23,"GanmaRR"))</f>
        <v>0</v>
      </c>
      <c r="F40" s="95">
        <f>IF(B40="","",_xll.Qb_CocMaSatKMD(B40,$H$12:$M$24,$D$20,$D$22,$H$27,$D$14,$D$23,"qb"))</f>
        <v>0</v>
      </c>
      <c r="G40" s="95">
        <f t="shared" si="0"/>
        <v>0</v>
      </c>
      <c r="H40" s="96">
        <f>IF(B40="","",_xll.flu_CocMaSatKMD($D$21,$D$15,$D$16,$D$22,$H$12:$M$24,FALSE,FALSE,$D$17,$D$12,$K$27,$H$27,A40,"GanmaRf"))</f>
        <v>0.8</v>
      </c>
      <c r="I40" s="96">
        <f>IF(B40="","",_xll.flu_CocMaSatKMD($D$21,$D$15,$D$16,$D$22,$H$12:$M$24,FALSE,FALSE,$D$17,$D$12,$K$27,$H$27,A40,"Li"))</f>
        <v>0.5</v>
      </c>
      <c r="J40" s="95">
        <f>IF(B40="","",_xll.flu_CocMaSatKMD($D$21,$D$15,$D$16,$D$22,$H$12:$M$24,FALSE,FALSE,$D$17,$D$12,$K$27,$H$27,A40,"f"))</f>
        <v>25</v>
      </c>
      <c r="K40" s="95">
        <f>IF(B40="","",_xll.flu_CocMaSatKMD($D$21,$D$15,$D$16,$D$22,$H$12:$M$24,FALSE,FALSE,$D$17,$D$12,$K$27,$H$27,A40,"fludon"))</f>
        <v>31.415926535897899</v>
      </c>
      <c r="L40" s="95">
        <f>IF(B40="","",_xll.flu_CocMaSatKMD($D$21,$D$15,$D$16,$D$22,$H$12:$M$24,FALSE,FALSE,$D$17,$D$12,$K$27,$H$27,A40,"flu"))</f>
        <v>31.415926535897899</v>
      </c>
      <c r="M40" s="87">
        <f t="shared" si="1"/>
        <v>31.415926535897899</v>
      </c>
      <c r="P40" s="43"/>
      <c r="Q40" s="43"/>
      <c r="R40" s="43"/>
      <c r="S40" s="43"/>
    </row>
    <row r="41" spans="1:19">
      <c r="A41" s="87">
        <f t="shared" si="2"/>
        <v>2</v>
      </c>
      <c r="B41" s="83">
        <f>_xll.flu_CocMaSatKMD($D$21,$D$15,$D$16,$D$22,$H$12:$M$24,FALSE,FALSE,$D$17,$D$12,$K$27,$H$27,A41,"Cao độ")</f>
        <v>1.5</v>
      </c>
      <c r="C41" s="87" t="str">
        <f>IF(B41="","",_xll.TimTenLoaiDat(B41,$F$12:$H$24))</f>
        <v>Lớp 2</v>
      </c>
      <c r="D41" s="82" t="str">
        <f>IF(B41="","",_xll.TimTinhChatDat(B41,$H$12:$I$24))</f>
        <v>Đất sét</v>
      </c>
      <c r="E41" s="96">
        <f>IF(B41="","",_xll.Qb_CocMaSatKMD(B41,$H$12:$M$24,$D$20,$D$22,$H$27,$D$14,$D$23,"GanmaRR"))</f>
        <v>0</v>
      </c>
      <c r="F41" s="95">
        <f>IF(B41="","",_xll.Qb_CocMaSatKMD(B41,$H$12:$M$24,$D$20,$D$22,$H$27,$D$14,$D$23,"qb"))</f>
        <v>0</v>
      </c>
      <c r="G41" s="95">
        <f t="shared" si="0"/>
        <v>0</v>
      </c>
      <c r="H41" s="96">
        <f>IF(B41="","",_xll.flu_CocMaSatKMD($D$21,$D$15,$D$16,$D$22,$H$12:$M$24,FALSE,FALSE,$D$17,$D$12,$K$27,$H$27,A41,"GanmaRf"))</f>
        <v>1</v>
      </c>
      <c r="I41" s="96">
        <f>IF(B41="","",_xll.flu_CocMaSatKMD($D$21,$D$15,$D$16,$D$22,$H$12:$M$24,FALSE,FALSE,$D$17,$D$12,$K$27,$H$27,A41,"Li"))</f>
        <v>0.5</v>
      </c>
      <c r="J41" s="95">
        <f>IF(B41="","",_xll.flu_CocMaSatKMD($D$21,$D$15,$D$16,$D$22,$H$12:$M$24,FALSE,FALSE,$D$17,$D$12,$K$27,$H$27,A41,"f"))</f>
        <v>35</v>
      </c>
      <c r="K41" s="95">
        <f>IF(B41="","",_xll.flu_CocMaSatKMD($D$21,$D$15,$D$16,$D$22,$H$12:$M$24,FALSE,FALSE,$D$17,$D$12,$K$27,$H$27,A41,"fludon"))</f>
        <v>54.977871437821399</v>
      </c>
      <c r="L41" s="95">
        <f>IF(B41="","",_xll.flu_CocMaSatKMD($D$21,$D$15,$D$16,$D$22,$H$12:$M$24,FALSE,FALSE,$D$17,$D$12,$K$27,$H$27,A41,"flu"))</f>
        <v>86.393797973719302</v>
      </c>
      <c r="M41" s="87">
        <f t="shared" si="1"/>
        <v>86.393797973719302</v>
      </c>
      <c r="P41" s="43"/>
      <c r="Q41" s="43"/>
      <c r="R41" s="43"/>
      <c r="S41" s="43"/>
    </row>
    <row r="42" spans="1:19">
      <c r="A42" s="87">
        <f t="shared" si="2"/>
        <v>3</v>
      </c>
      <c r="B42" s="83">
        <f>_xll.flu_CocMaSatKMD($D$21,$D$15,$D$16,$D$22,$H$12:$M$24,FALSE,FALSE,$D$17,$D$12,$K$27,$H$27,A42,"Cao độ")</f>
        <v>2</v>
      </c>
      <c r="C42" s="87" t="str">
        <f>IF(B42="","",_xll.TimTenLoaiDat(B42,$F$12:$H$24))</f>
        <v>Lớp 2</v>
      </c>
      <c r="D42" s="82" t="str">
        <f>IF(B42="","",_xll.TimTinhChatDat(B42,$H$12:$I$24))</f>
        <v>Đất sét</v>
      </c>
      <c r="E42" s="96">
        <f>IF(B42="","",_xll.Qb_CocMaSatKMD(B42,$H$12:$M$24,$D$20,$D$22,$H$27,$D$14,$D$23,"GanmaRR"))</f>
        <v>0</v>
      </c>
      <c r="F42" s="95">
        <f>IF(B42="","",_xll.Qb_CocMaSatKMD(B42,$H$12:$M$24,$D$20,$D$22,$H$27,$D$14,$D$23,"qb"))</f>
        <v>0</v>
      </c>
      <c r="G42" s="95">
        <f t="shared" si="0"/>
        <v>0</v>
      </c>
      <c r="H42" s="96">
        <f>IF(B42="","",_xll.flu_CocMaSatKMD($D$21,$D$15,$D$16,$D$22,$H$12:$M$24,FALSE,FALSE,$D$17,$D$12,$K$27,$H$27,A42,"GanmaRf"))</f>
        <v>1</v>
      </c>
      <c r="I42" s="96">
        <f>IF(B42="","",_xll.flu_CocMaSatKMD($D$21,$D$15,$D$16,$D$22,$H$12:$M$24,FALSE,FALSE,$D$17,$D$12,$K$27,$H$27,A42,"Li"))</f>
        <v>1</v>
      </c>
      <c r="J42" s="95">
        <f>IF(B42="","",_xll.flu_CocMaSatKMD($D$21,$D$15,$D$16,$D$22,$H$12:$M$24,FALSE,FALSE,$D$17,$D$12,$K$27,$H$27,A42,"f"))</f>
        <v>35</v>
      </c>
      <c r="K42" s="95">
        <f>IF(B42="","",_xll.flu_CocMaSatKMD($D$21,$D$15,$D$16,$D$22,$H$12:$M$24,FALSE,FALSE,$D$17,$D$12,$K$27,$H$27,A42,"fludon"))</f>
        <v>109.955742875643</v>
      </c>
      <c r="L42" s="95">
        <f>IF(B42="","",_xll.flu_CocMaSatKMD($D$21,$D$15,$D$16,$D$22,$H$12:$M$24,FALSE,FALSE,$D$17,$D$12,$K$27,$H$27,A42,"flu"))</f>
        <v>196.349540849362</v>
      </c>
      <c r="M42" s="87">
        <f t="shared" si="1"/>
        <v>196.349540849362</v>
      </c>
      <c r="P42" s="43"/>
      <c r="Q42" s="43"/>
      <c r="R42" s="43"/>
      <c r="S42" s="43"/>
    </row>
    <row r="43" spans="1:19">
      <c r="A43" s="87">
        <f t="shared" si="2"/>
        <v>4</v>
      </c>
      <c r="B43" s="83">
        <f>_xll.flu_CocMaSatKMD($D$21,$D$15,$D$16,$D$22,$H$12:$M$24,FALSE,FALSE,$D$17,$D$12,$K$27,$H$27,A43,"Cao độ")</f>
        <v>3</v>
      </c>
      <c r="C43" s="87" t="str">
        <f>IF(B43="","",_xll.TimTenLoaiDat(B43,$F$12:$H$24))</f>
        <v>Lớp 2</v>
      </c>
      <c r="D43" s="82" t="str">
        <f>IF(B43="","",_xll.TimTinhChatDat(B43,$H$12:$I$24))</f>
        <v>Đất sét</v>
      </c>
      <c r="E43" s="96">
        <f>IF(B43="","",_xll.Qb_CocMaSatKMD(B43,$H$12:$M$24,$D$20,$D$22,$H$27,$D$14,$D$23,"GanmaRR"))</f>
        <v>1.1000000000000001</v>
      </c>
      <c r="F43" s="95">
        <f>IF(B43="","",_xll.Qb_CocMaSatKMD(B43,$H$12:$M$24,$D$20,$D$22,$H$27,$D$14,$D$23,"qb"))</f>
        <v>2000</v>
      </c>
      <c r="G43" s="95">
        <f t="shared" si="0"/>
        <v>1727.8759594743899</v>
      </c>
      <c r="H43" s="96">
        <f>IF(B43="","",_xll.flu_CocMaSatKMD($D$21,$D$15,$D$16,$D$22,$H$12:$M$24,FALSE,FALSE,$D$17,$D$12,$K$27,$H$27,A43,"GanmaRf"))</f>
        <v>1</v>
      </c>
      <c r="I43" s="96">
        <f>IF(B43="","",_xll.flu_CocMaSatKMD($D$21,$D$15,$D$16,$D$22,$H$12:$M$24,FALSE,FALSE,$D$17,$D$12,$K$27,$H$27,A43,"Li"))</f>
        <v>1</v>
      </c>
      <c r="J43" s="95">
        <f>IF(B43="","",_xll.flu_CocMaSatKMD($D$21,$D$15,$D$16,$D$22,$H$12:$M$24,FALSE,FALSE,$D$17,$D$12,$K$27,$H$27,A43,"f"))</f>
        <v>35</v>
      </c>
      <c r="K43" s="95">
        <f>IF(B43="","",_xll.flu_CocMaSatKMD($D$21,$D$15,$D$16,$D$22,$H$12:$M$24,FALSE,FALSE,$D$17,$D$12,$K$27,$H$27,A43,"fludon"))</f>
        <v>109.955742875643</v>
      </c>
      <c r="L43" s="95">
        <f>IF(B43="","",_xll.flu_CocMaSatKMD($D$21,$D$15,$D$16,$D$22,$H$12:$M$24,FALSE,FALSE,$D$17,$D$12,$K$27,$H$27,A43,"flu"))</f>
        <v>306.30528372500498</v>
      </c>
      <c r="M43" s="87">
        <f t="shared" si="1"/>
        <v>2034.1812431993901</v>
      </c>
      <c r="P43" s="43"/>
      <c r="Q43" s="43"/>
      <c r="R43" s="43"/>
      <c r="S43" s="43"/>
    </row>
    <row r="44" spans="1:19">
      <c r="A44" s="87">
        <f t="shared" si="2"/>
        <v>5</v>
      </c>
      <c r="B44" s="83">
        <f>_xll.flu_CocMaSatKMD($D$21,$D$15,$D$16,$D$22,$H$12:$M$24,FALSE,FALSE,$D$17,$D$12,$K$27,$H$27,A44,"Cao độ")</f>
        <v>4</v>
      </c>
      <c r="C44" s="87" t="str">
        <f>IF(B44="","",_xll.TimTenLoaiDat(B44,$F$12:$H$24))</f>
        <v>Lớp 2</v>
      </c>
      <c r="D44" s="82" t="str">
        <f>IF(B44="","",_xll.TimTinhChatDat(B44,$H$12:$I$24))</f>
        <v>Đất sét</v>
      </c>
      <c r="E44" s="96">
        <f>IF(B44="","",_xll.Qb_CocMaSatKMD(B44,$H$12:$M$24,$D$20,$D$22,$H$27,$D$14,$D$23,"GanmaRR"))</f>
        <v>1.1000000000000001</v>
      </c>
      <c r="F44" s="95">
        <f>IF(B44="","",_xll.Qb_CocMaSatKMD(B44,$H$12:$M$24,$D$20,$D$22,$H$27,$D$14,$D$23,"qb"))</f>
        <v>2500</v>
      </c>
      <c r="G44" s="95">
        <f t="shared" si="0"/>
        <v>2159.8449493429798</v>
      </c>
      <c r="H44" s="96">
        <f>IF(B44="","",_xll.flu_CocMaSatKMD($D$21,$D$15,$D$16,$D$22,$H$12:$M$24,FALSE,FALSE,$D$17,$D$12,$K$27,$H$27,A44,"GanmaRf"))</f>
        <v>1</v>
      </c>
      <c r="I44" s="96">
        <f>IF(B44="","",_xll.flu_CocMaSatKMD($D$21,$D$15,$D$16,$D$22,$H$12:$M$24,FALSE,FALSE,$D$17,$D$12,$K$27,$H$27,A44,"Li"))</f>
        <v>1</v>
      </c>
      <c r="J44" s="95">
        <f>IF(B44="","",_xll.flu_CocMaSatKMD($D$21,$D$15,$D$16,$D$22,$H$12:$M$24,FALSE,FALSE,$D$17,$D$12,$K$27,$H$27,A44,"f"))</f>
        <v>38</v>
      </c>
      <c r="K44" s="95">
        <f>IF(B44="","",_xll.flu_CocMaSatKMD($D$21,$D$15,$D$16,$D$22,$H$12:$M$24,FALSE,FALSE,$D$17,$D$12,$K$27,$H$27,A44,"fludon"))</f>
        <v>119.380520836412</v>
      </c>
      <c r="L44" s="95">
        <f>IF(B44="","",_xll.flu_CocMaSatKMD($D$21,$D$15,$D$16,$D$22,$H$12:$M$24,FALSE,FALSE,$D$17,$D$12,$K$27,$H$27,A44,"flu"))</f>
        <v>425.685804561417</v>
      </c>
      <c r="M44" s="87">
        <f t="shared" si="1"/>
        <v>2585.5307539044002</v>
      </c>
      <c r="P44" s="43"/>
      <c r="Q44" s="43"/>
      <c r="R44" s="43"/>
      <c r="S44" s="43"/>
    </row>
    <row r="45" spans="1:19" s="35" customFormat="1" ht="12.75">
      <c r="A45" s="87">
        <f t="shared" si="2"/>
        <v>6</v>
      </c>
      <c r="B45" s="83">
        <f>_xll.flu_CocMaSatKMD($D$21,$D$15,$D$16,$D$22,$H$12:$M$24,FALSE,FALSE,$D$17,$D$12,$K$27,$H$27,A45,"Cao độ")</f>
        <v>5</v>
      </c>
      <c r="C45" s="87" t="str">
        <f>IF(B45="","",_xll.TimTenLoaiDat(B45,$F$12:$H$24))</f>
        <v>Lớp 2</v>
      </c>
      <c r="D45" s="82" t="str">
        <f>IF(B45="","",_xll.TimTinhChatDat(B45,$H$12:$I$24))</f>
        <v>Đất sét</v>
      </c>
      <c r="E45" s="96">
        <f>IF(B45="","",_xll.Qb_CocMaSatKMD(B45,$H$12:$M$24,$D$20,$D$22,$H$27,$D$14,$D$23,"GanmaRR"))</f>
        <v>1.1000000000000001</v>
      </c>
      <c r="F45" s="95">
        <f>IF(B45="","",_xll.Qb_CocMaSatKMD(B45,$H$12:$M$24,$D$20,$D$22,$H$27,$D$14,$D$23,"qb"))</f>
        <v>2800</v>
      </c>
      <c r="G45" s="95">
        <f t="shared" si="0"/>
        <v>2419.02634326414</v>
      </c>
      <c r="H45" s="96">
        <f>IF(B45="","",_xll.flu_CocMaSatKMD($D$21,$D$15,$D$16,$D$22,$H$12:$M$24,FALSE,FALSE,$D$17,$D$12,$K$27,$H$27,A45,"GanmaRf"))</f>
        <v>1</v>
      </c>
      <c r="I45" s="96">
        <f>IF(B45="","",_xll.flu_CocMaSatKMD($D$21,$D$15,$D$16,$D$22,$H$12:$M$24,FALSE,FALSE,$D$17,$D$12,$K$27,$H$27,A45,"Li"))</f>
        <v>1</v>
      </c>
      <c r="J45" s="95">
        <f>IF(B45="","",_xll.flu_CocMaSatKMD($D$21,$D$15,$D$16,$D$22,$H$12:$M$24,FALSE,FALSE,$D$17,$D$12,$K$27,$H$27,A45,"f"))</f>
        <v>40</v>
      </c>
      <c r="K45" s="95">
        <f>IF(B45="","",_xll.flu_CocMaSatKMD($D$21,$D$15,$D$16,$D$22,$H$12:$M$24,FALSE,FALSE,$D$17,$D$12,$K$27,$H$27,A45,"fludon"))</f>
        <v>125.66370614359199</v>
      </c>
      <c r="L45" s="95">
        <f>IF(B45="","",_xll.flu_CocMaSatKMD($D$21,$D$15,$D$16,$D$22,$H$12:$M$24,FALSE,FALSE,$D$17,$D$12,$K$27,$H$27,A45,"flu"))</f>
        <v>551.34951070500904</v>
      </c>
      <c r="M45" s="87">
        <f t="shared" si="1"/>
        <v>2970.3758539691498</v>
      </c>
    </row>
    <row r="46" spans="1:19" s="35" customFormat="1" ht="12.75">
      <c r="A46" s="87">
        <f t="shared" si="2"/>
        <v>7</v>
      </c>
      <c r="B46" s="83">
        <f>_xll.flu_CocMaSatKMD($D$21,$D$15,$D$16,$D$22,$H$12:$M$24,FALSE,FALSE,$D$17,$D$12,$K$27,$H$27,A46,"Cao độ")</f>
        <v>6</v>
      </c>
      <c r="C46" s="87" t="str">
        <f>IF(B46="","",_xll.TimTenLoaiDat(B46,$F$12:$H$24))</f>
        <v>Lớp 2</v>
      </c>
      <c r="D46" s="82" t="str">
        <f>IF(B46="","",_xll.TimTinhChatDat(B46,$H$12:$I$24))</f>
        <v>Đất sét</v>
      </c>
      <c r="E46" s="96">
        <f>IF(B46="","",_xll.Qb_CocMaSatKMD(B46,$H$12:$M$24,$D$20,$D$22,$H$27,$D$14,$D$23,"GanmaRR"))</f>
        <v>1.1000000000000001</v>
      </c>
      <c r="F46" s="95">
        <f>IF(B46="","",_xll.Qb_CocMaSatKMD(B46,$H$12:$M$24,$D$20,$D$22,$H$27,$D$14,$D$23,"qb"))</f>
        <v>3050</v>
      </c>
      <c r="G46" s="95">
        <f t="shared" si="0"/>
        <v>2635.0108381984401</v>
      </c>
      <c r="H46" s="96">
        <f>IF(B46="","",_xll.flu_CocMaSatKMD($D$21,$D$15,$D$16,$D$22,$H$12:$M$24,FALSE,FALSE,$D$17,$D$12,$K$27,$H$27,A46,"GanmaRf"))</f>
        <v>1</v>
      </c>
      <c r="I46" s="96">
        <f>IF(B46="","",_xll.flu_CocMaSatKMD($D$21,$D$15,$D$16,$D$22,$H$12:$M$24,FALSE,FALSE,$D$17,$D$12,$K$27,$H$27,A46,"Li"))</f>
        <v>1</v>
      </c>
      <c r="J46" s="95">
        <f>IF(B46="","",_xll.flu_CocMaSatKMD($D$21,$D$15,$D$16,$D$22,$H$12:$M$24,FALSE,FALSE,$D$17,$D$12,$K$27,$H$27,A46,"f"))</f>
        <v>42</v>
      </c>
      <c r="K46" s="95">
        <f>IF(B46="","",_xll.flu_CocMaSatKMD($D$21,$D$15,$D$16,$D$22,$H$12:$M$24,FALSE,FALSE,$D$17,$D$12,$K$27,$H$27,A46,"fludon"))</f>
        <v>131.94689145077101</v>
      </c>
      <c r="L46" s="95">
        <f>IF(B46="","",_xll.flu_CocMaSatKMD($D$21,$D$15,$D$16,$D$22,$H$12:$M$24,FALSE,FALSE,$D$17,$D$12,$K$27,$H$27,A46,"flu"))</f>
        <v>683.29640215578002</v>
      </c>
      <c r="M46" s="87">
        <f t="shared" si="1"/>
        <v>3318.3072403542201</v>
      </c>
    </row>
    <row r="47" spans="1:19">
      <c r="A47" s="87">
        <f t="shared" si="2"/>
        <v>8</v>
      </c>
      <c r="B47" s="83">
        <f>_xll.flu_CocMaSatKMD($D$21,$D$15,$D$16,$D$22,$H$12:$M$24,FALSE,FALSE,$D$17,$D$12,$K$27,$H$27,A47,"Cao độ")</f>
        <v>7</v>
      </c>
      <c r="C47" s="87" t="str">
        <f>IF(B47="","",_xll.TimTenLoaiDat(B47,$F$12:$H$24))</f>
        <v>Lớp 3</v>
      </c>
      <c r="D47" s="82" t="str">
        <f>IF(B47="","",_xll.TimTinhChatDat(B47,$H$12:$I$24))</f>
        <v>Đất sét</v>
      </c>
      <c r="E47" s="96">
        <f>IF(B47="","",_xll.Qb_CocMaSatKMD(B47,$H$12:$M$24,$D$20,$D$22,$H$27,$D$14,$D$23,"GanmaRR"))</f>
        <v>1.1000000000000001</v>
      </c>
      <c r="F47" s="95">
        <f>IF(B47="","",_xll.Qb_CocMaSatKMD(B47,$H$12:$M$24,$D$20,$D$22,$H$27,$D$14,$D$23,"qb"))</f>
        <v>4300</v>
      </c>
      <c r="G47" s="95">
        <f t="shared" si="0"/>
        <v>3714.93331286993</v>
      </c>
      <c r="H47" s="96">
        <f>IF(B47="","",_xll.flu_CocMaSatKMD($D$21,$D$15,$D$16,$D$22,$H$12:$M$24,FALSE,FALSE,$D$17,$D$12,$K$27,$H$27,A47,"GanmaRf"))</f>
        <v>1</v>
      </c>
      <c r="I47" s="96">
        <f>IF(B47="","",_xll.flu_CocMaSatKMD($D$21,$D$15,$D$16,$D$22,$H$12:$M$24,FALSE,FALSE,$D$17,$D$12,$K$27,$H$27,A47,"Li"))</f>
        <v>1</v>
      </c>
      <c r="J47" s="95">
        <f>IF(B47="","",_xll.flu_CocMaSatKMD($D$21,$D$15,$D$16,$D$22,$H$12:$M$24,FALSE,FALSE,$D$17,$D$12,$K$27,$H$27,A47,"f"))</f>
        <v>60</v>
      </c>
      <c r="K47" s="95">
        <f>IF(B47="","",_xll.flu_CocMaSatKMD($D$21,$D$15,$D$16,$D$22,$H$12:$M$24,FALSE,FALSE,$D$17,$D$12,$K$27,$H$27,A47,"fludon"))</f>
        <v>188.495559215388</v>
      </c>
      <c r="L47" s="95">
        <f>IF(B47="","",_xll.flu_CocMaSatKMD($D$21,$D$15,$D$16,$D$22,$H$12:$M$24,FALSE,FALSE,$D$17,$D$12,$K$27,$H$27,A47,"flu"))</f>
        <v>871.79196137116799</v>
      </c>
      <c r="M47" s="87">
        <f t="shared" si="1"/>
        <v>4586.7252742411001</v>
      </c>
      <c r="P47" s="43"/>
      <c r="Q47" s="43"/>
      <c r="R47" s="43"/>
      <c r="S47" s="43"/>
    </row>
    <row r="48" spans="1:19">
      <c r="A48" s="87">
        <f t="shared" si="2"/>
        <v>9</v>
      </c>
      <c r="B48" s="83">
        <f>_xll.flu_CocMaSatKMD($D$21,$D$15,$D$16,$D$22,$H$12:$M$24,FALSE,FALSE,$D$17,$D$12,$K$27,$H$27,A48,"Cao độ")</f>
        <v>8</v>
      </c>
      <c r="C48" s="87" t="str">
        <f>IF(B48="","",_xll.TimTenLoaiDat(B48,$F$12:$H$24))</f>
        <v>Lớp 3</v>
      </c>
      <c r="D48" s="82" t="str">
        <f>IF(B48="","",_xll.TimTinhChatDat(B48,$H$12:$I$24))</f>
        <v>Đất sét</v>
      </c>
      <c r="E48" s="96">
        <f>IF(B48="","",_xll.Qb_CocMaSatKMD(B48,$H$12:$M$24,$D$20,$D$22,$H$27,$D$14,$D$23,"GanmaRR"))</f>
        <v>1.1000000000000001</v>
      </c>
      <c r="F48" s="95">
        <f>IF(B48="","",_xll.Qb_CocMaSatKMD(B48,$H$12:$M$24,$D$20,$D$22,$H$27,$D$14,$D$23,"qb"))</f>
        <v>4533.3333333333303</v>
      </c>
      <c r="G48" s="95">
        <f t="shared" si="0"/>
        <v>3916.5188414752802</v>
      </c>
      <c r="H48" s="96">
        <f>IF(B48="","",_xll.flu_CocMaSatKMD($D$21,$D$15,$D$16,$D$22,$H$12:$M$24,FALSE,FALSE,$D$17,$D$12,$K$27,$H$27,A48,"GanmaRf"))</f>
        <v>1</v>
      </c>
      <c r="I48" s="96">
        <f>IF(B48="","",_xll.flu_CocMaSatKMD($D$21,$D$15,$D$16,$D$22,$H$12:$M$24,FALSE,FALSE,$D$17,$D$12,$K$27,$H$27,A48,"Li"))</f>
        <v>1</v>
      </c>
      <c r="J48" s="95">
        <f>IF(B48="","",_xll.flu_CocMaSatKMD($D$21,$D$15,$D$16,$D$22,$H$12:$M$24,FALSE,FALSE,$D$17,$D$12,$K$27,$H$27,A48,"f"))</f>
        <v>62</v>
      </c>
      <c r="K48" s="95">
        <f>IF(B48="","",_xll.flu_CocMaSatKMD($D$21,$D$15,$D$16,$D$22,$H$12:$M$24,FALSE,FALSE,$D$17,$D$12,$K$27,$H$27,A48,"fludon"))</f>
        <v>194.778744522567</v>
      </c>
      <c r="L48" s="95">
        <f>IF(B48="","",_xll.flu_CocMaSatKMD($D$21,$D$15,$D$16,$D$22,$H$12:$M$24,FALSE,FALSE,$D$17,$D$12,$K$27,$H$27,A48,"flu"))</f>
        <v>1066.5707058937301</v>
      </c>
      <c r="M48" s="87">
        <f t="shared" si="1"/>
        <v>4983.0895473690098</v>
      </c>
    </row>
    <row r="49" spans="1:13">
      <c r="A49" s="87">
        <f t="shared" si="2"/>
        <v>10</v>
      </c>
      <c r="B49" s="83">
        <f>_xll.flu_CocMaSatKMD($D$21,$D$15,$D$16,$D$22,$H$12:$M$24,FALSE,FALSE,$D$17,$D$12,$K$27,$H$27,A49,"Cao độ")</f>
        <v>9</v>
      </c>
      <c r="C49" s="87" t="str">
        <f>IF(B49="","",_xll.TimTenLoaiDat(B49,$F$12:$H$24))</f>
        <v>Lớp 3</v>
      </c>
      <c r="D49" s="82" t="str">
        <f>IF(B49="","",_xll.TimTinhChatDat(B49,$H$12:$I$24))</f>
        <v>Đất sét</v>
      </c>
      <c r="E49" s="96">
        <f>IF(B49="","",_xll.Qb_CocMaSatKMD(B49,$H$12:$M$24,$D$20,$D$22,$H$27,$D$14,$D$23,"GanmaRR"))</f>
        <v>1.1000000000000001</v>
      </c>
      <c r="F49" s="95">
        <f>IF(B49="","",_xll.Qb_CocMaSatKMD(B49,$H$12:$M$24,$D$20,$D$22,$H$27,$D$14,$D$23,"qb"))</f>
        <v>4766.6666666666697</v>
      </c>
      <c r="G49" s="95">
        <f t="shared" si="0"/>
        <v>4118.1043700806204</v>
      </c>
      <c r="H49" s="96">
        <f>IF(B49="","",_xll.flu_CocMaSatKMD($D$21,$D$15,$D$16,$D$22,$H$12:$M$24,FALSE,FALSE,$D$17,$D$12,$K$27,$H$27,A49,"GanmaRf"))</f>
        <v>1</v>
      </c>
      <c r="I49" s="96">
        <f>IF(B49="","",_xll.flu_CocMaSatKMD($D$21,$D$15,$D$16,$D$22,$H$12:$M$24,FALSE,FALSE,$D$17,$D$12,$K$27,$H$27,A49,"Li"))</f>
        <v>1</v>
      </c>
      <c r="J49" s="95">
        <f>IF(B49="","",_xll.flu_CocMaSatKMD($D$21,$D$15,$D$16,$D$22,$H$12:$M$24,FALSE,FALSE,$D$17,$D$12,$K$27,$H$27,A49,"f"))</f>
        <v>63.5</v>
      </c>
      <c r="K49" s="95">
        <f>IF(B49="","",_xll.flu_CocMaSatKMD($D$21,$D$15,$D$16,$D$22,$H$12:$M$24,FALSE,FALSE,$D$17,$D$12,$K$27,$H$27,A49,"fludon"))</f>
        <v>199.49113350295201</v>
      </c>
      <c r="L49" s="95">
        <f>IF(B49="","",_xll.flu_CocMaSatKMD($D$21,$D$15,$D$16,$D$22,$H$12:$M$24,FALSE,FALSE,$D$17,$D$12,$K$27,$H$27,A49,"flu"))</f>
        <v>1266.0618393966899</v>
      </c>
      <c r="M49" s="87">
        <f t="shared" si="1"/>
        <v>5384.1662094773101</v>
      </c>
    </row>
    <row r="50" spans="1:13">
      <c r="A50" s="87">
        <f t="shared" si="2"/>
        <v>11</v>
      </c>
      <c r="B50" s="83">
        <f>_xll.flu_CocMaSatKMD($D$21,$D$15,$D$16,$D$22,$H$12:$M$24,FALSE,FALSE,$D$17,$D$12,$K$27,$H$27,A50,"Cao độ")</f>
        <v>10</v>
      </c>
      <c r="C50" s="87" t="str">
        <f>IF(B50="","",_xll.TimTenLoaiDat(B50,$F$12:$H$24))</f>
        <v>Lớp 3</v>
      </c>
      <c r="D50" s="82" t="str">
        <f>IF(B50="","",_xll.TimTinhChatDat(B50,$H$12:$I$24))</f>
        <v>Đất sét</v>
      </c>
      <c r="E50" s="96">
        <f>IF(B50="","",_xll.Qb_CocMaSatKMD(B50,$H$12:$M$24,$D$20,$D$22,$H$27,$D$14,$D$23,"GanmaRR"))</f>
        <v>1.1000000000000001</v>
      </c>
      <c r="F50" s="95">
        <f>IF(B50="","",_xll.Qb_CocMaSatKMD(B50,$H$12:$M$24,$D$20,$D$22,$H$27,$D$14,$D$23,"qb"))</f>
        <v>5000</v>
      </c>
      <c r="G50" s="95">
        <f t="shared" si="0"/>
        <v>4319.6898986859696</v>
      </c>
      <c r="H50" s="96">
        <f>IF(B50="","",_xll.flu_CocMaSatKMD($D$21,$D$15,$D$16,$D$22,$H$12:$M$24,FALSE,FALSE,$D$17,$D$12,$K$27,$H$27,A50,"GanmaRf"))</f>
        <v>1</v>
      </c>
      <c r="I50" s="96">
        <f>IF(B50="","",_xll.flu_CocMaSatKMD($D$21,$D$15,$D$16,$D$22,$H$12:$M$24,FALSE,FALSE,$D$17,$D$12,$K$27,$H$27,A50,"Li"))</f>
        <v>0.5</v>
      </c>
      <c r="J50" s="95">
        <f>IF(B50="","",_xll.flu_CocMaSatKMD($D$21,$D$15,$D$16,$D$22,$H$12:$M$24,FALSE,FALSE,$D$17,$D$12,$K$27,$H$27,A50,"f"))</f>
        <v>65</v>
      </c>
      <c r="K50" s="95">
        <f>IF(B50="","",_xll.flu_CocMaSatKMD($D$21,$D$15,$D$16,$D$22,$H$12:$M$24,FALSE,FALSE,$D$17,$D$12,$K$27,$H$27,A50,"fludon"))</f>
        <v>102.101761241668</v>
      </c>
      <c r="L50" s="95">
        <f>IF(B50="","",_xll.flu_CocMaSatKMD($D$21,$D$15,$D$16,$D$22,$H$12:$M$24,FALSE,FALSE,$D$17,$D$12,$K$27,$H$27,A50,"flu"))</f>
        <v>1368.1636006383601</v>
      </c>
      <c r="M50" s="87">
        <f t="shared" si="1"/>
        <v>5687.8534993243202</v>
      </c>
    </row>
    <row r="51" spans="1:13">
      <c r="A51" s="87">
        <f t="shared" si="2"/>
        <v>12</v>
      </c>
      <c r="B51" s="83">
        <f>_xll.flu_CocMaSatKMD($D$21,$D$15,$D$16,$D$22,$H$12:$M$24,FALSE,FALSE,$D$17,$D$12,$K$27,$H$27,A51,"Cao độ")</f>
        <v>10.5</v>
      </c>
      <c r="C51" s="87" t="str">
        <f>IF(B51="","",_xll.TimTenLoaiDat(B51,$F$12:$H$24))</f>
        <v>Lớp 4</v>
      </c>
      <c r="D51" s="82" t="str">
        <f>IF(B51="","",_xll.TimTinhChatDat(B51,$H$12:$I$24))</f>
        <v>Đất sét</v>
      </c>
      <c r="E51" s="96">
        <f>IF(B51="","",_xll.Qb_CocMaSatKMD(B51,$H$12:$M$24,$D$20,$D$22,$H$27,$D$14,$D$23,"GanmaRR"))</f>
        <v>1.1000000000000001</v>
      </c>
      <c r="F51" s="95">
        <f>IF(B51="","",_xll.Qb_CocMaSatKMD(B51,$H$12:$M$24,$D$20,$D$22,$H$27,$D$14,$D$23,"qb"))</f>
        <v>7320</v>
      </c>
      <c r="G51" s="95">
        <f t="shared" si="0"/>
        <v>6324.0260116762502</v>
      </c>
      <c r="H51" s="96">
        <f>IF(B51="","",_xll.flu_CocMaSatKMD($D$21,$D$15,$D$16,$D$22,$H$12:$M$24,FALSE,FALSE,$D$17,$D$12,$K$27,$H$27,A51,"GanmaRf"))</f>
        <v>1</v>
      </c>
      <c r="I51" s="96">
        <f>IF(B51="","",_xll.flu_CocMaSatKMD($D$21,$D$15,$D$16,$D$22,$H$12:$M$24,FALSE,FALSE,$D$17,$D$12,$K$27,$H$27,A51,"Li"))</f>
        <v>0.5</v>
      </c>
      <c r="J51" s="95">
        <f>IF(B51="","",_xll.flu_CocMaSatKMD($D$21,$D$15,$D$16,$D$22,$H$12:$M$24,FALSE,FALSE,$D$17,$D$12,$K$27,$H$27,A51,"f"))</f>
        <v>65.7</v>
      </c>
      <c r="K51" s="95">
        <f>IF(B51="","",_xll.flu_CocMaSatKMD($D$21,$D$15,$D$16,$D$22,$H$12:$M$24,FALSE,FALSE,$D$17,$D$12,$K$27,$H$27,A51,"fludon"))</f>
        <v>103.201318670425</v>
      </c>
      <c r="L51" s="95">
        <f>IF(B51="","",_xll.flu_CocMaSatKMD($D$21,$D$15,$D$16,$D$22,$H$12:$M$24,FALSE,FALSE,$D$17,$D$12,$K$27,$H$27,A51,"flu"))</f>
        <v>1471.3649193087799</v>
      </c>
      <c r="M51" s="87">
        <f t="shared" si="1"/>
        <v>7795.3909309850396</v>
      </c>
    </row>
    <row r="52" spans="1:13">
      <c r="A52" s="87">
        <f t="shared" si="2"/>
        <v>13</v>
      </c>
      <c r="B52" s="83">
        <f>_xll.flu_CocMaSatKMD($D$21,$D$15,$D$16,$D$22,$H$12:$M$24,FALSE,FALSE,$D$17,$D$12,$K$27,$H$27,A52,"Cao độ")</f>
        <v>11</v>
      </c>
      <c r="C52" s="87" t="str">
        <f>IF(B52="","",_xll.TimTenLoaiDat(B52,$F$12:$H$24))</f>
        <v>Lớp 4</v>
      </c>
      <c r="D52" s="82" t="str">
        <f>IF(B52="","",_xll.TimTinhChatDat(B52,$H$12:$I$24))</f>
        <v>Đất sét</v>
      </c>
      <c r="E52" s="96">
        <f>IF(B52="","",_xll.Qb_CocMaSatKMD(B52,$H$12:$M$24,$D$20,$D$22,$H$27,$D$14,$D$23,"GanmaRR"))</f>
        <v>1.1000000000000001</v>
      </c>
      <c r="F52" s="95">
        <f>IF(B52="","",_xll.Qb_CocMaSatKMD(B52,$H$12:$M$24,$D$20,$D$22,$H$27,$D$14,$D$23,"qb"))</f>
        <v>7340</v>
      </c>
      <c r="G52" s="95">
        <f t="shared" si="0"/>
        <v>6341.3047712710004</v>
      </c>
      <c r="H52" s="96">
        <f>IF(B52="","",_xll.flu_CocMaSatKMD($D$21,$D$15,$D$16,$D$22,$H$12:$M$24,FALSE,FALSE,$D$17,$D$12,$K$27,$H$27,A52,"GanmaRf"))</f>
        <v>1</v>
      </c>
      <c r="I52" s="96">
        <f>IF(B52="","",_xll.flu_CocMaSatKMD($D$21,$D$15,$D$16,$D$22,$H$12:$M$24,FALSE,FALSE,$D$17,$D$12,$K$27,$H$27,A52,"Li"))</f>
        <v>1</v>
      </c>
      <c r="J52" s="95">
        <f>IF(B52="","",_xll.flu_CocMaSatKMD($D$21,$D$15,$D$16,$D$22,$H$12:$M$24,FALSE,FALSE,$D$17,$D$12,$K$27,$H$27,A52,"f"))</f>
        <v>66.400000000000006</v>
      </c>
      <c r="K52" s="95">
        <f>IF(B52="","",_xll.flu_CocMaSatKMD($D$21,$D$15,$D$16,$D$22,$H$12:$M$24,FALSE,FALSE,$D$17,$D$12,$K$27,$H$27,A52,"fludon"))</f>
        <v>208.60175219836199</v>
      </c>
      <c r="L52" s="95">
        <f>IF(B52="","",_xll.flu_CocMaSatKMD($D$21,$D$15,$D$16,$D$22,$H$12:$M$24,FALSE,FALSE,$D$17,$D$12,$K$27,$H$27,A52,"flu"))</f>
        <v>1679.9666715071401</v>
      </c>
      <c r="M52" s="87">
        <f t="shared" si="1"/>
        <v>8021.2714427781402</v>
      </c>
    </row>
    <row r="53" spans="1:13">
      <c r="A53" s="87">
        <f t="shared" si="2"/>
        <v>14</v>
      </c>
      <c r="B53" s="83">
        <f>_xll.flu_CocMaSatKMD($D$21,$D$15,$D$16,$D$22,$H$12:$M$24,FALSE,FALSE,$D$17,$D$12,$K$27,$H$27,A53,"Cao độ")</f>
        <v>12</v>
      </c>
      <c r="C53" s="87" t="str">
        <f>IF(B53="","",_xll.TimTenLoaiDat(B53,$F$12:$H$24))</f>
        <v>Lớp 4</v>
      </c>
      <c r="D53" s="82" t="str">
        <f>IF(B53="","",_xll.TimTinhChatDat(B53,$H$12:$I$24))</f>
        <v>Đất sét</v>
      </c>
      <c r="E53" s="96">
        <f>IF(B53="","",_xll.Qb_CocMaSatKMD(B53,$H$12:$M$24,$D$20,$D$22,$H$27,$D$14,$D$23,"GanmaRR"))</f>
        <v>1.1000000000000001</v>
      </c>
      <c r="F53" s="95">
        <f>IF(B53="","",_xll.Qb_CocMaSatKMD(B53,$H$12:$M$24,$D$20,$D$22,$H$27,$D$14,$D$23,"qb"))</f>
        <v>7380</v>
      </c>
      <c r="G53" s="95">
        <f t="shared" si="0"/>
        <v>6375.8622904604899</v>
      </c>
      <c r="H53" s="96">
        <f>IF(B53="","",_xll.flu_CocMaSatKMD($D$21,$D$15,$D$16,$D$22,$H$12:$M$24,FALSE,FALSE,$D$17,$D$12,$K$27,$H$27,A53,"GanmaRf"))</f>
        <v>1</v>
      </c>
      <c r="I53" s="96">
        <f>IF(B53="","",_xll.flu_CocMaSatKMD($D$21,$D$15,$D$16,$D$22,$H$12:$M$24,FALSE,FALSE,$D$17,$D$12,$K$27,$H$27,A53,"Li"))</f>
        <v>0.19999999999999901</v>
      </c>
      <c r="J53" s="95">
        <f>IF(B53="","",_xll.flu_CocMaSatKMD($D$21,$D$15,$D$16,$D$22,$H$12:$M$24,FALSE,FALSE,$D$17,$D$12,$K$27,$H$27,A53,"f"))</f>
        <v>67.8</v>
      </c>
      <c r="K53" s="95">
        <f>IF(B53="","",_xll.flu_CocMaSatKMD($D$21,$D$15,$D$16,$D$22,$H$12:$M$24,FALSE,FALSE,$D$17,$D$12,$K$27,$H$27,A53,"fludon"))</f>
        <v>42.599996382677404</v>
      </c>
      <c r="L53" s="95">
        <f>IF(B53="","",_xll.flu_CocMaSatKMD($D$21,$D$15,$D$16,$D$22,$H$12:$M$24,FALSE,FALSE,$D$17,$D$12,$K$27,$H$27,A53,"flu"))</f>
        <v>1722.5666678898201</v>
      </c>
      <c r="M53" s="87">
        <f t="shared" si="1"/>
        <v>8098.4289583503096</v>
      </c>
    </row>
    <row r="54" spans="1:13">
      <c r="A54" s="87">
        <f t="shared" si="2"/>
        <v>15</v>
      </c>
      <c r="B54" s="83">
        <f>_xll.flu_CocMaSatKMD($D$21,$D$15,$D$16,$D$22,$H$12:$M$24,FALSE,FALSE,$D$17,$D$12,$K$27,$H$27,A54,"Cao độ")</f>
        <v>12.2</v>
      </c>
      <c r="C54" s="87" t="str">
        <f>IF(B54="","",_xll.TimTenLoaiDat(B54,$F$12:$H$24))</f>
        <v>Lớp 5</v>
      </c>
      <c r="D54" s="82" t="str">
        <f>IF(B54="","",_xll.TimTinhChatDat(B54,$H$12:$I$24))</f>
        <v>Cát chặt vừa - thô</v>
      </c>
      <c r="E54" s="96">
        <f>IF(B54="","",_xll.Qb_CocMaSatKMD(B54,$H$12:$M$24,$D$20,$D$22,$H$27,$D$14,$D$23,"GanmaRR"))</f>
        <v>1.1000000000000001</v>
      </c>
      <c r="F54" s="95">
        <f>IF(B54="","",_xll.Qb_CocMaSatKMD(B54,$H$12:$M$24,$D$20,$D$22,$H$27,$D$14,$D$23,"qb"))</f>
        <v>7920</v>
      </c>
      <c r="G54" s="95">
        <f t="shared" si="0"/>
        <v>6842.3887995185696</v>
      </c>
      <c r="H54" s="96">
        <f>IF(B54="","",_xll.flu_CocMaSatKMD($D$21,$D$15,$D$16,$D$22,$H$12:$M$24,FALSE,FALSE,$D$17,$D$12,$K$27,$H$27,A54,"GanmaRf"))</f>
        <v>1</v>
      </c>
      <c r="I54" s="96">
        <f>IF(B54="","",_xll.flu_CocMaSatKMD($D$21,$D$15,$D$16,$D$22,$H$12:$M$24,FALSE,FALSE,$D$17,$D$12,$K$27,$H$27,A54,"Li"))</f>
        <v>0.80000000000000104</v>
      </c>
      <c r="J54" s="95">
        <f>IF(B54="","",_xll.flu_CocMaSatKMD($D$21,$D$15,$D$16,$D$22,$H$12:$M$24,FALSE,FALSE,$D$17,$D$12,$K$27,$H$27,A54,"f"))</f>
        <v>68.08</v>
      </c>
      <c r="K54" s="95">
        <f>IF(B54="","",_xll.flu_CocMaSatKMD($D$21,$D$15,$D$16,$D$22,$H$12:$M$24,FALSE,FALSE,$D$17,$D$12,$K$27,$H$27,A54,"fludon"))</f>
        <v>171.10370228511499</v>
      </c>
      <c r="L54" s="95">
        <f>IF(B54="","",_xll.flu_CocMaSatKMD($D$21,$D$15,$D$16,$D$22,$H$12:$M$24,FALSE,FALSE,$D$17,$D$12,$K$27,$H$27,A54,"flu"))</f>
        <v>1893.67037017493</v>
      </c>
      <c r="M54" s="87">
        <f t="shared" si="1"/>
        <v>8736.0591696935007</v>
      </c>
    </row>
    <row r="55" spans="1:13">
      <c r="A55" s="87">
        <f t="shared" si="2"/>
        <v>16</v>
      </c>
      <c r="B55" s="83">
        <f>_xll.flu_CocMaSatKMD($D$21,$D$15,$D$16,$D$22,$H$12:$M$24,FALSE,FALSE,$D$17,$D$12,$K$27,$H$27,A55,"Cao độ")</f>
        <v>13</v>
      </c>
      <c r="C55" s="87" t="str">
        <f>IF(B55="","",_xll.TimTenLoaiDat(B55,$F$12:$H$24))</f>
        <v>Lớp 5</v>
      </c>
      <c r="D55" s="82" t="str">
        <f>IF(B55="","",_xll.TimTinhChatDat(B55,$H$12:$I$24))</f>
        <v>Cát chặt vừa - thô</v>
      </c>
      <c r="E55" s="96">
        <f>IF(B55="","",_xll.Qb_CocMaSatKMD(B55,$H$12:$M$24,$D$20,$D$22,$H$27,$D$14,$D$23,"GanmaRR"))</f>
        <v>1.1000000000000001</v>
      </c>
      <c r="F55" s="95">
        <f>IF(B55="","",_xll.Qb_CocMaSatKMD(B55,$H$12:$M$24,$D$20,$D$22,$H$27,$D$14,$D$23,"qb"))</f>
        <v>8000</v>
      </c>
      <c r="G55" s="95">
        <f t="shared" si="0"/>
        <v>6911.5038378975496</v>
      </c>
      <c r="H55" s="96">
        <f>IF(B55="","",_xll.flu_CocMaSatKMD($D$21,$D$15,$D$16,$D$22,$H$12:$M$24,FALSE,FALSE,$D$17,$D$12,$K$27,$H$27,A55,"GanmaRf"))</f>
        <v>1</v>
      </c>
      <c r="I55" s="96">
        <f>IF(B55="","",_xll.flu_CocMaSatKMD($D$21,$D$15,$D$16,$D$22,$H$12:$M$24,FALSE,FALSE,$D$17,$D$12,$K$27,$H$27,A55,"Li"))</f>
        <v>1</v>
      </c>
      <c r="J55" s="95">
        <f>IF(B55="","",_xll.flu_CocMaSatKMD($D$21,$D$15,$D$16,$D$22,$H$12:$M$24,FALSE,FALSE,$D$17,$D$12,$K$27,$H$27,A55,"f"))</f>
        <v>69.2</v>
      </c>
      <c r="K55" s="95">
        <f>IF(B55="","",_xll.flu_CocMaSatKMD($D$21,$D$15,$D$16,$D$22,$H$12:$M$24,FALSE,FALSE,$D$17,$D$12,$K$27,$H$27,A55,"fludon"))</f>
        <v>217.398211628414</v>
      </c>
      <c r="L55" s="95">
        <f>IF(B55="","",_xll.flu_CocMaSatKMD($D$21,$D$15,$D$16,$D$22,$H$12:$M$24,FALSE,FALSE,$D$17,$D$12,$K$27,$H$27,A55,"flu"))</f>
        <v>2111.0685818033498</v>
      </c>
      <c r="M55" s="87">
        <f t="shared" si="1"/>
        <v>9022.5724197008894</v>
      </c>
    </row>
    <row r="56" spans="1:13">
      <c r="A56" s="87">
        <f t="shared" si="2"/>
        <v>17</v>
      </c>
      <c r="B56" s="83">
        <f>_xll.flu_CocMaSatKMD($D$21,$D$15,$D$16,$D$22,$H$12:$M$24,FALSE,FALSE,$D$17,$D$12,$K$27,$H$27,A56,"Cao độ")</f>
        <v>14</v>
      </c>
      <c r="C56" s="87" t="str">
        <f>IF(B56="","",_xll.TimTenLoaiDat(B56,$F$12:$H$24))</f>
        <v>Lớp 5</v>
      </c>
      <c r="D56" s="82" t="str">
        <f>IF(B56="","",_xll.TimTinhChatDat(B56,$H$12:$I$24))</f>
        <v>Cát chặt vừa - thô</v>
      </c>
      <c r="E56" s="96">
        <f>IF(B56="","",_xll.Qb_CocMaSatKMD(B56,$H$12:$M$24,$D$20,$D$22,$H$27,$D$14,$D$23,"GanmaRR"))</f>
        <v>1.1000000000000001</v>
      </c>
      <c r="F56" s="95">
        <f>IF(B56="","",_xll.Qb_CocMaSatKMD(B56,$H$12:$M$24,$D$20,$D$22,$H$27,$D$14,$D$23,"qb"))</f>
        <v>8100</v>
      </c>
      <c r="G56" s="95">
        <f t="shared" si="0"/>
        <v>6997.8976358712598</v>
      </c>
      <c r="H56" s="96">
        <f>IF(B56="","",_xll.flu_CocMaSatKMD($D$21,$D$15,$D$16,$D$22,$H$12:$M$24,FALSE,FALSE,$D$17,$D$12,$K$27,$H$27,A56,"GanmaRf"))</f>
        <v>1</v>
      </c>
      <c r="I56" s="96">
        <f>IF(B56="","",_xll.flu_CocMaSatKMD($D$21,$D$15,$D$16,$D$22,$H$12:$M$24,FALSE,FALSE,$D$17,$D$12,$K$27,$H$27,A56,"Li"))</f>
        <v>1</v>
      </c>
      <c r="J56" s="95">
        <f>IF(B56="","",_xll.flu_CocMaSatKMD($D$21,$D$15,$D$16,$D$22,$H$12:$M$24,FALSE,FALSE,$D$17,$D$12,$K$27,$H$27,A56,"f"))</f>
        <v>70.599999999999994</v>
      </c>
      <c r="K56" s="95">
        <f>IF(B56="","",_xll.flu_CocMaSatKMD($D$21,$D$15,$D$16,$D$22,$H$12:$M$24,FALSE,FALSE,$D$17,$D$12,$K$27,$H$27,A56,"fludon"))</f>
        <v>221.796441343439</v>
      </c>
      <c r="L56" s="95">
        <f>IF(B56="","",_xll.flu_CocMaSatKMD($D$21,$D$15,$D$16,$D$22,$H$12:$M$24,FALSE,FALSE,$D$17,$D$12,$K$27,$H$27,A56,"flu"))</f>
        <v>2332.86502314679</v>
      </c>
      <c r="M56" s="87">
        <f t="shared" si="1"/>
        <v>9330.7626590180498</v>
      </c>
    </row>
    <row r="57" spans="1:13">
      <c r="A57" s="87">
        <f t="shared" si="2"/>
        <v>18</v>
      </c>
      <c r="B57" s="83">
        <f>_xll.flu_CocMaSatKMD($D$21,$D$15,$D$16,$D$22,$H$12:$M$24,FALSE,FALSE,$D$17,$D$12,$K$27,$H$27,A57,"Cao độ")</f>
        <v>15</v>
      </c>
      <c r="C57" s="87" t="str">
        <f>IF(B57="","",_xll.TimTenLoaiDat(B57,$F$12:$H$24))</f>
        <v>Lớp 5</v>
      </c>
      <c r="D57" s="82" t="str">
        <f>IF(B57="","",_xll.TimTinhChatDat(B57,$H$12:$I$24))</f>
        <v>Cát chặt vừa - thô</v>
      </c>
      <c r="E57" s="96">
        <f>IF(B57="","",_xll.Qb_CocMaSatKMD(B57,$H$12:$M$24,$D$20,$D$22,$H$27,$D$14,$D$23,"GanmaRR"))</f>
        <v>1.1000000000000001</v>
      </c>
      <c r="F57" s="95">
        <f>IF(B57="","",_xll.Qb_CocMaSatKMD(B57,$H$12:$M$24,$D$20,$D$22,$H$27,$D$14,$D$23,"qb"))</f>
        <v>8200</v>
      </c>
      <c r="G57" s="95">
        <f t="shared" si="0"/>
        <v>7084.29143384498</v>
      </c>
      <c r="H57" s="96">
        <f>IF(B57="","",_xll.flu_CocMaSatKMD($D$21,$D$15,$D$16,$D$22,$H$12:$M$24,FALSE,FALSE,$D$17,$D$12,$K$27,$H$27,A57,"GanmaRf"))</f>
        <v>1</v>
      </c>
      <c r="I57" s="96">
        <f>IF(B57="","",_xll.flu_CocMaSatKMD($D$21,$D$15,$D$16,$D$22,$H$12:$M$24,FALSE,FALSE,$D$17,$D$12,$K$27,$H$27,A57,"Li"))</f>
        <v>1</v>
      </c>
      <c r="J57" s="95">
        <f>IF(B57="","",_xll.flu_CocMaSatKMD($D$21,$D$15,$D$16,$D$22,$H$12:$M$24,FALSE,FALSE,$D$17,$D$12,$K$27,$H$27,A57,"f"))</f>
        <v>72</v>
      </c>
      <c r="K57" s="95">
        <f>IF(B57="","",_xll.flu_CocMaSatKMD($D$21,$D$15,$D$16,$D$22,$H$12:$M$24,FALSE,FALSE,$D$17,$D$12,$K$27,$H$27,A57,"fludon"))</f>
        <v>226.19467105846499</v>
      </c>
      <c r="L57" s="95">
        <f>IF(B57="","",_xll.flu_CocMaSatKMD($D$21,$D$15,$D$16,$D$22,$H$12:$M$24,FALSE,FALSE,$D$17,$D$12,$K$27,$H$27,A57,"flu"))</f>
        <v>2559.0596942052498</v>
      </c>
      <c r="M57" s="87">
        <f t="shared" si="1"/>
        <v>9643.3511280502407</v>
      </c>
    </row>
    <row r="58" spans="1:13">
      <c r="A58" s="87">
        <f t="shared" si="2"/>
        <v>19</v>
      </c>
      <c r="B58" s="83">
        <f>_xll.flu_CocMaSatKMD($D$21,$D$15,$D$16,$D$22,$H$12:$M$24,FALSE,FALSE,$D$17,$D$12,$K$27,$H$27,A58,"Cao độ")</f>
        <v>16</v>
      </c>
      <c r="C58" s="87" t="str">
        <f>IF(B58="","",_xll.TimTenLoaiDat(B58,$F$12:$H$24))</f>
        <v>Lớp 5</v>
      </c>
      <c r="D58" s="82" t="str">
        <f>IF(B58="","",_xll.TimTinhChatDat(B58,$H$12:$I$24))</f>
        <v>Cát chặt vừa - thô</v>
      </c>
      <c r="E58" s="96">
        <f>IF(B58="","",_xll.Qb_CocMaSatKMD(B58,$H$12:$M$24,$D$20,$D$22,$H$27,$D$14,$D$23,"GanmaRR"))</f>
        <v>1.1000000000000001</v>
      </c>
      <c r="F58" s="95">
        <f>IF(B58="","",_xll.Qb_CocMaSatKMD(B58,$H$12:$M$24,$D$20,$D$22,$H$27,$D$14,$D$23,"qb"))</f>
        <v>8260</v>
      </c>
      <c r="G58" s="95">
        <f t="shared" si="0"/>
        <v>7136.1277126292198</v>
      </c>
      <c r="H58" s="96">
        <f>IF(B58="","",_xll.flu_CocMaSatKMD($D$21,$D$15,$D$16,$D$22,$H$12:$M$24,FALSE,FALSE,$D$17,$D$12,$K$27,$H$27,A58,"GanmaRf"))</f>
        <v>1</v>
      </c>
      <c r="I58" s="96">
        <f>IF(B58="","",_xll.flu_CocMaSatKMD($D$21,$D$15,$D$16,$D$22,$H$12:$M$24,FALSE,FALSE,$D$17,$D$12,$K$27,$H$27,A58,"Li"))</f>
        <v>1</v>
      </c>
      <c r="J58" s="95">
        <f>IF(B58="","",_xll.flu_CocMaSatKMD($D$21,$D$15,$D$16,$D$22,$H$12:$M$24,FALSE,FALSE,$D$17,$D$12,$K$27,$H$27,A58,"f"))</f>
        <v>73.400000000000006</v>
      </c>
      <c r="K58" s="95">
        <f>IF(B58="","",_xll.flu_CocMaSatKMD($D$21,$D$15,$D$16,$D$22,$H$12:$M$24,FALSE,FALSE,$D$17,$D$12,$K$27,$H$27,A58,"fludon"))</f>
        <v>230.59290077349101</v>
      </c>
      <c r="L58" s="95">
        <f>IF(B58="","",_xll.flu_CocMaSatKMD($D$21,$D$15,$D$16,$D$22,$H$12:$M$24,FALSE,FALSE,$D$17,$D$12,$K$27,$H$27,A58,"flu"))</f>
        <v>2789.6525949787401</v>
      </c>
      <c r="M58" s="87">
        <f t="shared" si="1"/>
        <v>9925.7803076079599</v>
      </c>
    </row>
    <row r="59" spans="1:13">
      <c r="A59" s="87">
        <f t="shared" si="2"/>
        <v>20</v>
      </c>
      <c r="B59" s="83">
        <f>_xll.flu_CocMaSatKMD($D$21,$D$15,$D$16,$D$22,$H$12:$M$24,FALSE,FALSE,$D$17,$D$12,$K$27,$H$27,A59,"Cao độ")</f>
        <v>17</v>
      </c>
      <c r="C59" s="87" t="str">
        <f>IF(B59="","",_xll.TimTenLoaiDat(B59,$F$12:$H$24))</f>
        <v>Lớp 5</v>
      </c>
      <c r="D59" s="82" t="str">
        <f>IF(B59="","",_xll.TimTinhChatDat(B59,$H$12:$I$24))</f>
        <v>Cát chặt vừa - thô</v>
      </c>
      <c r="E59" s="96">
        <f>IF(B59="","",_xll.Qb_CocMaSatKMD(B59,$H$12:$M$24,$D$20,$D$22,$H$27,$D$14,$D$23,"GanmaRR"))</f>
        <v>1.1000000000000001</v>
      </c>
      <c r="F59" s="95">
        <f>IF(B59="","",_xll.Qb_CocMaSatKMD(B59,$H$12:$M$24,$D$20,$D$22,$H$27,$D$14,$D$23,"qb"))</f>
        <v>8320</v>
      </c>
      <c r="G59" s="95">
        <f t="shared" si="0"/>
        <v>7187.9639914134495</v>
      </c>
      <c r="H59" s="96">
        <f>IF(B59="","",_xll.flu_CocMaSatKMD($D$21,$D$15,$D$16,$D$22,$H$12:$M$24,FALSE,FALSE,$D$17,$D$12,$K$27,$H$27,A59,"GanmaRf"))</f>
        <v>1</v>
      </c>
      <c r="I59" s="96">
        <f>IF(B59="","",_xll.flu_CocMaSatKMD($D$21,$D$15,$D$16,$D$22,$H$12:$M$24,FALSE,FALSE,$D$17,$D$12,$K$27,$H$27,A59,"Li"))</f>
        <v>1</v>
      </c>
      <c r="J59" s="95">
        <f>IF(B59="","",_xll.flu_CocMaSatKMD($D$21,$D$15,$D$16,$D$22,$H$12:$M$24,FALSE,FALSE,$D$17,$D$12,$K$27,$H$27,A59,"f"))</f>
        <v>74.8</v>
      </c>
      <c r="K59" s="95">
        <f>IF(B59="","",_xll.flu_CocMaSatKMD($D$21,$D$15,$D$16,$D$22,$H$12:$M$24,FALSE,FALSE,$D$17,$D$12,$K$27,$H$27,A59,"fludon"))</f>
        <v>234.991130488517</v>
      </c>
      <c r="L59" s="95">
        <f>IF(B59="","",_xll.flu_CocMaSatKMD($D$21,$D$15,$D$16,$D$22,$H$12:$M$24,FALSE,FALSE,$D$17,$D$12,$K$27,$H$27,A59,"flu"))</f>
        <v>3024.6437254672601</v>
      </c>
      <c r="M59" s="87">
        <f t="shared" si="1"/>
        <v>10212.607716880701</v>
      </c>
    </row>
    <row r="60" spans="1:13">
      <c r="A60" s="87">
        <f t="shared" si="2"/>
        <v>21</v>
      </c>
      <c r="B60" s="83">
        <f>_xll.flu_CocMaSatKMD($D$21,$D$15,$D$16,$D$22,$H$12:$M$24,FALSE,FALSE,$D$17,$D$12,$K$27,$H$27,A60,"Cao độ")</f>
        <v>18</v>
      </c>
      <c r="C60" s="87" t="str">
        <f>IF(B60="","",_xll.TimTenLoaiDat(B60,$F$12:$H$24))</f>
        <v>Lớp 5</v>
      </c>
      <c r="D60" s="82" t="str">
        <f>IF(B60="","",_xll.TimTinhChatDat(B60,$H$12:$I$24))</f>
        <v>Cát chặt vừa - thô</v>
      </c>
      <c r="E60" s="96">
        <f>IF(B60="","",_xll.Qb_CocMaSatKMD(B60,$H$12:$M$24,$D$20,$D$22,$H$27,$D$14,$D$23,"GanmaRR"))</f>
        <v>1.1000000000000001</v>
      </c>
      <c r="F60" s="95">
        <f>IF(B60="","",_xll.Qb_CocMaSatKMD(B60,$H$12:$M$24,$D$20,$D$22,$H$27,$D$14,$D$23,"qb"))</f>
        <v>8380</v>
      </c>
      <c r="G60" s="95">
        <f t="shared" si="0"/>
        <v>7239.8002701976802</v>
      </c>
      <c r="H60" s="96">
        <f>IF(B60="","",_xll.flu_CocMaSatKMD($D$21,$D$15,$D$16,$D$22,$H$12:$M$24,FALSE,FALSE,$D$17,$D$12,$K$27,$H$27,A60,"GanmaRf"))</f>
        <v>1</v>
      </c>
      <c r="I60" s="96">
        <f>IF(B60="","",_xll.flu_CocMaSatKMD($D$21,$D$15,$D$16,$D$22,$H$12:$M$24,FALSE,FALSE,$D$17,$D$12,$K$27,$H$27,A60,"Li"))</f>
        <v>1</v>
      </c>
      <c r="J60" s="95">
        <f>IF(B60="","",_xll.flu_CocMaSatKMD($D$21,$D$15,$D$16,$D$22,$H$12:$M$24,FALSE,FALSE,$D$17,$D$12,$K$27,$H$27,A60,"f"))</f>
        <v>76.2</v>
      </c>
      <c r="K60" s="95">
        <f>IF(B60="","",_xll.flu_CocMaSatKMD($D$21,$D$15,$D$16,$D$22,$H$12:$M$24,FALSE,FALSE,$D$17,$D$12,$K$27,$H$27,A60,"fludon"))</f>
        <v>239.389360203542</v>
      </c>
      <c r="L60" s="95">
        <f>IF(B60="","",_xll.flu_CocMaSatKMD($D$21,$D$15,$D$16,$D$22,$H$12:$M$24,FALSE,FALSE,$D$17,$D$12,$K$27,$H$27,A60,"flu"))</f>
        <v>3264.0330856708001</v>
      </c>
      <c r="M60" s="87">
        <f t="shared" si="1"/>
        <v>10503.833355868501</v>
      </c>
    </row>
    <row r="61" spans="1:13">
      <c r="A61" s="87">
        <f t="shared" si="2"/>
        <v>22</v>
      </c>
      <c r="B61" s="83">
        <f>_xll.flu_CocMaSatKMD($D$21,$D$15,$D$16,$D$22,$H$12:$M$24,FALSE,FALSE,$D$17,$D$12,$K$27,$H$27,A61,"Cao độ")</f>
        <v>19</v>
      </c>
      <c r="C61" s="87" t="str">
        <f>IF(B61="","",_xll.TimTenLoaiDat(B61,$F$12:$H$24))</f>
        <v>Lớp 5</v>
      </c>
      <c r="D61" s="82" t="str">
        <f>IF(B61="","",_xll.TimTinhChatDat(B61,$H$12:$I$24))</f>
        <v>Cát chặt vừa - thô</v>
      </c>
      <c r="E61" s="96">
        <f>IF(B61="","",_xll.Qb_CocMaSatKMD(B61,$H$12:$M$24,$D$20,$D$22,$H$27,$D$14,$D$23,"GanmaRR"))</f>
        <v>1.1000000000000001</v>
      </c>
      <c r="F61" s="95">
        <f>IF(B61="","",_xll.Qb_CocMaSatKMD(B61,$H$12:$M$24,$D$20,$D$22,$H$27,$D$14,$D$23,"qb"))</f>
        <v>8440</v>
      </c>
      <c r="G61" s="95">
        <f t="shared" si="0"/>
        <v>7291.63654898191</v>
      </c>
      <c r="H61" s="96">
        <f>IF(B61="","",_xll.flu_CocMaSatKMD($D$21,$D$15,$D$16,$D$22,$H$12:$M$24,FALSE,FALSE,$D$17,$D$12,$K$27,$H$27,A61,"GanmaRf"))</f>
        <v>1</v>
      </c>
      <c r="I61" s="96">
        <f>IF(B61="","",_xll.flu_CocMaSatKMD($D$21,$D$15,$D$16,$D$22,$H$12:$M$24,FALSE,FALSE,$D$17,$D$12,$K$27,$H$27,A61,"Li"))</f>
        <v>1</v>
      </c>
      <c r="J61" s="95">
        <f>IF(B61="","",_xll.flu_CocMaSatKMD($D$21,$D$15,$D$16,$D$22,$H$12:$M$24,FALSE,FALSE,$D$17,$D$12,$K$27,$H$27,A61,"f"))</f>
        <v>77.599999999999994</v>
      </c>
      <c r="K61" s="95">
        <f>IF(B61="","",_xll.flu_CocMaSatKMD($D$21,$D$15,$D$16,$D$22,$H$12:$M$24,FALSE,FALSE,$D$17,$D$12,$K$27,$H$27,A61,"fludon"))</f>
        <v>243.78758991856799</v>
      </c>
      <c r="L61" s="95">
        <f>IF(B61="","",_xll.flu_CocMaSatKMD($D$21,$D$15,$D$16,$D$22,$H$12:$M$24,FALSE,FALSE,$D$17,$D$12,$K$27,$H$27,A61,"flu"))</f>
        <v>3507.8206755893698</v>
      </c>
      <c r="M61" s="87">
        <f t="shared" si="1"/>
        <v>10799.457224571301</v>
      </c>
    </row>
    <row r="62" spans="1:13">
      <c r="A62" s="87">
        <f t="shared" si="2"/>
        <v>23</v>
      </c>
      <c r="B62" s="83">
        <f>_xll.flu_CocMaSatKMD($D$21,$D$15,$D$16,$D$22,$H$12:$M$24,FALSE,FALSE,$D$17,$D$12,$K$27,$H$27,A62,"Cao độ")</f>
        <v>20</v>
      </c>
      <c r="C62" s="87" t="str">
        <f>IF(B62="","",_xll.TimTenLoaiDat(B62,$F$12:$H$24))</f>
        <v>Lớp 5</v>
      </c>
      <c r="D62" s="82" t="str">
        <f>IF(B62="","",_xll.TimTinhChatDat(B62,$H$12:$I$24))</f>
        <v>Cát chặt vừa - thô</v>
      </c>
      <c r="E62" s="96">
        <f>IF(B62="","",_xll.Qb_CocMaSatKMD(B62,$H$12:$M$24,$D$20,$D$22,$H$27,$D$14,$D$23,"GanmaRR"))</f>
        <v>1.1000000000000001</v>
      </c>
      <c r="F62" s="95">
        <f>IF(B62="","",_xll.Qb_CocMaSatKMD(B62,$H$12:$M$24,$D$20,$D$22,$H$27,$D$14,$D$23,"qb"))</f>
        <v>8500</v>
      </c>
      <c r="G62" s="95">
        <f t="shared" si="0"/>
        <v>7343.4728277661397</v>
      </c>
      <c r="H62" s="96">
        <f>IF(B62="","",_xll.flu_CocMaSatKMD($D$21,$D$15,$D$16,$D$22,$H$12:$M$24,FALSE,FALSE,$D$17,$D$12,$K$27,$H$27,A62,"GanmaRf"))</f>
        <v>1</v>
      </c>
      <c r="I62" s="96">
        <f>IF(B62="","",_xll.flu_CocMaSatKMD($D$21,$D$15,$D$16,$D$22,$H$12:$M$24,FALSE,FALSE,$D$17,$D$12,$K$27,$H$27,A62,"Li"))</f>
        <v>1</v>
      </c>
      <c r="J62" s="95">
        <f>IF(B62="","",_xll.flu_CocMaSatKMD($D$21,$D$15,$D$16,$D$22,$H$12:$M$24,FALSE,FALSE,$D$17,$D$12,$K$27,$H$27,A62,"f"))</f>
        <v>79</v>
      </c>
      <c r="K62" s="95">
        <f>IF(B62="","",_xll.flu_CocMaSatKMD($D$21,$D$15,$D$16,$D$22,$H$12:$M$24,FALSE,FALSE,$D$17,$D$12,$K$27,$H$27,A62,"fludon"))</f>
        <v>248.18581963359401</v>
      </c>
      <c r="L62" s="95">
        <f>IF(B62="","",_xll.flu_CocMaSatKMD($D$21,$D$15,$D$16,$D$22,$H$12:$M$24,FALSE,FALSE,$D$17,$D$12,$K$27,$H$27,A62,"flu"))</f>
        <v>3756.00649522296</v>
      </c>
      <c r="M62" s="87">
        <f t="shared" si="1"/>
        <v>11099.4793229891</v>
      </c>
    </row>
    <row r="63" spans="1:13">
      <c r="A63" s="87">
        <f t="shared" si="2"/>
        <v>24</v>
      </c>
      <c r="B63" s="83">
        <f>_xll.flu_CocMaSatKMD($D$21,$D$15,$D$16,$D$22,$H$12:$M$24,FALSE,FALSE,$D$17,$D$12,$K$27,$H$27,A63,"Cao độ")</f>
        <v>21</v>
      </c>
      <c r="C63" s="87" t="str">
        <f>IF(B63="","",_xll.TimTenLoaiDat(B63,$F$12:$H$24))</f>
        <v>Lớp 5</v>
      </c>
      <c r="D63" s="82" t="str">
        <f>IF(B63="","",_xll.TimTinhChatDat(B63,$H$12:$I$24))</f>
        <v>Cát chặt vừa - thô</v>
      </c>
      <c r="E63" s="96">
        <f>IF(B63="","",_xll.Qb_CocMaSatKMD(B63,$H$12:$M$24,$D$20,$D$22,$H$27,$D$14,$D$23,"GanmaRR"))</f>
        <v>1.1000000000000001</v>
      </c>
      <c r="F63" s="95">
        <f>IF(B63="","",_xll.Qb_CocMaSatKMD(B63,$H$12:$M$24,$D$20,$D$22,$H$27,$D$14,$D$23,"qb"))</f>
        <v>8600</v>
      </c>
      <c r="G63" s="95">
        <f t="shared" si="0"/>
        <v>7429.86662573986</v>
      </c>
      <c r="H63" s="96">
        <f>IF(B63="","",_xll.flu_CocMaSatKMD($D$21,$D$15,$D$16,$D$22,$H$12:$M$24,FALSE,FALSE,$D$17,$D$12,$K$27,$H$27,A63,"GanmaRf"))</f>
        <v>1</v>
      </c>
      <c r="I63" s="96">
        <f>IF(B63="","",_xll.flu_CocMaSatKMD($D$21,$D$15,$D$16,$D$22,$H$12:$M$24,FALSE,FALSE,$D$17,$D$12,$K$27,$H$27,A63,"Li"))</f>
        <v>1</v>
      </c>
      <c r="J63" s="95">
        <f>IF(B63="","",_xll.flu_CocMaSatKMD($D$21,$D$15,$D$16,$D$22,$H$12:$M$24,FALSE,FALSE,$D$17,$D$12,$K$27,$H$27,A63,"f"))</f>
        <v>80.400000000000006</v>
      </c>
      <c r="K63" s="95">
        <f>IF(B63="","",_xll.flu_CocMaSatKMD($D$21,$D$15,$D$16,$D$22,$H$12:$M$24,FALSE,FALSE,$D$17,$D$12,$K$27,$H$27,A63,"fludon"))</f>
        <v>252.584049348619</v>
      </c>
      <c r="L63" s="95">
        <f>IF(B63="","",_xll.flu_CocMaSatKMD($D$21,$D$15,$D$16,$D$22,$H$12:$M$24,FALSE,FALSE,$D$17,$D$12,$K$27,$H$27,A63,"flu"))</f>
        <v>4008.5905445715798</v>
      </c>
      <c r="M63" s="87">
        <f t="shared" si="1"/>
        <v>11438.4571703114</v>
      </c>
    </row>
    <row r="64" spans="1:13">
      <c r="A64" s="87">
        <f t="shared" si="2"/>
        <v>25</v>
      </c>
      <c r="B64" s="83">
        <f>_xll.flu_CocMaSatKMD($D$21,$D$15,$D$16,$D$22,$H$12:$M$24,FALSE,FALSE,$D$17,$D$12,$K$27,$H$27,A64,"Cao độ")</f>
        <v>22</v>
      </c>
      <c r="C64" s="87" t="str">
        <f>IF(B64="","",_xll.TimTenLoaiDat(B64,$F$12:$H$24))</f>
        <v>Lớp 5</v>
      </c>
      <c r="D64" s="82" t="str">
        <f>IF(B64="","",_xll.TimTinhChatDat(B64,$H$12:$I$24))</f>
        <v>Cát chặt vừa - thô</v>
      </c>
      <c r="E64" s="96">
        <f>IF(B64="","",_xll.Qb_CocMaSatKMD(B64,$H$12:$M$24,$D$20,$D$22,$H$27,$D$14,$D$23,"GanmaRR"))</f>
        <v>1.1000000000000001</v>
      </c>
      <c r="F64" s="95">
        <f>IF(B64="","",_xll.Qb_CocMaSatKMD(B64,$H$12:$M$24,$D$20,$D$22,$H$27,$D$14,$D$23,"qb"))</f>
        <v>8700</v>
      </c>
      <c r="G64" s="95">
        <f t="shared" si="0"/>
        <v>7516.2604237135802</v>
      </c>
      <c r="H64" s="96">
        <f>IF(B64="","",_xll.flu_CocMaSatKMD($D$21,$D$15,$D$16,$D$22,$H$12:$M$24,FALSE,FALSE,$D$17,$D$12,$K$27,$H$27,A64,"GanmaRf"))</f>
        <v>1</v>
      </c>
      <c r="I64" s="96">
        <f>IF(B64="","",_xll.flu_CocMaSatKMD($D$21,$D$15,$D$16,$D$22,$H$12:$M$24,FALSE,FALSE,$D$17,$D$12,$K$27,$H$27,A64,"Li"))</f>
        <v>1</v>
      </c>
      <c r="J64" s="95">
        <f>IF(B64="","",_xll.flu_CocMaSatKMD($D$21,$D$15,$D$16,$D$22,$H$12:$M$24,FALSE,FALSE,$D$17,$D$12,$K$27,$H$27,A64,"f"))</f>
        <v>81.8</v>
      </c>
      <c r="K64" s="95">
        <f>IF(B64="","",_xll.flu_CocMaSatKMD($D$21,$D$15,$D$16,$D$22,$H$12:$M$24,FALSE,FALSE,$D$17,$D$12,$K$27,$H$27,A64,"fludon"))</f>
        <v>256.98227906364502</v>
      </c>
      <c r="L64" s="95">
        <f>IF(B64="","",_xll.flu_CocMaSatKMD($D$21,$D$15,$D$16,$D$22,$H$12:$M$24,FALSE,FALSE,$D$17,$D$12,$K$27,$H$27,A64,"flu"))</f>
        <v>4265.5728236352297</v>
      </c>
      <c r="M64" s="87">
        <f t="shared" si="1"/>
        <v>11781.833247348801</v>
      </c>
    </row>
    <row r="65" spans="1:13">
      <c r="A65" s="87">
        <f t="shared" si="2"/>
        <v>26</v>
      </c>
      <c r="B65" s="83">
        <f>_xll.flu_CocMaSatKMD($D$21,$D$15,$D$16,$D$22,$H$12:$M$24,FALSE,FALSE,$D$17,$D$12,$K$27,$H$27,A65,"Cao độ")</f>
        <v>23</v>
      </c>
      <c r="C65" s="87" t="str">
        <f>IF(B65="","",_xll.TimTenLoaiDat(B65,$F$12:$H$24))</f>
        <v>Lớp 5</v>
      </c>
      <c r="D65" s="82" t="str">
        <f>IF(B65="","",_xll.TimTinhChatDat(B65,$H$12:$I$24))</f>
        <v>Cát chặt vừa - thô</v>
      </c>
      <c r="E65" s="96">
        <f>IF(B65="","",_xll.Qb_CocMaSatKMD(B65,$H$12:$M$24,$D$20,$D$22,$H$27,$D$14,$D$23,"GanmaRR"))</f>
        <v>1.1000000000000001</v>
      </c>
      <c r="F65" s="95">
        <f>IF(B65="","",_xll.Qb_CocMaSatKMD(B65,$H$12:$M$24,$D$20,$D$22,$H$27,$D$14,$D$23,"qb"))</f>
        <v>8800</v>
      </c>
      <c r="G65" s="95">
        <f t="shared" si="0"/>
        <v>7602.6542216873004</v>
      </c>
      <c r="H65" s="96">
        <f>IF(B65="","",_xll.flu_CocMaSatKMD($D$21,$D$15,$D$16,$D$22,$H$12:$M$24,FALSE,FALSE,$D$17,$D$12,$K$27,$H$27,A65,"GanmaRf"))</f>
        <v>1</v>
      </c>
      <c r="I65" s="96">
        <f>IF(B65="","",_xll.flu_CocMaSatKMD($D$21,$D$15,$D$16,$D$22,$H$12:$M$24,FALSE,FALSE,$D$17,$D$12,$K$27,$H$27,A65,"Li"))</f>
        <v>1</v>
      </c>
      <c r="J65" s="95">
        <f>IF(B65="","",_xll.flu_CocMaSatKMD($D$21,$D$15,$D$16,$D$22,$H$12:$M$24,FALSE,FALSE,$D$17,$D$12,$K$27,$H$27,A65,"f"))</f>
        <v>83.2</v>
      </c>
      <c r="K65" s="95">
        <f>IF(B65="","",_xll.flu_CocMaSatKMD($D$21,$D$15,$D$16,$D$22,$H$12:$M$24,FALSE,FALSE,$D$17,$D$12,$K$27,$H$27,A65,"fludon"))</f>
        <v>261.38050877867101</v>
      </c>
      <c r="L65" s="95">
        <f>IF(B65="","",_xll.flu_CocMaSatKMD($D$21,$D$15,$D$16,$D$22,$H$12:$M$24,FALSE,FALSE,$D$17,$D$12,$K$27,$H$27,A65,"flu"))</f>
        <v>4526.9533324139002</v>
      </c>
      <c r="M65" s="87">
        <f t="shared" si="1"/>
        <v>12129.6075541012</v>
      </c>
    </row>
    <row r="66" spans="1:13">
      <c r="A66" s="87">
        <f t="shared" si="2"/>
        <v>27</v>
      </c>
      <c r="B66" s="83">
        <f>_xll.flu_CocMaSatKMD($D$21,$D$15,$D$16,$D$22,$H$12:$M$24,FALSE,FALSE,$D$17,$D$12,$K$27,$H$27,A66,"Cao độ")</f>
        <v>24</v>
      </c>
      <c r="C66" s="87" t="str">
        <f>IF(B66="","",_xll.TimTenLoaiDat(B66,$F$12:$H$24))</f>
        <v>Lớp 5</v>
      </c>
      <c r="D66" s="82" t="str">
        <f>IF(B66="","",_xll.TimTinhChatDat(B66,$H$12:$I$24))</f>
        <v>Cát chặt vừa - thô</v>
      </c>
      <c r="E66" s="96">
        <f>IF(B66="","",_xll.Qb_CocMaSatKMD(B66,$H$12:$M$24,$D$20,$D$22,$H$27,$D$14,$D$23,"GanmaRR"))</f>
        <v>1.1000000000000001</v>
      </c>
      <c r="F66" s="95">
        <f>IF(B66="","",_xll.Qb_CocMaSatKMD(B66,$H$12:$M$24,$D$20,$D$22,$H$27,$D$14,$D$23,"qb"))</f>
        <v>8900</v>
      </c>
      <c r="G66" s="95">
        <f t="shared" si="0"/>
        <v>7689.0480196610197</v>
      </c>
      <c r="H66" s="96">
        <f>IF(B66="","",_xll.flu_CocMaSatKMD($D$21,$D$15,$D$16,$D$22,$H$12:$M$24,FALSE,FALSE,$D$17,$D$12,$K$27,$H$27,A66,"GanmaRf"))</f>
        <v>1</v>
      </c>
      <c r="I66" s="96">
        <f>IF(B66="","",_xll.flu_CocMaSatKMD($D$21,$D$15,$D$16,$D$22,$H$12:$M$24,FALSE,FALSE,$D$17,$D$12,$K$27,$H$27,A66,"Li"))</f>
        <v>1</v>
      </c>
      <c r="J66" s="95">
        <f>IF(B66="","",_xll.flu_CocMaSatKMD($D$21,$D$15,$D$16,$D$22,$H$12:$M$24,FALSE,FALSE,$D$17,$D$12,$K$27,$H$27,A66,"f"))</f>
        <v>84.6</v>
      </c>
      <c r="K66" s="95">
        <f>IF(B66="","",_xll.flu_CocMaSatKMD($D$21,$D$15,$D$16,$D$22,$H$12:$M$24,FALSE,FALSE,$D$17,$D$12,$K$27,$H$27,A66,"fludon"))</f>
        <v>265.77873849369598</v>
      </c>
      <c r="L66" s="95">
        <f>IF(B66="","",_xll.flu_CocMaSatKMD($D$21,$D$15,$D$16,$D$22,$H$12:$M$24,FALSE,FALSE,$D$17,$D$12,$K$27,$H$27,A66,"flu"))</f>
        <v>4792.7320709075902</v>
      </c>
      <c r="M66" s="87">
        <f t="shared" si="1"/>
        <v>12481.7800905686</v>
      </c>
    </row>
    <row r="67" spans="1:13">
      <c r="A67" s="87">
        <f t="shared" si="2"/>
        <v>28</v>
      </c>
      <c r="B67" s="83">
        <f>_xll.flu_CocMaSatKMD($D$21,$D$15,$D$16,$D$22,$H$12:$M$24,FALSE,FALSE,$D$17,$D$12,$K$27,$H$27,A67,"Cao độ")</f>
        <v>25</v>
      </c>
      <c r="C67" s="87" t="str">
        <f>IF(B67="","",_xll.TimTenLoaiDat(B67,$F$12:$H$24))</f>
        <v>Lớp 5</v>
      </c>
      <c r="D67" s="82" t="str">
        <f>IF(B67="","",_xll.TimTinhChatDat(B67,$H$12:$I$24))</f>
        <v>Cát chặt vừa - thô</v>
      </c>
      <c r="E67" s="96">
        <f>IF(B67="","",_xll.Qb_CocMaSatKMD(B67,$H$12:$M$24,$D$20,$D$22,$H$27,$D$14,$D$23,"GanmaRR"))</f>
        <v>1.1000000000000001</v>
      </c>
      <c r="F67" s="95">
        <f>IF(B67="","",_xll.Qb_CocMaSatKMD(B67,$H$12:$M$24,$D$20,$D$22,$H$27,$D$14,$D$23,"qb"))</f>
        <v>9000</v>
      </c>
      <c r="G67" s="95">
        <f t="shared" si="0"/>
        <v>7775.4418176347399</v>
      </c>
      <c r="H67" s="96">
        <f>IF(B67="","",_xll.flu_CocMaSatKMD($D$21,$D$15,$D$16,$D$22,$H$12:$M$24,FALSE,FALSE,$D$17,$D$12,$K$27,$H$27,A67,"GanmaRf"))</f>
        <v>1</v>
      </c>
      <c r="I67" s="96">
        <f>IF(B67="","",_xll.flu_CocMaSatKMD($D$21,$D$15,$D$16,$D$22,$H$12:$M$24,FALSE,FALSE,$D$17,$D$12,$K$27,$H$27,A67,"Li"))</f>
        <v>1</v>
      </c>
      <c r="J67" s="95">
        <f>IF(B67="","",_xll.flu_CocMaSatKMD($D$21,$D$15,$D$16,$D$22,$H$12:$M$24,FALSE,FALSE,$D$17,$D$12,$K$27,$H$27,A67,"f"))</f>
        <v>86</v>
      </c>
      <c r="K67" s="95">
        <f>IF(B67="","",_xll.flu_CocMaSatKMD($D$21,$D$15,$D$16,$D$22,$H$12:$M$24,FALSE,FALSE,$D$17,$D$12,$K$27,$H$27,A67,"fludon"))</f>
        <v>270.17696820872197</v>
      </c>
      <c r="L67" s="95">
        <f>IF(B67="","",_xll.flu_CocMaSatKMD($D$21,$D$15,$D$16,$D$22,$H$12:$M$24,FALSE,FALSE,$D$17,$D$12,$K$27,$H$27,A67,"flu"))</f>
        <v>5062.9090391163199</v>
      </c>
      <c r="M67" s="87">
        <f t="shared" si="1"/>
        <v>12838.3508567511</v>
      </c>
    </row>
    <row r="68" spans="1:13">
      <c r="A68" s="87">
        <f t="shared" si="2"/>
        <v>29</v>
      </c>
      <c r="B68" s="83">
        <f>_xll.flu_CocMaSatKMD($D$21,$D$15,$D$16,$D$22,$H$12:$M$24,FALSE,FALSE,$D$17,$D$12,$K$27,$H$27,A68,"Cao độ")</f>
        <v>26</v>
      </c>
      <c r="C68" s="87" t="str">
        <f>IF(B68="","",_xll.TimTenLoaiDat(B68,$F$12:$H$24))</f>
        <v>Lớp 5</v>
      </c>
      <c r="D68" s="82" t="str">
        <f>IF(B68="","",_xll.TimTinhChatDat(B68,$H$12:$I$24))</f>
        <v>Cát chặt vừa - thô</v>
      </c>
      <c r="E68" s="96">
        <f>IF(B68="","",_xll.Qb_CocMaSatKMD(B68,$H$12:$M$24,$D$20,$D$22,$H$27,$D$14,$D$23,"GanmaRR"))</f>
        <v>1.1000000000000001</v>
      </c>
      <c r="F68" s="95">
        <f>IF(B68="","",_xll.Qb_CocMaSatKMD(B68,$H$12:$M$24,$D$20,$D$22,$H$27,$D$14,$D$23,"qb"))</f>
        <v>9100</v>
      </c>
      <c r="G68" s="95">
        <f t="shared" si="0"/>
        <v>7861.8356156084601</v>
      </c>
      <c r="H68" s="96">
        <f>IF(B68="","",_xll.flu_CocMaSatKMD($D$21,$D$15,$D$16,$D$22,$H$12:$M$24,FALSE,FALSE,$D$17,$D$12,$K$27,$H$27,A68,"GanmaRf"))</f>
        <v>1</v>
      </c>
      <c r="I68" s="96">
        <f>IF(B68="","",_xll.flu_CocMaSatKMD($D$21,$D$15,$D$16,$D$22,$H$12:$M$24,FALSE,FALSE,$D$17,$D$12,$K$27,$H$27,A68,"Li"))</f>
        <v>1</v>
      </c>
      <c r="J68" s="95">
        <f>IF(B68="","",_xll.flu_CocMaSatKMD($D$21,$D$15,$D$16,$D$22,$H$12:$M$24,FALSE,FALSE,$D$17,$D$12,$K$27,$H$27,A68,"f"))</f>
        <v>87.4</v>
      </c>
      <c r="K68" s="95">
        <f>IF(B68="","",_xll.flu_CocMaSatKMD($D$21,$D$15,$D$16,$D$22,$H$12:$M$24,FALSE,FALSE,$D$17,$D$12,$K$27,$H$27,A68,"fludon"))</f>
        <v>274.57519792374802</v>
      </c>
      <c r="L68" s="95">
        <f>IF(B68="","",_xll.flu_CocMaSatKMD($D$21,$D$15,$D$16,$D$22,$H$12:$M$24,FALSE,FALSE,$D$17,$D$12,$K$27,$H$27,A68,"flu"))</f>
        <v>5337.4842370400702</v>
      </c>
      <c r="M68" s="87">
        <f t="shared" si="1"/>
        <v>13199.319852648499</v>
      </c>
    </row>
    <row r="69" spans="1:13">
      <c r="A69" s="87">
        <f t="shared" si="2"/>
        <v>30</v>
      </c>
      <c r="B69" s="83">
        <f>_xll.flu_CocMaSatKMD($D$21,$D$15,$D$16,$D$22,$H$12:$M$24,FALSE,FALSE,$D$17,$D$12,$K$27,$H$27,A69,"Cao độ")</f>
        <v>27</v>
      </c>
      <c r="C69" s="87" t="str">
        <f>IF(B69="","",_xll.TimTenLoaiDat(B69,$F$12:$H$24))</f>
        <v>Lớp 6</v>
      </c>
      <c r="D69" s="82" t="str">
        <f>IF(B69="","",_xll.TimTinhChatDat(B69,$H$12:$I$24))</f>
        <v>Cát chặt vừa - thô</v>
      </c>
      <c r="E69" s="96">
        <f>IF(B69="","",_xll.Qb_CocMaSatKMD(B69,$H$12:$M$24,$D$20,$D$22,$H$27,$D$14,$D$23,"GanmaRR"))</f>
        <v>1.1000000000000001</v>
      </c>
      <c r="F69" s="95">
        <f>IF(B69="","",_xll.Qb_CocMaSatKMD(B69,$H$12:$M$24,$D$20,$D$22,$H$27,$D$14,$D$23,"qb"))</f>
        <v>9200</v>
      </c>
      <c r="G69" s="95">
        <f t="shared" si="0"/>
        <v>7948.2294135821803</v>
      </c>
      <c r="H69" s="96">
        <f>IF(B69="","",_xll.flu_CocMaSatKMD($D$21,$D$15,$D$16,$D$22,$H$12:$M$24,FALSE,FALSE,$D$17,$D$12,$K$27,$H$27,A69,"GanmaRf"))</f>
        <v>1</v>
      </c>
      <c r="I69" s="96">
        <f>IF(B69="","",_xll.flu_CocMaSatKMD($D$21,$D$15,$D$16,$D$22,$H$12:$M$24,FALSE,FALSE,$D$17,$D$12,$K$27,$H$27,A69,"Li"))</f>
        <v>1</v>
      </c>
      <c r="J69" s="95">
        <f>IF(B69="","",_xll.flu_CocMaSatKMD($D$21,$D$15,$D$16,$D$22,$H$12:$M$24,FALSE,FALSE,$D$17,$D$12,$K$27,$H$27,A69,"f"))</f>
        <v>88.8</v>
      </c>
      <c r="K69" s="95">
        <f>IF(B69="","",_xll.flu_CocMaSatKMD($D$21,$D$15,$D$16,$D$22,$H$12:$M$24,FALSE,FALSE,$D$17,$D$12,$K$27,$H$27,A69,"fludon"))</f>
        <v>278.97342763877401</v>
      </c>
      <c r="L69" s="95">
        <f>IF(B69="","",_xll.flu_CocMaSatKMD($D$21,$D$15,$D$16,$D$22,$H$12:$M$24,FALSE,FALSE,$D$17,$D$12,$K$27,$H$27,A69,"flu"))</f>
        <v>5616.45766467884</v>
      </c>
      <c r="M69" s="87">
        <f t="shared" si="1"/>
        <v>13564.687078261</v>
      </c>
    </row>
    <row r="70" spans="1:13">
      <c r="A70" s="87">
        <f t="shared" si="2"/>
        <v>31</v>
      </c>
      <c r="B70" s="83">
        <f>_xll.flu_CocMaSatKMD($D$21,$D$15,$D$16,$D$22,$H$12:$M$24,FALSE,FALSE,$D$17,$D$12,$K$27,$H$27,A70,"Cao độ")</f>
        <v>28</v>
      </c>
      <c r="C70" s="87" t="str">
        <f>IF(B70="","",_xll.TimTenLoaiDat(B70,$F$12:$H$24))</f>
        <v>Lớp 6</v>
      </c>
      <c r="D70" s="82" t="str">
        <f>IF(B70="","",_xll.TimTinhChatDat(B70,$H$12:$I$24))</f>
        <v>Cát chặt vừa - thô</v>
      </c>
      <c r="E70" s="96">
        <f>IF(B70="","",_xll.Qb_CocMaSatKMD(B70,$H$12:$M$24,$D$20,$D$22,$H$27,$D$14,$D$23,"GanmaRR"))</f>
        <v>1.1000000000000001</v>
      </c>
      <c r="F70" s="95">
        <f>IF(B70="","",_xll.Qb_CocMaSatKMD(B70,$H$12:$M$24,$D$20,$D$22,$H$27,$D$14,$D$23,"qb"))</f>
        <v>9300</v>
      </c>
      <c r="G70" s="95">
        <f t="shared" si="0"/>
        <v>8034.6232115558996</v>
      </c>
      <c r="H70" s="96">
        <f>IF(B70="","",_xll.flu_CocMaSatKMD($D$21,$D$15,$D$16,$D$22,$H$12:$M$24,FALSE,FALSE,$D$17,$D$12,$K$27,$H$27,A70,"GanmaRf"))</f>
        <v>1</v>
      </c>
      <c r="I70" s="96">
        <f>IF(B70="","",_xll.flu_CocMaSatKMD($D$21,$D$15,$D$16,$D$22,$H$12:$M$24,FALSE,FALSE,$D$17,$D$12,$K$27,$H$27,A70,"Li"))</f>
        <v>1</v>
      </c>
      <c r="J70" s="95">
        <f>IF(B70="","",_xll.flu_CocMaSatKMD($D$21,$D$15,$D$16,$D$22,$H$12:$M$24,FALSE,FALSE,$D$17,$D$12,$K$27,$H$27,A70,"f"))</f>
        <v>90.2</v>
      </c>
      <c r="K70" s="95">
        <f>IF(B70="","",_xll.flu_CocMaSatKMD($D$21,$D$15,$D$16,$D$22,$H$12:$M$24,FALSE,FALSE,$D$17,$D$12,$K$27,$H$27,A70,"fludon"))</f>
        <v>283.37165735379898</v>
      </c>
      <c r="L70" s="95">
        <f>IF(B70="","",_xll.flu_CocMaSatKMD($D$21,$D$15,$D$16,$D$22,$H$12:$M$24,FALSE,FALSE,$D$17,$D$12,$K$27,$H$27,A70,"flu"))</f>
        <v>5899.8293220326404</v>
      </c>
      <c r="M70" s="87">
        <f t="shared" si="1"/>
        <v>13934.452533588499</v>
      </c>
    </row>
    <row r="71" spans="1:13">
      <c r="A71" s="87">
        <f t="shared" si="2"/>
        <v>32</v>
      </c>
      <c r="B71" s="83">
        <f>_xll.flu_CocMaSatKMD($D$21,$D$15,$D$16,$D$22,$H$12:$M$24,FALSE,FALSE,$D$17,$D$12,$K$27,$H$27,A71,"Cao độ")</f>
        <v>29</v>
      </c>
      <c r="C71" s="87" t="str">
        <f>IF(B71="","",_xll.TimTenLoaiDat(B71,$F$12:$H$24))</f>
        <v>Lớp 6</v>
      </c>
      <c r="D71" s="82" t="str">
        <f>IF(B71="","",_xll.TimTinhChatDat(B71,$H$12:$I$24))</f>
        <v>Cát chặt vừa - thô</v>
      </c>
      <c r="E71" s="96">
        <f>IF(B71="","",_xll.Qb_CocMaSatKMD(B71,$H$12:$M$24,$D$20,$D$22,$H$27,$D$14,$D$23,"GanmaRR"))</f>
        <v>1.1000000000000001</v>
      </c>
      <c r="F71" s="95">
        <f>IF(B71="","",_xll.Qb_CocMaSatKMD(B71,$H$12:$M$24,$D$20,$D$22,$H$27,$D$14,$D$23,"qb"))</f>
        <v>9400</v>
      </c>
      <c r="G71" s="95">
        <f t="shared" ref="G71:G102" si="3">IF(B71="","",$D$22*E71*F71*$D$20)</f>
        <v>8121.0170095296198</v>
      </c>
      <c r="H71" s="96">
        <f>IF(B71="","",_xll.flu_CocMaSatKMD($D$21,$D$15,$D$16,$D$22,$H$12:$M$24,FALSE,FALSE,$D$17,$D$12,$K$27,$H$27,A71,"GanmaRf"))</f>
        <v>1</v>
      </c>
      <c r="I71" s="96">
        <f>IF(B71="","",_xll.flu_CocMaSatKMD($D$21,$D$15,$D$16,$D$22,$H$12:$M$24,FALSE,FALSE,$D$17,$D$12,$K$27,$H$27,A71,"Li"))</f>
        <v>1</v>
      </c>
      <c r="J71" s="95">
        <f>IF(B71="","",_xll.flu_CocMaSatKMD($D$21,$D$15,$D$16,$D$22,$H$12:$M$24,FALSE,FALSE,$D$17,$D$12,$K$27,$H$27,A71,"f"))</f>
        <v>91.6</v>
      </c>
      <c r="K71" s="95">
        <f>IF(B71="","",_xll.flu_CocMaSatKMD($D$21,$D$15,$D$16,$D$22,$H$12:$M$24,FALSE,FALSE,$D$17,$D$12,$K$27,$H$27,A71,"fludon"))</f>
        <v>287.76988706882503</v>
      </c>
      <c r="L71" s="95">
        <f>IF(B71="","",_xll.flu_CocMaSatKMD($D$21,$D$15,$D$16,$D$22,$H$12:$M$24,FALSE,FALSE,$D$17,$D$12,$K$27,$H$27,A71,"flu"))</f>
        <v>6187.5992091014596</v>
      </c>
      <c r="M71" s="87">
        <f t="shared" ref="M71:M102" si="4">IF(B71="",NA(),L71+G71)</f>
        <v>14308.616218631099</v>
      </c>
    </row>
    <row r="72" spans="1:13">
      <c r="A72" s="87">
        <f t="shared" si="2"/>
        <v>33</v>
      </c>
      <c r="B72" s="83">
        <f>_xll.flu_CocMaSatKMD($D$21,$D$15,$D$16,$D$22,$H$12:$M$24,FALSE,FALSE,$D$17,$D$12,$K$27,$H$27,A72,"Cao độ")</f>
        <v>30</v>
      </c>
      <c r="C72" s="87" t="str">
        <f>IF(B72="","",_xll.TimTenLoaiDat(B72,$F$12:$H$24))</f>
        <v>Lớp 6</v>
      </c>
      <c r="D72" s="82" t="str">
        <f>IF(B72="","",_xll.TimTinhChatDat(B72,$H$12:$I$24))</f>
        <v>Cát chặt vừa - thô</v>
      </c>
      <c r="E72" s="96">
        <f>IF(B72="","",_xll.Qb_CocMaSatKMD(B72,$H$12:$M$24,$D$20,$D$22,$H$27,$D$14,$D$23,"GanmaRR"))</f>
        <v>1.1000000000000001</v>
      </c>
      <c r="F72" s="95">
        <f>IF(B72="","",_xll.Qb_CocMaSatKMD(B72,$H$12:$M$24,$D$20,$D$22,$H$27,$D$14,$D$23,"qb"))</f>
        <v>9500</v>
      </c>
      <c r="G72" s="95">
        <f t="shared" si="3"/>
        <v>8207.4108075033291</v>
      </c>
      <c r="H72" s="96">
        <f>IF(B72="","",_xll.flu_CocMaSatKMD($D$21,$D$15,$D$16,$D$22,$H$12:$M$24,FALSE,FALSE,$D$17,$D$12,$K$27,$H$27,A72,"GanmaRf"))</f>
        <v>1</v>
      </c>
      <c r="I72" s="96">
        <f>IF(B72="","",_xll.flu_CocMaSatKMD($D$21,$D$15,$D$16,$D$22,$H$12:$M$24,FALSE,FALSE,$D$17,$D$12,$K$27,$H$27,A72,"Li"))</f>
        <v>1</v>
      </c>
      <c r="J72" s="95">
        <f>IF(B72="","",_xll.flu_CocMaSatKMD($D$21,$D$15,$D$16,$D$22,$H$12:$M$24,FALSE,FALSE,$D$17,$D$12,$K$27,$H$27,A72,"f"))</f>
        <v>93</v>
      </c>
      <c r="K72" s="95">
        <f>IF(B72="","",_xll.flu_CocMaSatKMD($D$21,$D$15,$D$16,$D$22,$H$12:$M$24,FALSE,FALSE,$D$17,$D$12,$K$27,$H$27,A72,"fludon"))</f>
        <v>292.16811678385102</v>
      </c>
      <c r="L72" s="95">
        <f>IF(B72="","",_xll.flu_CocMaSatKMD($D$21,$D$15,$D$16,$D$22,$H$12:$M$24,FALSE,FALSE,$D$17,$D$12,$K$27,$H$27,A72,"flu"))</f>
        <v>6479.7673258853101</v>
      </c>
      <c r="M72" s="87">
        <f t="shared" si="4"/>
        <v>14687.178133388599</v>
      </c>
    </row>
    <row r="73" spans="1:13">
      <c r="A73" s="87">
        <f t="shared" si="2"/>
        <v>34</v>
      </c>
      <c r="B73" s="83">
        <f>_xll.flu_CocMaSatKMD($D$21,$D$15,$D$16,$D$22,$H$12:$M$24,FALSE,FALSE,$D$17,$D$12,$K$27,$H$27,A73,"Cao độ")</f>
        <v>31</v>
      </c>
      <c r="C73" s="87" t="str">
        <f>IF(B73="","",_xll.TimTenLoaiDat(B73,$F$12:$H$24))</f>
        <v>Lớp 6</v>
      </c>
      <c r="D73" s="82" t="str">
        <f>IF(B73="","",_xll.TimTinhChatDat(B73,$H$12:$I$24))</f>
        <v>Cát chặt vừa - thô</v>
      </c>
      <c r="E73" s="96">
        <f>IF(B73="","",_xll.Qb_CocMaSatKMD(B73,$H$12:$M$24,$D$20,$D$22,$H$27,$D$14,$D$23,"GanmaRR"))</f>
        <v>1.1000000000000001</v>
      </c>
      <c r="F73" s="95">
        <f>IF(B73="","",_xll.Qb_CocMaSatKMD(B73,$H$12:$M$24,$D$20,$D$22,$H$27,$D$14,$D$23,"qb"))</f>
        <v>9600</v>
      </c>
      <c r="G73" s="95">
        <f t="shared" si="3"/>
        <v>8293.8046054770493</v>
      </c>
      <c r="H73" s="96">
        <f>IF(B73="","",_xll.flu_CocMaSatKMD($D$21,$D$15,$D$16,$D$22,$H$12:$M$24,FALSE,FALSE,$D$17,$D$12,$K$27,$H$27,A73,"GanmaRf"))</f>
        <v>1</v>
      </c>
      <c r="I73" s="96">
        <f>IF(B73="","",_xll.flu_CocMaSatKMD($D$21,$D$15,$D$16,$D$22,$H$12:$M$24,FALSE,FALSE,$D$17,$D$12,$K$27,$H$27,A73,"Li"))</f>
        <v>1</v>
      </c>
      <c r="J73" s="95">
        <f>IF(B73="","",_xll.flu_CocMaSatKMD($D$21,$D$15,$D$16,$D$22,$H$12:$M$24,FALSE,FALSE,$D$17,$D$12,$K$27,$H$27,A73,"f"))</f>
        <v>94.4</v>
      </c>
      <c r="K73" s="95">
        <f>IF(B73="","",_xll.flu_CocMaSatKMD($D$21,$D$15,$D$16,$D$22,$H$12:$M$24,FALSE,FALSE,$D$17,$D$12,$K$27,$H$27,A73,"fludon"))</f>
        <v>296.56634649887599</v>
      </c>
      <c r="L73" s="95">
        <f>IF(B73="","",_xll.flu_CocMaSatKMD($D$21,$D$15,$D$16,$D$22,$H$12:$M$24,FALSE,FALSE,$D$17,$D$12,$K$27,$H$27,A73,"flu"))</f>
        <v>6776.3336723841903</v>
      </c>
      <c r="M73" s="87">
        <f t="shared" si="4"/>
        <v>15070.138277861201</v>
      </c>
    </row>
    <row r="74" spans="1:13">
      <c r="A74" s="87">
        <f t="shared" si="2"/>
        <v>35</v>
      </c>
      <c r="B74" s="83">
        <f>_xll.flu_CocMaSatKMD($D$21,$D$15,$D$16,$D$22,$H$12:$M$24,FALSE,FALSE,$D$17,$D$12,$K$27,$H$27,A74,"Cao độ")</f>
        <v>32</v>
      </c>
      <c r="C74" s="87" t="str">
        <f>IF(B74="","",_xll.TimTenLoaiDat(B74,$F$12:$H$24))</f>
        <v>Lớp 6</v>
      </c>
      <c r="D74" s="82" t="str">
        <f>IF(B74="","",_xll.TimTinhChatDat(B74,$H$12:$I$24))</f>
        <v>Cát chặt vừa - thô</v>
      </c>
      <c r="E74" s="96">
        <f>IF(B74="","",_xll.Qb_CocMaSatKMD(B74,$H$12:$M$24,$D$20,$D$22,$H$27,$D$14,$D$23,"GanmaRR"))</f>
        <v>1.1000000000000001</v>
      </c>
      <c r="F74" s="95">
        <f>IF(B74="","",_xll.Qb_CocMaSatKMD(B74,$H$12:$M$24,$D$20,$D$22,$H$27,$D$14,$D$23,"qb"))</f>
        <v>9700</v>
      </c>
      <c r="G74" s="95">
        <f t="shared" si="3"/>
        <v>8380.1984034507695</v>
      </c>
      <c r="H74" s="96">
        <f>IF(B74="","",_xll.flu_CocMaSatKMD($D$21,$D$15,$D$16,$D$22,$H$12:$M$24,FALSE,FALSE,$D$17,$D$12,$K$27,$H$27,A74,"GanmaRf"))</f>
        <v>1</v>
      </c>
      <c r="I74" s="96">
        <f>IF(B74="","",_xll.flu_CocMaSatKMD($D$21,$D$15,$D$16,$D$22,$H$12:$M$24,FALSE,FALSE,$D$17,$D$12,$K$27,$H$27,A74,"Li"))</f>
        <v>1</v>
      </c>
      <c r="J74" s="95">
        <f>IF(B74="","",_xll.flu_CocMaSatKMD($D$21,$D$15,$D$16,$D$22,$H$12:$M$24,FALSE,FALSE,$D$17,$D$12,$K$27,$H$27,A74,"f"))</f>
        <v>95.8</v>
      </c>
      <c r="K74" s="95">
        <f>IF(B74="","",_xll.flu_CocMaSatKMD($D$21,$D$15,$D$16,$D$22,$H$12:$M$24,FALSE,FALSE,$D$17,$D$12,$K$27,$H$27,A74,"fludon"))</f>
        <v>300.96457621390198</v>
      </c>
      <c r="L74" s="95">
        <f>IF(B74="","",_xll.flu_CocMaSatKMD($D$21,$D$15,$D$16,$D$22,$H$12:$M$24,FALSE,FALSE,$D$17,$D$12,$K$27,$H$27,A74,"flu"))</f>
        <v>7077.2982485980901</v>
      </c>
      <c r="M74" s="87">
        <f t="shared" si="4"/>
        <v>15457.4966520489</v>
      </c>
    </row>
    <row r="75" spans="1:13">
      <c r="A75" s="87">
        <f t="shared" si="2"/>
        <v>36</v>
      </c>
      <c r="B75" s="83">
        <f>_xll.flu_CocMaSatKMD($D$21,$D$15,$D$16,$D$22,$H$12:$M$24,FALSE,FALSE,$D$17,$D$12,$K$27,$H$27,A75,"Cao độ")</f>
        <v>33</v>
      </c>
      <c r="C75" s="87" t="str">
        <f>IF(B75="","",_xll.TimTenLoaiDat(B75,$F$12:$H$24))</f>
        <v>Lớp 6</v>
      </c>
      <c r="D75" s="82" t="str">
        <f>IF(B75="","",_xll.TimTinhChatDat(B75,$H$12:$I$24))</f>
        <v>Cát chặt vừa - thô</v>
      </c>
      <c r="E75" s="96">
        <f>IF(B75="","",_xll.Qb_CocMaSatKMD(B75,$H$12:$M$24,$D$20,$D$22,$H$27,$D$14,$D$23,"GanmaRR"))</f>
        <v>1.1000000000000001</v>
      </c>
      <c r="F75" s="95">
        <f>IF(B75="","",_xll.Qb_CocMaSatKMD(B75,$H$12:$M$24,$D$20,$D$22,$H$27,$D$14,$D$23,"qb"))</f>
        <v>9800</v>
      </c>
      <c r="G75" s="95">
        <f t="shared" si="3"/>
        <v>8466.5922014244898</v>
      </c>
      <c r="H75" s="96">
        <f>IF(B75="","",_xll.flu_CocMaSatKMD($D$21,$D$15,$D$16,$D$22,$H$12:$M$24,FALSE,FALSE,$D$17,$D$12,$K$27,$H$27,A75,"GanmaRf"))</f>
        <v>1</v>
      </c>
      <c r="I75" s="96">
        <f>IF(B75="","",_xll.flu_CocMaSatKMD($D$21,$D$15,$D$16,$D$22,$H$12:$M$24,FALSE,FALSE,$D$17,$D$12,$K$27,$H$27,A75,"Li"))</f>
        <v>1</v>
      </c>
      <c r="J75" s="95">
        <f>IF(B75="","",_xll.flu_CocMaSatKMD($D$21,$D$15,$D$16,$D$22,$H$12:$M$24,FALSE,FALSE,$D$17,$D$12,$K$27,$H$27,A75,"f"))</f>
        <v>97.2</v>
      </c>
      <c r="K75" s="95">
        <f>IF(B75="","",_xll.flu_CocMaSatKMD($D$21,$D$15,$D$16,$D$22,$H$12:$M$24,FALSE,FALSE,$D$17,$D$12,$K$27,$H$27,A75,"fludon"))</f>
        <v>305.36280592892803</v>
      </c>
      <c r="L75" s="95">
        <f>IF(B75="","",_xll.flu_CocMaSatKMD($D$21,$D$15,$D$16,$D$22,$H$12:$M$24,FALSE,FALSE,$D$17,$D$12,$K$27,$H$27,A75,"flu"))</f>
        <v>7382.6610545270196</v>
      </c>
      <c r="M75" s="87">
        <f t="shared" si="4"/>
        <v>15849.2532559515</v>
      </c>
    </row>
    <row r="76" spans="1:13">
      <c r="A76" s="87">
        <f t="shared" si="2"/>
        <v>37</v>
      </c>
      <c r="B76" s="83">
        <f>_xll.flu_CocMaSatKMD($D$21,$D$15,$D$16,$D$22,$H$12:$M$24,FALSE,FALSE,$D$17,$D$12,$K$27,$H$27,A76,"Cao độ")</f>
        <v>34</v>
      </c>
      <c r="C76" s="87" t="str">
        <f>IF(B76="","",_xll.TimTenLoaiDat(B76,$F$12:$H$24))</f>
        <v>Lớp 6</v>
      </c>
      <c r="D76" s="82" t="str">
        <f>IF(B76="","",_xll.TimTinhChatDat(B76,$H$12:$I$24))</f>
        <v>Cát chặt vừa - thô</v>
      </c>
      <c r="E76" s="96">
        <f>IF(B76="","",_xll.Qb_CocMaSatKMD(B76,$H$12:$M$24,$D$20,$D$22,$H$27,$D$14,$D$23,"GanmaRR"))</f>
        <v>1.1000000000000001</v>
      </c>
      <c r="F76" s="95">
        <f>IF(B76="","",_xll.Qb_CocMaSatKMD(B76,$H$12:$M$24,$D$20,$D$22,$H$27,$D$14,$D$23,"qb"))</f>
        <v>9900</v>
      </c>
      <c r="G76" s="95">
        <f t="shared" si="3"/>
        <v>8552.98599939821</v>
      </c>
      <c r="H76" s="96">
        <f>IF(B76="","",_xll.flu_CocMaSatKMD($D$21,$D$15,$D$16,$D$22,$H$12:$M$24,FALSE,FALSE,$D$17,$D$12,$K$27,$H$27,A76,"GanmaRf"))</f>
        <v>1</v>
      </c>
      <c r="I76" s="96">
        <f>IF(B76="","",_xll.flu_CocMaSatKMD($D$21,$D$15,$D$16,$D$22,$H$12:$M$24,FALSE,FALSE,$D$17,$D$12,$K$27,$H$27,A76,"Li"))</f>
        <v>1</v>
      </c>
      <c r="J76" s="95">
        <f>IF(B76="","",_xll.flu_CocMaSatKMD($D$21,$D$15,$D$16,$D$22,$H$12:$M$24,FALSE,FALSE,$D$17,$D$12,$K$27,$H$27,A76,"f"))</f>
        <v>98.6</v>
      </c>
      <c r="K76" s="95">
        <f>IF(B76="","",_xll.flu_CocMaSatKMD($D$21,$D$15,$D$16,$D$22,$H$12:$M$24,FALSE,FALSE,$D$17,$D$12,$K$27,$H$27,A76,"fludon"))</f>
        <v>309.76103564395402</v>
      </c>
      <c r="L76" s="95">
        <f>IF(B76="","",_xll.flu_CocMaSatKMD($D$21,$D$15,$D$16,$D$22,$H$12:$M$24,FALSE,FALSE,$D$17,$D$12,$K$27,$H$27,A76,"flu"))</f>
        <v>7692.4220901709696</v>
      </c>
      <c r="M76" s="87">
        <f t="shared" si="4"/>
        <v>16245.4080895692</v>
      </c>
    </row>
    <row r="77" spans="1:13">
      <c r="A77" s="87">
        <f t="shared" si="2"/>
        <v>38</v>
      </c>
      <c r="B77" s="83">
        <f>_xll.flu_CocMaSatKMD($D$21,$D$15,$D$16,$D$22,$H$12:$M$24,FALSE,FALSE,$D$17,$D$12,$K$27,$H$27,A77,"Cao độ")</f>
        <v>35</v>
      </c>
      <c r="C77" s="87" t="str">
        <f>IF(B77="","",_xll.TimTenLoaiDat(B77,$F$12:$H$24))</f>
        <v>Lớp 6</v>
      </c>
      <c r="D77" s="82" t="str">
        <f>IF(B77="","",_xll.TimTinhChatDat(B77,$H$12:$I$24))</f>
        <v>Cát chặt vừa - thô</v>
      </c>
      <c r="E77" s="96">
        <f>IF(B77="","",_xll.Qb_CocMaSatKMD(B77,$H$12:$M$24,$D$20,$D$22,$H$27,$D$14,$D$23,"GanmaRR"))</f>
        <v>1.1000000000000001</v>
      </c>
      <c r="F77" s="95">
        <f>IF(B77="","",_xll.Qb_CocMaSatKMD(B77,$H$12:$M$24,$D$20,$D$22,$H$27,$D$14,$D$23,"qb"))</f>
        <v>10000</v>
      </c>
      <c r="G77" s="95">
        <f t="shared" si="3"/>
        <v>8639.3797973719302</v>
      </c>
      <c r="H77" s="96">
        <f>IF(B77="","",_xll.flu_CocMaSatKMD($D$21,$D$15,$D$16,$D$22,$H$12:$M$24,FALSE,FALSE,$D$17,$D$12,$K$27,$H$27,A77,"GanmaRf"))</f>
        <v>1</v>
      </c>
      <c r="I77" s="96">
        <f>IF(B77="","",_xll.flu_CocMaSatKMD($D$21,$D$15,$D$16,$D$22,$H$12:$M$24,FALSE,FALSE,$D$17,$D$12,$K$27,$H$27,A77,"Li"))</f>
        <v>1</v>
      </c>
      <c r="J77" s="95">
        <f>IF(B77="","",_xll.flu_CocMaSatKMD($D$21,$D$15,$D$16,$D$22,$H$12:$M$24,FALSE,FALSE,$D$17,$D$12,$K$27,$H$27,A77,"f"))</f>
        <v>100</v>
      </c>
      <c r="K77" s="95">
        <f>IF(B77="","",_xll.flu_CocMaSatKMD($D$21,$D$15,$D$16,$D$22,$H$12:$M$24,FALSE,FALSE,$D$17,$D$12,$K$27,$H$27,A77,"fludon"))</f>
        <v>314.15926535897898</v>
      </c>
      <c r="L77" s="95">
        <f>IF(B77="","",_xll.flu_CocMaSatKMD($D$21,$D$15,$D$16,$D$22,$H$12:$M$24,FALSE,FALSE,$D$17,$D$12,$K$27,$H$27,A77,"flu"))</f>
        <v>8006.5813555299501</v>
      </c>
      <c r="M77" s="87">
        <f t="shared" si="4"/>
        <v>16645.961152901898</v>
      </c>
    </row>
    <row r="78" spans="1:13">
      <c r="A78" s="87">
        <f t="shared" si="2"/>
        <v>39</v>
      </c>
      <c r="B78" s="83">
        <f>_xll.flu_CocMaSatKMD($D$21,$D$15,$D$16,$D$22,$H$12:$M$24,FALSE,FALSE,$D$17,$D$12,$K$27,$H$27,A78,"Cao độ")</f>
        <v>36</v>
      </c>
      <c r="C78" s="87" t="str">
        <f>IF(B78="","",_xll.TimTenLoaiDat(B78,$F$12:$H$24))</f>
        <v>Lớp 6</v>
      </c>
      <c r="D78" s="82" t="str">
        <f>IF(B78="","",_xll.TimTinhChatDat(B78,$H$12:$I$24))</f>
        <v>Cát chặt vừa - thô</v>
      </c>
      <c r="E78" s="96">
        <f>IF(B78="","",_xll.Qb_CocMaSatKMD(B78,$H$12:$M$24,$D$20,$D$22,$H$27,$D$14,$D$23,"GanmaRR"))</f>
        <v>1.1000000000000001</v>
      </c>
      <c r="F78" s="95">
        <f>IF(B78="","",_xll.Qb_CocMaSatKMD(B78,$H$12:$M$24,$D$20,$D$22,$H$27,$D$14,$D$23,"qb"))</f>
        <v>10100</v>
      </c>
      <c r="G78" s="95">
        <f t="shared" si="3"/>
        <v>8725.7735953456504</v>
      </c>
      <c r="H78" s="96">
        <f>IF(B78="","",_xll.flu_CocMaSatKMD($D$21,$D$15,$D$16,$D$22,$H$12:$M$24,FALSE,FALSE,$D$17,$D$12,$K$27,$H$27,A78,"GanmaRf"))</f>
        <v>1</v>
      </c>
      <c r="I78" s="96">
        <f>IF(B78="","",_xll.flu_CocMaSatKMD($D$21,$D$15,$D$16,$D$22,$H$12:$M$24,FALSE,FALSE,$D$17,$D$12,$K$27,$H$27,A78,"Li"))</f>
        <v>1</v>
      </c>
      <c r="J78" s="95">
        <f>IF(B78="","",_xll.flu_CocMaSatKMD($D$21,$D$15,$D$16,$D$22,$H$12:$M$24,FALSE,FALSE,$D$17,$D$12,$K$27,$H$27,A78,"f"))</f>
        <v>101.4</v>
      </c>
      <c r="K78" s="95">
        <f>IF(B78="","",_xll.flu_CocMaSatKMD($D$21,$D$15,$D$16,$D$22,$H$12:$M$24,FALSE,FALSE,$D$17,$D$12,$K$27,$H$27,A78,"fludon"))</f>
        <v>318.55749507400498</v>
      </c>
      <c r="L78" s="95">
        <f>IF(B78="","",_xll.flu_CocMaSatKMD($D$21,$D$15,$D$16,$D$22,$H$12:$M$24,FALSE,FALSE,$D$17,$D$12,$K$27,$H$27,A78,"flu"))</f>
        <v>8325.1388506039602</v>
      </c>
      <c r="M78" s="87">
        <f t="shared" si="4"/>
        <v>17050.912445949602</v>
      </c>
    </row>
    <row r="79" spans="1:13">
      <c r="A79" s="87">
        <f t="shared" si="2"/>
        <v>40</v>
      </c>
      <c r="B79" s="83">
        <f>_xll.flu_CocMaSatKMD($D$21,$D$15,$D$16,$D$22,$H$12:$M$24,FALSE,FALSE,$D$17,$D$12,$K$27,$H$27,A79,"Cao độ")</f>
        <v>37</v>
      </c>
      <c r="C79" s="87" t="str">
        <f>IF(B79="","",_xll.TimTenLoaiDat(B79,$F$12:$H$24))</f>
        <v>Lớp 6</v>
      </c>
      <c r="D79" s="82" t="str">
        <f>IF(B79="","",_xll.TimTinhChatDat(B79,$H$12:$I$24))</f>
        <v>Cát chặt vừa - thô</v>
      </c>
      <c r="E79" s="96">
        <f>IF(B79="","",_xll.Qb_CocMaSatKMD(B79,$H$12:$M$24,$D$20,$D$22,$H$27,$D$14,$D$23,"GanmaRR"))</f>
        <v>1.1000000000000001</v>
      </c>
      <c r="F79" s="95">
        <f>IF(B79="","",_xll.Qb_CocMaSatKMD(B79,$H$12:$M$24,$D$20,$D$22,$H$27,$D$14,$D$23,"qb"))</f>
        <v>10200</v>
      </c>
      <c r="G79" s="95">
        <f t="shared" si="3"/>
        <v>8812.1673933193706</v>
      </c>
      <c r="H79" s="96">
        <f>IF(B79="","",_xll.flu_CocMaSatKMD($D$21,$D$15,$D$16,$D$22,$H$12:$M$24,FALSE,FALSE,$D$17,$D$12,$K$27,$H$27,A79,"GanmaRf"))</f>
        <v>1</v>
      </c>
      <c r="I79" s="96">
        <f>IF(B79="","",_xll.flu_CocMaSatKMD($D$21,$D$15,$D$16,$D$22,$H$12:$M$24,FALSE,FALSE,$D$17,$D$12,$K$27,$H$27,A79,"Li"))</f>
        <v>1</v>
      </c>
      <c r="J79" s="95">
        <f>IF(B79="","",_xll.flu_CocMaSatKMD($D$21,$D$15,$D$16,$D$22,$H$12:$M$24,FALSE,FALSE,$D$17,$D$12,$K$27,$H$27,A79,"f"))</f>
        <v>102.8</v>
      </c>
      <c r="K79" s="95">
        <f>IF(B79="","",_xll.flu_CocMaSatKMD($D$21,$D$15,$D$16,$D$22,$H$12:$M$24,FALSE,FALSE,$D$17,$D$12,$K$27,$H$27,A79,"fludon"))</f>
        <v>322.95572478903102</v>
      </c>
      <c r="L79" s="95">
        <f>IF(B79="","",_xll.flu_CocMaSatKMD($D$21,$D$15,$D$16,$D$22,$H$12:$M$24,FALSE,FALSE,$D$17,$D$12,$K$27,$H$27,A79,"flu"))</f>
        <v>8648.09457539299</v>
      </c>
      <c r="M79" s="87">
        <f t="shared" si="4"/>
        <v>17460.261968712399</v>
      </c>
    </row>
    <row r="80" spans="1:13">
      <c r="A80" s="87">
        <f t="shared" si="2"/>
        <v>41</v>
      </c>
      <c r="B80" s="83">
        <f>_xll.flu_CocMaSatKMD($D$21,$D$15,$D$16,$D$22,$H$12:$M$24,FALSE,FALSE,$D$17,$D$12,$K$27,$H$27,A80,"Cao độ")</f>
        <v>38</v>
      </c>
      <c r="C80" s="87" t="str">
        <f>IF(B80="","",_xll.TimTenLoaiDat(B80,$F$12:$H$24))</f>
        <v>Lớp 6</v>
      </c>
      <c r="D80" s="82" t="str">
        <f>IF(B80="","",_xll.TimTinhChatDat(B80,$H$12:$I$24))</f>
        <v>Cát chặt vừa - thô</v>
      </c>
      <c r="E80" s="96">
        <f>IF(B80="","",_xll.Qb_CocMaSatKMD(B80,$H$12:$M$24,$D$20,$D$22,$H$27,$D$14,$D$23,"GanmaRR"))</f>
        <v>1.1000000000000001</v>
      </c>
      <c r="F80" s="95">
        <f>IF(B80="","",_xll.Qb_CocMaSatKMD(B80,$H$12:$M$24,$D$20,$D$22,$H$27,$D$14,$D$23,"qb"))</f>
        <v>10300</v>
      </c>
      <c r="G80" s="95">
        <f t="shared" si="3"/>
        <v>8898.5611912930908</v>
      </c>
      <c r="H80" s="96">
        <f>IF(B80="","",_xll.flu_CocMaSatKMD($D$21,$D$15,$D$16,$D$22,$H$12:$M$24,FALSE,FALSE,$D$17,$D$12,$K$27,$H$27,A80,"GanmaRf"))</f>
        <v>1</v>
      </c>
      <c r="I80" s="96">
        <f>IF(B80="","",_xll.flu_CocMaSatKMD($D$21,$D$15,$D$16,$D$22,$H$12:$M$24,FALSE,FALSE,$D$17,$D$12,$K$27,$H$27,A80,"Li"))</f>
        <v>0.20000000000000301</v>
      </c>
      <c r="J80" s="95">
        <f>IF(B80="","",_xll.flu_CocMaSatKMD($D$21,$D$15,$D$16,$D$22,$H$12:$M$24,FALSE,FALSE,$D$17,$D$12,$K$27,$H$27,A80,"f"))</f>
        <v>104.2</v>
      </c>
      <c r="K80" s="95">
        <f>IF(B80="","",_xll.flu_CocMaSatKMD($D$21,$D$15,$D$16,$D$22,$H$12:$M$24,FALSE,FALSE,$D$17,$D$12,$K$27,$H$27,A80,"fludon"))</f>
        <v>65.470790900812204</v>
      </c>
      <c r="L80" s="95">
        <f>IF(B80="","",_xll.flu_CocMaSatKMD($D$21,$D$15,$D$16,$D$22,$H$12:$M$24,FALSE,FALSE,$D$17,$D$12,$K$27,$H$27,A80,"flu"))</f>
        <v>8713.5653662938003</v>
      </c>
      <c r="M80" s="87">
        <f t="shared" si="4"/>
        <v>17612.1265575869</v>
      </c>
    </row>
    <row r="81" spans="1:13">
      <c r="A81" s="87">
        <f t="shared" si="2"/>
        <v>42</v>
      </c>
      <c r="B81" s="83">
        <f>_xll.flu_CocMaSatKMD($D$21,$D$15,$D$16,$D$22,$H$12:$M$24,FALSE,FALSE,$D$17,$D$12,$K$27,$H$27,A81,"Cao độ")</f>
        <v>38.200000000000003</v>
      </c>
      <c r="C81" s="87" t="str">
        <f>IF(B81="","",_xll.TimTenLoaiDat(B81,$F$12:$H$24))</f>
        <v>Lớp 7</v>
      </c>
      <c r="D81" s="82" t="str">
        <f>IF(B81="","",_xll.TimTinhChatDat(B81,$H$12:$I$24))</f>
        <v>Cát chặt vừa - lẫn sỏi sạn</v>
      </c>
      <c r="E81" s="96">
        <f>IF(B81="","",_xll.Qb_CocMaSatKMD(B81,$H$12:$M$24,$D$20,$D$22,$H$27,$D$14,$D$23,"GanmaRR"))</f>
        <v>1.1000000000000001</v>
      </c>
      <c r="F81" s="95">
        <f>IF(B81="","",_xll.Qb_CocMaSatKMD(B81,$H$12:$M$24,$D$20,$D$22,$H$27,$D$14,$D$23,"qb"))</f>
        <v>15512</v>
      </c>
      <c r="G81" s="95">
        <f t="shared" si="3"/>
        <v>13401.405941683301</v>
      </c>
      <c r="H81" s="96">
        <f>IF(B81="","",_xll.flu_CocMaSatKMD($D$21,$D$15,$D$16,$D$22,$H$12:$M$24,FALSE,FALSE,$D$17,$D$12,$K$27,$H$27,A81,"GanmaRf"))</f>
        <v>1</v>
      </c>
      <c r="I81" s="96">
        <f>IF(B81="","",_xll.flu_CocMaSatKMD($D$21,$D$15,$D$16,$D$22,$H$12:$M$24,FALSE,FALSE,$D$17,$D$12,$K$27,$H$27,A81,"Li"))</f>
        <v>0.79999999999999705</v>
      </c>
      <c r="J81" s="95">
        <f>IF(B81="","",_xll.flu_CocMaSatKMD($D$21,$D$15,$D$16,$D$22,$H$12:$M$24,FALSE,FALSE,$D$17,$D$12,$K$27,$H$27,A81,"f"))</f>
        <v>104.48</v>
      </c>
      <c r="K81" s="95">
        <f>IF(B81="","",_xll.flu_CocMaSatKMD($D$21,$D$15,$D$16,$D$22,$H$12:$M$24,FALSE,FALSE,$D$17,$D$12,$K$27,$H$27,A81,"fludon"))</f>
        <v>262.586880357648</v>
      </c>
      <c r="L81" s="95">
        <f>IF(B81="","",_xll.flu_CocMaSatKMD($D$21,$D$15,$D$16,$D$22,$H$12:$M$24,FALSE,FALSE,$D$17,$D$12,$K$27,$H$27,A81,"flu"))</f>
        <v>8976.1522466514507</v>
      </c>
      <c r="M81" s="87">
        <f t="shared" si="4"/>
        <v>22377.558188334799</v>
      </c>
    </row>
    <row r="82" spans="1:13">
      <c r="A82" s="87">
        <f t="shared" si="2"/>
        <v>43</v>
      </c>
      <c r="B82" s="83">
        <f>_xll.flu_CocMaSatKMD($D$21,$D$15,$D$16,$D$22,$H$12:$M$24,FALSE,FALSE,$D$17,$D$12,$K$27,$H$27,A82,"Cao độ")</f>
        <v>39</v>
      </c>
      <c r="C82" s="87" t="str">
        <f>IF(B82="","",_xll.TimTenLoaiDat(B82,$F$12:$H$24))</f>
        <v>Lớp 7</v>
      </c>
      <c r="D82" s="82" t="str">
        <f>IF(B82="","",_xll.TimTinhChatDat(B82,$H$12:$I$24))</f>
        <v>Cát chặt vừa - lẫn sỏi sạn</v>
      </c>
      <c r="E82" s="96">
        <f>IF(B82="","",_xll.Qb_CocMaSatKMD(B82,$H$12:$M$24,$D$20,$D$22,$H$27,$D$14,$D$23,"GanmaRR"))</f>
        <v>1.1000000000000001</v>
      </c>
      <c r="F82" s="95">
        <f>IF(B82="","",_xll.Qb_CocMaSatKMD(B82,$H$12:$M$24,$D$20,$D$22,$H$27,$D$14,$D$23,"qb"))</f>
        <v>15640</v>
      </c>
      <c r="G82" s="95">
        <f t="shared" si="3"/>
        <v>13511.990003089701</v>
      </c>
      <c r="H82" s="96">
        <f>IF(B82="","",_xll.flu_CocMaSatKMD($D$21,$D$15,$D$16,$D$22,$H$12:$M$24,FALSE,FALSE,$D$17,$D$12,$K$27,$H$27,A82,"GanmaRf"))</f>
        <v>1</v>
      </c>
      <c r="I82" s="96">
        <f>IF(B82="","",_xll.flu_CocMaSatKMD($D$21,$D$15,$D$16,$D$22,$H$12:$M$24,FALSE,FALSE,$D$17,$D$12,$K$27,$H$27,A82,"Li"))</f>
        <v>1</v>
      </c>
      <c r="J82" s="95">
        <f>IF(B82="","",_xll.flu_CocMaSatKMD($D$21,$D$15,$D$16,$D$22,$H$12:$M$24,FALSE,FALSE,$D$17,$D$12,$K$27,$H$27,A82,"f"))</f>
        <v>105.6</v>
      </c>
      <c r="K82" s="95">
        <f>IF(B82="","",_xll.flu_CocMaSatKMD($D$21,$D$15,$D$16,$D$22,$H$12:$M$24,FALSE,FALSE,$D$17,$D$12,$K$27,$H$27,A82,"fludon"))</f>
        <v>331.75218421908198</v>
      </c>
      <c r="L82" s="95">
        <f>IF(B82="","",_xll.flu_CocMaSatKMD($D$21,$D$15,$D$16,$D$22,$H$12:$M$24,FALSE,FALSE,$D$17,$D$12,$K$27,$H$27,A82,"flu"))</f>
        <v>9307.9044308705306</v>
      </c>
      <c r="M82" s="87">
        <f t="shared" si="4"/>
        <v>22819.894433960199</v>
      </c>
    </row>
    <row r="83" spans="1:13">
      <c r="A83" s="87">
        <f t="shared" si="2"/>
        <v>44</v>
      </c>
      <c r="B83" s="83">
        <f>_xll.flu_CocMaSatKMD($D$21,$D$15,$D$16,$D$22,$H$12:$M$24,FALSE,FALSE,$D$17,$D$12,$K$27,$H$27,A83,"Cao độ")</f>
        <v>40</v>
      </c>
      <c r="C83" s="87" t="str">
        <f>IF(B83="","",_xll.TimTenLoaiDat(B83,$F$12:$H$24))</f>
        <v>Lớp 7</v>
      </c>
      <c r="D83" s="82" t="str">
        <f>IF(B83="","",_xll.TimTinhChatDat(B83,$H$12:$I$24))</f>
        <v>Cát chặt vừa - lẫn sỏi sạn</v>
      </c>
      <c r="E83" s="96">
        <f>IF(B83="","",_xll.Qb_CocMaSatKMD(B83,$H$12:$M$24,$D$20,$D$22,$H$27,$D$14,$D$23,"GanmaRR"))</f>
        <v>1.1000000000000001</v>
      </c>
      <c r="F83" s="95">
        <f>IF(B83="","",_xll.Qb_CocMaSatKMD(B83,$H$12:$M$24,$D$20,$D$22,$H$27,$D$14,$D$23,"qb"))</f>
        <v>15800</v>
      </c>
      <c r="G83" s="95">
        <f t="shared" si="3"/>
        <v>13650.220079847701</v>
      </c>
      <c r="H83" s="96">
        <f>IF(B83="","",_xll.flu_CocMaSatKMD($D$21,$D$15,$D$16,$D$22,$H$12:$M$24,FALSE,FALSE,$D$17,$D$12,$K$27,$H$27,A83,"GanmaRf"))</f>
        <v>1</v>
      </c>
      <c r="I83" s="96">
        <f>IF(B83="","",_xll.flu_CocMaSatKMD($D$21,$D$15,$D$16,$D$22,$H$12:$M$24,FALSE,FALSE,$D$17,$D$12,$K$27,$H$27,A83,"Li"))</f>
        <v>1</v>
      </c>
      <c r="J83" s="95">
        <f>IF(B83="","",_xll.flu_CocMaSatKMD($D$21,$D$15,$D$16,$D$22,$H$12:$M$24,FALSE,FALSE,$D$17,$D$12,$K$27,$H$27,A83,"f"))</f>
        <v>107</v>
      </c>
      <c r="K83" s="95">
        <f>IF(B83="","",_xll.flu_CocMaSatKMD($D$21,$D$15,$D$16,$D$22,$H$12:$M$24,FALSE,FALSE,$D$17,$D$12,$K$27,$H$27,A83,"fludon"))</f>
        <v>336.15041393410797</v>
      </c>
      <c r="L83" s="95">
        <f>IF(B83="","",_xll.flu_CocMaSatKMD($D$21,$D$15,$D$16,$D$22,$H$12:$M$24,FALSE,FALSE,$D$17,$D$12,$K$27,$H$27,A83,"flu"))</f>
        <v>9644.0548448046393</v>
      </c>
      <c r="M83" s="87">
        <f t="shared" si="4"/>
        <v>23294.274924652302</v>
      </c>
    </row>
    <row r="84" spans="1:13">
      <c r="A84" s="87">
        <f t="shared" si="2"/>
        <v>45</v>
      </c>
      <c r="B84" s="83">
        <f>_xll.flu_CocMaSatKMD($D$21,$D$15,$D$16,$D$22,$H$12:$M$24,FALSE,FALSE,$D$17,$D$12,$K$27,$H$27,A84,"Cao độ")</f>
        <v>41</v>
      </c>
      <c r="C84" s="87" t="str">
        <f>IF(B84="","",_xll.TimTenLoaiDat(B84,$F$12:$H$24))</f>
        <v>Lớp 7</v>
      </c>
      <c r="D84" s="82" t="str">
        <f>IF(B84="","",_xll.TimTinhChatDat(B84,$H$12:$I$24))</f>
        <v>Cát chặt vừa - lẫn sỏi sạn</v>
      </c>
      <c r="E84" s="96">
        <f>IF(B84="","",_xll.Qb_CocMaSatKMD(B84,$H$12:$M$24,$D$20,$D$22,$H$27,$D$14,$D$23,"GanmaRR"))</f>
        <v>1.1000000000000001</v>
      </c>
      <c r="F84" s="95">
        <f>IF(B84="","",_xll.Qb_CocMaSatKMD(B84,$H$12:$M$24,$D$20,$D$22,$H$27,$D$14,$D$23,"qb"))</f>
        <v>15800</v>
      </c>
      <c r="G84" s="95">
        <f t="shared" si="3"/>
        <v>13650.220079847701</v>
      </c>
      <c r="H84" s="96">
        <f>IF(B84="","",_xll.flu_CocMaSatKMD($D$21,$D$15,$D$16,$D$22,$H$12:$M$24,FALSE,FALSE,$D$17,$D$12,$K$27,$H$27,A84,"GanmaRf"))</f>
        <v>1</v>
      </c>
      <c r="I84" s="96">
        <f>IF(B84="","",_xll.flu_CocMaSatKMD($D$21,$D$15,$D$16,$D$22,$H$12:$M$24,FALSE,FALSE,$D$17,$D$12,$K$27,$H$27,A84,"Li"))</f>
        <v>1</v>
      </c>
      <c r="J84" s="95">
        <f>IF(B84="","",_xll.flu_CocMaSatKMD($D$21,$D$15,$D$16,$D$22,$H$12:$M$24,FALSE,FALSE,$D$17,$D$12,$K$27,$H$27,A84,"f"))</f>
        <v>107</v>
      </c>
      <c r="K84" s="95">
        <f>IF(B84="","",_xll.flu_CocMaSatKMD($D$21,$D$15,$D$16,$D$22,$H$12:$M$24,FALSE,FALSE,$D$17,$D$12,$K$27,$H$27,A84,"fludon"))</f>
        <v>336.15041393410797</v>
      </c>
      <c r="L84" s="95">
        <f>IF(B84="","",_xll.flu_CocMaSatKMD($D$21,$D$15,$D$16,$D$22,$H$12:$M$24,FALSE,FALSE,$D$17,$D$12,$K$27,$H$27,A84,"flu"))</f>
        <v>9980.2052587387498</v>
      </c>
      <c r="M84" s="87">
        <f t="shared" si="4"/>
        <v>23630.425338586399</v>
      </c>
    </row>
    <row r="85" spans="1:13">
      <c r="A85" s="87">
        <f t="shared" si="2"/>
        <v>46</v>
      </c>
      <c r="B85" s="83">
        <f>_xll.flu_CocMaSatKMD($D$21,$D$15,$D$16,$D$22,$H$12:$M$24,FALSE,FALSE,$D$17,$D$12,$K$27,$H$27,A85,"Cao độ")</f>
        <v>42</v>
      </c>
      <c r="C85" s="87" t="str">
        <f>IF(B85="","",_xll.TimTenLoaiDat(B85,$F$12:$H$24))</f>
        <v>Lớp 7</v>
      </c>
      <c r="D85" s="82" t="str">
        <f>IF(B85="","",_xll.TimTinhChatDat(B85,$H$12:$I$24))</f>
        <v>Cát chặt vừa - lẫn sỏi sạn</v>
      </c>
      <c r="E85" s="96">
        <f>IF(B85="","",_xll.Qb_CocMaSatKMD(B85,$H$12:$M$24,$D$20,$D$22,$H$27,$D$14,$D$23,"GanmaRR"))</f>
        <v>1.1000000000000001</v>
      </c>
      <c r="F85" s="95">
        <f>IF(B85="","",_xll.Qb_CocMaSatKMD(B85,$H$12:$M$24,$D$20,$D$22,$H$27,$D$14,$D$23,"qb"))</f>
        <v>15800</v>
      </c>
      <c r="G85" s="95">
        <f t="shared" si="3"/>
        <v>13650.220079847701</v>
      </c>
      <c r="H85" s="96">
        <f>IF(B85="","",_xll.flu_CocMaSatKMD($D$21,$D$15,$D$16,$D$22,$H$12:$M$24,FALSE,FALSE,$D$17,$D$12,$K$27,$H$27,A85,"GanmaRf"))</f>
        <v>1</v>
      </c>
      <c r="I85" s="96">
        <f>IF(B85="","",_xll.flu_CocMaSatKMD($D$21,$D$15,$D$16,$D$22,$H$12:$M$24,FALSE,FALSE,$D$17,$D$12,$K$27,$H$27,A85,"Li"))</f>
        <v>1</v>
      </c>
      <c r="J85" s="95">
        <f>IF(B85="","",_xll.flu_CocMaSatKMD($D$21,$D$15,$D$16,$D$22,$H$12:$M$24,FALSE,FALSE,$D$17,$D$12,$K$27,$H$27,A85,"f"))</f>
        <v>107</v>
      </c>
      <c r="K85" s="95">
        <f>IF(B85="","",_xll.flu_CocMaSatKMD($D$21,$D$15,$D$16,$D$22,$H$12:$M$24,FALSE,FALSE,$D$17,$D$12,$K$27,$H$27,A85,"fludon"))</f>
        <v>336.15041393410797</v>
      </c>
      <c r="L85" s="95">
        <f>IF(B85="","",_xll.flu_CocMaSatKMD($D$21,$D$15,$D$16,$D$22,$H$12:$M$24,FALSE,FALSE,$D$17,$D$12,$K$27,$H$27,A85,"flu"))</f>
        <v>10316.3556726729</v>
      </c>
      <c r="M85" s="87">
        <f t="shared" si="4"/>
        <v>23966.575752520501</v>
      </c>
    </row>
    <row r="86" spans="1:13">
      <c r="A86" s="87">
        <f t="shared" si="2"/>
        <v>47</v>
      </c>
      <c r="B86" s="83">
        <f>_xll.flu_CocMaSatKMD($D$21,$D$15,$D$16,$D$22,$H$12:$M$24,FALSE,FALSE,$D$17,$D$12,$K$27,$H$27,A86,"Cao độ")</f>
        <v>43</v>
      </c>
      <c r="C86" s="87" t="str">
        <f>IF(B86="","",_xll.TimTenLoaiDat(B86,$F$12:$H$24))</f>
        <v>Lớp 7</v>
      </c>
      <c r="D86" s="82" t="str">
        <f>IF(B86="","",_xll.TimTinhChatDat(B86,$H$12:$I$24))</f>
        <v>Cát chặt vừa - lẫn sỏi sạn</v>
      </c>
      <c r="E86" s="96">
        <f>IF(B86="","",_xll.Qb_CocMaSatKMD(B86,$H$12:$M$24,$D$20,$D$22,$H$27,$D$14,$D$23,"GanmaRR"))</f>
        <v>1.1000000000000001</v>
      </c>
      <c r="F86" s="95">
        <f>IF(B86="","",_xll.Qb_CocMaSatKMD(B86,$H$12:$M$24,$D$20,$D$22,$H$27,$D$14,$D$23,"qb"))</f>
        <v>15800</v>
      </c>
      <c r="G86" s="95">
        <f t="shared" si="3"/>
        <v>13650.220079847701</v>
      </c>
      <c r="H86" s="96">
        <f>IF(B86="","",_xll.flu_CocMaSatKMD($D$21,$D$15,$D$16,$D$22,$H$12:$M$24,FALSE,FALSE,$D$17,$D$12,$K$27,$H$27,A86,"GanmaRf"))</f>
        <v>1</v>
      </c>
      <c r="I86" s="96">
        <f>IF(B86="","",_xll.flu_CocMaSatKMD($D$21,$D$15,$D$16,$D$22,$H$12:$M$24,FALSE,FALSE,$D$17,$D$12,$K$27,$H$27,A86,"Li"))</f>
        <v>0.20000000000000301</v>
      </c>
      <c r="J86" s="95">
        <f>IF(B86="","",_xll.flu_CocMaSatKMD($D$21,$D$15,$D$16,$D$22,$H$12:$M$24,FALSE,FALSE,$D$17,$D$12,$K$27,$H$27,A86,"f"))</f>
        <v>107</v>
      </c>
      <c r="K86" s="95">
        <f>IF(B86="","",_xll.flu_CocMaSatKMD($D$21,$D$15,$D$16,$D$22,$H$12:$M$24,FALSE,FALSE,$D$17,$D$12,$K$27,$H$27,A86,"fludon"))</f>
        <v>67.230082786822507</v>
      </c>
      <c r="L86" s="95">
        <f>IF(B86="","",_xll.flu_CocMaSatKMD($D$21,$D$15,$D$16,$D$22,$H$12:$M$24,FALSE,FALSE,$D$17,$D$12,$K$27,$H$27,A86,"flu"))</f>
        <v>10383.585755459701</v>
      </c>
      <c r="M86" s="87">
        <f t="shared" si="4"/>
        <v>24033.805835307299</v>
      </c>
    </row>
    <row r="87" spans="1:13">
      <c r="A87" s="87">
        <f t="shared" si="2"/>
        <v>48</v>
      </c>
      <c r="B87" s="83">
        <f>_xll.flu_CocMaSatKMD($D$21,$D$15,$D$16,$D$22,$H$12:$M$24,FALSE,FALSE,$D$17,$D$12,$K$27,$H$27,A87,"Cao độ")</f>
        <v>43.2</v>
      </c>
      <c r="C87" s="87" t="str">
        <f>IF(B87="","",_xll.TimTenLoaiDat(B87,$F$12:$H$24))</f>
        <v>Lớp 7</v>
      </c>
      <c r="D87" s="82" t="str">
        <f>IF(B87="","",_xll.TimTinhChatDat(B87,$H$12:$I$24))</f>
        <v>Cát chặt vừa - lẫn sỏi sạn</v>
      </c>
      <c r="E87" s="96">
        <f>IF(B87="","",_xll.Qb_CocMaSatKMD(B87,$H$12:$M$24,$D$20,$D$22,$H$27,$D$14,$D$23,"GanmaRR"))</f>
        <v>1.1000000000000001</v>
      </c>
      <c r="F87" s="95">
        <f>IF(B87="","",_xll.Qb_CocMaSatKMD(B87,$H$12:$M$24,$D$20,$D$22,$H$27,$D$14,$D$23,"qb"))</f>
        <v>15800</v>
      </c>
      <c r="G87" s="95">
        <f t="shared" si="3"/>
        <v>13650.220079847701</v>
      </c>
      <c r="H87" s="96">
        <f>IF(B87="","",_xll.flu_CocMaSatKMD($D$21,$D$15,$D$16,$D$22,$H$12:$M$24,FALSE,FALSE,$D$17,$D$12,$K$27,$H$27,A87,"GanmaRf"))</f>
        <v>1</v>
      </c>
      <c r="I87" s="96">
        <f>IF(B87="","",_xll.flu_CocMaSatKMD($D$21,$D$15,$D$16,$D$22,$H$12:$M$24,FALSE,FALSE,$D$17,$D$12,$K$27,$H$27,A87,"Li"))</f>
        <v>0</v>
      </c>
      <c r="J87" s="95">
        <f>IF(B87="","",_xll.flu_CocMaSatKMD($D$21,$D$15,$D$16,$D$22,$H$12:$M$24,FALSE,FALSE,$D$17,$D$12,$K$27,$H$27,A87,"f"))</f>
        <v>107</v>
      </c>
      <c r="K87" s="95">
        <f>IF(B87="","",_xll.flu_CocMaSatKMD($D$21,$D$15,$D$16,$D$22,$H$12:$M$24,FALSE,FALSE,$D$17,$D$12,$K$27,$H$27,A87,"fludon"))</f>
        <v>0</v>
      </c>
      <c r="L87" s="95">
        <f>IF(B87="","",_xll.flu_CocMaSatKMD($D$21,$D$15,$D$16,$D$22,$H$12:$M$24,FALSE,FALSE,$D$17,$D$12,$K$27,$H$27,A87,"flu"))</f>
        <v>10383.585755459701</v>
      </c>
      <c r="M87" s="87">
        <f t="shared" si="4"/>
        <v>24033.805835307299</v>
      </c>
    </row>
    <row r="88" spans="1:13">
      <c r="A88" s="87">
        <f t="shared" si="2"/>
        <v>49</v>
      </c>
      <c r="B88" s="83">
        <f>_xll.flu_CocMaSatKMD($D$21,$D$15,$D$16,$D$22,$H$12:$M$24,FALSE,FALSE,$D$17,$D$12,$K$27,$H$27,A88,"Cao độ")</f>
        <v>44</v>
      </c>
      <c r="C88" s="87" t="str">
        <f>IF(B88="","",_xll.TimTenLoaiDat(B88,$F$12:$H$24))</f>
        <v>Lớp 7</v>
      </c>
      <c r="D88" s="82" t="str">
        <f>IF(B88="","",_xll.TimTinhChatDat(B88,$H$12:$I$24))</f>
        <v>Cát chặt vừa - lẫn sỏi sạn</v>
      </c>
      <c r="E88" s="96">
        <f>IF(B88="","",_xll.Qb_CocMaSatKMD(B88,$H$12:$M$24,$D$20,$D$22,$H$27,$D$14,$D$23,"GanmaRR"))</f>
        <v>1.1000000000000001</v>
      </c>
      <c r="F88" s="95">
        <f>IF(B88="","",_xll.Qb_CocMaSatKMD(B88,$H$12:$M$24,$D$20,$D$22,$H$27,$D$14,$D$23,"qb"))</f>
        <v>15800</v>
      </c>
      <c r="G88" s="95">
        <f t="shared" si="3"/>
        <v>13650.220079847701</v>
      </c>
      <c r="H88" s="96">
        <f>IF(B88="","",_xll.flu_CocMaSatKMD($D$21,$D$15,$D$16,$D$22,$H$12:$M$24,FALSE,FALSE,$D$17,$D$12,$K$27,$H$27,A88,"GanmaRf"))</f>
        <v>1</v>
      </c>
      <c r="I88" s="96">
        <f>IF(B88="","",_xll.flu_CocMaSatKMD($D$21,$D$15,$D$16,$D$22,$H$12:$M$24,FALSE,FALSE,$D$17,$D$12,$K$27,$H$27,A88,"Li"))</f>
        <v>1</v>
      </c>
      <c r="J88" s="95">
        <f>IF(B88="","",_xll.flu_CocMaSatKMD($D$21,$D$15,$D$16,$D$22,$H$12:$M$24,FALSE,FALSE,$D$17,$D$12,$K$27,$H$27,A88,"f"))</f>
        <v>107</v>
      </c>
      <c r="K88" s="95">
        <f>IF(B88="","",_xll.flu_CocMaSatKMD($D$21,$D$15,$D$16,$D$22,$H$12:$M$24,FALSE,FALSE,$D$17,$D$12,$K$27,$H$27,A88,"fludon"))</f>
        <v>336.15041393410797</v>
      </c>
      <c r="L88" s="95">
        <f>IF(B88="","",_xll.flu_CocMaSatKMD($D$21,$D$15,$D$16,$D$22,$H$12:$M$24,FALSE,FALSE,$D$17,$D$12,$K$27,$H$27,A88,"flu"))</f>
        <v>10719.7361693938</v>
      </c>
      <c r="M88" s="87">
        <f t="shared" si="4"/>
        <v>24369.956249241401</v>
      </c>
    </row>
    <row r="89" spans="1:13">
      <c r="A89" s="87">
        <f t="shared" si="2"/>
        <v>50</v>
      </c>
      <c r="B89" s="83">
        <f>_xll.flu_CocMaSatKMD($D$21,$D$15,$D$16,$D$22,$H$12:$M$24,FALSE,FALSE,$D$17,$D$12,$K$27,$H$27,A89,"Cao độ")</f>
        <v>45</v>
      </c>
      <c r="C89" s="87" t="str">
        <f>IF(B89="","",_xll.TimTenLoaiDat(B89,$F$12:$H$24))</f>
        <v>Lớp 7</v>
      </c>
      <c r="D89" s="82" t="str">
        <f>IF(B89="","",_xll.TimTinhChatDat(B89,$H$12:$I$24))</f>
        <v>Cát chặt vừa - lẫn sỏi sạn</v>
      </c>
      <c r="E89" s="96">
        <f>IF(B89="","",_xll.Qb_CocMaSatKMD(B89,$H$12:$M$24,$D$20,$D$22,$H$27,$D$14,$D$23,"GanmaRR"))</f>
        <v>1.1000000000000001</v>
      </c>
      <c r="F89" s="95">
        <f>IF(B89="","",_xll.Qb_CocMaSatKMD(B89,$H$12:$M$24,$D$20,$D$22,$H$27,$D$14,$D$23,"qb"))</f>
        <v>15800</v>
      </c>
      <c r="G89" s="95">
        <f t="shared" si="3"/>
        <v>13650.220079847701</v>
      </c>
      <c r="H89" s="96">
        <f>IF(B89="","",_xll.flu_CocMaSatKMD($D$21,$D$15,$D$16,$D$22,$H$12:$M$24,FALSE,FALSE,$D$17,$D$12,$K$27,$H$27,A89,"GanmaRf"))</f>
        <v>1</v>
      </c>
      <c r="I89" s="96">
        <f>IF(B89="","",_xll.flu_CocMaSatKMD($D$21,$D$15,$D$16,$D$22,$H$12:$M$24,FALSE,FALSE,$D$17,$D$12,$K$27,$H$27,A89,"Li"))</f>
        <v>0</v>
      </c>
      <c r="J89" s="95">
        <f>IF(B89="","",_xll.flu_CocMaSatKMD($D$21,$D$15,$D$16,$D$22,$H$12:$M$24,FALSE,FALSE,$D$17,$D$12,$K$27,$H$27,A89,"f"))</f>
        <v>107</v>
      </c>
      <c r="K89" s="95">
        <f>IF(B89="","",_xll.flu_CocMaSatKMD($D$21,$D$15,$D$16,$D$22,$H$12:$M$24,FALSE,FALSE,$D$17,$D$12,$K$27,$H$27,A89,"fludon"))</f>
        <v>0</v>
      </c>
      <c r="L89" s="95">
        <f>IF(B89="","",_xll.flu_CocMaSatKMD($D$21,$D$15,$D$16,$D$22,$H$12:$M$24,FALSE,FALSE,$D$17,$D$12,$K$27,$H$27,A89,"flu"))</f>
        <v>10719.7361693938</v>
      </c>
      <c r="M89" s="87">
        <f t="shared" si="4"/>
        <v>24369.956249241401</v>
      </c>
    </row>
    <row r="90" spans="1:13">
      <c r="A90" s="87">
        <f t="shared" si="2"/>
        <v>51</v>
      </c>
      <c r="B90" s="83" t="str">
        <f>_xll.flu_CocMaSatKMD($D$21,$D$15,$D$16,$D$22,$H$12:$M$24,FALSE,FALSE,$D$17,$D$12,$K$27,$H$27,A90,"Cao độ")</f>
        <v/>
      </c>
      <c r="C90" s="87" t="str">
        <f>IF(B90="","",_xll.TimTenLoaiDat(B90,$F$12:$H$24))</f>
        <v/>
      </c>
      <c r="D90" s="82" t="str">
        <f>IF(B90="","",_xll.TimTinhChatDat(B90,$H$12:$I$24))</f>
        <v/>
      </c>
      <c r="E90" s="96" t="str">
        <f>IF(B90="","",_xll.Qb_CocMaSatKMD(B90,$H$12:$M$24,$D$20,$D$22,$H$27,$D$14,$D$23,"GanmaRR"))</f>
        <v/>
      </c>
      <c r="F90" s="95" t="str">
        <f>IF(B90="","",_xll.Qb_CocMaSatKMD(B90,$H$12:$M$24,$D$20,$D$22,$H$27,$D$14,$D$23,"qb"))</f>
        <v/>
      </c>
      <c r="G90" s="95" t="str">
        <f t="shared" si="3"/>
        <v/>
      </c>
      <c r="H90" s="96" t="str">
        <f>IF(B90="","",_xll.flu_CocMaSatKMD($D$21,$D$15,$D$16,$D$22,$H$12:$M$24,FALSE,FALSE,$D$17,$D$12,$K$27,$H$27,A90,"GanmaRf"))</f>
        <v/>
      </c>
      <c r="I90" s="96" t="str">
        <f>IF(B90="","",_xll.flu_CocMaSatKMD($D$21,$D$15,$D$16,$D$22,$H$12:$M$24,FALSE,FALSE,$D$17,$D$12,$K$27,$H$27,A90,"Li"))</f>
        <v/>
      </c>
      <c r="J90" s="95" t="str">
        <f>IF(B90="","",_xll.flu_CocMaSatKMD($D$21,$D$15,$D$16,$D$22,$H$12:$M$24,FALSE,FALSE,$D$17,$D$12,$K$27,$H$27,A90,"f"))</f>
        <v/>
      </c>
      <c r="K90" s="95" t="str">
        <f>IF(B90="","",_xll.flu_CocMaSatKMD($D$21,$D$15,$D$16,$D$22,$H$12:$M$24,FALSE,FALSE,$D$17,$D$12,$K$27,$H$27,A90,"fludon"))</f>
        <v/>
      </c>
      <c r="L90" s="95" t="str">
        <f>IF(B90="","",_xll.flu_CocMaSatKMD($D$21,$D$15,$D$16,$D$22,$H$12:$M$24,FALSE,FALSE,$D$17,$D$12,$K$27,$H$27,A90,"flu"))</f>
        <v/>
      </c>
      <c r="M90" s="87" t="e">
        <f t="shared" si="4"/>
        <v>#N/A</v>
      </c>
    </row>
    <row r="91" spans="1:13">
      <c r="A91" s="87">
        <f t="shared" si="2"/>
        <v>52</v>
      </c>
      <c r="B91" s="83" t="str">
        <f>_xll.flu_CocMaSatKMD($D$21,$D$15,$D$16,$D$22,$H$12:$M$24,FALSE,FALSE,$D$17,$D$12,$K$27,$H$27,A91,"Cao độ")</f>
        <v/>
      </c>
      <c r="C91" s="87" t="str">
        <f>IF(B91="","",_xll.TimTenLoaiDat(B91,$F$12:$H$24))</f>
        <v/>
      </c>
      <c r="D91" s="82" t="str">
        <f>IF(B91="","",_xll.TimTinhChatDat(B91,$H$12:$I$24))</f>
        <v/>
      </c>
      <c r="E91" s="96" t="str">
        <f>IF(B91="","",_xll.Qb_CocMaSatKMD(B91,$H$12:$M$24,$D$20,$D$22,$H$27,$D$14,$D$23,"GanmaRR"))</f>
        <v/>
      </c>
      <c r="F91" s="95" t="str">
        <f>IF(B91="","",_xll.Qb_CocMaSatKMD(B91,$H$12:$M$24,$D$20,$D$22,$H$27,$D$14,$D$23,"qb"))</f>
        <v/>
      </c>
      <c r="G91" s="95" t="str">
        <f t="shared" si="3"/>
        <v/>
      </c>
      <c r="H91" s="96" t="str">
        <f>IF(B91="","",_xll.flu_CocMaSatKMD($D$21,$D$15,$D$16,$D$22,$H$12:$M$24,FALSE,FALSE,$D$17,$D$12,$K$27,$H$27,A91,"GanmaRf"))</f>
        <v/>
      </c>
      <c r="I91" s="96" t="str">
        <f>IF(B91="","",_xll.flu_CocMaSatKMD($D$21,$D$15,$D$16,$D$22,$H$12:$M$24,FALSE,FALSE,$D$17,$D$12,$K$27,$H$27,A91,"Li"))</f>
        <v/>
      </c>
      <c r="J91" s="95" t="str">
        <f>IF(B91="","",_xll.flu_CocMaSatKMD($D$21,$D$15,$D$16,$D$22,$H$12:$M$24,FALSE,FALSE,$D$17,$D$12,$K$27,$H$27,A91,"f"))</f>
        <v/>
      </c>
      <c r="K91" s="95" t="str">
        <f>IF(B91="","",_xll.flu_CocMaSatKMD($D$21,$D$15,$D$16,$D$22,$H$12:$M$24,FALSE,FALSE,$D$17,$D$12,$K$27,$H$27,A91,"fludon"))</f>
        <v/>
      </c>
      <c r="L91" s="95" t="str">
        <f>IF(B91="","",_xll.flu_CocMaSatKMD($D$21,$D$15,$D$16,$D$22,$H$12:$M$24,FALSE,FALSE,$D$17,$D$12,$K$27,$H$27,A91,"flu"))</f>
        <v/>
      </c>
      <c r="M91" s="87" t="e">
        <f t="shared" si="4"/>
        <v>#N/A</v>
      </c>
    </row>
    <row r="92" spans="1:13">
      <c r="A92" s="87">
        <f t="shared" si="2"/>
        <v>53</v>
      </c>
      <c r="B92" s="83" t="str">
        <f>_xll.flu_CocMaSatKMD($D$21,$D$15,$D$16,$D$22,$H$12:$M$24,FALSE,FALSE,$D$17,$D$12,$K$27,$H$27,A92,"Cao độ")</f>
        <v/>
      </c>
      <c r="C92" s="87" t="str">
        <f>IF(B92="","",_xll.TimTenLoaiDat(B92,$F$12:$H$24))</f>
        <v/>
      </c>
      <c r="D92" s="82" t="str">
        <f>IF(B92="","",_xll.TimTinhChatDat(B92,$H$12:$I$24))</f>
        <v/>
      </c>
      <c r="E92" s="96" t="str">
        <f>IF(B92="","",_xll.Qb_CocMaSatKMD(B92,$H$12:$M$24,$D$20,$D$22,$H$27,$D$14,$D$23,"GanmaRR"))</f>
        <v/>
      </c>
      <c r="F92" s="95" t="str">
        <f>IF(B92="","",_xll.Qb_CocMaSatKMD(B92,$H$12:$M$24,$D$20,$D$22,$H$27,$D$14,$D$23,"qb"))</f>
        <v/>
      </c>
      <c r="G92" s="95" t="str">
        <f t="shared" si="3"/>
        <v/>
      </c>
      <c r="H92" s="96" t="str">
        <f>IF(B92="","",_xll.flu_CocMaSatKMD($D$21,$D$15,$D$16,$D$22,$H$12:$M$24,FALSE,FALSE,$D$17,$D$12,$K$27,$H$27,A92,"GanmaRf"))</f>
        <v/>
      </c>
      <c r="I92" s="96" t="str">
        <f>IF(B92="","",_xll.flu_CocMaSatKMD($D$21,$D$15,$D$16,$D$22,$H$12:$M$24,FALSE,FALSE,$D$17,$D$12,$K$27,$H$27,A92,"Li"))</f>
        <v/>
      </c>
      <c r="J92" s="95" t="str">
        <f>IF(B92="","",_xll.flu_CocMaSatKMD($D$21,$D$15,$D$16,$D$22,$H$12:$M$24,FALSE,FALSE,$D$17,$D$12,$K$27,$H$27,A92,"f"))</f>
        <v/>
      </c>
      <c r="K92" s="95" t="str">
        <f>IF(B92="","",_xll.flu_CocMaSatKMD($D$21,$D$15,$D$16,$D$22,$H$12:$M$24,FALSE,FALSE,$D$17,$D$12,$K$27,$H$27,A92,"fludon"))</f>
        <v/>
      </c>
      <c r="L92" s="95" t="str">
        <f>IF(B92="","",_xll.flu_CocMaSatKMD($D$21,$D$15,$D$16,$D$22,$H$12:$M$24,FALSE,FALSE,$D$17,$D$12,$K$27,$H$27,A92,"flu"))</f>
        <v/>
      </c>
      <c r="M92" s="87" t="e">
        <f t="shared" si="4"/>
        <v>#N/A</v>
      </c>
    </row>
    <row r="93" spans="1:13">
      <c r="A93" s="87">
        <f t="shared" si="2"/>
        <v>54</v>
      </c>
      <c r="B93" s="83" t="str">
        <f>_xll.flu_CocMaSatKMD($D$21,$D$15,$D$16,$D$22,$H$12:$M$24,FALSE,FALSE,$D$17,$D$12,$K$27,$H$27,A93,"Cao độ")</f>
        <v/>
      </c>
      <c r="C93" s="87" t="str">
        <f>IF(B93="","",_xll.TimTenLoaiDat(B93,$F$12:$H$24))</f>
        <v/>
      </c>
      <c r="D93" s="82" t="str">
        <f>IF(B93="","",_xll.TimTinhChatDat(B93,$H$12:$I$24))</f>
        <v/>
      </c>
      <c r="E93" s="96" t="str">
        <f>IF(B93="","",_xll.Qb_CocMaSatKMD(B93,$H$12:$M$24,$D$20,$D$22,$H$27,$D$14,$D$23,"GanmaRR"))</f>
        <v/>
      </c>
      <c r="F93" s="95" t="str">
        <f>IF(B93="","",_xll.Qb_CocMaSatKMD(B93,$H$12:$M$24,$D$20,$D$22,$H$27,$D$14,$D$23,"qb"))</f>
        <v/>
      </c>
      <c r="G93" s="95" t="str">
        <f t="shared" si="3"/>
        <v/>
      </c>
      <c r="H93" s="96" t="str">
        <f>IF(B93="","",_xll.flu_CocMaSatKMD($D$21,$D$15,$D$16,$D$22,$H$12:$M$24,FALSE,FALSE,$D$17,$D$12,$K$27,$H$27,A93,"GanmaRf"))</f>
        <v/>
      </c>
      <c r="I93" s="96" t="str">
        <f>IF(B93="","",_xll.flu_CocMaSatKMD($D$21,$D$15,$D$16,$D$22,$H$12:$M$24,FALSE,FALSE,$D$17,$D$12,$K$27,$H$27,A93,"Li"))</f>
        <v/>
      </c>
      <c r="J93" s="95" t="str">
        <f>IF(B93="","",_xll.flu_CocMaSatKMD($D$21,$D$15,$D$16,$D$22,$H$12:$M$24,FALSE,FALSE,$D$17,$D$12,$K$27,$H$27,A93,"f"))</f>
        <v/>
      </c>
      <c r="K93" s="95" t="str">
        <f>IF(B93="","",_xll.flu_CocMaSatKMD($D$21,$D$15,$D$16,$D$22,$H$12:$M$24,FALSE,FALSE,$D$17,$D$12,$K$27,$H$27,A93,"fludon"))</f>
        <v/>
      </c>
      <c r="L93" s="95" t="str">
        <f>IF(B93="","",_xll.flu_CocMaSatKMD($D$21,$D$15,$D$16,$D$22,$H$12:$M$24,FALSE,FALSE,$D$17,$D$12,$K$27,$H$27,A93,"flu"))</f>
        <v/>
      </c>
      <c r="M93" s="87" t="e">
        <f t="shared" si="4"/>
        <v>#N/A</v>
      </c>
    </row>
    <row r="94" spans="1:13">
      <c r="A94" s="87">
        <f t="shared" si="2"/>
        <v>55</v>
      </c>
      <c r="B94" s="83" t="str">
        <f>_xll.flu_CocMaSatKMD($D$21,$D$15,$D$16,$D$22,$H$12:$M$24,FALSE,FALSE,$D$17,$D$12,$K$27,$H$27,A94,"Cao độ")</f>
        <v/>
      </c>
      <c r="C94" s="87" t="str">
        <f>IF(B94="","",_xll.TimTenLoaiDat(B94,$F$12:$H$24))</f>
        <v/>
      </c>
      <c r="D94" s="82" t="str">
        <f>IF(B94="","",_xll.TimTinhChatDat(B94,$H$12:$I$24))</f>
        <v/>
      </c>
      <c r="E94" s="96" t="str">
        <f>IF(B94="","",_xll.Qb_CocMaSatKMD(B94,$H$12:$M$24,$D$20,$D$22,$H$27,$D$14,$D$23,"GanmaRR"))</f>
        <v/>
      </c>
      <c r="F94" s="95" t="str">
        <f>IF(B94="","",_xll.Qb_CocMaSatKMD(B94,$H$12:$M$24,$D$20,$D$22,$H$27,$D$14,$D$23,"qb"))</f>
        <v/>
      </c>
      <c r="G94" s="95" t="str">
        <f t="shared" si="3"/>
        <v/>
      </c>
      <c r="H94" s="96" t="str">
        <f>IF(B94="","",_xll.flu_CocMaSatKMD($D$21,$D$15,$D$16,$D$22,$H$12:$M$24,FALSE,FALSE,$D$17,$D$12,$K$27,$H$27,A94,"GanmaRf"))</f>
        <v/>
      </c>
      <c r="I94" s="96" t="str">
        <f>IF(B94="","",_xll.flu_CocMaSatKMD($D$21,$D$15,$D$16,$D$22,$H$12:$M$24,FALSE,FALSE,$D$17,$D$12,$K$27,$H$27,A94,"Li"))</f>
        <v/>
      </c>
      <c r="J94" s="95" t="str">
        <f>IF(B94="","",_xll.flu_CocMaSatKMD($D$21,$D$15,$D$16,$D$22,$H$12:$M$24,FALSE,FALSE,$D$17,$D$12,$K$27,$H$27,A94,"f"))</f>
        <v/>
      </c>
      <c r="K94" s="95" t="str">
        <f>IF(B94="","",_xll.flu_CocMaSatKMD($D$21,$D$15,$D$16,$D$22,$H$12:$M$24,FALSE,FALSE,$D$17,$D$12,$K$27,$H$27,A94,"fludon"))</f>
        <v/>
      </c>
      <c r="L94" s="95" t="str">
        <f>IF(B94="","",_xll.flu_CocMaSatKMD($D$21,$D$15,$D$16,$D$22,$H$12:$M$24,FALSE,FALSE,$D$17,$D$12,$K$27,$H$27,A94,"flu"))</f>
        <v/>
      </c>
      <c r="M94" s="87" t="e">
        <f t="shared" si="4"/>
        <v>#N/A</v>
      </c>
    </row>
    <row r="95" spans="1:13">
      <c r="A95" s="87">
        <f t="shared" si="2"/>
        <v>56</v>
      </c>
      <c r="B95" s="83" t="str">
        <f>_xll.flu_CocMaSatKMD($D$21,$D$15,$D$16,$D$22,$H$12:$M$24,FALSE,FALSE,$D$17,$D$12,$K$27,$H$27,A95,"Cao độ")</f>
        <v/>
      </c>
      <c r="C95" s="87" t="str">
        <f>IF(B95="","",_xll.TimTenLoaiDat(B95,$F$12:$H$24))</f>
        <v/>
      </c>
      <c r="D95" s="82" t="str">
        <f>IF(B95="","",_xll.TimTinhChatDat(B95,$H$12:$I$24))</f>
        <v/>
      </c>
      <c r="E95" s="96" t="str">
        <f>IF(B95="","",_xll.Qb_CocMaSatKMD(B95,$H$12:$M$24,$D$20,$D$22,$H$27,$D$14,$D$23,"GanmaRR"))</f>
        <v/>
      </c>
      <c r="F95" s="95" t="str">
        <f>IF(B95="","",_xll.Qb_CocMaSatKMD(B95,$H$12:$M$24,$D$20,$D$22,$H$27,$D$14,$D$23,"qb"))</f>
        <v/>
      </c>
      <c r="G95" s="95" t="str">
        <f t="shared" si="3"/>
        <v/>
      </c>
      <c r="H95" s="96" t="str">
        <f>IF(B95="","",_xll.flu_CocMaSatKMD($D$21,$D$15,$D$16,$D$22,$H$12:$M$24,FALSE,FALSE,$D$17,$D$12,$K$27,$H$27,A95,"GanmaRf"))</f>
        <v/>
      </c>
      <c r="I95" s="96" t="str">
        <f>IF(B95="","",_xll.flu_CocMaSatKMD($D$21,$D$15,$D$16,$D$22,$H$12:$M$24,FALSE,FALSE,$D$17,$D$12,$K$27,$H$27,A95,"Li"))</f>
        <v/>
      </c>
      <c r="J95" s="95" t="str">
        <f>IF(B95="","",_xll.flu_CocMaSatKMD($D$21,$D$15,$D$16,$D$22,$H$12:$M$24,FALSE,FALSE,$D$17,$D$12,$K$27,$H$27,A95,"f"))</f>
        <v/>
      </c>
      <c r="K95" s="95" t="str">
        <f>IF(B95="","",_xll.flu_CocMaSatKMD($D$21,$D$15,$D$16,$D$22,$H$12:$M$24,FALSE,FALSE,$D$17,$D$12,$K$27,$H$27,A95,"fludon"))</f>
        <v/>
      </c>
      <c r="L95" s="95" t="str">
        <f>IF(B95="","",_xll.flu_CocMaSatKMD($D$21,$D$15,$D$16,$D$22,$H$12:$M$24,FALSE,FALSE,$D$17,$D$12,$K$27,$H$27,A95,"flu"))</f>
        <v/>
      </c>
      <c r="M95" s="87" t="e">
        <f t="shared" si="4"/>
        <v>#N/A</v>
      </c>
    </row>
    <row r="96" spans="1:13">
      <c r="A96" s="87">
        <f t="shared" si="2"/>
        <v>57</v>
      </c>
      <c r="B96" s="83" t="str">
        <f>_xll.flu_CocMaSatKMD($D$21,$D$15,$D$16,$D$22,$H$12:$M$24,FALSE,FALSE,$D$17,$D$12,$K$27,$H$27,A96,"Cao độ")</f>
        <v/>
      </c>
      <c r="C96" s="87" t="str">
        <f>IF(B96="","",_xll.TimTenLoaiDat(B96,$F$12:$H$24))</f>
        <v/>
      </c>
      <c r="D96" s="82" t="str">
        <f>IF(B96="","",_xll.TimTinhChatDat(B96,$H$12:$I$24))</f>
        <v/>
      </c>
      <c r="E96" s="96" t="str">
        <f>IF(B96="","",_xll.Qb_CocMaSatKMD(B96,$H$12:$M$24,$D$20,$D$22,$H$27,$D$14,$D$23,"GanmaRR"))</f>
        <v/>
      </c>
      <c r="F96" s="95" t="str">
        <f>IF(B96="","",_xll.Qb_CocMaSatKMD(B96,$H$12:$M$24,$D$20,$D$22,$H$27,$D$14,$D$23,"qb"))</f>
        <v/>
      </c>
      <c r="G96" s="95" t="str">
        <f t="shared" si="3"/>
        <v/>
      </c>
      <c r="H96" s="96" t="str">
        <f>IF(B96="","",_xll.flu_CocMaSatKMD($D$21,$D$15,$D$16,$D$22,$H$12:$M$24,FALSE,FALSE,$D$17,$D$12,$K$27,$H$27,A96,"GanmaRf"))</f>
        <v/>
      </c>
      <c r="I96" s="96" t="str">
        <f>IF(B96="","",_xll.flu_CocMaSatKMD($D$21,$D$15,$D$16,$D$22,$H$12:$M$24,FALSE,FALSE,$D$17,$D$12,$K$27,$H$27,A96,"Li"))</f>
        <v/>
      </c>
      <c r="J96" s="95" t="str">
        <f>IF(B96="","",_xll.flu_CocMaSatKMD($D$21,$D$15,$D$16,$D$22,$H$12:$M$24,FALSE,FALSE,$D$17,$D$12,$K$27,$H$27,A96,"f"))</f>
        <v/>
      </c>
      <c r="K96" s="95" t="str">
        <f>IF(B96="","",_xll.flu_CocMaSatKMD($D$21,$D$15,$D$16,$D$22,$H$12:$M$24,FALSE,FALSE,$D$17,$D$12,$K$27,$H$27,A96,"fludon"))</f>
        <v/>
      </c>
      <c r="L96" s="95" t="str">
        <f>IF(B96="","",_xll.flu_CocMaSatKMD($D$21,$D$15,$D$16,$D$22,$H$12:$M$24,FALSE,FALSE,$D$17,$D$12,$K$27,$H$27,A96,"flu"))</f>
        <v/>
      </c>
      <c r="M96" s="87" t="e">
        <f t="shared" si="4"/>
        <v>#N/A</v>
      </c>
    </row>
    <row r="97" spans="1:13">
      <c r="A97" s="87">
        <f t="shared" si="2"/>
        <v>58</v>
      </c>
      <c r="B97" s="83" t="str">
        <f>_xll.flu_CocMaSatKMD($D$21,$D$15,$D$16,$D$22,$H$12:$M$24,FALSE,FALSE,$D$17,$D$12,$K$27,$H$27,A97,"Cao độ")</f>
        <v/>
      </c>
      <c r="C97" s="87" t="str">
        <f>IF(B97="","",_xll.TimTenLoaiDat(B97,$F$12:$H$24))</f>
        <v/>
      </c>
      <c r="D97" s="82" t="str">
        <f>IF(B97="","",_xll.TimTinhChatDat(B97,$H$12:$I$24))</f>
        <v/>
      </c>
      <c r="E97" s="96" t="str">
        <f>IF(B97="","",_xll.Qb_CocMaSatKMD(B97,$H$12:$M$24,$D$20,$D$22,$H$27,$D$14,$D$23,"GanmaRR"))</f>
        <v/>
      </c>
      <c r="F97" s="95" t="str">
        <f>IF(B97="","",_xll.Qb_CocMaSatKMD(B97,$H$12:$M$24,$D$20,$D$22,$H$27,$D$14,$D$23,"qb"))</f>
        <v/>
      </c>
      <c r="G97" s="95" t="str">
        <f t="shared" si="3"/>
        <v/>
      </c>
      <c r="H97" s="96" t="str">
        <f>IF(B97="","",_xll.flu_CocMaSatKMD($D$21,$D$15,$D$16,$D$22,$H$12:$M$24,FALSE,FALSE,$D$17,$D$12,$K$27,$H$27,A97,"GanmaRf"))</f>
        <v/>
      </c>
      <c r="I97" s="96" t="str">
        <f>IF(B97="","",_xll.flu_CocMaSatKMD($D$21,$D$15,$D$16,$D$22,$H$12:$M$24,FALSE,FALSE,$D$17,$D$12,$K$27,$H$27,A97,"Li"))</f>
        <v/>
      </c>
      <c r="J97" s="95" t="str">
        <f>IF(B97="","",_xll.flu_CocMaSatKMD($D$21,$D$15,$D$16,$D$22,$H$12:$M$24,FALSE,FALSE,$D$17,$D$12,$K$27,$H$27,A97,"f"))</f>
        <v/>
      </c>
      <c r="K97" s="95" t="str">
        <f>IF(B97="","",_xll.flu_CocMaSatKMD($D$21,$D$15,$D$16,$D$22,$H$12:$M$24,FALSE,FALSE,$D$17,$D$12,$K$27,$H$27,A97,"fludon"))</f>
        <v/>
      </c>
      <c r="L97" s="95" t="str">
        <f>IF(B97="","",_xll.flu_CocMaSatKMD($D$21,$D$15,$D$16,$D$22,$H$12:$M$24,FALSE,FALSE,$D$17,$D$12,$K$27,$H$27,A97,"flu"))</f>
        <v/>
      </c>
      <c r="M97" s="87" t="e">
        <f t="shared" si="4"/>
        <v>#N/A</v>
      </c>
    </row>
    <row r="98" spans="1:13">
      <c r="A98" s="87">
        <f t="shared" si="2"/>
        <v>59</v>
      </c>
      <c r="B98" s="83" t="str">
        <f>_xll.flu_CocMaSatKMD($D$21,$D$15,$D$16,$D$22,$H$12:$M$24,FALSE,FALSE,$D$17,$D$12,$K$27,$H$27,A98,"Cao độ")</f>
        <v/>
      </c>
      <c r="C98" s="87" t="str">
        <f>IF(B98="","",_xll.TimTenLoaiDat(B98,$F$12:$H$24))</f>
        <v/>
      </c>
      <c r="D98" s="82" t="str">
        <f>IF(B98="","",_xll.TimTinhChatDat(B98,$H$12:$I$24))</f>
        <v/>
      </c>
      <c r="E98" s="96" t="str">
        <f>IF(B98="","",_xll.Qb_CocMaSatKMD(B98,$H$12:$M$24,$D$20,$D$22,$H$27,$D$14,$D$23,"GanmaRR"))</f>
        <v/>
      </c>
      <c r="F98" s="95" t="str">
        <f>IF(B98="","",_xll.Qb_CocMaSatKMD(B98,$H$12:$M$24,$D$20,$D$22,$H$27,$D$14,$D$23,"qb"))</f>
        <v/>
      </c>
      <c r="G98" s="95" t="str">
        <f t="shared" si="3"/>
        <v/>
      </c>
      <c r="H98" s="96" t="str">
        <f>IF(B98="","",_xll.flu_CocMaSatKMD($D$21,$D$15,$D$16,$D$22,$H$12:$M$24,FALSE,FALSE,$D$17,$D$12,$K$27,$H$27,A98,"GanmaRf"))</f>
        <v/>
      </c>
      <c r="I98" s="96" t="str">
        <f>IF(B98="","",_xll.flu_CocMaSatKMD($D$21,$D$15,$D$16,$D$22,$H$12:$M$24,FALSE,FALSE,$D$17,$D$12,$K$27,$H$27,A98,"Li"))</f>
        <v/>
      </c>
      <c r="J98" s="95" t="str">
        <f>IF(B98="","",_xll.flu_CocMaSatKMD($D$21,$D$15,$D$16,$D$22,$H$12:$M$24,FALSE,FALSE,$D$17,$D$12,$K$27,$H$27,A98,"f"))</f>
        <v/>
      </c>
      <c r="K98" s="95" t="str">
        <f>IF(B98="","",_xll.flu_CocMaSatKMD($D$21,$D$15,$D$16,$D$22,$H$12:$M$24,FALSE,FALSE,$D$17,$D$12,$K$27,$H$27,A98,"fludon"))</f>
        <v/>
      </c>
      <c r="L98" s="95" t="str">
        <f>IF(B98="","",_xll.flu_CocMaSatKMD($D$21,$D$15,$D$16,$D$22,$H$12:$M$24,FALSE,FALSE,$D$17,$D$12,$K$27,$H$27,A98,"flu"))</f>
        <v/>
      </c>
      <c r="M98" s="87" t="e">
        <f t="shared" si="4"/>
        <v>#N/A</v>
      </c>
    </row>
    <row r="99" spans="1:13">
      <c r="A99" s="87">
        <f t="shared" si="2"/>
        <v>60</v>
      </c>
      <c r="B99" s="83" t="str">
        <f>_xll.flu_CocMaSatKMD($D$21,$D$15,$D$16,$D$22,$H$12:$M$24,FALSE,FALSE,$D$17,$D$12,$K$27,$H$27,A99,"Cao độ")</f>
        <v/>
      </c>
      <c r="C99" s="87" t="str">
        <f>IF(B99="","",_xll.TimTenLoaiDat(B99,$F$12:$H$24))</f>
        <v/>
      </c>
      <c r="D99" s="82" t="str">
        <f>IF(B99="","",_xll.TimTinhChatDat(B99,$H$12:$I$24))</f>
        <v/>
      </c>
      <c r="E99" s="96" t="str">
        <f>IF(B99="","",_xll.Qb_CocMaSatKMD(B99,$H$12:$M$24,$D$20,$D$22,$H$27,$D$14,$D$23,"GanmaRR"))</f>
        <v/>
      </c>
      <c r="F99" s="95" t="str">
        <f>IF(B99="","",_xll.Qb_CocMaSatKMD(B99,$H$12:$M$24,$D$20,$D$22,$H$27,$D$14,$D$23,"qb"))</f>
        <v/>
      </c>
      <c r="G99" s="95" t="str">
        <f t="shared" si="3"/>
        <v/>
      </c>
      <c r="H99" s="96" t="str">
        <f>IF(B99="","",_xll.flu_CocMaSatKMD($D$21,$D$15,$D$16,$D$22,$H$12:$M$24,FALSE,FALSE,$D$17,$D$12,$K$27,$H$27,A99,"GanmaRf"))</f>
        <v/>
      </c>
      <c r="I99" s="96" t="str">
        <f>IF(B99="","",_xll.flu_CocMaSatKMD($D$21,$D$15,$D$16,$D$22,$H$12:$M$24,FALSE,FALSE,$D$17,$D$12,$K$27,$H$27,A99,"Li"))</f>
        <v/>
      </c>
      <c r="J99" s="95" t="str">
        <f>IF(B99="","",_xll.flu_CocMaSatKMD($D$21,$D$15,$D$16,$D$22,$H$12:$M$24,FALSE,FALSE,$D$17,$D$12,$K$27,$H$27,A99,"f"))</f>
        <v/>
      </c>
      <c r="K99" s="95" t="str">
        <f>IF(B99="","",_xll.flu_CocMaSatKMD($D$21,$D$15,$D$16,$D$22,$H$12:$M$24,FALSE,FALSE,$D$17,$D$12,$K$27,$H$27,A99,"fludon"))</f>
        <v/>
      </c>
      <c r="L99" s="95" t="str">
        <f>IF(B99="","",_xll.flu_CocMaSatKMD($D$21,$D$15,$D$16,$D$22,$H$12:$M$24,FALSE,FALSE,$D$17,$D$12,$K$27,$H$27,A99,"flu"))</f>
        <v/>
      </c>
      <c r="M99" s="87" t="e">
        <f t="shared" si="4"/>
        <v>#N/A</v>
      </c>
    </row>
    <row r="100" spans="1:13">
      <c r="A100" s="87">
        <f t="shared" si="2"/>
        <v>61</v>
      </c>
      <c r="B100" s="83" t="str">
        <f>_xll.flu_CocMaSatKMD($D$21,$D$15,$D$16,$D$22,$H$12:$M$24,FALSE,FALSE,$D$17,$D$12,$K$27,$H$27,A100,"Cao độ")</f>
        <v/>
      </c>
      <c r="C100" s="87" t="str">
        <f>IF(B100="","",_xll.TimTenLoaiDat(B100,$F$12:$H$24))</f>
        <v/>
      </c>
      <c r="D100" s="82" t="str">
        <f>IF(B100="","",_xll.TimTinhChatDat(B100,$H$12:$I$24))</f>
        <v/>
      </c>
      <c r="E100" s="96" t="str">
        <f>IF(B100="","",_xll.Qb_CocMaSatKMD(B100,$H$12:$M$24,$D$20,$D$22,$H$27,$D$14,$D$23,"GanmaRR"))</f>
        <v/>
      </c>
      <c r="F100" s="95" t="str">
        <f>IF(B100="","",_xll.Qb_CocMaSatKMD(B100,$H$12:$M$24,$D$20,$D$22,$H$27,$D$14,$D$23,"qb"))</f>
        <v/>
      </c>
      <c r="G100" s="95" t="str">
        <f t="shared" si="3"/>
        <v/>
      </c>
      <c r="H100" s="96" t="str">
        <f>IF(B100="","",_xll.flu_CocMaSatKMD($D$21,$D$15,$D$16,$D$22,$H$12:$M$24,FALSE,FALSE,$D$17,$D$12,$K$27,$H$27,A100,"GanmaRf"))</f>
        <v/>
      </c>
      <c r="I100" s="96" t="str">
        <f>IF(B100="","",_xll.flu_CocMaSatKMD($D$21,$D$15,$D$16,$D$22,$H$12:$M$24,FALSE,FALSE,$D$17,$D$12,$K$27,$H$27,A100,"Li"))</f>
        <v/>
      </c>
      <c r="J100" s="95" t="str">
        <f>IF(B100="","",_xll.flu_CocMaSatKMD($D$21,$D$15,$D$16,$D$22,$H$12:$M$24,FALSE,FALSE,$D$17,$D$12,$K$27,$H$27,A100,"f"))</f>
        <v/>
      </c>
      <c r="K100" s="95" t="str">
        <f>IF(B100="","",_xll.flu_CocMaSatKMD($D$21,$D$15,$D$16,$D$22,$H$12:$M$24,FALSE,FALSE,$D$17,$D$12,$K$27,$H$27,A100,"fludon"))</f>
        <v/>
      </c>
      <c r="L100" s="95" t="str">
        <f>IF(B100="","",_xll.flu_CocMaSatKMD($D$21,$D$15,$D$16,$D$22,$H$12:$M$24,FALSE,FALSE,$D$17,$D$12,$K$27,$H$27,A100,"flu"))</f>
        <v/>
      </c>
      <c r="M100" s="87" t="e">
        <f t="shared" si="4"/>
        <v>#N/A</v>
      </c>
    </row>
    <row r="101" spans="1:13">
      <c r="A101" s="87">
        <f t="shared" si="2"/>
        <v>62</v>
      </c>
      <c r="B101" s="83" t="str">
        <f>_xll.flu_CocMaSatKMD($D$21,$D$15,$D$16,$D$22,$H$12:$M$24,FALSE,FALSE,$D$17,$D$12,$K$27,$H$27,A101,"Cao độ")</f>
        <v/>
      </c>
      <c r="C101" s="87" t="str">
        <f>IF(B101="","",_xll.TimTenLoaiDat(B101,$F$12:$H$24))</f>
        <v/>
      </c>
      <c r="D101" s="82" t="str">
        <f>IF(B101="","",_xll.TimTinhChatDat(B101,$H$12:$I$24))</f>
        <v/>
      </c>
      <c r="E101" s="96" t="str">
        <f>IF(B101="","",_xll.Qb_CocMaSatKMD(B101,$H$12:$M$24,$D$20,$D$22,$H$27,$D$14,$D$23,"GanmaRR"))</f>
        <v/>
      </c>
      <c r="F101" s="95" t="str">
        <f>IF(B101="","",_xll.Qb_CocMaSatKMD(B101,$H$12:$M$24,$D$20,$D$22,$H$27,$D$14,$D$23,"qb"))</f>
        <v/>
      </c>
      <c r="G101" s="95" t="str">
        <f t="shared" si="3"/>
        <v/>
      </c>
      <c r="H101" s="96" t="str">
        <f>IF(B101="","",_xll.flu_CocMaSatKMD($D$21,$D$15,$D$16,$D$22,$H$12:$M$24,FALSE,FALSE,$D$17,$D$12,$K$27,$H$27,A101,"GanmaRf"))</f>
        <v/>
      </c>
      <c r="I101" s="96" t="str">
        <f>IF(B101="","",_xll.flu_CocMaSatKMD($D$21,$D$15,$D$16,$D$22,$H$12:$M$24,FALSE,FALSE,$D$17,$D$12,$K$27,$H$27,A101,"Li"))</f>
        <v/>
      </c>
      <c r="J101" s="95" t="str">
        <f>IF(B101="","",_xll.flu_CocMaSatKMD($D$21,$D$15,$D$16,$D$22,$H$12:$M$24,FALSE,FALSE,$D$17,$D$12,$K$27,$H$27,A101,"f"))</f>
        <v/>
      </c>
      <c r="K101" s="95" t="str">
        <f>IF(B101="","",_xll.flu_CocMaSatKMD($D$21,$D$15,$D$16,$D$22,$H$12:$M$24,FALSE,FALSE,$D$17,$D$12,$K$27,$H$27,A101,"fludon"))</f>
        <v/>
      </c>
      <c r="L101" s="95" t="str">
        <f>IF(B101="","",_xll.flu_CocMaSatKMD($D$21,$D$15,$D$16,$D$22,$H$12:$M$24,FALSE,FALSE,$D$17,$D$12,$K$27,$H$27,A101,"flu"))</f>
        <v/>
      </c>
      <c r="M101" s="87" t="e">
        <f t="shared" si="4"/>
        <v>#N/A</v>
      </c>
    </row>
    <row r="102" spans="1:13">
      <c r="A102" s="87">
        <f t="shared" si="2"/>
        <v>63</v>
      </c>
      <c r="B102" s="83" t="str">
        <f>_xll.flu_CocMaSatKMD($D$21,$D$15,$D$16,$D$22,$H$12:$M$24,FALSE,FALSE,$D$17,$D$12,$K$27,$H$27,A102,"Cao độ")</f>
        <v/>
      </c>
      <c r="C102" s="87" t="str">
        <f>IF(B102="","",_xll.TimTenLoaiDat(B102,$F$12:$H$24))</f>
        <v/>
      </c>
      <c r="D102" s="82" t="str">
        <f>IF(B102="","",_xll.TimTinhChatDat(B102,$H$12:$I$24))</f>
        <v/>
      </c>
      <c r="E102" s="96" t="str">
        <f>IF(B102="","",_xll.Qb_CocMaSatKMD(B102,$H$12:$M$24,$D$20,$D$22,$H$27,$D$14,$D$23,"GanmaRR"))</f>
        <v/>
      </c>
      <c r="F102" s="95" t="str">
        <f>IF(B102="","",_xll.Qb_CocMaSatKMD(B102,$H$12:$M$24,$D$20,$D$22,$H$27,$D$14,$D$23,"qb"))</f>
        <v/>
      </c>
      <c r="G102" s="95" t="str">
        <f t="shared" si="3"/>
        <v/>
      </c>
      <c r="H102" s="96" t="str">
        <f>IF(B102="","",_xll.flu_CocMaSatKMD($D$21,$D$15,$D$16,$D$22,$H$12:$M$24,FALSE,FALSE,$D$17,$D$12,$K$27,$H$27,A102,"GanmaRf"))</f>
        <v/>
      </c>
      <c r="I102" s="96" t="str">
        <f>IF(B102="","",_xll.flu_CocMaSatKMD($D$21,$D$15,$D$16,$D$22,$H$12:$M$24,FALSE,FALSE,$D$17,$D$12,$K$27,$H$27,A102,"Li"))</f>
        <v/>
      </c>
      <c r="J102" s="95" t="str">
        <f>IF(B102="","",_xll.flu_CocMaSatKMD($D$21,$D$15,$D$16,$D$22,$H$12:$M$24,FALSE,FALSE,$D$17,$D$12,$K$27,$H$27,A102,"f"))</f>
        <v/>
      </c>
      <c r="K102" s="95" t="str">
        <f>IF(B102="","",_xll.flu_CocMaSatKMD($D$21,$D$15,$D$16,$D$22,$H$12:$M$24,FALSE,FALSE,$D$17,$D$12,$K$27,$H$27,A102,"fludon"))</f>
        <v/>
      </c>
      <c r="L102" s="95" t="str">
        <f>IF(B102="","",_xll.flu_CocMaSatKMD($D$21,$D$15,$D$16,$D$22,$H$12:$M$24,FALSE,FALSE,$D$17,$D$12,$K$27,$H$27,A102,"flu"))</f>
        <v/>
      </c>
      <c r="M102" s="87" t="e">
        <f t="shared" si="4"/>
        <v>#N/A</v>
      </c>
    </row>
    <row r="103" spans="1:13">
      <c r="A103" s="87">
        <f t="shared" si="2"/>
        <v>64</v>
      </c>
      <c r="B103" s="83" t="str">
        <f>_xll.flu_CocMaSatKMD($D$21,$D$15,$D$16,$D$22,$H$12:$M$24,FALSE,FALSE,$D$17,$D$12,$K$27,$H$27,A103,"Cao độ")</f>
        <v/>
      </c>
      <c r="C103" s="87" t="str">
        <f>IF(B103="","",_xll.TimTenLoaiDat(B103,$F$12:$H$24))</f>
        <v/>
      </c>
      <c r="D103" s="82" t="str">
        <f>IF(B103="","",_xll.TimTinhChatDat(B103,$H$12:$I$24))</f>
        <v/>
      </c>
      <c r="E103" s="96" t="str">
        <f>IF(B103="","",_xll.Qb_CocMaSatKMD(B103,$H$12:$M$24,$D$20,$D$22,$H$27,$D$14,$D$23,"GanmaRR"))</f>
        <v/>
      </c>
      <c r="F103" s="95" t="str">
        <f>IF(B103="","",_xll.Qb_CocMaSatKMD(B103,$H$12:$M$24,$D$20,$D$22,$H$27,$D$14,$D$23,"qb"))</f>
        <v/>
      </c>
      <c r="G103" s="95" t="str">
        <f t="shared" ref="G103:G108" si="5">IF(B103="","",$D$22*E103*F103*$D$20)</f>
        <v/>
      </c>
      <c r="H103" s="96" t="str">
        <f>IF(B103="","",_xll.flu_CocMaSatKMD($D$21,$D$15,$D$16,$D$22,$H$12:$M$24,FALSE,FALSE,$D$17,$D$12,$K$27,$H$27,A103,"GanmaRf"))</f>
        <v/>
      </c>
      <c r="I103" s="96" t="str">
        <f>IF(B103="","",_xll.flu_CocMaSatKMD($D$21,$D$15,$D$16,$D$22,$H$12:$M$24,FALSE,FALSE,$D$17,$D$12,$K$27,$H$27,A103,"Li"))</f>
        <v/>
      </c>
      <c r="J103" s="95" t="str">
        <f>IF(B103="","",_xll.flu_CocMaSatKMD($D$21,$D$15,$D$16,$D$22,$H$12:$M$24,FALSE,FALSE,$D$17,$D$12,$K$27,$H$27,A103,"f"))</f>
        <v/>
      </c>
      <c r="K103" s="95" t="str">
        <f>IF(B103="","",_xll.flu_CocMaSatKMD($D$21,$D$15,$D$16,$D$22,$H$12:$M$24,FALSE,FALSE,$D$17,$D$12,$K$27,$H$27,A103,"fludon"))</f>
        <v/>
      </c>
      <c r="L103" s="95" t="str">
        <f>IF(B103="","",_xll.flu_CocMaSatKMD($D$21,$D$15,$D$16,$D$22,$H$12:$M$24,FALSE,FALSE,$D$17,$D$12,$K$27,$H$27,A103,"flu"))</f>
        <v/>
      </c>
      <c r="M103" s="87" t="e">
        <f t="shared" ref="M103:M108" si="6">IF(B103="",NA(),L103+G103)</f>
        <v>#N/A</v>
      </c>
    </row>
    <row r="104" spans="1:13">
      <c r="A104" s="87">
        <f t="shared" ref="A104:A108" si="7">+A103+1</f>
        <v>65</v>
      </c>
      <c r="B104" s="83" t="str">
        <f>_xll.flu_CocMaSatKMD($D$21,$D$15,$D$16,$D$22,$H$12:$M$24,FALSE,FALSE,$D$17,$D$12,$K$27,$H$27,A104,"Cao độ")</f>
        <v/>
      </c>
      <c r="C104" s="87" t="str">
        <f>IF(B104="","",_xll.TimTenLoaiDat(B104,$F$12:$H$24))</f>
        <v/>
      </c>
      <c r="D104" s="82" t="str">
        <f>IF(B104="","",_xll.TimTinhChatDat(B104,$H$12:$I$24))</f>
        <v/>
      </c>
      <c r="E104" s="96" t="str">
        <f>IF(B104="","",_xll.Qb_CocMaSatKMD(B104,$H$12:$M$24,$D$20,$D$22,$H$27,$D$14,$D$23,"GanmaRR"))</f>
        <v/>
      </c>
      <c r="F104" s="95" t="str">
        <f>IF(B104="","",_xll.Qb_CocMaSatKMD(B104,$H$12:$M$24,$D$20,$D$22,$H$27,$D$14,$D$23,"qb"))</f>
        <v/>
      </c>
      <c r="G104" s="95" t="str">
        <f t="shared" si="5"/>
        <v/>
      </c>
      <c r="H104" s="96" t="str">
        <f>IF(B104="","",_xll.flu_CocMaSatKMD($D$21,$D$15,$D$16,$D$22,$H$12:$M$24,FALSE,FALSE,$D$17,$D$12,$K$27,$H$27,A104,"GanmaRf"))</f>
        <v/>
      </c>
      <c r="I104" s="96" t="str">
        <f>IF(B104="","",_xll.flu_CocMaSatKMD($D$21,$D$15,$D$16,$D$22,$H$12:$M$24,FALSE,FALSE,$D$17,$D$12,$K$27,$H$27,A104,"Li"))</f>
        <v/>
      </c>
      <c r="J104" s="95" t="str">
        <f>IF(B104="","",_xll.flu_CocMaSatKMD($D$21,$D$15,$D$16,$D$22,$H$12:$M$24,FALSE,FALSE,$D$17,$D$12,$K$27,$H$27,A104,"f"))</f>
        <v/>
      </c>
      <c r="K104" s="95" t="str">
        <f>IF(B104="","",_xll.flu_CocMaSatKMD($D$21,$D$15,$D$16,$D$22,$H$12:$M$24,FALSE,FALSE,$D$17,$D$12,$K$27,$H$27,A104,"fludon"))</f>
        <v/>
      </c>
      <c r="L104" s="95" t="str">
        <f>IF(B104="","",_xll.flu_CocMaSatKMD($D$21,$D$15,$D$16,$D$22,$H$12:$M$24,FALSE,FALSE,$D$17,$D$12,$K$27,$H$27,A104,"flu"))</f>
        <v/>
      </c>
      <c r="M104" s="87" t="e">
        <f t="shared" si="6"/>
        <v>#N/A</v>
      </c>
    </row>
    <row r="105" spans="1:13">
      <c r="A105" s="87">
        <f t="shared" si="7"/>
        <v>66</v>
      </c>
      <c r="B105" s="83" t="str">
        <f>_xll.flu_CocMaSatKMD($D$21,$D$15,$D$16,$D$22,$H$12:$M$24,FALSE,FALSE,$D$17,$D$12,$K$27,$H$27,A105,"Cao độ")</f>
        <v/>
      </c>
      <c r="C105" s="87" t="str">
        <f>IF(B105="","",_xll.TimTenLoaiDat(B105,$F$12:$H$24))</f>
        <v/>
      </c>
      <c r="D105" s="82" t="str">
        <f>IF(B105="","",_xll.TimTinhChatDat(B105,$H$12:$I$24))</f>
        <v/>
      </c>
      <c r="E105" s="96" t="str">
        <f>IF(B105="","",_xll.Qb_CocMaSatKMD(B105,$H$12:$M$24,$D$20,$D$22,$H$27,$D$14,$D$23,"GanmaRR"))</f>
        <v/>
      </c>
      <c r="F105" s="95" t="str">
        <f>IF(B105="","",_xll.Qb_CocMaSatKMD(B105,$H$12:$M$24,$D$20,$D$22,$H$27,$D$14,$D$23,"qb"))</f>
        <v/>
      </c>
      <c r="G105" s="95" t="str">
        <f t="shared" si="5"/>
        <v/>
      </c>
      <c r="H105" s="96" t="str">
        <f>IF(B105="","",_xll.flu_CocMaSatKMD($D$21,$D$15,$D$16,$D$22,$H$12:$M$24,FALSE,FALSE,$D$17,$D$12,$K$27,$H$27,A105,"GanmaRf"))</f>
        <v/>
      </c>
      <c r="I105" s="96" t="str">
        <f>IF(B105="","",_xll.flu_CocMaSatKMD($D$21,$D$15,$D$16,$D$22,$H$12:$M$24,FALSE,FALSE,$D$17,$D$12,$K$27,$H$27,A105,"Li"))</f>
        <v/>
      </c>
      <c r="J105" s="95" t="str">
        <f>IF(B105="","",_xll.flu_CocMaSatKMD($D$21,$D$15,$D$16,$D$22,$H$12:$M$24,FALSE,FALSE,$D$17,$D$12,$K$27,$H$27,A105,"f"))</f>
        <v/>
      </c>
      <c r="K105" s="95" t="str">
        <f>IF(B105="","",_xll.flu_CocMaSatKMD($D$21,$D$15,$D$16,$D$22,$H$12:$M$24,FALSE,FALSE,$D$17,$D$12,$K$27,$H$27,A105,"fludon"))</f>
        <v/>
      </c>
      <c r="L105" s="95" t="str">
        <f>IF(B105="","",_xll.flu_CocMaSatKMD($D$21,$D$15,$D$16,$D$22,$H$12:$M$24,FALSE,FALSE,$D$17,$D$12,$K$27,$H$27,A105,"flu"))</f>
        <v/>
      </c>
      <c r="M105" s="87" t="e">
        <f t="shared" si="6"/>
        <v>#N/A</v>
      </c>
    </row>
    <row r="106" spans="1:13">
      <c r="A106" s="87">
        <f t="shared" si="7"/>
        <v>67</v>
      </c>
      <c r="B106" s="83" t="str">
        <f>_xll.flu_CocMaSatKMD($D$21,$D$15,$D$16,$D$22,$H$12:$M$24,FALSE,FALSE,$D$17,$D$12,$K$27,$H$27,A106,"Cao độ")</f>
        <v/>
      </c>
      <c r="C106" s="87" t="str">
        <f>IF(B106="","",_xll.TimTenLoaiDat(B106,$F$12:$H$24))</f>
        <v/>
      </c>
      <c r="D106" s="82" t="str">
        <f>IF(B106="","",_xll.TimTinhChatDat(B106,$H$12:$I$24))</f>
        <v/>
      </c>
      <c r="E106" s="96" t="str">
        <f>IF(B106="","",_xll.Qb_CocMaSatKMD(B106,$H$12:$M$24,$D$20,$D$22,$H$27,$D$14,$D$23,"GanmaRR"))</f>
        <v/>
      </c>
      <c r="F106" s="95" t="str">
        <f>IF(B106="","",_xll.Qb_CocMaSatKMD(B106,$H$12:$M$24,$D$20,$D$22,$H$27,$D$14,$D$23,"qb"))</f>
        <v/>
      </c>
      <c r="G106" s="95" t="str">
        <f t="shared" si="5"/>
        <v/>
      </c>
      <c r="H106" s="96" t="str">
        <f>IF(B106="","",_xll.flu_CocMaSatKMD($D$21,$D$15,$D$16,$D$22,$H$12:$M$24,FALSE,FALSE,$D$17,$D$12,$K$27,$H$27,A106,"GanmaRf"))</f>
        <v/>
      </c>
      <c r="I106" s="96" t="str">
        <f>IF(B106="","",_xll.flu_CocMaSatKMD($D$21,$D$15,$D$16,$D$22,$H$12:$M$24,FALSE,FALSE,$D$17,$D$12,$K$27,$H$27,A106,"Li"))</f>
        <v/>
      </c>
      <c r="J106" s="95" t="str">
        <f>IF(B106="","",_xll.flu_CocMaSatKMD($D$21,$D$15,$D$16,$D$22,$H$12:$M$24,FALSE,FALSE,$D$17,$D$12,$K$27,$H$27,A106,"f"))</f>
        <v/>
      </c>
      <c r="K106" s="95" t="str">
        <f>IF(B106="","",_xll.flu_CocMaSatKMD($D$21,$D$15,$D$16,$D$22,$H$12:$M$24,FALSE,FALSE,$D$17,$D$12,$K$27,$H$27,A106,"fludon"))</f>
        <v/>
      </c>
      <c r="L106" s="95" t="str">
        <f>IF(B106="","",_xll.flu_CocMaSatKMD($D$21,$D$15,$D$16,$D$22,$H$12:$M$24,FALSE,FALSE,$D$17,$D$12,$K$27,$H$27,A106,"flu"))</f>
        <v/>
      </c>
      <c r="M106" s="87" t="e">
        <f t="shared" si="6"/>
        <v>#N/A</v>
      </c>
    </row>
    <row r="107" spans="1:13">
      <c r="A107" s="87">
        <f t="shared" si="7"/>
        <v>68</v>
      </c>
      <c r="B107" s="83" t="str">
        <f>_xll.flu_CocMaSatKMD($D$21,$D$15,$D$16,$D$22,$H$12:$M$24,FALSE,FALSE,$D$17,$D$12,$K$27,$H$27,A107,"Cao độ")</f>
        <v/>
      </c>
      <c r="C107" s="87" t="str">
        <f>IF(B107="","",_xll.TimTenLoaiDat(B107,$F$12:$H$24))</f>
        <v/>
      </c>
      <c r="D107" s="82" t="str">
        <f>IF(B107="","",_xll.TimTinhChatDat(B107,$H$12:$I$24))</f>
        <v/>
      </c>
      <c r="E107" s="96" t="str">
        <f>IF(B107="","",_xll.Qb_CocMaSatKMD(B107,$H$12:$M$24,$D$20,$D$22,$H$27,$D$14,$D$23,"GanmaRR"))</f>
        <v/>
      </c>
      <c r="F107" s="95" t="str">
        <f>IF(B107="","",_xll.Qb_CocMaSatKMD(B107,$H$12:$M$24,$D$20,$D$22,$H$27,$D$14,$D$23,"qb"))</f>
        <v/>
      </c>
      <c r="G107" s="95" t="str">
        <f t="shared" si="5"/>
        <v/>
      </c>
      <c r="H107" s="96" t="str">
        <f>IF(B107="","",_xll.flu_CocMaSatKMD($D$21,$D$15,$D$16,$D$22,$H$12:$M$24,FALSE,FALSE,$D$17,$D$12,$K$27,$H$27,A107,"GanmaRf"))</f>
        <v/>
      </c>
      <c r="I107" s="96" t="str">
        <f>IF(B107="","",_xll.flu_CocMaSatKMD($D$21,$D$15,$D$16,$D$22,$H$12:$M$24,FALSE,FALSE,$D$17,$D$12,$K$27,$H$27,A107,"Li"))</f>
        <v/>
      </c>
      <c r="J107" s="95" t="str">
        <f>IF(B107="","",_xll.flu_CocMaSatKMD($D$21,$D$15,$D$16,$D$22,$H$12:$M$24,FALSE,FALSE,$D$17,$D$12,$K$27,$H$27,A107,"f"))</f>
        <v/>
      </c>
      <c r="K107" s="95" t="str">
        <f>IF(B107="","",_xll.flu_CocMaSatKMD($D$21,$D$15,$D$16,$D$22,$H$12:$M$24,FALSE,FALSE,$D$17,$D$12,$K$27,$H$27,A107,"fludon"))</f>
        <v/>
      </c>
      <c r="L107" s="95" t="str">
        <f>IF(B107="","",_xll.flu_CocMaSatKMD($D$21,$D$15,$D$16,$D$22,$H$12:$M$24,FALSE,FALSE,$D$17,$D$12,$K$27,$H$27,A107,"flu"))</f>
        <v/>
      </c>
      <c r="M107" s="87" t="e">
        <f t="shared" si="6"/>
        <v>#N/A</v>
      </c>
    </row>
    <row r="108" spans="1:13">
      <c r="A108" s="87">
        <f t="shared" si="7"/>
        <v>69</v>
      </c>
      <c r="B108" s="83" t="str">
        <f>_xll.flu_CocMaSatKMD($D$21,$D$15,$D$16,$D$22,$H$12:$M$24,FALSE,FALSE,$D$17,$D$12,$K$27,$H$27,A108,"Cao độ")</f>
        <v/>
      </c>
      <c r="C108" s="87" t="str">
        <f>IF(B108="","",_xll.TimTenLoaiDat(B108,$F$12:$H$24))</f>
        <v/>
      </c>
      <c r="D108" s="82" t="str">
        <f>IF(B108="","",_xll.TimTinhChatDat(B108,$H$12:$I$24))</f>
        <v/>
      </c>
      <c r="E108" s="96" t="str">
        <f>IF(B108="","",_xll.Qb_CocMaSatKMD(B108,$H$12:$M$24,$D$20,$D$22,$H$27,$D$14,$D$23,"GanmaRR"))</f>
        <v/>
      </c>
      <c r="F108" s="95" t="str">
        <f>IF(B108="","",_xll.Qb_CocMaSatKMD(B108,$H$12:$M$24,$D$20,$D$22,$H$27,$D$14,$D$23,"qb"))</f>
        <v/>
      </c>
      <c r="G108" s="95" t="str">
        <f t="shared" si="5"/>
        <v/>
      </c>
      <c r="H108" s="96" t="str">
        <f>IF(B108="","",_xll.flu_CocMaSatKMD($D$21,$D$15,$D$16,$D$22,$H$12:$M$24,FALSE,FALSE,$D$17,$D$12,$K$27,$H$27,A108,"GanmaRf"))</f>
        <v/>
      </c>
      <c r="I108" s="96" t="str">
        <f>IF(B108="","",_xll.flu_CocMaSatKMD($D$21,$D$15,$D$16,$D$22,$H$12:$M$24,FALSE,FALSE,$D$17,$D$12,$K$27,$H$27,A108,"Li"))</f>
        <v/>
      </c>
      <c r="J108" s="95" t="str">
        <f>IF(B108="","",_xll.flu_CocMaSatKMD($D$21,$D$15,$D$16,$D$22,$H$12:$M$24,FALSE,FALSE,$D$17,$D$12,$K$27,$H$27,A108,"f"))</f>
        <v/>
      </c>
      <c r="K108" s="95" t="str">
        <f>IF(B108="","",_xll.flu_CocMaSatKMD($D$21,$D$15,$D$16,$D$22,$H$12:$M$24,FALSE,FALSE,$D$17,$D$12,$K$27,$H$27,A108,"fludon"))</f>
        <v/>
      </c>
      <c r="L108" s="95" t="str">
        <f>IF(B108="","",_xll.flu_CocMaSatKMD($D$21,$D$15,$D$16,$D$22,$H$12:$M$24,FALSE,FALSE,$D$17,$D$12,$K$27,$H$27,A108,"flu"))</f>
        <v/>
      </c>
      <c r="M108" s="87" t="e">
        <f t="shared" si="6"/>
        <v>#N/A</v>
      </c>
    </row>
    <row r="109" spans="1:13">
      <c r="A109" s="87"/>
      <c r="B109" s="83"/>
      <c r="C109" s="87"/>
      <c r="D109" s="82"/>
      <c r="E109" s="95"/>
      <c r="F109" s="95"/>
      <c r="G109" s="95"/>
      <c r="H109" s="95"/>
      <c r="I109" s="96"/>
      <c r="J109" s="95"/>
      <c r="K109" s="95"/>
      <c r="L109" s="95"/>
      <c r="M109" s="87"/>
    </row>
    <row r="110" spans="1:13">
      <c r="A110" s="87"/>
      <c r="B110" s="83"/>
      <c r="C110" s="87"/>
      <c r="D110" s="82"/>
      <c r="E110" s="95"/>
      <c r="F110" s="95"/>
      <c r="G110" s="95"/>
      <c r="H110" s="95"/>
      <c r="I110" s="96"/>
      <c r="J110" s="95"/>
      <c r="K110" s="95"/>
      <c r="L110" s="95"/>
      <c r="M110" s="87"/>
    </row>
    <row r="111" spans="1:13">
      <c r="A111" s="87"/>
      <c r="B111" s="83"/>
      <c r="C111" s="87"/>
      <c r="D111" s="82"/>
      <c r="E111" s="95"/>
      <c r="F111" s="95"/>
      <c r="G111" s="95"/>
      <c r="H111" s="95"/>
      <c r="I111" s="96"/>
      <c r="J111" s="95"/>
      <c r="K111" s="95"/>
      <c r="L111" s="95"/>
      <c r="M111" s="87"/>
    </row>
    <row r="112" spans="1:13">
      <c r="A112" s="87"/>
      <c r="B112" s="83"/>
      <c r="C112" s="87"/>
      <c r="D112" s="82"/>
      <c r="E112" s="95"/>
      <c r="F112" s="95"/>
      <c r="G112" s="95"/>
      <c r="H112" s="95"/>
      <c r="I112" s="96"/>
      <c r="J112" s="95"/>
      <c r="K112" s="95"/>
      <c r="L112" s="95"/>
      <c r="M112" s="87"/>
    </row>
    <row r="113" spans="1:14">
      <c r="A113" s="87"/>
      <c r="B113" s="83"/>
      <c r="C113" s="87"/>
      <c r="D113" s="82"/>
      <c r="E113" s="95"/>
      <c r="F113" s="95"/>
      <c r="G113" s="95"/>
      <c r="H113" s="95"/>
      <c r="I113" s="96"/>
      <c r="J113" s="95"/>
      <c r="K113" s="95"/>
      <c r="L113" s="95"/>
      <c r="M113" s="87"/>
    </row>
    <row r="114" spans="1:14">
      <c r="A114" s="87"/>
      <c r="B114" s="83"/>
      <c r="C114" s="87"/>
      <c r="D114" s="82"/>
      <c r="E114" s="95"/>
      <c r="F114" s="95"/>
      <c r="G114" s="95"/>
      <c r="H114" s="95"/>
      <c r="I114" s="96"/>
      <c r="J114" s="95"/>
      <c r="K114" s="95"/>
      <c r="L114" s="95"/>
      <c r="M114" s="87"/>
    </row>
    <row r="115" spans="1:14">
      <c r="A115" s="87"/>
      <c r="B115" s="83"/>
      <c r="C115" s="87"/>
      <c r="D115" s="82"/>
      <c r="E115" s="95"/>
      <c r="F115" s="95"/>
      <c r="G115" s="95"/>
      <c r="H115" s="95"/>
      <c r="I115" s="96"/>
      <c r="J115" s="95"/>
      <c r="K115" s="95"/>
      <c r="L115" s="95"/>
      <c r="M115" s="87"/>
    </row>
    <row r="116" spans="1:14">
      <c r="A116" s="87"/>
      <c r="B116" s="83"/>
      <c r="C116" s="87"/>
      <c r="D116" s="82"/>
      <c r="E116" s="95"/>
      <c r="F116" s="95"/>
      <c r="G116" s="95"/>
      <c r="H116" s="95"/>
      <c r="I116" s="96"/>
      <c r="J116" s="95"/>
      <c r="K116" s="95"/>
      <c r="L116" s="95"/>
      <c r="M116" s="87"/>
    </row>
    <row r="117" spans="1:14">
      <c r="A117" s="87"/>
      <c r="B117" s="83"/>
      <c r="C117" s="87"/>
      <c r="D117" s="82"/>
      <c r="E117" s="95"/>
      <c r="F117" s="95"/>
      <c r="G117" s="95"/>
      <c r="H117" s="95"/>
      <c r="I117" s="96"/>
      <c r="J117" s="95"/>
      <c r="K117" s="95"/>
      <c r="L117" s="95"/>
      <c r="M117" s="87"/>
    </row>
    <row r="118" spans="1:14">
      <c r="A118" s="87"/>
      <c r="B118" s="83"/>
      <c r="C118" s="87"/>
      <c r="D118" s="82"/>
      <c r="E118" s="95"/>
      <c r="F118" s="95"/>
      <c r="G118" s="95"/>
      <c r="H118" s="95"/>
      <c r="I118" s="96"/>
      <c r="J118" s="95"/>
      <c r="K118" s="95"/>
      <c r="L118" s="95"/>
      <c r="M118" s="87"/>
    </row>
    <row r="119" spans="1:14" s="37" customFormat="1" ht="12.75">
      <c r="A119" s="87"/>
      <c r="B119" s="83"/>
      <c r="C119" s="87"/>
      <c r="D119" s="82"/>
      <c r="E119" s="95"/>
      <c r="F119" s="95"/>
      <c r="G119" s="95"/>
      <c r="H119" s="95"/>
      <c r="I119" s="96"/>
      <c r="J119" s="95"/>
      <c r="K119" s="95"/>
      <c r="L119" s="95"/>
      <c r="M119" s="87"/>
      <c r="N119" s="43"/>
    </row>
    <row r="120" spans="1:14" s="37" customFormat="1" ht="12.75">
      <c r="A120" s="87"/>
      <c r="B120" s="83"/>
      <c r="C120" s="87"/>
      <c r="D120" s="82"/>
      <c r="E120" s="95"/>
      <c r="F120" s="95"/>
      <c r="G120" s="95"/>
      <c r="H120" s="95"/>
      <c r="I120" s="96"/>
      <c r="J120" s="95"/>
      <c r="K120" s="95"/>
      <c r="L120" s="95"/>
      <c r="M120" s="87"/>
      <c r="N120" s="43"/>
    </row>
    <row r="121" spans="1:14" s="37" customFormat="1" ht="12.75">
      <c r="A121" s="87"/>
      <c r="B121" s="83"/>
      <c r="C121" s="87"/>
      <c r="D121" s="82"/>
      <c r="E121" s="95"/>
      <c r="F121" s="95"/>
      <c r="G121" s="95"/>
      <c r="H121" s="95"/>
      <c r="I121" s="96"/>
      <c r="J121" s="95"/>
      <c r="K121" s="95"/>
      <c r="L121" s="95"/>
      <c r="M121" s="87"/>
      <c r="N121" s="43"/>
    </row>
    <row r="122" spans="1:14" s="37" customFormat="1" ht="12.75">
      <c r="A122" s="87"/>
      <c r="B122" s="83"/>
      <c r="C122" s="87"/>
      <c r="D122" s="82"/>
      <c r="E122" s="95"/>
      <c r="F122" s="95"/>
      <c r="G122" s="95"/>
      <c r="H122" s="95"/>
      <c r="I122" s="96"/>
      <c r="J122" s="95"/>
      <c r="K122" s="95"/>
      <c r="L122" s="95"/>
      <c r="M122" s="87"/>
      <c r="N122" s="43"/>
    </row>
    <row r="123" spans="1:14" s="37" customFormat="1" ht="12.75">
      <c r="A123" s="87"/>
      <c r="B123" s="83"/>
      <c r="C123" s="87"/>
      <c r="D123" s="82"/>
      <c r="E123" s="95"/>
      <c r="F123" s="95"/>
      <c r="G123" s="95"/>
      <c r="H123" s="95"/>
      <c r="I123" s="96"/>
      <c r="J123" s="95"/>
      <c r="K123" s="95"/>
      <c r="L123" s="95"/>
      <c r="M123" s="87"/>
      <c r="N123" s="43"/>
    </row>
    <row r="124" spans="1:14" s="37" customFormat="1" ht="12.75">
      <c r="A124" s="87"/>
      <c r="B124" s="83"/>
      <c r="C124" s="87"/>
      <c r="D124" s="82"/>
      <c r="E124" s="95"/>
      <c r="F124" s="95"/>
      <c r="G124" s="95"/>
      <c r="H124" s="95"/>
      <c r="I124" s="96"/>
      <c r="J124" s="95"/>
      <c r="K124" s="95"/>
      <c r="L124" s="95"/>
      <c r="M124" s="87"/>
      <c r="N124" s="43"/>
    </row>
    <row r="125" spans="1:14" s="37" customFormat="1" ht="12.75">
      <c r="A125" s="87"/>
      <c r="B125" s="83"/>
      <c r="C125" s="87"/>
      <c r="D125" s="82"/>
      <c r="E125" s="95"/>
      <c r="F125" s="95"/>
      <c r="G125" s="95"/>
      <c r="H125" s="95"/>
      <c r="I125" s="96"/>
      <c r="J125" s="95"/>
      <c r="K125" s="95"/>
      <c r="L125" s="95"/>
      <c r="M125" s="87"/>
      <c r="N125" s="43"/>
    </row>
    <row r="126" spans="1:14" s="37" customFormat="1" ht="12.75">
      <c r="A126" s="87"/>
      <c r="B126" s="83"/>
      <c r="C126" s="87"/>
      <c r="D126" s="82"/>
      <c r="E126" s="95"/>
      <c r="F126" s="95"/>
      <c r="G126" s="95"/>
      <c r="H126" s="95"/>
      <c r="I126" s="96"/>
      <c r="J126" s="95"/>
      <c r="K126" s="95"/>
      <c r="L126" s="95"/>
      <c r="M126" s="87"/>
      <c r="N126" s="43"/>
    </row>
    <row r="127" spans="1:14" s="37" customFormat="1" ht="12.75">
      <c r="A127" s="87"/>
      <c r="B127" s="83"/>
      <c r="C127" s="87"/>
      <c r="D127" s="82"/>
      <c r="E127" s="95"/>
      <c r="F127" s="95"/>
      <c r="G127" s="95"/>
      <c r="H127" s="95"/>
      <c r="I127" s="96"/>
      <c r="J127" s="95"/>
      <c r="K127" s="95"/>
      <c r="L127" s="95"/>
      <c r="M127" s="87"/>
      <c r="N127" s="43"/>
    </row>
    <row r="128" spans="1:14" s="37" customFormat="1" ht="12.75">
      <c r="A128" s="87"/>
      <c r="B128" s="83"/>
      <c r="C128" s="87"/>
      <c r="D128" s="82"/>
      <c r="E128" s="95"/>
      <c r="F128" s="95"/>
      <c r="G128" s="95"/>
      <c r="H128" s="95"/>
      <c r="I128" s="96"/>
      <c r="J128" s="95"/>
      <c r="K128" s="95"/>
      <c r="L128" s="95"/>
      <c r="M128" s="87"/>
      <c r="N128" s="43"/>
    </row>
    <row r="129" spans="1:14" s="37" customFormat="1" ht="12.75">
      <c r="A129" s="87"/>
      <c r="B129" s="83"/>
      <c r="C129" s="87"/>
      <c r="D129" s="82"/>
      <c r="E129" s="95"/>
      <c r="F129" s="95"/>
      <c r="G129" s="95"/>
      <c r="H129" s="95"/>
      <c r="I129" s="96"/>
      <c r="J129" s="95"/>
      <c r="K129" s="95"/>
      <c r="L129" s="95"/>
      <c r="M129" s="87"/>
      <c r="N129" s="43"/>
    </row>
    <row r="130" spans="1:14" s="37" customFormat="1" ht="12.75">
      <c r="A130" s="87"/>
      <c r="B130" s="83"/>
      <c r="C130" s="87"/>
      <c r="D130" s="82"/>
      <c r="E130" s="95"/>
      <c r="F130" s="95"/>
      <c r="G130" s="95"/>
      <c r="H130" s="95"/>
      <c r="I130" s="96"/>
      <c r="J130" s="95"/>
      <c r="K130" s="95"/>
      <c r="L130" s="95"/>
      <c r="M130" s="87"/>
      <c r="N130" s="43"/>
    </row>
    <row r="131" spans="1:14" s="37" customFormat="1" ht="12.75">
      <c r="A131" s="87"/>
      <c r="B131" s="83"/>
      <c r="C131" s="87"/>
      <c r="D131" s="82"/>
      <c r="E131" s="95"/>
      <c r="F131" s="95"/>
      <c r="G131" s="95"/>
      <c r="H131" s="95"/>
      <c r="I131" s="96"/>
      <c r="J131" s="95"/>
      <c r="K131" s="95"/>
      <c r="L131" s="95"/>
      <c r="M131" s="87"/>
      <c r="N131" s="43"/>
    </row>
    <row r="132" spans="1:14" s="37" customFormat="1" ht="12.75">
      <c r="A132" s="87"/>
      <c r="B132" s="83"/>
      <c r="C132" s="87"/>
      <c r="D132" s="82"/>
      <c r="E132" s="95"/>
      <c r="F132" s="95"/>
      <c r="G132" s="95"/>
      <c r="H132" s="95"/>
      <c r="I132" s="96"/>
      <c r="J132" s="95"/>
      <c r="K132" s="95"/>
      <c r="L132" s="95"/>
      <c r="M132" s="87"/>
      <c r="N132" s="43"/>
    </row>
    <row r="133" spans="1:14" s="37" customFormat="1" ht="12.75">
      <c r="A133" s="87"/>
      <c r="B133" s="83"/>
      <c r="C133" s="87"/>
      <c r="D133" s="82"/>
      <c r="E133" s="95"/>
      <c r="F133" s="95"/>
      <c r="G133" s="95"/>
      <c r="H133" s="95"/>
      <c r="I133" s="96"/>
      <c r="J133" s="95"/>
      <c r="K133" s="95"/>
      <c r="L133" s="95"/>
      <c r="M133" s="87"/>
      <c r="N133" s="43"/>
    </row>
    <row r="134" spans="1:14" s="37" customFormat="1" ht="12.75">
      <c r="A134" s="38"/>
      <c r="B134" s="39"/>
      <c r="C134" s="38"/>
      <c r="D134" s="40"/>
      <c r="E134" s="38"/>
      <c r="F134" s="38"/>
      <c r="G134" s="38"/>
      <c r="H134" s="38"/>
      <c r="I134" s="39"/>
      <c r="J134" s="38"/>
      <c r="K134" s="38"/>
      <c r="L134" s="38"/>
      <c r="M134" s="38"/>
      <c r="N134" s="43"/>
    </row>
  </sheetData>
  <mergeCells count="85">
    <mergeCell ref="M37:M38"/>
    <mergeCell ref="F31:M32"/>
    <mergeCell ref="F33:G34"/>
    <mergeCell ref="F28:M30"/>
    <mergeCell ref="I9:J11"/>
    <mergeCell ref="J37:J38"/>
    <mergeCell ref="K9:K11"/>
    <mergeCell ref="K37:K38"/>
    <mergeCell ref="L9:L11"/>
    <mergeCell ref="L37:L38"/>
    <mergeCell ref="G37:G38"/>
    <mergeCell ref="H9:H11"/>
    <mergeCell ref="H33:H34"/>
    <mergeCell ref="H37:H38"/>
    <mergeCell ref="I37:I38"/>
    <mergeCell ref="F27:G27"/>
    <mergeCell ref="A37:A38"/>
    <mergeCell ref="B37:B38"/>
    <mergeCell ref="C37:C38"/>
    <mergeCell ref="D37:D38"/>
    <mergeCell ref="E37:E38"/>
    <mergeCell ref="A32:C32"/>
    <mergeCell ref="A33:C33"/>
    <mergeCell ref="I33:K33"/>
    <mergeCell ref="A34:C34"/>
    <mergeCell ref="I34:K34"/>
    <mergeCell ref="A28:C28"/>
    <mergeCell ref="A29:C29"/>
    <mergeCell ref="A30:C30"/>
    <mergeCell ref="A31:C31"/>
    <mergeCell ref="A24:C24"/>
    <mergeCell ref="I24:J24"/>
    <mergeCell ref="A25:C25"/>
    <mergeCell ref="I25:J25"/>
    <mergeCell ref="A26:C26"/>
    <mergeCell ref="A21:C21"/>
    <mergeCell ref="I21:J21"/>
    <mergeCell ref="A22:C22"/>
    <mergeCell ref="I22:J22"/>
    <mergeCell ref="A23:C23"/>
    <mergeCell ref="I23:J23"/>
    <mergeCell ref="A18:C18"/>
    <mergeCell ref="I18:J18"/>
    <mergeCell ref="A19:C19"/>
    <mergeCell ref="I19:J19"/>
    <mergeCell ref="A20:C20"/>
    <mergeCell ref="I20:J20"/>
    <mergeCell ref="A15:C15"/>
    <mergeCell ref="I15:J15"/>
    <mergeCell ref="A16:C16"/>
    <mergeCell ref="I16:J16"/>
    <mergeCell ref="A17:C17"/>
    <mergeCell ref="I17:J17"/>
    <mergeCell ref="A12:C12"/>
    <mergeCell ref="I12:J12"/>
    <mergeCell ref="A13:C13"/>
    <mergeCell ref="I13:J13"/>
    <mergeCell ref="A14:C14"/>
    <mergeCell ref="I14:J14"/>
    <mergeCell ref="A7:M7"/>
    <mergeCell ref="A8:M8"/>
    <mergeCell ref="A9:C9"/>
    <mergeCell ref="A10:C10"/>
    <mergeCell ref="A11:C11"/>
    <mergeCell ref="F9:F11"/>
    <mergeCell ref="G9:G11"/>
    <mergeCell ref="M9:M11"/>
    <mergeCell ref="A5:C5"/>
    <mergeCell ref="D5:H5"/>
    <mergeCell ref="I5:K5"/>
    <mergeCell ref="L5:M5"/>
    <mergeCell ref="A6:M6"/>
    <mergeCell ref="A3:C3"/>
    <mergeCell ref="D3:H3"/>
    <mergeCell ref="I3:K3"/>
    <mergeCell ref="L3:M3"/>
    <mergeCell ref="A4:C4"/>
    <mergeCell ref="D4:H4"/>
    <mergeCell ref="I4:K4"/>
    <mergeCell ref="L4:M4"/>
    <mergeCell ref="A1:M1"/>
    <mergeCell ref="A2:C2"/>
    <mergeCell ref="D2:H2"/>
    <mergeCell ref="I2:K2"/>
    <mergeCell ref="L2:M2"/>
  </mergeCells>
  <conditionalFormatting sqref="G39:G15038">
    <cfRule type="dataBar" priority="5">
      <dataBar>
        <cfvo type="min"/>
        <cfvo type="max"/>
        <color rgb="FF638EC6"/>
      </dataBar>
      <extLst>
        <ext xmlns:x14="http://schemas.microsoft.com/office/spreadsheetml/2009/9/main" uri="{B025F937-C7B1-47D3-B67F-A62EFF666E3E}">
          <x14:id>{9CE6075F-B5FD-4323-9FD2-B46A7AE61DFF}</x14:id>
        </ext>
      </extLst>
    </cfRule>
  </conditionalFormatting>
  <conditionalFormatting sqref="L39:L15038">
    <cfRule type="dataBar" priority="4">
      <dataBar>
        <cfvo type="min"/>
        <cfvo type="max"/>
        <color rgb="FF63C384"/>
      </dataBar>
      <extLst>
        <ext xmlns:x14="http://schemas.microsoft.com/office/spreadsheetml/2009/9/main" uri="{B025F937-C7B1-47D3-B67F-A62EFF666E3E}">
          <x14:id>{12B732D2-8C88-4A8E-9BEF-C9075822DDAA}</x14:id>
        </ext>
      </extLst>
    </cfRule>
  </conditionalFormatting>
  <conditionalFormatting sqref="M39:M15038">
    <cfRule type="dataBar" priority="3">
      <dataBar>
        <cfvo type="min"/>
        <cfvo type="max"/>
        <color rgb="FFFF555A"/>
      </dataBar>
      <extLst>
        <ext xmlns:x14="http://schemas.microsoft.com/office/spreadsheetml/2009/9/main" uri="{B025F937-C7B1-47D3-B67F-A62EFF666E3E}">
          <x14:id>{749E88F9-B229-4FA6-A0B4-83EF2B135D6B}</x14:id>
        </ext>
      </extLst>
    </cfRule>
  </conditionalFormatting>
  <conditionalFormatting sqref="B39:B15038">
    <cfRule type="cellIs" dxfId="3" priority="61" operator="equal">
      <formula>$D$16</formula>
    </cfRule>
    <cfRule type="cellIs" dxfId="2" priority="60" operator="equal">
      <formula>$D$15</formula>
    </cfRule>
  </conditionalFormatting>
  <dataValidations count="6">
    <dataValidation type="list" allowBlank="1" showInputMessage="1" showErrorMessage="1" sqref="D10">
      <formula1>"Cọc khoan nhồi, Cọc khoan thả, Cọc ống, Cọc vít,Cọc đóng ép"</formula1>
    </dataValidation>
    <dataValidation type="list" allowBlank="1" showInputMessage="1" showErrorMessage="1" sqref="D11 E12">
      <formula1>"Cọc Vuông,Cọc Tròn"</formula1>
    </dataValidation>
    <dataValidation type="list" allowBlank="1" showInputMessage="1" showErrorMessage="1" sqref="E11">
      <formula1>"Cọc nhồi, Cọc khoan, Cọc đào thả, Cọc vít,Cọc đóng ép"</formula1>
    </dataValidation>
    <dataValidation type="list" allowBlank="1" showInputMessage="1" showErrorMessage="1" sqref="D23">
      <formula1>"True,False"</formula1>
    </dataValidation>
    <dataValidation type="list" allowBlank="1" showInputMessage="1" showErrorMessage="1" sqref="D28">
      <formula1>"C1,C2,C3"</formula1>
    </dataValidation>
    <dataValidation type="list" allowBlank="1" showInputMessage="1" showErrorMessage="1" sqref="D30">
      <formula1>"Yes,No"</formula1>
    </dataValidation>
  </dataValidations>
  <pageMargins left="0.59055118110236204" right="0.39370078740157499" top="0.39370078740157499" bottom="0.39370078740157499" header="0.15748031496063" footer="0.15748031496063"/>
  <pageSetup paperSize="9" scale="66" fitToHeight="0"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9CE6075F-B5FD-4323-9FD2-B46A7AE61DFF}">
            <x14:dataBar minLength="0" maxLength="100" border="1" negativeBarBorderColorSameAsPositive="0">
              <x14:cfvo type="autoMin"/>
              <x14:cfvo type="autoMax"/>
              <x14:borderColor rgb="FF638EC6"/>
              <x14:negativeFillColor rgb="FFFF0000"/>
              <x14:negativeBorderColor rgb="FFFF0000"/>
              <x14:axisColor rgb="FF000000"/>
            </x14:dataBar>
          </x14:cfRule>
          <xm:sqref>G39:G15038</xm:sqref>
        </x14:conditionalFormatting>
        <x14:conditionalFormatting xmlns:xm="http://schemas.microsoft.com/office/excel/2006/main">
          <x14:cfRule type="dataBar" id="{12B732D2-8C88-4A8E-9BEF-C9075822DDAA}">
            <x14:dataBar minLength="0" maxLength="100" border="1" negativeBarBorderColorSameAsPositive="0">
              <x14:cfvo type="autoMin"/>
              <x14:cfvo type="autoMax"/>
              <x14:borderColor rgb="FF63C384"/>
              <x14:negativeFillColor rgb="FFFF0000"/>
              <x14:negativeBorderColor rgb="FFFF0000"/>
              <x14:axisColor rgb="FF000000"/>
            </x14:dataBar>
          </x14:cfRule>
          <xm:sqref>L39:L15038</xm:sqref>
        </x14:conditionalFormatting>
        <x14:conditionalFormatting xmlns:xm="http://schemas.microsoft.com/office/excel/2006/main">
          <x14:cfRule type="dataBar" id="{749E88F9-B229-4FA6-A0B4-83EF2B135D6B}">
            <x14:dataBar minLength="0" maxLength="100" border="1" negativeBarBorderColorSameAsPositive="0">
              <x14:cfvo type="autoMin"/>
              <x14:cfvo type="autoMax"/>
              <x14:borderColor rgb="FFFF555A"/>
              <x14:negativeFillColor rgb="FFFF0000"/>
              <x14:negativeBorderColor rgb="FFFF0000"/>
              <x14:axisColor rgb="FF000000"/>
            </x14:dataBar>
          </x14:cfRule>
          <xm:sqref>M39:M15038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'LT 10304-2025'!$AL$2:$AL$8</xm:f>
          </x14:formula1>
          <xm:sqref>F28</xm:sqref>
        </x14:dataValidation>
        <x14:dataValidation type="list" allowBlank="1" showInputMessage="1" showErrorMessage="1">
          <x14:formula1>
            <xm:f>'LT 10304-2025'!$AH$2:$AH$14</xm:f>
          </x14:formula1>
          <xm:sqref>I12:J25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FFC000"/>
    <pageSetUpPr fitToPage="1"/>
  </sheetPr>
  <dimension ref="A1:AA150"/>
  <sheetViews>
    <sheetView view="pageBreakPreview" topLeftCell="A16" zoomScale="115" zoomScaleNormal="115" workbookViewId="0">
      <selection activeCell="D38" sqref="D38"/>
    </sheetView>
  </sheetViews>
  <sheetFormatPr defaultColWidth="8.140625" defaultRowHeight="15"/>
  <cols>
    <col min="1" max="1" width="8" style="38" customWidth="1"/>
    <col min="2" max="2" width="10.28515625" style="39" customWidth="1"/>
    <col min="3" max="3" width="11.42578125" style="38" customWidth="1"/>
    <col min="4" max="4" width="21.5703125" style="40" customWidth="1"/>
    <col min="5" max="5" width="8.42578125" style="38" customWidth="1"/>
    <col min="6" max="6" width="8.7109375" style="41" customWidth="1"/>
    <col min="7" max="7" width="9.28515625" style="38" customWidth="1"/>
    <col min="8" max="8" width="8.42578125" style="38" customWidth="1"/>
    <col min="9" max="9" width="11.42578125" style="39" customWidth="1"/>
    <col min="10" max="10" width="10.7109375" style="38" customWidth="1"/>
    <col min="11" max="11" width="10.42578125" style="41" customWidth="1"/>
    <col min="12" max="12" width="10.5703125" style="38" customWidth="1"/>
    <col min="13" max="13" width="11.42578125" style="38" customWidth="1"/>
    <col min="14" max="14" width="8.140625" style="43"/>
    <col min="21" max="16384" width="8.140625" style="43"/>
  </cols>
  <sheetData>
    <row r="1" spans="1:15" ht="30" customHeight="1">
      <c r="A1" s="408" t="s">
        <v>228</v>
      </c>
      <c r="B1" s="408"/>
      <c r="C1" s="408"/>
      <c r="D1" s="408"/>
      <c r="E1" s="408"/>
      <c r="F1" s="408"/>
      <c r="G1" s="408"/>
      <c r="H1" s="408"/>
      <c r="I1" s="408"/>
      <c r="J1" s="408"/>
      <c r="K1" s="408"/>
      <c r="L1" s="408"/>
      <c r="M1" s="408"/>
      <c r="N1" s="408"/>
      <c r="O1" s="408"/>
    </row>
    <row r="2" spans="1:15" ht="15.75" customHeight="1">
      <c r="A2" s="409" t="s">
        <v>253</v>
      </c>
      <c r="B2" s="409"/>
      <c r="C2" s="409"/>
      <c r="D2" s="410" t="s">
        <v>254</v>
      </c>
      <c r="E2" s="410"/>
      <c r="F2" s="410"/>
      <c r="G2" s="410"/>
      <c r="H2" s="410"/>
      <c r="I2" s="411" t="s">
        <v>255</v>
      </c>
      <c r="J2" s="411"/>
      <c r="K2" s="411"/>
      <c r="L2" s="409" t="s">
        <v>256</v>
      </c>
      <c r="M2" s="409"/>
      <c r="N2" s="409"/>
      <c r="O2" s="409"/>
    </row>
    <row r="3" spans="1:15">
      <c r="A3" s="409" t="s">
        <v>257</v>
      </c>
      <c r="B3" s="409"/>
      <c r="C3" s="409"/>
      <c r="D3" s="410" t="s">
        <v>254</v>
      </c>
      <c r="E3" s="410"/>
      <c r="F3" s="410"/>
      <c r="G3" s="410"/>
      <c r="H3" s="410"/>
      <c r="I3" s="411" t="s">
        <v>258</v>
      </c>
      <c r="J3" s="525"/>
      <c r="K3" s="525"/>
      <c r="L3" s="412">
        <f ca="1">TODAY()</f>
        <v>46281</v>
      </c>
      <c r="M3" s="525"/>
      <c r="N3" s="525"/>
      <c r="O3" s="525"/>
    </row>
    <row r="4" spans="1:15">
      <c r="A4" s="409" t="s">
        <v>260</v>
      </c>
      <c r="B4" s="409"/>
      <c r="C4" s="409"/>
      <c r="D4" s="410" t="s">
        <v>254</v>
      </c>
      <c r="E4" s="410"/>
      <c r="F4" s="410"/>
      <c r="G4" s="410"/>
      <c r="H4" s="410"/>
      <c r="I4" s="411" t="s">
        <v>261</v>
      </c>
      <c r="J4" s="525"/>
      <c r="K4" s="525"/>
      <c r="L4" s="409" t="s">
        <v>254</v>
      </c>
      <c r="M4" s="525"/>
      <c r="N4" s="525"/>
      <c r="O4" s="525"/>
    </row>
    <row r="5" spans="1:15">
      <c r="A5" s="409" t="s">
        <v>265</v>
      </c>
      <c r="B5" s="409"/>
      <c r="C5" s="409"/>
      <c r="D5" s="414" t="s">
        <v>976</v>
      </c>
      <c r="E5" s="414"/>
      <c r="F5" s="414"/>
      <c r="G5" s="414"/>
      <c r="H5" s="414"/>
      <c r="I5" s="411" t="s">
        <v>267</v>
      </c>
      <c r="J5" s="525"/>
      <c r="K5" s="525"/>
      <c r="L5" s="409" t="s">
        <v>254</v>
      </c>
      <c r="M5" s="525"/>
      <c r="N5" s="525"/>
      <c r="O5" s="525"/>
    </row>
    <row r="6" spans="1:15" ht="21" customHeight="1">
      <c r="A6" s="604"/>
      <c r="B6" s="605"/>
      <c r="C6" s="605"/>
      <c r="D6" s="605"/>
      <c r="E6" s="605"/>
      <c r="F6" s="605"/>
      <c r="G6" s="605"/>
      <c r="H6" s="605"/>
      <c r="I6" s="605"/>
      <c r="J6" s="605"/>
      <c r="K6" s="605"/>
      <c r="L6" s="605"/>
      <c r="M6" s="605"/>
      <c r="N6" s="36"/>
      <c r="O6" s="42"/>
    </row>
    <row r="7" spans="1:15">
      <c r="A7" s="540" t="s">
        <v>1042</v>
      </c>
      <c r="B7" s="427"/>
      <c r="C7" s="427"/>
      <c r="D7" s="427"/>
      <c r="E7" s="427"/>
      <c r="F7" s="427"/>
      <c r="G7" s="427"/>
      <c r="H7" s="427"/>
      <c r="I7" s="427"/>
      <c r="J7" s="427"/>
      <c r="K7" s="427"/>
      <c r="L7" s="427"/>
      <c r="M7" s="427"/>
      <c r="N7" s="36"/>
      <c r="O7" s="42"/>
    </row>
    <row r="8" spans="1:15" ht="16.5" customHeight="1">
      <c r="A8" s="431"/>
      <c r="B8" s="432"/>
      <c r="C8" s="432"/>
      <c r="D8" s="432"/>
      <c r="E8" s="432"/>
      <c r="F8" s="432"/>
      <c r="G8" s="432"/>
      <c r="H8" s="432"/>
      <c r="I8" s="432"/>
      <c r="J8" s="432"/>
      <c r="K8" s="432"/>
      <c r="L8" s="432"/>
      <c r="M8" s="432"/>
      <c r="N8" s="36"/>
      <c r="O8" s="42"/>
    </row>
    <row r="9" spans="1:15" ht="16.5" customHeight="1">
      <c r="A9" s="434" t="s">
        <v>283</v>
      </c>
      <c r="B9" s="434"/>
      <c r="C9" s="434"/>
      <c r="D9" s="13" t="s">
        <v>946</v>
      </c>
      <c r="E9" s="9"/>
      <c r="F9" s="587" t="s">
        <v>230</v>
      </c>
      <c r="G9" s="588" t="s">
        <v>1043</v>
      </c>
      <c r="H9" s="589" t="s">
        <v>979</v>
      </c>
      <c r="I9" s="589" t="s">
        <v>1044</v>
      </c>
      <c r="J9" s="589"/>
      <c r="K9" s="589" t="s">
        <v>1045</v>
      </c>
      <c r="L9" s="589" t="s">
        <v>1046</v>
      </c>
      <c r="M9" s="589" t="s">
        <v>1047</v>
      </c>
      <c r="N9" s="589" t="s">
        <v>1066</v>
      </c>
      <c r="O9" s="589" t="s">
        <v>1067</v>
      </c>
    </row>
    <row r="10" spans="1:15" ht="16.5" customHeight="1">
      <c r="A10" s="434" t="s">
        <v>980</v>
      </c>
      <c r="B10" s="434"/>
      <c r="C10" s="434"/>
      <c r="D10" s="13" t="s">
        <v>100</v>
      </c>
      <c r="E10" s="47"/>
      <c r="F10" s="587"/>
      <c r="G10" s="588"/>
      <c r="H10" s="589"/>
      <c r="I10" s="589"/>
      <c r="J10" s="589"/>
      <c r="K10" s="589"/>
      <c r="L10" s="589"/>
      <c r="M10" s="589"/>
      <c r="N10" s="589"/>
      <c r="O10" s="589"/>
    </row>
    <row r="11" spans="1:15" ht="13.15" customHeight="1">
      <c r="A11" s="434" t="s">
        <v>981</v>
      </c>
      <c r="B11" s="434"/>
      <c r="C11" s="434"/>
      <c r="D11" s="13" t="s">
        <v>299</v>
      </c>
      <c r="E11" s="48"/>
      <c r="F11" s="587"/>
      <c r="G11" s="588"/>
      <c r="H11" s="589"/>
      <c r="I11" s="589"/>
      <c r="J11" s="589"/>
      <c r="K11" s="589"/>
      <c r="L11" s="589"/>
      <c r="M11" s="589"/>
      <c r="N11" s="589"/>
      <c r="O11" s="589"/>
    </row>
    <row r="12" spans="1:15" ht="15.6" customHeight="1">
      <c r="A12" s="546" t="s">
        <v>1011</v>
      </c>
      <c r="B12" s="547"/>
      <c r="C12" s="548"/>
      <c r="D12" s="13" t="s">
        <v>1068</v>
      </c>
      <c r="E12" s="48"/>
      <c r="F12" s="13" t="s">
        <v>262</v>
      </c>
      <c r="G12" s="13" t="s">
        <v>263</v>
      </c>
      <c r="H12" s="19">
        <v>0</v>
      </c>
      <c r="I12" s="437" t="s">
        <v>940</v>
      </c>
      <c r="J12" s="437"/>
      <c r="K12" s="49"/>
      <c r="L12" s="49"/>
      <c r="M12" s="49"/>
      <c r="N12" s="52" t="s">
        <v>264</v>
      </c>
      <c r="O12" s="53" t="s">
        <v>1069</v>
      </c>
    </row>
    <row r="13" spans="1:15" ht="15.6" customHeight="1">
      <c r="A13" s="434" t="s">
        <v>298</v>
      </c>
      <c r="B13" s="434"/>
      <c r="C13" s="434"/>
      <c r="D13" s="18">
        <v>1</v>
      </c>
      <c r="E13" s="54"/>
      <c r="F13" s="13" t="s">
        <v>268</v>
      </c>
      <c r="G13" s="13" t="s">
        <v>269</v>
      </c>
      <c r="H13" s="19">
        <v>1.5</v>
      </c>
      <c r="I13" s="437" t="s">
        <v>944</v>
      </c>
      <c r="J13" s="437"/>
      <c r="K13" s="49">
        <v>0.3</v>
      </c>
      <c r="L13" s="49">
        <v>0.6</v>
      </c>
      <c r="M13" s="49"/>
      <c r="N13" s="52" t="s">
        <v>264</v>
      </c>
      <c r="O13" s="53" t="s">
        <v>944</v>
      </c>
    </row>
    <row r="14" spans="1:15" ht="15.6" customHeight="1">
      <c r="A14" s="545" t="s">
        <v>982</v>
      </c>
      <c r="B14" s="545"/>
      <c r="C14" s="545"/>
      <c r="D14" s="19">
        <v>0</v>
      </c>
      <c r="E14" s="55"/>
      <c r="F14" s="13" t="s">
        <v>270</v>
      </c>
      <c r="G14" s="13" t="s">
        <v>269</v>
      </c>
      <c r="H14" s="19">
        <v>7</v>
      </c>
      <c r="I14" s="437" t="s">
        <v>944</v>
      </c>
      <c r="J14" s="437"/>
      <c r="K14" s="49">
        <v>0.2</v>
      </c>
      <c r="L14" s="49">
        <v>0.7</v>
      </c>
      <c r="M14" s="49"/>
      <c r="N14" s="52" t="s">
        <v>264</v>
      </c>
      <c r="O14" s="53" t="s">
        <v>944</v>
      </c>
    </row>
    <row r="15" spans="1:15" ht="15.6" customHeight="1">
      <c r="A15" s="545" t="s">
        <v>983</v>
      </c>
      <c r="B15" s="545"/>
      <c r="C15" s="545"/>
      <c r="D15" s="19">
        <v>0</v>
      </c>
      <c r="E15" s="48"/>
      <c r="F15" s="13" t="s">
        <v>274</v>
      </c>
      <c r="G15" s="13" t="s">
        <v>269</v>
      </c>
      <c r="H15" s="19">
        <v>10.5</v>
      </c>
      <c r="I15" s="437" t="s">
        <v>944</v>
      </c>
      <c r="J15" s="437"/>
      <c r="K15" s="49">
        <v>0.1</v>
      </c>
      <c r="L15" s="49">
        <v>0.8</v>
      </c>
      <c r="M15" s="49"/>
      <c r="N15" s="52" t="s">
        <v>264</v>
      </c>
      <c r="O15" s="53" t="s">
        <v>944</v>
      </c>
    </row>
    <row r="16" spans="1:15">
      <c r="A16" s="434" t="s">
        <v>307</v>
      </c>
      <c r="B16" s="434"/>
      <c r="C16" s="434"/>
      <c r="D16" s="13">
        <v>15</v>
      </c>
      <c r="E16" s="56"/>
      <c r="F16" s="13" t="s">
        <v>277</v>
      </c>
      <c r="G16" s="13" t="s">
        <v>278</v>
      </c>
      <c r="H16" s="19">
        <v>12.2</v>
      </c>
      <c r="I16" s="437" t="s">
        <v>933</v>
      </c>
      <c r="J16" s="437"/>
      <c r="K16" s="49"/>
      <c r="L16" s="49"/>
      <c r="M16" s="49"/>
      <c r="N16" s="52" t="s">
        <v>264</v>
      </c>
      <c r="O16" s="53" t="s">
        <v>1070</v>
      </c>
    </row>
    <row r="17" spans="1:25" customFormat="1" ht="15.6" customHeight="1">
      <c r="A17" s="434" t="s">
        <v>305</v>
      </c>
      <c r="B17" s="434"/>
      <c r="C17" s="434"/>
      <c r="D17" s="13">
        <v>43.2</v>
      </c>
      <c r="E17" s="56">
        <f>D17</f>
        <v>43.2</v>
      </c>
      <c r="F17" s="13" t="s">
        <v>282</v>
      </c>
      <c r="G17" s="13" t="s">
        <v>278</v>
      </c>
      <c r="H17" s="19">
        <v>27</v>
      </c>
      <c r="I17" s="437" t="s">
        <v>933</v>
      </c>
      <c r="J17" s="437"/>
      <c r="K17" s="49"/>
      <c r="L17" s="49"/>
      <c r="M17" s="49"/>
      <c r="N17" s="52" t="s">
        <v>264</v>
      </c>
      <c r="O17" s="53" t="s">
        <v>1070</v>
      </c>
    </row>
    <row r="18" spans="1:25" customFormat="1" ht="15.6" customHeight="1">
      <c r="A18" s="546" t="s">
        <v>984</v>
      </c>
      <c r="B18" s="547"/>
      <c r="C18" s="548"/>
      <c r="D18" s="57">
        <v>1</v>
      </c>
      <c r="E18" s="58"/>
      <c r="F18" s="13" t="s">
        <v>289</v>
      </c>
      <c r="G18" s="13" t="s">
        <v>1028</v>
      </c>
      <c r="H18" s="19">
        <v>38.200000000000003</v>
      </c>
      <c r="I18" s="437" t="s">
        <v>930</v>
      </c>
      <c r="J18" s="437"/>
      <c r="K18" s="49"/>
      <c r="L18" s="49"/>
      <c r="M18" s="49"/>
      <c r="N18" s="52" t="s">
        <v>264</v>
      </c>
      <c r="O18" s="53" t="s">
        <v>1069</v>
      </c>
    </row>
    <row r="19" spans="1:25" customFormat="1" ht="15.75">
      <c r="A19" s="546" t="s">
        <v>1013</v>
      </c>
      <c r="B19" s="547"/>
      <c r="C19" s="548"/>
      <c r="D19" s="59">
        <v>8.48E-2</v>
      </c>
      <c r="E19" s="58"/>
      <c r="F19" s="13"/>
      <c r="G19" s="13"/>
      <c r="H19" s="19"/>
      <c r="I19" s="437"/>
      <c r="J19" s="437"/>
      <c r="K19" s="49"/>
      <c r="L19" s="49"/>
      <c r="M19" s="49"/>
      <c r="N19" s="52"/>
      <c r="O19" s="53"/>
    </row>
    <row r="20" spans="1:25" customFormat="1" ht="15.6" customHeight="1">
      <c r="A20" s="546" t="s">
        <v>1014</v>
      </c>
      <c r="B20" s="547"/>
      <c r="C20" s="548"/>
      <c r="D20" s="57" t="s">
        <v>1015</v>
      </c>
      <c r="E20" s="60"/>
      <c r="F20" s="13"/>
      <c r="G20" s="13"/>
      <c r="H20" s="19"/>
      <c r="I20" s="437"/>
      <c r="J20" s="437"/>
      <c r="K20" s="49"/>
      <c r="L20" s="49"/>
      <c r="M20" s="49"/>
      <c r="N20" s="52"/>
      <c r="O20" s="53"/>
    </row>
    <row r="21" spans="1:25" customFormat="1">
      <c r="A21" s="434" t="s">
        <v>316</v>
      </c>
      <c r="B21" s="434"/>
      <c r="C21" s="434"/>
      <c r="D21" s="11">
        <f>ABS(D17-D16)</f>
        <v>28.2</v>
      </c>
      <c r="E21" s="61"/>
      <c r="F21" s="13"/>
      <c r="G21" s="62"/>
      <c r="H21" s="19"/>
      <c r="I21" s="437"/>
      <c r="J21" s="437"/>
      <c r="K21" s="49"/>
      <c r="L21" s="49"/>
      <c r="M21" s="49"/>
      <c r="N21" s="52"/>
      <c r="O21" s="53"/>
    </row>
    <row r="22" spans="1:25" customFormat="1" ht="15.75">
      <c r="A22" s="434" t="s">
        <v>1048</v>
      </c>
      <c r="B22" s="434"/>
      <c r="C22" s="434"/>
      <c r="D22" s="20">
        <f>IF(D11="Cọc tròn",PI()*(D13^2-D15^2)/4,D13^2)</f>
        <v>0.78539816339744795</v>
      </c>
      <c r="E22" s="61"/>
      <c r="F22" s="13"/>
      <c r="G22" s="62"/>
      <c r="H22" s="19"/>
      <c r="I22" s="437"/>
      <c r="J22" s="437"/>
      <c r="K22" s="49"/>
      <c r="L22" s="49"/>
      <c r="M22" s="49"/>
      <c r="N22" s="52"/>
      <c r="O22" s="53"/>
    </row>
    <row r="23" spans="1:25" customFormat="1" ht="15.75">
      <c r="A23" s="434" t="s">
        <v>1049</v>
      </c>
      <c r="B23" s="434"/>
      <c r="C23" s="434"/>
      <c r="D23" s="20">
        <f>IF(D11="Cọc tròn",PI()*(D13^2-D14^2)/4,D13^2)</f>
        <v>0.78539816339744795</v>
      </c>
      <c r="E23" s="61"/>
      <c r="F23" s="13"/>
      <c r="G23" s="62"/>
      <c r="H23" s="19"/>
      <c r="I23" s="437"/>
      <c r="J23" s="437"/>
      <c r="K23" s="49"/>
      <c r="L23" s="49"/>
      <c r="M23" s="49"/>
      <c r="N23" s="52"/>
      <c r="O23" s="53"/>
      <c r="P23" s="43"/>
      <c r="Q23" s="43"/>
      <c r="R23" s="43"/>
      <c r="S23" s="43"/>
    </row>
    <row r="24" spans="1:25" customFormat="1">
      <c r="A24" s="434" t="s">
        <v>313</v>
      </c>
      <c r="B24" s="434"/>
      <c r="C24" s="434"/>
      <c r="D24" s="20">
        <f>IF(D11="Cọc tròn",PI()*D13,4*D13)</f>
        <v>3.14159265358979</v>
      </c>
      <c r="E24" s="61"/>
      <c r="F24" s="48"/>
      <c r="G24" s="108"/>
      <c r="H24" s="55"/>
      <c r="I24" s="606"/>
      <c r="J24" s="606"/>
      <c r="K24" s="66"/>
      <c r="L24" s="66"/>
      <c r="M24" s="66"/>
      <c r="N24" s="42"/>
      <c r="O24" s="42"/>
      <c r="P24" s="43"/>
      <c r="Q24" s="43"/>
      <c r="U24" s="43"/>
      <c r="V24" s="43"/>
      <c r="W24" s="43"/>
      <c r="X24" s="43"/>
      <c r="Y24" s="43"/>
    </row>
    <row r="25" spans="1:25" customFormat="1" ht="15.75">
      <c r="A25" s="445" t="s">
        <v>1050</v>
      </c>
      <c r="B25" s="457"/>
      <c r="C25" s="446"/>
      <c r="D25" s="64">
        <v>1</v>
      </c>
      <c r="E25" s="61"/>
      <c r="F25" s="563" t="s">
        <v>1016</v>
      </c>
      <c r="G25" s="563"/>
      <c r="H25" s="563"/>
      <c r="I25" s="69">
        <f>IF($D$13&gt;=0.8,$D$13+1,1.5*$D$13+0.5)</f>
        <v>2</v>
      </c>
      <c r="J25" s="563" t="s">
        <v>1017</v>
      </c>
      <c r="K25" s="563"/>
      <c r="L25" s="563"/>
      <c r="M25" s="70">
        <v>30</v>
      </c>
      <c r="N25" s="42"/>
      <c r="O25" s="42"/>
      <c r="P25" s="43"/>
      <c r="Q25" s="43"/>
      <c r="U25" s="43"/>
      <c r="V25" s="43"/>
      <c r="W25" s="43"/>
      <c r="X25" s="43"/>
      <c r="Y25" s="43"/>
    </row>
    <row r="26" spans="1:25" customFormat="1">
      <c r="A26" s="445" t="s">
        <v>1051</v>
      </c>
      <c r="B26" s="457"/>
      <c r="C26" s="446"/>
      <c r="D26" s="64" t="b">
        <v>0</v>
      </c>
      <c r="E26" s="61"/>
      <c r="F26" s="563" t="s">
        <v>1018</v>
      </c>
      <c r="G26" s="563"/>
      <c r="H26" s="563"/>
      <c r="I26" s="71">
        <v>10000</v>
      </c>
      <c r="J26" s="563" t="s">
        <v>1019</v>
      </c>
      <c r="K26" s="563"/>
      <c r="L26" s="563"/>
      <c r="M26" s="68">
        <f>VLOOKUP(M25,B2.Betongcoc,5)*1000</f>
        <v>32500000</v>
      </c>
      <c r="N26" s="36"/>
      <c r="O26" s="42"/>
      <c r="U26" s="43"/>
      <c r="V26" s="43"/>
      <c r="W26" s="43"/>
      <c r="X26" s="43"/>
      <c r="Y26" s="43"/>
    </row>
    <row r="27" spans="1:25" customFormat="1" ht="15.75" customHeight="1">
      <c r="A27" s="434" t="s">
        <v>1052</v>
      </c>
      <c r="B27" s="434"/>
      <c r="C27" s="434"/>
      <c r="D27" s="109">
        <f>VLOOKUP($D$17,$B$41:$P$150,7,0)</f>
        <v>13452.564893091499</v>
      </c>
      <c r="E27" s="61"/>
      <c r="F27" s="563" t="s">
        <v>1020</v>
      </c>
      <c r="G27" s="563"/>
      <c r="H27" s="563"/>
      <c r="I27" s="68">
        <f>($I$26*$I$25/$M$26/$M$27)^(1/5)</f>
        <v>0.41651950845242902</v>
      </c>
      <c r="J27" s="563" t="s">
        <v>1021</v>
      </c>
      <c r="K27" s="563"/>
      <c r="L27" s="563"/>
      <c r="M27" s="68">
        <f>IF(D11="Cọc Tròn",PI()*(D13^4-D15^4)/64,D13^4/12)</f>
        <v>4.9087385212340497E-2</v>
      </c>
      <c r="N27" s="36"/>
      <c r="O27" s="42"/>
      <c r="U27" s="43"/>
      <c r="V27" s="43"/>
      <c r="W27" s="43"/>
      <c r="X27" s="43"/>
      <c r="Y27" s="43"/>
    </row>
    <row r="28" spans="1:25" customFormat="1" ht="15.75">
      <c r="A28" s="434" t="s">
        <v>1053</v>
      </c>
      <c r="B28" s="434"/>
      <c r="C28" s="434"/>
      <c r="D28" s="109">
        <f>VLOOKUP($D$16,$B$41:$P$150,13,0)</f>
        <v>1499.55484764427</v>
      </c>
      <c r="E28" s="61"/>
      <c r="F28" s="563" t="s">
        <v>1022</v>
      </c>
      <c r="G28" s="563"/>
      <c r="H28" s="563"/>
      <c r="I28" s="71">
        <f>3/I27</f>
        <v>7.2025437923578801</v>
      </c>
      <c r="J28" s="563"/>
      <c r="K28" s="563"/>
      <c r="L28" s="563"/>
      <c r="M28" s="68"/>
      <c r="N28" s="36"/>
      <c r="O28" s="42"/>
      <c r="U28" s="43"/>
      <c r="V28" s="43"/>
      <c r="W28" s="43"/>
      <c r="X28" s="43"/>
      <c r="Y28" s="43"/>
    </row>
    <row r="29" spans="1:25" customFormat="1" ht="15.75">
      <c r="A29" s="434" t="s">
        <v>1054</v>
      </c>
      <c r="B29" s="434"/>
      <c r="C29" s="434"/>
      <c r="D29" s="109">
        <f>VLOOKUP($D$17,$B$41:$P$150,13,0)</f>
        <v>8819.5554684690105</v>
      </c>
      <c r="E29" s="61"/>
      <c r="F29" s="77"/>
      <c r="G29" s="65"/>
      <c r="H29" s="65"/>
      <c r="I29" s="76"/>
      <c r="J29" s="65"/>
      <c r="K29" s="77"/>
      <c r="L29" s="65"/>
      <c r="M29" s="65"/>
      <c r="N29" s="36"/>
      <c r="O29" s="42"/>
      <c r="U29" s="43"/>
      <c r="V29" s="43"/>
      <c r="W29" s="43"/>
      <c r="X29" s="43"/>
      <c r="Y29" s="43"/>
    </row>
    <row r="30" spans="1:25" customFormat="1" ht="15.75">
      <c r="A30" s="17" t="s">
        <v>990</v>
      </c>
      <c r="B30" s="73">
        <v>0</v>
      </c>
      <c r="C30" s="74">
        <f>+D29+D27</f>
        <v>22272.120361560501</v>
      </c>
      <c r="D30" s="110">
        <f>$D$27+$D$29-D28</f>
        <v>20772.565513916201</v>
      </c>
      <c r="E30" s="61"/>
      <c r="F30" s="603" t="s">
        <v>1055</v>
      </c>
      <c r="G30" s="603"/>
      <c r="H30" s="65">
        <f>VLOOKUP($F$31,'LT 10304-2025'!$AL$2:$AM$8,2,0)</f>
        <v>7</v>
      </c>
      <c r="I30" s="79" t="s">
        <v>1056</v>
      </c>
      <c r="J30" s="79"/>
      <c r="K30" s="80">
        <v>0</v>
      </c>
      <c r="L30" s="66"/>
      <c r="M30" s="66"/>
      <c r="N30" s="36"/>
      <c r="O30" s="42"/>
      <c r="P30" s="43"/>
      <c r="Q30" s="43"/>
      <c r="U30" s="43"/>
      <c r="V30" s="43"/>
      <c r="W30" s="43"/>
      <c r="X30" s="43"/>
      <c r="Y30" s="43"/>
    </row>
    <row r="31" spans="1:25" customFormat="1">
      <c r="A31" s="549" t="str">
        <f>"Cấp hậu quả của công trình:"</f>
        <v>Cấp hậu quả của công trình:</v>
      </c>
      <c r="B31" s="549"/>
      <c r="C31" s="549"/>
      <c r="D31" s="78" t="s">
        <v>174</v>
      </c>
      <c r="E31" s="61"/>
      <c r="F31" s="597" t="s">
        <v>934</v>
      </c>
      <c r="G31" s="597"/>
      <c r="H31" s="597"/>
      <c r="I31" s="597"/>
      <c r="J31" s="597"/>
      <c r="K31" s="597"/>
      <c r="L31" s="597"/>
      <c r="M31" s="597"/>
      <c r="N31" s="36"/>
      <c r="O31" s="42"/>
      <c r="P31" s="43"/>
      <c r="Q31" s="43"/>
      <c r="U31" s="43"/>
      <c r="V31" s="43"/>
      <c r="W31" s="43"/>
      <c r="X31" s="43"/>
      <c r="Y31" s="43"/>
    </row>
    <row r="32" spans="1:25" customFormat="1">
      <c r="A32" s="550" t="s">
        <v>894</v>
      </c>
      <c r="B32" s="550"/>
      <c r="C32" s="550"/>
      <c r="D32" s="83">
        <f>IF(D31="C1",1,IF(D31="C2",1.15,1.2))</f>
        <v>1.1499999999999999</v>
      </c>
      <c r="E32" s="61"/>
      <c r="F32" s="597"/>
      <c r="G32" s="597"/>
      <c r="H32" s="597"/>
      <c r="I32" s="597"/>
      <c r="J32" s="597"/>
      <c r="K32" s="597"/>
      <c r="L32" s="597"/>
      <c r="M32" s="597"/>
      <c r="N32" s="36"/>
      <c r="O32" s="42"/>
      <c r="U32" s="43"/>
      <c r="V32" s="43"/>
      <c r="W32" s="43"/>
    </row>
    <row r="33" spans="1:27" customFormat="1">
      <c r="A33" s="546" t="s">
        <v>992</v>
      </c>
      <c r="B33" s="547"/>
      <c r="C33" s="548"/>
      <c r="D33" s="57" t="s">
        <v>993</v>
      </c>
      <c r="E33" s="61"/>
      <c r="F33" s="598"/>
      <c r="G33" s="598"/>
      <c r="H33" s="598"/>
      <c r="I33" s="598"/>
      <c r="J33" s="598"/>
      <c r="K33" s="598"/>
      <c r="L33" s="598"/>
      <c r="M33" s="598"/>
      <c r="N33" s="36"/>
      <c r="O33" s="42"/>
      <c r="U33" s="43"/>
      <c r="V33" s="43"/>
      <c r="W33" s="43"/>
    </row>
    <row r="34" spans="1:27" customFormat="1">
      <c r="A34" s="550" t="s">
        <v>995</v>
      </c>
      <c r="B34" s="550"/>
      <c r="C34" s="550"/>
      <c r="D34" s="75">
        <f>IF(D33="Yes",IF(D11="Cọc tròn",PI()*(D13^2-D15^2)/4,D13^2)*D21*2.5*10*IF($D$31="C1",1.1,IF(D31="C2",1.1,1.1)),0)</f>
        <v>609.07627571472096</v>
      </c>
      <c r="E34" s="61"/>
      <c r="F34" s="591" t="s">
        <v>994</v>
      </c>
      <c r="G34" s="591"/>
      <c r="H34" s="591"/>
      <c r="I34" s="591"/>
      <c r="J34" s="591"/>
      <c r="K34" s="591"/>
      <c r="L34" s="591"/>
      <c r="M34" s="591"/>
      <c r="N34" s="36"/>
      <c r="O34" s="42"/>
      <c r="P34" s="43"/>
      <c r="U34" s="43"/>
      <c r="V34" s="43"/>
      <c r="W34" s="43"/>
      <c r="X34" s="43"/>
      <c r="Y34" s="43"/>
      <c r="Z34" s="43"/>
      <c r="AA34" s="43"/>
    </row>
    <row r="35" spans="1:27" customFormat="1">
      <c r="A35" s="550" t="s">
        <v>991</v>
      </c>
      <c r="B35" s="590"/>
      <c r="C35" s="590"/>
      <c r="D35" s="84">
        <v>1.4</v>
      </c>
      <c r="E35" s="61"/>
      <c r="F35" s="591"/>
      <c r="G35" s="591"/>
      <c r="H35" s="591"/>
      <c r="I35" s="591"/>
      <c r="J35" s="591"/>
      <c r="K35" s="591"/>
      <c r="L35" s="591"/>
      <c r="M35" s="591"/>
      <c r="N35" s="36"/>
      <c r="O35" s="42"/>
      <c r="P35" s="43"/>
      <c r="U35" s="43"/>
      <c r="V35" s="43"/>
      <c r="W35" s="43"/>
      <c r="X35" s="43"/>
      <c r="Y35" s="43"/>
      <c r="Z35" s="43"/>
      <c r="AA35" s="43"/>
    </row>
    <row r="36" spans="1:27" customFormat="1" ht="15.75">
      <c r="A36" s="550" t="s">
        <v>996</v>
      </c>
      <c r="B36" s="525"/>
      <c r="C36" s="525"/>
      <c r="D36" s="85">
        <f>FLOOR(D30/D35-D34,10)</f>
        <v>14220</v>
      </c>
      <c r="E36" s="61"/>
      <c r="F36" s="552" t="s">
        <v>991</v>
      </c>
      <c r="G36" s="552"/>
      <c r="H36" s="556">
        <v>1.6</v>
      </c>
      <c r="I36" s="550" t="s">
        <v>996</v>
      </c>
      <c r="J36" s="525"/>
      <c r="K36" s="525"/>
      <c r="L36" s="88">
        <f>FLOOR(D30/H36-D34,10)</f>
        <v>12370</v>
      </c>
      <c r="M36" s="38"/>
      <c r="N36" s="36"/>
      <c r="O36" s="42"/>
      <c r="P36" s="43"/>
      <c r="U36" s="43"/>
      <c r="V36" s="43"/>
      <c r="W36" s="43"/>
      <c r="X36" s="43"/>
      <c r="Y36" s="43"/>
      <c r="Z36" s="43"/>
      <c r="AA36" s="43"/>
    </row>
    <row r="37" spans="1:27" customFormat="1" ht="15.75">
      <c r="A37" s="550" t="s">
        <v>997</v>
      </c>
      <c r="B37" s="525"/>
      <c r="C37" s="525"/>
      <c r="D37" s="86">
        <f>FLOOR(D30/(D32*D35)-D34*D32,10)</f>
        <v>12200</v>
      </c>
      <c r="E37" s="61"/>
      <c r="F37" s="552"/>
      <c r="G37" s="552"/>
      <c r="H37" s="556"/>
      <c r="I37" s="550" t="s">
        <v>997</v>
      </c>
      <c r="J37" s="525"/>
      <c r="K37" s="525"/>
      <c r="L37" s="89">
        <f>FLOOR(D30/(D32*H36)-D34,10)</f>
        <v>10680</v>
      </c>
      <c r="M37" s="87"/>
      <c r="N37" s="36"/>
      <c r="O37" s="42"/>
      <c r="P37" s="43"/>
      <c r="U37" s="43"/>
      <c r="V37" s="43"/>
      <c r="W37" s="43"/>
      <c r="X37" s="43"/>
      <c r="Y37" s="43"/>
      <c r="Z37" s="43"/>
      <c r="AA37" s="43"/>
    </row>
    <row r="38" spans="1:27" customFormat="1" ht="15" customHeight="1">
      <c r="A38" s="111"/>
      <c r="B38" s="111"/>
      <c r="C38" s="111"/>
      <c r="D38" s="111"/>
      <c r="E38" s="111"/>
      <c r="F38" s="111"/>
      <c r="G38" s="111"/>
      <c r="H38" s="111"/>
      <c r="I38" s="111"/>
      <c r="J38" s="111"/>
      <c r="K38" s="111"/>
      <c r="L38" s="111"/>
      <c r="M38" s="111"/>
      <c r="N38" s="36"/>
      <c r="O38" s="42"/>
      <c r="P38" s="43"/>
      <c r="U38" s="43"/>
      <c r="V38" s="43"/>
      <c r="W38" s="43"/>
      <c r="X38" s="43"/>
      <c r="Y38" s="43"/>
      <c r="Z38" s="43"/>
      <c r="AA38" s="43"/>
    </row>
    <row r="39" spans="1:27" customFormat="1" ht="12.75" customHeight="1">
      <c r="A39" s="554" t="s">
        <v>394</v>
      </c>
      <c r="B39" s="551" t="s">
        <v>998</v>
      </c>
      <c r="C39" s="555" t="s">
        <v>973</v>
      </c>
      <c r="D39" s="551" t="s">
        <v>999</v>
      </c>
      <c r="E39" s="551" t="s">
        <v>1057</v>
      </c>
      <c r="F39" s="551" t="s">
        <v>1024</v>
      </c>
      <c r="G39" s="94" t="s">
        <v>1058</v>
      </c>
      <c r="H39" s="551" t="s">
        <v>1071</v>
      </c>
      <c r="I39" s="551" t="s">
        <v>1060</v>
      </c>
      <c r="J39" s="551" t="s">
        <v>1061</v>
      </c>
      <c r="K39" s="551" t="s">
        <v>1025</v>
      </c>
      <c r="L39" s="599" t="s">
        <v>1003</v>
      </c>
      <c r="M39" s="607" t="s">
        <v>1072</v>
      </c>
      <c r="N39" s="551" t="s">
        <v>1063</v>
      </c>
      <c r="O39" s="551" t="s">
        <v>1064</v>
      </c>
      <c r="P39" s="43"/>
      <c r="U39" s="43"/>
      <c r="V39" s="43"/>
      <c r="W39" s="43"/>
      <c r="X39" s="43"/>
      <c r="Y39" s="43"/>
      <c r="Z39" s="43"/>
      <c r="AA39" s="43"/>
    </row>
    <row r="40" spans="1:27" customFormat="1">
      <c r="A40" s="554"/>
      <c r="B40" s="551"/>
      <c r="C40" s="555"/>
      <c r="D40" s="551"/>
      <c r="E40" s="551"/>
      <c r="F40" s="551"/>
      <c r="G40" s="94" t="s">
        <v>1065</v>
      </c>
      <c r="H40" s="551"/>
      <c r="I40" s="551"/>
      <c r="J40" s="551"/>
      <c r="K40" s="551"/>
      <c r="L40" s="600"/>
      <c r="M40" s="607"/>
      <c r="N40" s="551"/>
      <c r="O40" s="551"/>
      <c r="P40" s="43"/>
      <c r="U40" s="43"/>
      <c r="V40" s="43"/>
      <c r="W40" s="43"/>
      <c r="X40" s="43"/>
      <c r="Y40" s="43"/>
      <c r="Z40" s="43"/>
      <c r="AA40" s="43"/>
    </row>
    <row r="41" spans="1:27" customFormat="1">
      <c r="A41" s="87">
        <v>0</v>
      </c>
      <c r="B41" s="83">
        <f>_xll.flu_CocMaSatKMD($D$24,$D$16,$D$17,$D$25,$H$12:$M$24,FALSE,FALSE,$D$18,$D$13,$K$30,$H$30,A41,"Cao độ")</f>
        <v>0</v>
      </c>
      <c r="C41" s="87" t="str">
        <f>IF(B41="","",_xll.TimTenLoaiDat(B41,$F$12:$H$24))</f>
        <v>Lớp 1</v>
      </c>
      <c r="D41" s="82" t="str">
        <f>IF(B41="","",_xll.TimTinhChatDat(B41,$H$12:$I$24))</f>
        <v>Cát chặt vừa - bụi</v>
      </c>
      <c r="E41" s="96">
        <f>IF(B41="","",_xll.Qb_CocMaSatKMD(B41,$H$12:$M$24,$D$23,$D$25,$H$30,$D$15,$D$26,"GanmaRR"))</f>
        <v>0</v>
      </c>
      <c r="F41" s="41">
        <f>IFERROR(_xll.TinhGammaqbCMS($D$19,_xll.TimTinhChatDatCotTU(B41,$H$12:$O$23,7),_xll.TimTinhChatDatCotTU(B41,$H$12:$O$23,7),_xll.TimTinhChatDatCotTU(B41,$H$12:$O$23,3),$D$12,_xll.TimTinhChatDatCotTU(B41,$H$12:$O$23,6),$D$20),"")</f>
        <v>0.98551999999999995</v>
      </c>
      <c r="G41" s="95">
        <f>IF(B41="","",_xll.Qb_CocMaSatKMD(B41,$H$12:$M$24,$D$23,$D$25,$H$30,$D$15,$D$26,"qb"))</f>
        <v>0</v>
      </c>
      <c r="H41" s="95">
        <f t="shared" ref="H41:H72" si="0">IF(B41="","",$D$25*E41*G41*$D$23*F41)</f>
        <v>0</v>
      </c>
      <c r="I41" s="96">
        <f>IF(B41="","",_xll.flu_CocMaSatKMD($D$24,$D$16,$D$17,$D$25,$H$12:$M$24,FALSE,FALSE,$D$18,$D$13,$K$30,$H$30,A41,"GanmaRf"))</f>
        <v>0.8</v>
      </c>
      <c r="J41" s="96">
        <f>IF(B41="","",_xll.flu_CocMaSatKMD($D$24,$D$16,$D$17,$D$25,$H$12:$M$24,FALSE,FALSE,$D$18,$D$13,$K$30,$H$30,A41,"Li"))</f>
        <v>1</v>
      </c>
      <c r="K41" s="41">
        <f>IFERROR(_xll.TinhGammafiCMS($D$19,_xll.TimTinhChatDatCotTU(B41,$H$12:$O$23,7),_xll.TimTinhChatDatCotTU(B41,$H$12:$O$23,7),_xll.TimTinhChatDatCotTU(B41,$H$12:$O$23,3),$D$12,_xll.TimTinhChatDatCotTU(B41,$H$12:$O$23,6),$D$20),"")</f>
        <v>0.93552000000000002</v>
      </c>
      <c r="L41" s="95">
        <f>IF(B41="","",IF(B41&lt;=$I$28,0,_xll.flu_CocMaSatKMD($D$24,$D$16,$D$17,$D$25,$H$12:$M$24,FALSE,FALSE,$D$18,$D$13,$K$30,$H$30,A41,"f")))</f>
        <v>0</v>
      </c>
      <c r="M41" s="95">
        <f t="shared" ref="M41:M72" si="1">IF(B41="","",L41*$D$24*J41*I41*$D$25*K41)</f>
        <v>0</v>
      </c>
      <c r="N41" s="95">
        <f>IF(B41="","",_xll.flu_CocMaSatKMD($D$24,$D$16,$D$17,$D$25,$H$12:$M$24,FALSE,FALSE,$D$18,$D$13,$K$30,$H$30,A41,"flu"))</f>
        <v>0</v>
      </c>
      <c r="O41" s="87">
        <f>IFERROR(N41+H41,"")</f>
        <v>0</v>
      </c>
      <c r="P41" s="43"/>
      <c r="U41" s="43"/>
      <c r="V41" s="43"/>
      <c r="W41" s="43"/>
      <c r="X41" s="43"/>
      <c r="Y41" s="43"/>
      <c r="Z41" s="43"/>
      <c r="AA41" s="43"/>
    </row>
    <row r="42" spans="1:27" customFormat="1">
      <c r="A42" s="87">
        <f t="shared" ref="A42:A105" si="2">+A41+1</f>
        <v>1</v>
      </c>
      <c r="B42" s="83">
        <f>_xll.flu_CocMaSatKMD($D$24,$D$16,$D$17,$D$25,$H$12:$M$24,FALSE,FALSE,$D$18,$D$13,$K$30,$H$30,A42,"Cao độ")</f>
        <v>1</v>
      </c>
      <c r="C42" s="87" t="str">
        <f>IF(B42="","",_xll.TimTenLoaiDat(B42,$F$12:$H$24))</f>
        <v>Lớp 1</v>
      </c>
      <c r="D42" s="82" t="str">
        <f>IF(B42="","",_xll.TimTinhChatDat(B42,$H$12:$I$24))</f>
        <v>Cát chặt vừa - bụi</v>
      </c>
      <c r="E42" s="96">
        <f>IF(B42="","",_xll.Qb_CocMaSatKMD(B42,$H$12:$M$24,$D$23,$D$25,$H$30,$D$15,$D$26,"GanmaRR"))</f>
        <v>0</v>
      </c>
      <c r="F42" s="41">
        <f>IFERROR(_xll.TinhGammaqbCMS($D$19,_xll.TimTinhChatDatCotTU(B42,$H$12:$O$23,7),_xll.TimTinhChatDatCotTU(B42,$H$12:$O$23,7),_xll.TimTinhChatDatCotTU(B42,$H$12:$O$23,3),$D$12,_xll.TimTinhChatDatCotTU(B42,$H$12:$O$23,6),$D$20),"")</f>
        <v>0.98551999999999995</v>
      </c>
      <c r="G42" s="95">
        <f>IF(B42="","",_xll.Qb_CocMaSatKMD(B42,$H$12:$M$24,$D$23,$D$25,$H$30,$D$15,$D$26,"qb"))</f>
        <v>0</v>
      </c>
      <c r="H42" s="95">
        <f t="shared" si="0"/>
        <v>0</v>
      </c>
      <c r="I42" s="96">
        <f>IF(B42="","",_xll.flu_CocMaSatKMD($D$24,$D$16,$D$17,$D$25,$H$12:$M$24,FALSE,FALSE,$D$18,$D$13,$K$30,$H$30,A42,"GanmaRf"))</f>
        <v>0.8</v>
      </c>
      <c r="J42" s="96">
        <f>IF(B42="","",_xll.flu_CocMaSatKMD($D$24,$D$16,$D$17,$D$25,$H$12:$M$24,FALSE,FALSE,$D$18,$D$13,$K$30,$H$30,A42,"Li"))</f>
        <v>0.5</v>
      </c>
      <c r="K42" s="41">
        <f>IFERROR(_xll.TinhGammafiCMS($D$19,_xll.TimTinhChatDatCotTU(B42,$H$12:$O$23,7),_xll.TimTinhChatDatCotTU(B42,$H$12:$O$23,7),_xll.TimTinhChatDatCotTU(B42,$H$12:$O$23,3),$D$12,_xll.TimTinhChatDatCotTU(B42,$H$12:$O$23,6),$D$20),"")</f>
        <v>0.93552000000000002</v>
      </c>
      <c r="L42" s="95">
        <f>IF(B42="","",IF(B42&lt;=$I$28,0,_xll.flu_CocMaSatKMD($D$24,$D$16,$D$17,$D$25,$H$12:$M$24,FALSE,FALSE,$D$18,$D$13,$K$30,$H$30,A42,"f")))</f>
        <v>0</v>
      </c>
      <c r="M42" s="95">
        <f t="shared" si="1"/>
        <v>0</v>
      </c>
      <c r="N42" s="95">
        <f>IFERROR(M42+N41,"")</f>
        <v>0</v>
      </c>
      <c r="O42" s="87">
        <f t="shared" ref="O42:O105" si="3">IFERROR(N42+H42,"")</f>
        <v>0</v>
      </c>
      <c r="P42" s="43"/>
      <c r="U42" s="43"/>
      <c r="V42" s="43"/>
      <c r="W42" s="43"/>
      <c r="X42" s="43"/>
      <c r="Y42" s="43"/>
      <c r="Z42" s="43"/>
      <c r="AA42" s="43"/>
    </row>
    <row r="43" spans="1:27" customFormat="1">
      <c r="A43" s="87">
        <f t="shared" si="2"/>
        <v>2</v>
      </c>
      <c r="B43" s="83">
        <f>_xll.flu_CocMaSatKMD($D$24,$D$16,$D$17,$D$25,$H$12:$M$24,FALSE,FALSE,$D$18,$D$13,$K$30,$H$30,A43,"Cao độ")</f>
        <v>1.5</v>
      </c>
      <c r="C43" s="87" t="str">
        <f>IF(B43="","",_xll.TimTenLoaiDat(B43,$F$12:$H$24))</f>
        <v>Lớp 2</v>
      </c>
      <c r="D43" s="82" t="str">
        <f>IF(B43="","",_xll.TimTinhChatDat(B43,$H$12:$I$24))</f>
        <v>Đất sét</v>
      </c>
      <c r="E43" s="96">
        <f>IF(B43="","",_xll.Qb_CocMaSatKMD(B43,$H$12:$M$24,$D$23,$D$25,$H$30,$D$15,$D$26,"GanmaRR"))</f>
        <v>0</v>
      </c>
      <c r="F43" s="41">
        <f>IFERROR(_xll.TinhGammaqbCMS($D$19,_xll.TimTinhChatDatCotTU(B43,$H$12:$O$23,7),_xll.TimTinhChatDatCotTU(B43,$H$12:$O$23,7),_xll.TimTinhChatDatCotTU(B43,$H$12:$O$23,3),$D$12,_xll.TimTinhChatDatCotTU(B43,$H$12:$O$23,6),$D$20),"")</f>
        <v>0.94276000000000004</v>
      </c>
      <c r="G43" s="95">
        <f>IF(B43="","",_xll.Qb_CocMaSatKMD(B43,$H$12:$M$24,$D$23,$D$25,$H$30,$D$15,$D$26,"qb"))</f>
        <v>0</v>
      </c>
      <c r="H43" s="95">
        <f t="shared" si="0"/>
        <v>0</v>
      </c>
      <c r="I43" s="96">
        <f>IF(B43="","",_xll.flu_CocMaSatKMD($D$24,$D$16,$D$17,$D$25,$H$12:$M$24,FALSE,FALSE,$D$18,$D$13,$K$30,$H$30,A43,"GanmaRf"))</f>
        <v>1</v>
      </c>
      <c r="J43" s="96">
        <f>IF(B43="","",_xll.flu_CocMaSatKMD($D$24,$D$16,$D$17,$D$25,$H$12:$M$24,FALSE,FALSE,$D$18,$D$13,$K$30,$H$30,A43,"Li"))</f>
        <v>0.5</v>
      </c>
      <c r="K43" s="41">
        <f>IFERROR(_xll.TinhGammafiCMS($D$19,_xll.TimTinhChatDatCotTU(B43,$H$12:$O$23,7),_xll.TimTinhChatDatCotTU(B43,$H$12:$O$23,7),_xll.TimTinhChatDatCotTU(B43,$H$12:$O$23,3),$D$12,_xll.TimTinhChatDatCotTU(B43,$H$12:$O$23,6),$D$20),"")</f>
        <v>0.84275999999999995</v>
      </c>
      <c r="L43" s="95">
        <f>IF(B43="","",IF(B43&lt;=$I$28,0,_xll.flu_CocMaSatKMD($D$24,$D$16,$D$17,$D$25,$H$12:$M$24,FALSE,FALSE,$D$18,$D$13,$K$30,$H$30,A43,"f")))</f>
        <v>0</v>
      </c>
      <c r="M43" s="95">
        <f t="shared" si="1"/>
        <v>0</v>
      </c>
      <c r="N43" s="95">
        <f t="shared" ref="N43:N106" si="4">IFERROR(M43+N42,"")</f>
        <v>0</v>
      </c>
      <c r="O43" s="87">
        <f t="shared" si="3"/>
        <v>0</v>
      </c>
      <c r="P43" s="43"/>
      <c r="U43" s="43"/>
      <c r="V43" s="43"/>
      <c r="W43" s="43"/>
    </row>
    <row r="44" spans="1:27" customFormat="1">
      <c r="A44" s="87">
        <f t="shared" si="2"/>
        <v>3</v>
      </c>
      <c r="B44" s="83">
        <f>_xll.flu_CocMaSatKMD($D$24,$D$16,$D$17,$D$25,$H$12:$M$24,FALSE,FALSE,$D$18,$D$13,$K$30,$H$30,A44,"Cao độ")</f>
        <v>2</v>
      </c>
      <c r="C44" s="87" t="str">
        <f>IF(B44="","",_xll.TimTenLoaiDat(B44,$F$12:$H$24))</f>
        <v>Lớp 2</v>
      </c>
      <c r="D44" s="82" t="str">
        <f>IF(B44="","",_xll.TimTinhChatDat(B44,$H$12:$I$24))</f>
        <v>Đất sét</v>
      </c>
      <c r="E44" s="96">
        <f>IF(B44="","",_xll.Qb_CocMaSatKMD(B44,$H$12:$M$24,$D$23,$D$25,$H$30,$D$15,$D$26,"GanmaRR"))</f>
        <v>0</v>
      </c>
      <c r="F44" s="41">
        <f>IFERROR(_xll.TinhGammaqbCMS($D$19,_xll.TimTinhChatDatCotTU(B44,$H$12:$O$23,7),_xll.TimTinhChatDatCotTU(B44,$H$12:$O$23,7),_xll.TimTinhChatDatCotTU(B44,$H$12:$O$23,3),$D$12,_xll.TimTinhChatDatCotTU(B44,$H$12:$O$23,6),$D$20),"")</f>
        <v>0.94276000000000004</v>
      </c>
      <c r="G44" s="95">
        <f>IF(B44="","",_xll.Qb_CocMaSatKMD(B44,$H$12:$M$24,$D$23,$D$25,$H$30,$D$15,$D$26,"qb"))</f>
        <v>0</v>
      </c>
      <c r="H44" s="95">
        <f t="shared" si="0"/>
        <v>0</v>
      </c>
      <c r="I44" s="96">
        <f>IF(B44="","",_xll.flu_CocMaSatKMD($D$24,$D$16,$D$17,$D$25,$H$12:$M$24,FALSE,FALSE,$D$18,$D$13,$K$30,$H$30,A44,"GanmaRf"))</f>
        <v>1</v>
      </c>
      <c r="J44" s="96">
        <f>IF(B44="","",_xll.flu_CocMaSatKMD($D$24,$D$16,$D$17,$D$25,$H$12:$M$24,FALSE,FALSE,$D$18,$D$13,$K$30,$H$30,A44,"Li"))</f>
        <v>1</v>
      </c>
      <c r="K44" s="41">
        <f>IFERROR(_xll.TinhGammafiCMS($D$19,_xll.TimTinhChatDatCotTU(B44,$H$12:$O$23,7),_xll.TimTinhChatDatCotTU(B44,$H$12:$O$23,7),_xll.TimTinhChatDatCotTU(B44,$H$12:$O$23,3),$D$12,_xll.TimTinhChatDatCotTU(B44,$H$12:$O$23,6),$D$20),"")</f>
        <v>0.84275999999999995</v>
      </c>
      <c r="L44" s="95">
        <f>IF(B44="","",IF(B44&lt;=$I$28,0,_xll.flu_CocMaSatKMD($D$24,$D$16,$D$17,$D$25,$H$12:$M$24,FALSE,FALSE,$D$18,$D$13,$K$30,$H$30,A44,"f")))</f>
        <v>0</v>
      </c>
      <c r="M44" s="95">
        <f t="shared" si="1"/>
        <v>0</v>
      </c>
      <c r="N44" s="95">
        <f t="shared" si="4"/>
        <v>0</v>
      </c>
      <c r="O44" s="87">
        <f t="shared" si="3"/>
        <v>0</v>
      </c>
      <c r="P44" s="43"/>
      <c r="U44" s="43"/>
      <c r="V44" s="43"/>
      <c r="W44" s="43"/>
    </row>
    <row r="45" spans="1:27" customFormat="1">
      <c r="A45" s="87">
        <f t="shared" si="2"/>
        <v>4</v>
      </c>
      <c r="B45" s="83">
        <f>_xll.flu_CocMaSatKMD($D$24,$D$16,$D$17,$D$25,$H$12:$M$24,FALSE,FALSE,$D$18,$D$13,$K$30,$H$30,A45,"Cao độ")</f>
        <v>3</v>
      </c>
      <c r="C45" s="87" t="str">
        <f>IF(B45="","",_xll.TimTenLoaiDat(B45,$F$12:$H$24))</f>
        <v>Lớp 2</v>
      </c>
      <c r="D45" s="82" t="str">
        <f>IF(B45="","",_xll.TimTinhChatDat(B45,$H$12:$I$24))</f>
        <v>Đất sét</v>
      </c>
      <c r="E45" s="96">
        <f>IF(B45="","",_xll.Qb_CocMaSatKMD(B45,$H$12:$M$24,$D$23,$D$25,$H$30,$D$15,$D$26,"GanmaRR"))</f>
        <v>1.1000000000000001</v>
      </c>
      <c r="F45" s="41">
        <f>IFERROR(_xll.TinhGammaqbCMS($D$19,_xll.TimTinhChatDatCotTU(B45,$H$12:$O$23,7),_xll.TimTinhChatDatCotTU(B45,$H$12:$O$23,7),_xll.TimTinhChatDatCotTU(B45,$H$12:$O$23,3),$D$12,_xll.TimTinhChatDatCotTU(B45,$H$12:$O$23,6),$D$20),"")</f>
        <v>0.94276000000000004</v>
      </c>
      <c r="G45" s="95">
        <f>IF(B45="","",_xll.Qb_CocMaSatKMD(B45,$H$12:$M$24,$D$23,$D$25,$H$30,$D$15,$D$26,"qb"))</f>
        <v>2000</v>
      </c>
      <c r="H45" s="95">
        <f t="shared" si="0"/>
        <v>1628.97233955407</v>
      </c>
      <c r="I45" s="96">
        <f>IF(B45="","",_xll.flu_CocMaSatKMD($D$24,$D$16,$D$17,$D$25,$H$12:$M$24,FALSE,FALSE,$D$18,$D$13,$K$30,$H$30,A45,"GanmaRf"))</f>
        <v>1</v>
      </c>
      <c r="J45" s="96">
        <f>IF(B45="","",_xll.flu_CocMaSatKMD($D$24,$D$16,$D$17,$D$25,$H$12:$M$24,FALSE,FALSE,$D$18,$D$13,$K$30,$H$30,A45,"Li"))</f>
        <v>1</v>
      </c>
      <c r="K45" s="41">
        <f>IFERROR(_xll.TinhGammafiCMS($D$19,_xll.TimTinhChatDatCotTU(B45,$H$12:$O$23,7),_xll.TimTinhChatDatCotTU(B45,$H$12:$O$23,7),_xll.TimTinhChatDatCotTU(B45,$H$12:$O$23,3),$D$12,_xll.TimTinhChatDatCotTU(B45,$H$12:$O$23,6),$D$20),"")</f>
        <v>0.84275999999999995</v>
      </c>
      <c r="L45" s="95">
        <f>IF(B45="","",IF(B45&lt;=$I$28,0,_xll.flu_CocMaSatKMD($D$24,$D$16,$D$17,$D$25,$H$12:$M$24,FALSE,FALSE,$D$18,$D$13,$K$30,$H$30,A45,"f")))</f>
        <v>0</v>
      </c>
      <c r="M45" s="95">
        <f t="shared" si="1"/>
        <v>0</v>
      </c>
      <c r="N45" s="95">
        <f t="shared" si="4"/>
        <v>0</v>
      </c>
      <c r="O45" s="87">
        <f t="shared" si="3"/>
        <v>1628.97233955407</v>
      </c>
      <c r="P45" s="43"/>
      <c r="U45" s="43"/>
      <c r="V45" s="43"/>
      <c r="W45" s="43"/>
    </row>
    <row r="46" spans="1:27" customFormat="1">
      <c r="A46" s="87">
        <f t="shared" si="2"/>
        <v>5</v>
      </c>
      <c r="B46" s="83">
        <f>_xll.flu_CocMaSatKMD($D$24,$D$16,$D$17,$D$25,$H$12:$M$24,FALSE,FALSE,$D$18,$D$13,$K$30,$H$30,A46,"Cao độ")</f>
        <v>4</v>
      </c>
      <c r="C46" s="87" t="str">
        <f>IF(B46="","",_xll.TimTenLoaiDat(B46,$F$12:$H$24))</f>
        <v>Lớp 2</v>
      </c>
      <c r="D46" s="82" t="str">
        <f>IF(B46="","",_xll.TimTinhChatDat(B46,$H$12:$I$24))</f>
        <v>Đất sét</v>
      </c>
      <c r="E46" s="96">
        <f>IF(B46="","",_xll.Qb_CocMaSatKMD(B46,$H$12:$M$24,$D$23,$D$25,$H$30,$D$15,$D$26,"GanmaRR"))</f>
        <v>1.1000000000000001</v>
      </c>
      <c r="F46" s="41">
        <f>IFERROR(_xll.TinhGammaqbCMS($D$19,_xll.TimTinhChatDatCotTU(B46,$H$12:$O$23,7),_xll.TimTinhChatDatCotTU(B46,$H$12:$O$23,7),_xll.TimTinhChatDatCotTU(B46,$H$12:$O$23,3),$D$12,_xll.TimTinhChatDatCotTU(B46,$H$12:$O$23,6),$D$20),"")</f>
        <v>0.94276000000000004</v>
      </c>
      <c r="G46" s="95">
        <f>IF(B46="","",_xll.Qb_CocMaSatKMD(B46,$H$12:$M$24,$D$23,$D$25,$H$30,$D$15,$D$26,"qb"))</f>
        <v>2500</v>
      </c>
      <c r="H46" s="95">
        <f t="shared" si="0"/>
        <v>2036.2154244425899</v>
      </c>
      <c r="I46" s="96">
        <f>IF(B46="","",_xll.flu_CocMaSatKMD($D$24,$D$16,$D$17,$D$25,$H$12:$M$24,FALSE,FALSE,$D$18,$D$13,$K$30,$H$30,A46,"GanmaRf"))</f>
        <v>1</v>
      </c>
      <c r="J46" s="96">
        <f>IF(B46="","",_xll.flu_CocMaSatKMD($D$24,$D$16,$D$17,$D$25,$H$12:$M$24,FALSE,FALSE,$D$18,$D$13,$K$30,$H$30,A46,"Li"))</f>
        <v>1</v>
      </c>
      <c r="K46" s="41">
        <f>IFERROR(_xll.TinhGammafiCMS($D$19,_xll.TimTinhChatDatCotTU(B46,$H$12:$O$23,7),_xll.TimTinhChatDatCotTU(B46,$H$12:$O$23,7),_xll.TimTinhChatDatCotTU(B46,$H$12:$O$23,3),$D$12,_xll.TimTinhChatDatCotTU(B46,$H$12:$O$23,6),$D$20),"")</f>
        <v>0.84275999999999995</v>
      </c>
      <c r="L46" s="95">
        <f>IF(B46="","",IF(B46&lt;=$I$28,0,_xll.flu_CocMaSatKMD($D$24,$D$16,$D$17,$D$25,$H$12:$M$24,FALSE,FALSE,$D$18,$D$13,$K$30,$H$30,A46,"f")))</f>
        <v>0</v>
      </c>
      <c r="M46" s="95">
        <f t="shared" si="1"/>
        <v>0</v>
      </c>
      <c r="N46" s="95">
        <f t="shared" si="4"/>
        <v>0</v>
      </c>
      <c r="O46" s="87">
        <f t="shared" si="3"/>
        <v>2036.2154244425899</v>
      </c>
      <c r="P46" s="43"/>
      <c r="U46" s="43"/>
      <c r="V46" s="43"/>
      <c r="W46" s="43"/>
    </row>
    <row r="47" spans="1:27" s="35" customFormat="1" ht="12.75">
      <c r="A47" s="87">
        <f t="shared" si="2"/>
        <v>6</v>
      </c>
      <c r="B47" s="83">
        <f>_xll.flu_CocMaSatKMD($D$24,$D$16,$D$17,$D$25,$H$12:$M$24,FALSE,FALSE,$D$18,$D$13,$K$30,$H$30,A47,"Cao độ")</f>
        <v>5</v>
      </c>
      <c r="C47" s="87" t="str">
        <f>IF(B47="","",_xll.TimTenLoaiDat(B47,$F$12:$H$24))</f>
        <v>Lớp 2</v>
      </c>
      <c r="D47" s="82" t="str">
        <f>IF(B47="","",_xll.TimTinhChatDat(B47,$H$12:$I$24))</f>
        <v>Đất sét</v>
      </c>
      <c r="E47" s="96">
        <f>IF(B47="","",_xll.Qb_CocMaSatKMD(B47,$H$12:$M$24,$D$23,$D$25,$H$30,$D$15,$D$26,"GanmaRR"))</f>
        <v>1.1000000000000001</v>
      </c>
      <c r="F47" s="41">
        <f>IFERROR(_xll.TinhGammaqbCMS($D$19,_xll.TimTinhChatDatCotTU(B47,$H$12:$O$23,7),_xll.TimTinhChatDatCotTU(B47,$H$12:$O$23,7),_xll.TimTinhChatDatCotTU(B47,$H$12:$O$23,3),$D$12,_xll.TimTinhChatDatCotTU(B47,$H$12:$O$23,6),$D$20),"")</f>
        <v>0.94276000000000004</v>
      </c>
      <c r="G47" s="95">
        <f>IF(B47="","",_xll.Qb_CocMaSatKMD(B47,$H$12:$M$24,$D$23,$D$25,$H$30,$D$15,$D$26,"qb"))</f>
        <v>2800</v>
      </c>
      <c r="H47" s="95">
        <f t="shared" si="0"/>
        <v>2280.5612753757</v>
      </c>
      <c r="I47" s="96">
        <f>IF(B47="","",_xll.flu_CocMaSatKMD($D$24,$D$16,$D$17,$D$25,$H$12:$M$24,FALSE,FALSE,$D$18,$D$13,$K$30,$H$30,A47,"GanmaRf"))</f>
        <v>1</v>
      </c>
      <c r="J47" s="96">
        <f>IF(B47="","",_xll.flu_CocMaSatKMD($D$24,$D$16,$D$17,$D$25,$H$12:$M$24,FALSE,FALSE,$D$18,$D$13,$K$30,$H$30,A47,"Li"))</f>
        <v>1</v>
      </c>
      <c r="K47" s="41">
        <f>IFERROR(_xll.TinhGammafiCMS($D$19,_xll.TimTinhChatDatCotTU(B47,$H$12:$O$23,7),_xll.TimTinhChatDatCotTU(B47,$H$12:$O$23,7),_xll.TimTinhChatDatCotTU(B47,$H$12:$O$23,3),$D$12,_xll.TimTinhChatDatCotTU(B47,$H$12:$O$23,6),$D$20),"")</f>
        <v>0.84275999999999995</v>
      </c>
      <c r="L47" s="95">
        <f>IF(B47="","",IF(B47&lt;=$I$28,0,_xll.flu_CocMaSatKMD($D$24,$D$16,$D$17,$D$25,$H$12:$M$24,FALSE,FALSE,$D$18,$D$13,$K$30,$H$30,A47,"f")))</f>
        <v>0</v>
      </c>
      <c r="M47" s="95">
        <f t="shared" si="1"/>
        <v>0</v>
      </c>
      <c r="N47" s="95">
        <f t="shared" si="4"/>
        <v>0</v>
      </c>
      <c r="O47" s="87">
        <f t="shared" si="3"/>
        <v>2280.5612753757</v>
      </c>
    </row>
    <row r="48" spans="1:27" s="35" customFormat="1" ht="12.75">
      <c r="A48" s="87">
        <f t="shared" si="2"/>
        <v>7</v>
      </c>
      <c r="B48" s="83">
        <f>_xll.flu_CocMaSatKMD($D$24,$D$16,$D$17,$D$25,$H$12:$M$24,FALSE,FALSE,$D$18,$D$13,$K$30,$H$30,A48,"Cao độ")</f>
        <v>6</v>
      </c>
      <c r="C48" s="87" t="str">
        <f>IF(B48="","",_xll.TimTenLoaiDat(B48,$F$12:$H$24))</f>
        <v>Lớp 2</v>
      </c>
      <c r="D48" s="82" t="str">
        <f>IF(B48="","",_xll.TimTinhChatDat(B48,$H$12:$I$24))</f>
        <v>Đất sét</v>
      </c>
      <c r="E48" s="96">
        <f>IF(B48="","",_xll.Qb_CocMaSatKMD(B48,$H$12:$M$24,$D$23,$D$25,$H$30,$D$15,$D$26,"GanmaRR"))</f>
        <v>1.1000000000000001</v>
      </c>
      <c r="F48" s="41">
        <f>IFERROR(_xll.TinhGammaqbCMS($D$19,_xll.TimTinhChatDatCotTU(B48,$H$12:$O$23,7),_xll.TimTinhChatDatCotTU(B48,$H$12:$O$23,7),_xll.TimTinhChatDatCotTU(B48,$H$12:$O$23,3),$D$12,_xll.TimTinhChatDatCotTU(B48,$H$12:$O$23,6),$D$20),"")</f>
        <v>0.94276000000000004</v>
      </c>
      <c r="G48" s="95">
        <f>IF(B48="","",_xll.Qb_CocMaSatKMD(B48,$H$12:$M$24,$D$23,$D$25,$H$30,$D$15,$D$26,"qb"))</f>
        <v>3050</v>
      </c>
      <c r="H48" s="95">
        <f t="shared" si="0"/>
        <v>2484.1828178199598</v>
      </c>
      <c r="I48" s="96">
        <f>IF(B48="","",_xll.flu_CocMaSatKMD($D$24,$D$16,$D$17,$D$25,$H$12:$M$24,FALSE,FALSE,$D$18,$D$13,$K$30,$H$30,A48,"GanmaRf"))</f>
        <v>1</v>
      </c>
      <c r="J48" s="96">
        <f>IF(B48="","",_xll.flu_CocMaSatKMD($D$24,$D$16,$D$17,$D$25,$H$12:$M$24,FALSE,FALSE,$D$18,$D$13,$K$30,$H$30,A48,"Li"))</f>
        <v>1</v>
      </c>
      <c r="K48" s="41">
        <f>IFERROR(_xll.TinhGammafiCMS($D$19,_xll.TimTinhChatDatCotTU(B48,$H$12:$O$23,7),_xll.TimTinhChatDatCotTU(B48,$H$12:$O$23,7),_xll.TimTinhChatDatCotTU(B48,$H$12:$O$23,3),$D$12,_xll.TimTinhChatDatCotTU(B48,$H$12:$O$23,6),$D$20),"")</f>
        <v>0.84275999999999995</v>
      </c>
      <c r="L48" s="95">
        <f>IF(B48="","",IF(B48&lt;=$I$28,0,_xll.flu_CocMaSatKMD($D$24,$D$16,$D$17,$D$25,$H$12:$M$24,FALSE,FALSE,$D$18,$D$13,$K$30,$H$30,A48,"f")))</f>
        <v>0</v>
      </c>
      <c r="M48" s="95">
        <f t="shared" si="1"/>
        <v>0</v>
      </c>
      <c r="N48" s="95">
        <f t="shared" si="4"/>
        <v>0</v>
      </c>
      <c r="O48" s="87">
        <f t="shared" si="3"/>
        <v>2484.1828178199598</v>
      </c>
    </row>
    <row r="49" spans="1:23" customFormat="1">
      <c r="A49" s="87">
        <f t="shared" si="2"/>
        <v>8</v>
      </c>
      <c r="B49" s="83">
        <f>_xll.flu_CocMaSatKMD($D$24,$D$16,$D$17,$D$25,$H$12:$M$24,FALSE,FALSE,$D$18,$D$13,$K$30,$H$30,A49,"Cao độ")</f>
        <v>7</v>
      </c>
      <c r="C49" s="87" t="str">
        <f>IF(B49="","",_xll.TimTenLoaiDat(B49,$F$12:$H$24))</f>
        <v>Lớp 3</v>
      </c>
      <c r="D49" s="82" t="str">
        <f>IF(B49="","",_xll.TimTinhChatDat(B49,$H$12:$I$24))</f>
        <v>Đất sét</v>
      </c>
      <c r="E49" s="96">
        <f>IF(B49="","",_xll.Qb_CocMaSatKMD(B49,$H$12:$M$24,$D$23,$D$25,$H$30,$D$15,$D$26,"GanmaRR"))</f>
        <v>1.1000000000000001</v>
      </c>
      <c r="F49" s="41">
        <f>IFERROR(_xll.TinhGammaqbCMS($D$19,_xll.TimTinhChatDatCotTU(B49,$H$12:$O$23,7),_xll.TimTinhChatDatCotTU(B49,$H$12:$O$23,7),_xll.TimTinhChatDatCotTU(B49,$H$12:$O$23,3),$D$12,_xll.TimTinhChatDatCotTU(B49,$H$12:$O$23,6),$D$20),"")</f>
        <v>0.94276000000000004</v>
      </c>
      <c r="G49" s="95">
        <f>IF(B49="","",_xll.Qb_CocMaSatKMD(B49,$H$12:$M$24,$D$23,$D$25,$H$30,$D$15,$D$26,"qb"))</f>
        <v>4300</v>
      </c>
      <c r="H49" s="95">
        <f t="shared" si="0"/>
        <v>3502.2905300412599</v>
      </c>
      <c r="I49" s="96">
        <f>IF(B49="","",_xll.flu_CocMaSatKMD($D$24,$D$16,$D$17,$D$25,$H$12:$M$24,FALSE,FALSE,$D$18,$D$13,$K$30,$H$30,A49,"GanmaRf"))</f>
        <v>1</v>
      </c>
      <c r="J49" s="96">
        <f>IF(B49="","",_xll.flu_CocMaSatKMD($D$24,$D$16,$D$17,$D$25,$H$12:$M$24,FALSE,FALSE,$D$18,$D$13,$K$30,$H$30,A49,"Li"))</f>
        <v>1</v>
      </c>
      <c r="K49" s="41">
        <f>IFERROR(_xll.TinhGammafiCMS($D$19,_xll.TimTinhChatDatCotTU(B49,$H$12:$O$23,7),_xll.TimTinhChatDatCotTU(B49,$H$12:$O$23,7),_xll.TimTinhChatDatCotTU(B49,$H$12:$O$23,3),$D$12,_xll.TimTinhChatDatCotTU(B49,$H$12:$O$23,6),$D$20),"")</f>
        <v>0.84275999999999995</v>
      </c>
      <c r="L49" s="95">
        <f>IF(B49="","",IF(B49&lt;=$I$28,0,_xll.flu_CocMaSatKMD($D$24,$D$16,$D$17,$D$25,$H$12:$M$24,FALSE,FALSE,$D$18,$D$13,$K$30,$H$30,A49,"f")))</f>
        <v>0</v>
      </c>
      <c r="M49" s="95">
        <f t="shared" si="1"/>
        <v>0</v>
      </c>
      <c r="N49" s="95">
        <f t="shared" si="4"/>
        <v>0</v>
      </c>
      <c r="O49" s="87">
        <f t="shared" si="3"/>
        <v>3502.2905300412599</v>
      </c>
      <c r="P49" s="43"/>
      <c r="U49" s="43"/>
      <c r="V49" s="43"/>
      <c r="W49" s="43"/>
    </row>
    <row r="50" spans="1:23" customFormat="1">
      <c r="A50" s="87">
        <f t="shared" si="2"/>
        <v>9</v>
      </c>
      <c r="B50" s="83">
        <f>_xll.flu_CocMaSatKMD($D$24,$D$16,$D$17,$D$25,$H$12:$M$24,FALSE,FALSE,$D$18,$D$13,$K$30,$H$30,A50,"Cao độ")</f>
        <v>8</v>
      </c>
      <c r="C50" s="87" t="str">
        <f>IF(B50="","",_xll.TimTenLoaiDat(B50,$F$12:$H$24))</f>
        <v>Lớp 3</v>
      </c>
      <c r="D50" s="82" t="str">
        <f>IF(B50="","",_xll.TimTinhChatDat(B50,$H$12:$I$24))</f>
        <v>Đất sét</v>
      </c>
      <c r="E50" s="96">
        <f>IF(B50="","",_xll.Qb_CocMaSatKMD(B50,$H$12:$M$24,$D$23,$D$25,$H$30,$D$15,$D$26,"GanmaRR"))</f>
        <v>1.1000000000000001</v>
      </c>
      <c r="F50" s="41">
        <f>IFERROR(_xll.TinhGammaqbCMS($D$19,_xll.TimTinhChatDatCotTU(B50,$H$12:$O$23,7),_xll.TimTinhChatDatCotTU(B50,$H$12:$O$23,7),_xll.TimTinhChatDatCotTU(B50,$H$12:$O$23,3),$D$12,_xll.TimTinhChatDatCotTU(B50,$H$12:$O$23,6),$D$20),"")</f>
        <v>0.94276000000000004</v>
      </c>
      <c r="G50" s="95">
        <f>IF(B50="","",_xll.Qb_CocMaSatKMD(B50,$H$12:$M$24,$D$23,$D$25,$H$30,$D$15,$D$26,"qb"))</f>
        <v>4533.3333333333303</v>
      </c>
      <c r="H50" s="95">
        <f t="shared" si="0"/>
        <v>3692.33730298923</v>
      </c>
      <c r="I50" s="96">
        <f>IF(B50="","",_xll.flu_CocMaSatKMD($D$24,$D$16,$D$17,$D$25,$H$12:$M$24,FALSE,FALSE,$D$18,$D$13,$K$30,$H$30,A50,"GanmaRf"))</f>
        <v>1</v>
      </c>
      <c r="J50" s="96">
        <f>IF(B50="","",_xll.flu_CocMaSatKMD($D$24,$D$16,$D$17,$D$25,$H$12:$M$24,FALSE,FALSE,$D$18,$D$13,$K$30,$H$30,A50,"Li"))</f>
        <v>1</v>
      </c>
      <c r="K50" s="41">
        <f>IFERROR(_xll.TinhGammafiCMS($D$19,_xll.TimTinhChatDatCotTU(B50,$H$12:$O$23,7),_xll.TimTinhChatDatCotTU(B50,$H$12:$O$23,7),_xll.TimTinhChatDatCotTU(B50,$H$12:$O$23,3),$D$12,_xll.TimTinhChatDatCotTU(B50,$H$12:$O$23,6),$D$20),"")</f>
        <v>0.84275999999999995</v>
      </c>
      <c r="L50" s="95">
        <f>IF(B50="","",IF(B50&lt;=$I$28,0,_xll.flu_CocMaSatKMD($D$24,$D$16,$D$17,$D$25,$H$12:$M$24,FALSE,FALSE,$D$18,$D$13,$K$30,$H$30,A50,"f")))</f>
        <v>62</v>
      </c>
      <c r="M50" s="95">
        <f t="shared" si="1"/>
        <v>164.15173473383899</v>
      </c>
      <c r="N50" s="95">
        <f t="shared" si="4"/>
        <v>164.15173473383899</v>
      </c>
      <c r="O50" s="87">
        <f t="shared" si="3"/>
        <v>3856.4890377230699</v>
      </c>
    </row>
    <row r="51" spans="1:23">
      <c r="A51" s="87">
        <f t="shared" si="2"/>
        <v>10</v>
      </c>
      <c r="B51" s="83">
        <f>_xll.flu_CocMaSatKMD($D$24,$D$16,$D$17,$D$25,$H$12:$M$24,FALSE,FALSE,$D$18,$D$13,$K$30,$H$30,A51,"Cao độ")</f>
        <v>9</v>
      </c>
      <c r="C51" s="87" t="str">
        <f>IF(B51="","",_xll.TimTenLoaiDat(B51,$F$12:$H$24))</f>
        <v>Lớp 3</v>
      </c>
      <c r="D51" s="82" t="str">
        <f>IF(B51="","",_xll.TimTinhChatDat(B51,$H$12:$I$24))</f>
        <v>Đất sét</v>
      </c>
      <c r="E51" s="96">
        <f>IF(B51="","",_xll.Qb_CocMaSatKMD(B51,$H$12:$M$24,$D$23,$D$25,$H$30,$D$15,$D$26,"GanmaRR"))</f>
        <v>1.1000000000000001</v>
      </c>
      <c r="F51" s="41">
        <f>IFERROR(_xll.TinhGammaqbCMS($D$19,_xll.TimTinhChatDatCotTU(B51,$H$12:$O$23,7),_xll.TimTinhChatDatCotTU(B51,$H$12:$O$23,7),_xll.TimTinhChatDatCotTU(B51,$H$12:$O$23,3),$D$12,_xll.TimTinhChatDatCotTU(B51,$H$12:$O$23,6),$D$20),"")</f>
        <v>0.94276000000000004</v>
      </c>
      <c r="G51" s="95">
        <f>IF(B51="","",_xll.Qb_CocMaSatKMD(B51,$H$12:$M$24,$D$23,$D$25,$H$30,$D$15,$D$26,"qb"))</f>
        <v>4766.6666666666697</v>
      </c>
      <c r="H51" s="95">
        <f t="shared" si="0"/>
        <v>3882.3840759372101</v>
      </c>
      <c r="I51" s="96">
        <f>IF(B51="","",_xll.flu_CocMaSatKMD($D$24,$D$16,$D$17,$D$25,$H$12:$M$24,FALSE,FALSE,$D$18,$D$13,$K$30,$H$30,A51,"GanmaRf"))</f>
        <v>1</v>
      </c>
      <c r="J51" s="96">
        <f>IF(B51="","",_xll.flu_CocMaSatKMD($D$24,$D$16,$D$17,$D$25,$H$12:$M$24,FALSE,FALSE,$D$18,$D$13,$K$30,$H$30,A51,"Li"))</f>
        <v>1</v>
      </c>
      <c r="K51" s="41">
        <f>IFERROR(_xll.TinhGammafiCMS($D$19,_xll.TimTinhChatDatCotTU(B51,$H$12:$O$23,7),_xll.TimTinhChatDatCotTU(B51,$H$12:$O$23,7),_xll.TimTinhChatDatCotTU(B51,$H$12:$O$23,3),$D$12,_xll.TimTinhChatDatCotTU(B51,$H$12:$O$23,6),$D$20),"")</f>
        <v>0.84275999999999995</v>
      </c>
      <c r="L51" s="95">
        <f>IF(B51="","",IF(B51&lt;=$I$28,0,_xll.flu_CocMaSatKMD($D$24,$D$16,$D$17,$D$25,$H$12:$M$24,FALSE,FALSE,$D$18,$D$13,$K$30,$H$30,A51,"f")))</f>
        <v>63.5</v>
      </c>
      <c r="M51" s="95">
        <f t="shared" si="1"/>
        <v>168.12314767094799</v>
      </c>
      <c r="N51" s="95">
        <f t="shared" si="4"/>
        <v>332.27488240478601</v>
      </c>
      <c r="O51" s="87">
        <f t="shared" si="3"/>
        <v>4214.65895834199</v>
      </c>
    </row>
    <row r="52" spans="1:23">
      <c r="A52" s="87">
        <f t="shared" si="2"/>
        <v>11</v>
      </c>
      <c r="B52" s="83">
        <f>_xll.flu_CocMaSatKMD($D$24,$D$16,$D$17,$D$25,$H$12:$M$24,FALSE,FALSE,$D$18,$D$13,$K$30,$H$30,A52,"Cao độ")</f>
        <v>10</v>
      </c>
      <c r="C52" s="87" t="str">
        <f>IF(B52="","",_xll.TimTenLoaiDat(B52,$F$12:$H$24))</f>
        <v>Lớp 3</v>
      </c>
      <c r="D52" s="82" t="str">
        <f>IF(B52="","",_xll.TimTinhChatDat(B52,$H$12:$I$24))</f>
        <v>Đất sét</v>
      </c>
      <c r="E52" s="96">
        <f>IF(B52="","",_xll.Qb_CocMaSatKMD(B52,$H$12:$M$24,$D$23,$D$25,$H$30,$D$15,$D$26,"GanmaRR"))</f>
        <v>1.1000000000000001</v>
      </c>
      <c r="F52" s="41">
        <f>IFERROR(_xll.TinhGammaqbCMS($D$19,_xll.TimTinhChatDatCotTU(B52,$H$12:$O$23,7),_xll.TimTinhChatDatCotTU(B52,$H$12:$O$23,7),_xll.TimTinhChatDatCotTU(B52,$H$12:$O$23,3),$D$12,_xll.TimTinhChatDatCotTU(B52,$H$12:$O$23,6),$D$20),"")</f>
        <v>0.94276000000000004</v>
      </c>
      <c r="G52" s="95">
        <f>IF(B52="","",_xll.Qb_CocMaSatKMD(B52,$H$12:$M$24,$D$23,$D$25,$H$30,$D$15,$D$26,"qb"))</f>
        <v>5000</v>
      </c>
      <c r="H52" s="95">
        <f t="shared" si="0"/>
        <v>4072.4308488851798</v>
      </c>
      <c r="I52" s="96">
        <f>IF(B52="","",_xll.flu_CocMaSatKMD($D$24,$D$16,$D$17,$D$25,$H$12:$M$24,FALSE,FALSE,$D$18,$D$13,$K$30,$H$30,A52,"GanmaRf"))</f>
        <v>1</v>
      </c>
      <c r="J52" s="96">
        <f>IF(B52="","",_xll.flu_CocMaSatKMD($D$24,$D$16,$D$17,$D$25,$H$12:$M$24,FALSE,FALSE,$D$18,$D$13,$K$30,$H$30,A52,"Li"))</f>
        <v>0.5</v>
      </c>
      <c r="K52" s="41">
        <f>IFERROR(_xll.TinhGammafiCMS($D$19,_xll.TimTinhChatDatCotTU(B52,$H$12:$O$23,7),_xll.TimTinhChatDatCotTU(B52,$H$12:$O$23,7),_xll.TimTinhChatDatCotTU(B52,$H$12:$O$23,3),$D$12,_xll.TimTinhChatDatCotTU(B52,$H$12:$O$23,6),$D$20),"")</f>
        <v>0.84275999999999995</v>
      </c>
      <c r="L52" s="95">
        <f>IF(B52="","",IF(B52&lt;=$I$28,0,_xll.flu_CocMaSatKMD($D$24,$D$16,$D$17,$D$25,$H$12:$M$24,FALSE,FALSE,$D$18,$D$13,$K$30,$H$30,A52,"f")))</f>
        <v>65</v>
      </c>
      <c r="M52" s="95">
        <f t="shared" si="1"/>
        <v>86.047280304028305</v>
      </c>
      <c r="N52" s="95">
        <f t="shared" si="4"/>
        <v>418.32216270881497</v>
      </c>
      <c r="O52" s="87">
        <f t="shared" si="3"/>
        <v>4490.7530115939999</v>
      </c>
    </row>
    <row r="53" spans="1:23">
      <c r="A53" s="87">
        <f t="shared" si="2"/>
        <v>12</v>
      </c>
      <c r="B53" s="83">
        <f>_xll.flu_CocMaSatKMD($D$24,$D$16,$D$17,$D$25,$H$12:$M$24,FALSE,FALSE,$D$18,$D$13,$K$30,$H$30,A53,"Cao độ")</f>
        <v>10.5</v>
      </c>
      <c r="C53" s="87" t="str">
        <f>IF(B53="","",_xll.TimTenLoaiDat(B53,$F$12:$H$24))</f>
        <v>Lớp 4</v>
      </c>
      <c r="D53" s="82" t="str">
        <f>IF(B53="","",_xll.TimTinhChatDat(B53,$H$12:$I$24))</f>
        <v>Đất sét</v>
      </c>
      <c r="E53" s="96">
        <f>IF(B53="","",_xll.Qb_CocMaSatKMD(B53,$H$12:$M$24,$D$23,$D$25,$H$30,$D$15,$D$26,"GanmaRR"))</f>
        <v>1.1000000000000001</v>
      </c>
      <c r="F53" s="41">
        <f>IFERROR(_xll.TinhGammaqbCMS($D$19,_xll.TimTinhChatDatCotTU(B53,$H$12:$O$23,7),_xll.TimTinhChatDatCotTU(B53,$H$12:$O$23,7),_xll.TimTinhChatDatCotTU(B53,$H$12:$O$23,3),$D$12,_xll.TimTinhChatDatCotTU(B53,$H$12:$O$23,6),$D$20),"")</f>
        <v>0.94276000000000004</v>
      </c>
      <c r="G53" s="95">
        <f>IF(B53="","",_xll.Qb_CocMaSatKMD(B53,$H$12:$M$24,$D$23,$D$25,$H$30,$D$15,$D$26,"qb"))</f>
        <v>7320</v>
      </c>
      <c r="H53" s="95">
        <f t="shared" si="0"/>
        <v>5962.0387627679102</v>
      </c>
      <c r="I53" s="96">
        <f>IF(B53="","",_xll.flu_CocMaSatKMD($D$24,$D$16,$D$17,$D$25,$H$12:$M$24,FALSE,FALSE,$D$18,$D$13,$K$30,$H$30,A53,"GanmaRf"))</f>
        <v>1</v>
      </c>
      <c r="J53" s="96">
        <f>IF(B53="","",_xll.flu_CocMaSatKMD($D$24,$D$16,$D$17,$D$25,$H$12:$M$24,FALSE,FALSE,$D$18,$D$13,$K$30,$H$30,A53,"Li"))</f>
        <v>0.5</v>
      </c>
      <c r="K53" s="41">
        <f>IFERROR(_xll.TinhGammafiCMS($D$19,_xll.TimTinhChatDatCotTU(B53,$H$12:$O$23,7),_xll.TimTinhChatDatCotTU(B53,$H$12:$O$23,7),_xll.TimTinhChatDatCotTU(B53,$H$12:$O$23,3),$D$12,_xll.TimTinhChatDatCotTU(B53,$H$12:$O$23,6),$D$20),"")</f>
        <v>0.84275999999999995</v>
      </c>
      <c r="L53" s="95">
        <f>IF(B53="","",IF(B53&lt;=$I$28,0,_xll.flu_CocMaSatKMD($D$24,$D$16,$D$17,$D$25,$H$12:$M$24,FALSE,FALSE,$D$18,$D$13,$K$30,$H$30,A53,"f")))</f>
        <v>65.7</v>
      </c>
      <c r="M53" s="95">
        <f t="shared" si="1"/>
        <v>86.973943322687106</v>
      </c>
      <c r="N53" s="95">
        <f t="shared" si="4"/>
        <v>505.29610603150201</v>
      </c>
      <c r="O53" s="87">
        <f t="shared" si="3"/>
        <v>6467.3348687994103</v>
      </c>
    </row>
    <row r="54" spans="1:23">
      <c r="A54" s="87">
        <f t="shared" si="2"/>
        <v>13</v>
      </c>
      <c r="B54" s="83">
        <f>_xll.flu_CocMaSatKMD($D$24,$D$16,$D$17,$D$25,$H$12:$M$24,FALSE,FALSE,$D$18,$D$13,$K$30,$H$30,A54,"Cao độ")</f>
        <v>11</v>
      </c>
      <c r="C54" s="87" t="str">
        <f>IF(B54="","",_xll.TimTenLoaiDat(B54,$F$12:$H$24))</f>
        <v>Lớp 4</v>
      </c>
      <c r="D54" s="82" t="str">
        <f>IF(B54="","",_xll.TimTinhChatDat(B54,$H$12:$I$24))</f>
        <v>Đất sét</v>
      </c>
      <c r="E54" s="96">
        <f>IF(B54="","",_xll.Qb_CocMaSatKMD(B54,$H$12:$M$24,$D$23,$D$25,$H$30,$D$15,$D$26,"GanmaRR"))</f>
        <v>1.1000000000000001</v>
      </c>
      <c r="F54" s="41">
        <f>IFERROR(_xll.TinhGammaqbCMS($D$19,_xll.TimTinhChatDatCotTU(B54,$H$12:$O$23,7),_xll.TimTinhChatDatCotTU(B54,$H$12:$O$23,7),_xll.TimTinhChatDatCotTU(B54,$H$12:$O$23,3),$D$12,_xll.TimTinhChatDatCotTU(B54,$H$12:$O$23,6),$D$20),"")</f>
        <v>0.94276000000000004</v>
      </c>
      <c r="G54" s="95">
        <f>IF(B54="","",_xll.Qb_CocMaSatKMD(B54,$H$12:$M$24,$D$23,$D$25,$H$30,$D$15,$D$26,"qb"))</f>
        <v>7340</v>
      </c>
      <c r="H54" s="95">
        <f t="shared" si="0"/>
        <v>5978.3284861634502</v>
      </c>
      <c r="I54" s="96">
        <f>IF(B54="","",_xll.flu_CocMaSatKMD($D$24,$D$16,$D$17,$D$25,$H$12:$M$24,FALSE,FALSE,$D$18,$D$13,$K$30,$H$30,A54,"GanmaRf"))</f>
        <v>1</v>
      </c>
      <c r="J54" s="96">
        <f>IF(B54="","",_xll.flu_CocMaSatKMD($D$24,$D$16,$D$17,$D$25,$H$12:$M$24,FALSE,FALSE,$D$18,$D$13,$K$30,$H$30,A54,"Li"))</f>
        <v>1</v>
      </c>
      <c r="K54" s="41">
        <f>IFERROR(_xll.TinhGammafiCMS($D$19,_xll.TimTinhChatDatCotTU(B54,$H$12:$O$23,7),_xll.TimTinhChatDatCotTU(B54,$H$12:$O$23,7),_xll.TimTinhChatDatCotTU(B54,$H$12:$O$23,3),$D$12,_xll.TimTinhChatDatCotTU(B54,$H$12:$O$23,6),$D$20),"")</f>
        <v>0.84275999999999995</v>
      </c>
      <c r="L54" s="95">
        <f>IF(B54="","",IF(B54&lt;=$I$28,0,_xll.flu_CocMaSatKMD($D$24,$D$16,$D$17,$D$25,$H$12:$M$24,FALSE,FALSE,$D$18,$D$13,$K$30,$H$30,A54,"f")))</f>
        <v>66.400000000000006</v>
      </c>
      <c r="M54" s="95">
        <f t="shared" si="1"/>
        <v>175.80121268269201</v>
      </c>
      <c r="N54" s="95">
        <f t="shared" si="4"/>
        <v>681.09731871419399</v>
      </c>
      <c r="O54" s="87">
        <f t="shared" si="3"/>
        <v>6659.4258048776401</v>
      </c>
    </row>
    <row r="55" spans="1:23">
      <c r="A55" s="87">
        <f t="shared" si="2"/>
        <v>14</v>
      </c>
      <c r="B55" s="83">
        <f>_xll.flu_CocMaSatKMD($D$24,$D$16,$D$17,$D$25,$H$12:$M$24,FALSE,FALSE,$D$18,$D$13,$K$30,$H$30,A55,"Cao độ")</f>
        <v>12</v>
      </c>
      <c r="C55" s="87" t="str">
        <f>IF(B55="","",_xll.TimTenLoaiDat(B55,$F$12:$H$24))</f>
        <v>Lớp 4</v>
      </c>
      <c r="D55" s="82" t="str">
        <f>IF(B55="","",_xll.TimTinhChatDat(B55,$H$12:$I$24))</f>
        <v>Đất sét</v>
      </c>
      <c r="E55" s="96">
        <f>IF(B55="","",_xll.Qb_CocMaSatKMD(B55,$H$12:$M$24,$D$23,$D$25,$H$30,$D$15,$D$26,"GanmaRR"))</f>
        <v>1.1000000000000001</v>
      </c>
      <c r="F55" s="41">
        <f>IFERROR(_xll.TinhGammaqbCMS($D$19,_xll.TimTinhChatDatCotTU(B55,$H$12:$O$23,7),_xll.TimTinhChatDatCotTU(B55,$H$12:$O$23,7),_xll.TimTinhChatDatCotTU(B55,$H$12:$O$23,3),$D$12,_xll.TimTinhChatDatCotTU(B55,$H$12:$O$23,6),$D$20),"")</f>
        <v>0.94276000000000004</v>
      </c>
      <c r="G55" s="95">
        <f>IF(B55="","",_xll.Qb_CocMaSatKMD(B55,$H$12:$M$24,$D$23,$D$25,$H$30,$D$15,$D$26,"qb"))</f>
        <v>7380</v>
      </c>
      <c r="H55" s="95">
        <f t="shared" si="0"/>
        <v>6010.9079329545302</v>
      </c>
      <c r="I55" s="96">
        <f>IF(B55="","",_xll.flu_CocMaSatKMD($D$24,$D$16,$D$17,$D$25,$H$12:$M$24,FALSE,FALSE,$D$18,$D$13,$K$30,$H$30,A55,"GanmaRf"))</f>
        <v>1</v>
      </c>
      <c r="J55" s="96">
        <f>IF(B55="","",_xll.flu_CocMaSatKMD($D$24,$D$16,$D$17,$D$25,$H$12:$M$24,FALSE,FALSE,$D$18,$D$13,$K$30,$H$30,A55,"Li"))</f>
        <v>0.19999999999999901</v>
      </c>
      <c r="K55" s="41">
        <f>IFERROR(_xll.TinhGammafiCMS($D$19,_xll.TimTinhChatDatCotTU(B55,$H$12:$O$23,7),_xll.TimTinhChatDatCotTU(B55,$H$12:$O$23,7),_xll.TimTinhChatDatCotTU(B55,$H$12:$O$23,3),$D$12,_xll.TimTinhChatDatCotTU(B55,$H$12:$O$23,6),$D$20),"")</f>
        <v>0.84275999999999995</v>
      </c>
      <c r="L55" s="95">
        <f>IF(B55="","",IF(B55&lt;=$I$28,0,_xll.flu_CocMaSatKMD($D$24,$D$16,$D$17,$D$25,$H$12:$M$24,FALSE,FALSE,$D$18,$D$13,$K$30,$H$30,A55,"f")))</f>
        <v>67.8</v>
      </c>
      <c r="M55" s="95">
        <f t="shared" si="1"/>
        <v>35.901572951465198</v>
      </c>
      <c r="N55" s="95">
        <f t="shared" si="4"/>
        <v>716.99889166565902</v>
      </c>
      <c r="O55" s="87">
        <f t="shared" si="3"/>
        <v>6727.9068246201896</v>
      </c>
    </row>
    <row r="56" spans="1:23">
      <c r="A56" s="87">
        <f t="shared" si="2"/>
        <v>15</v>
      </c>
      <c r="B56" s="83">
        <f>_xll.flu_CocMaSatKMD($D$24,$D$16,$D$17,$D$25,$H$12:$M$24,FALSE,FALSE,$D$18,$D$13,$K$30,$H$30,A56,"Cao độ")</f>
        <v>12.2</v>
      </c>
      <c r="C56" s="87" t="str">
        <f>IF(B56="","",_xll.TimTenLoaiDat(B56,$F$12:$H$24))</f>
        <v>Lớp 5</v>
      </c>
      <c r="D56" s="82" t="str">
        <f>IF(B56="","",_xll.TimTinhChatDat(B56,$H$12:$I$24))</f>
        <v>Cát chặt vừa - thô</v>
      </c>
      <c r="E56" s="96">
        <f>IF(B56="","",_xll.Qb_CocMaSatKMD(B56,$H$12:$M$24,$D$23,$D$25,$H$30,$D$15,$D$26,"GanmaRR"))</f>
        <v>1.1000000000000001</v>
      </c>
      <c r="F56" s="41">
        <f>IFERROR(_xll.TinhGammaqbCMS($D$19,_xll.TimTinhChatDatCotTU(B56,$H$12:$O$23,7),_xll.TimTinhChatDatCotTU(B56,$H$12:$O$23,7),_xll.TimTinhChatDatCotTU(B56,$H$12:$O$23,3),$D$12,_xll.TimTinhChatDatCotTU(B56,$H$12:$O$23,6),$D$20),"")</f>
        <v>0.93552000000000002</v>
      </c>
      <c r="G56" s="95">
        <f>IF(B56="","",_xll.Qb_CocMaSatKMD(B56,$H$12:$M$24,$D$23,$D$25,$H$30,$D$15,$D$26,"qb"))</f>
        <v>7920</v>
      </c>
      <c r="H56" s="95">
        <f t="shared" si="0"/>
        <v>6401.19156972561</v>
      </c>
      <c r="I56" s="96">
        <f>IF(B56="","",_xll.flu_CocMaSatKMD($D$24,$D$16,$D$17,$D$25,$H$12:$M$24,FALSE,FALSE,$D$18,$D$13,$K$30,$H$30,A56,"GanmaRf"))</f>
        <v>1</v>
      </c>
      <c r="J56" s="96">
        <f>IF(B56="","",_xll.flu_CocMaSatKMD($D$24,$D$16,$D$17,$D$25,$H$12:$M$24,FALSE,FALSE,$D$18,$D$13,$K$30,$H$30,A56,"Li"))</f>
        <v>0.80000000000000104</v>
      </c>
      <c r="K56" s="41">
        <f>IFERROR(_xll.TinhGammafiCMS($D$19,_xll.TimTinhChatDatCotTU(B56,$H$12:$O$23,7),_xll.TimTinhChatDatCotTU(B56,$H$12:$O$23,7),_xll.TimTinhChatDatCotTU(B56,$H$12:$O$23,3),$D$12,_xll.TimTinhChatDatCotTU(B56,$H$12:$O$23,6),$D$20),"")</f>
        <v>0.93552000000000002</v>
      </c>
      <c r="L56" s="95">
        <f>IF(B56="","",IF(B56&lt;=$I$28,0,_xll.flu_CocMaSatKMD($D$24,$D$16,$D$17,$D$25,$H$12:$M$24,FALSE,FALSE,$D$18,$D$13,$K$30,$H$30,A56,"f")))</f>
        <v>68.08</v>
      </c>
      <c r="M56" s="95">
        <f t="shared" si="1"/>
        <v>160.07093556177</v>
      </c>
      <c r="N56" s="95">
        <f t="shared" si="4"/>
        <v>877.06982722742896</v>
      </c>
      <c r="O56" s="87">
        <f t="shared" si="3"/>
        <v>7278.2613969530403</v>
      </c>
    </row>
    <row r="57" spans="1:23">
      <c r="A57" s="87">
        <f t="shared" si="2"/>
        <v>16</v>
      </c>
      <c r="B57" s="83">
        <f>_xll.flu_CocMaSatKMD($D$24,$D$16,$D$17,$D$25,$H$12:$M$24,FALSE,FALSE,$D$18,$D$13,$K$30,$H$30,A57,"Cao độ")</f>
        <v>13</v>
      </c>
      <c r="C57" s="87" t="str">
        <f>IF(B57="","",_xll.TimTenLoaiDat(B57,$F$12:$H$24))</f>
        <v>Lớp 5</v>
      </c>
      <c r="D57" s="82" t="str">
        <f>IF(B57="","",_xll.TimTinhChatDat(B57,$H$12:$I$24))</f>
        <v>Cát chặt vừa - thô</v>
      </c>
      <c r="E57" s="96">
        <f>IF(B57="","",_xll.Qb_CocMaSatKMD(B57,$H$12:$M$24,$D$23,$D$25,$H$30,$D$15,$D$26,"GanmaRR"))</f>
        <v>1.1000000000000001</v>
      </c>
      <c r="F57" s="41">
        <f>IFERROR(_xll.TinhGammaqbCMS($D$19,_xll.TimTinhChatDatCotTU(B57,$H$12:$O$23,7),_xll.TimTinhChatDatCotTU(B57,$H$12:$O$23,7),_xll.TimTinhChatDatCotTU(B57,$H$12:$O$23,3),$D$12,_xll.TimTinhChatDatCotTU(B57,$H$12:$O$23,6),$D$20),"")</f>
        <v>0.93552000000000002</v>
      </c>
      <c r="G57" s="95">
        <f>IF(B57="","",_xll.Qb_CocMaSatKMD(B57,$H$12:$M$24,$D$23,$D$25,$H$30,$D$15,$D$26,"qb"))</f>
        <v>8000</v>
      </c>
      <c r="H57" s="95">
        <f t="shared" si="0"/>
        <v>6465.8500704299104</v>
      </c>
      <c r="I57" s="96">
        <f>IF(B57="","",_xll.flu_CocMaSatKMD($D$24,$D$16,$D$17,$D$25,$H$12:$M$24,FALSE,FALSE,$D$18,$D$13,$K$30,$H$30,A57,"GanmaRf"))</f>
        <v>1</v>
      </c>
      <c r="J57" s="96">
        <f>IF(B57="","",_xll.flu_CocMaSatKMD($D$24,$D$16,$D$17,$D$25,$H$12:$M$24,FALSE,FALSE,$D$18,$D$13,$K$30,$H$30,A57,"Li"))</f>
        <v>1</v>
      </c>
      <c r="K57" s="41">
        <f>IFERROR(_xll.TinhGammafiCMS($D$19,_xll.TimTinhChatDatCotTU(B57,$H$12:$O$23,7),_xll.TimTinhChatDatCotTU(B57,$H$12:$O$23,7),_xll.TimTinhChatDatCotTU(B57,$H$12:$O$23,3),$D$12,_xll.TimTinhChatDatCotTU(B57,$H$12:$O$23,6),$D$20),"")</f>
        <v>0.93552000000000002</v>
      </c>
      <c r="L57" s="95">
        <f>IF(B57="","",IF(B57&lt;=$I$28,0,_xll.flu_CocMaSatKMD($D$24,$D$16,$D$17,$D$25,$H$12:$M$24,FALSE,FALSE,$D$18,$D$13,$K$30,$H$30,A57,"f")))</f>
        <v>69.2</v>
      </c>
      <c r="M57" s="95">
        <f t="shared" si="1"/>
        <v>203.380374942614</v>
      </c>
      <c r="N57" s="95">
        <f t="shared" si="4"/>
        <v>1080.45020217004</v>
      </c>
      <c r="O57" s="87">
        <f t="shared" si="3"/>
        <v>7546.3002725999504</v>
      </c>
    </row>
    <row r="58" spans="1:23">
      <c r="A58" s="87">
        <f t="shared" si="2"/>
        <v>17</v>
      </c>
      <c r="B58" s="83">
        <f>_xll.flu_CocMaSatKMD($D$24,$D$16,$D$17,$D$25,$H$12:$M$24,FALSE,FALSE,$D$18,$D$13,$K$30,$H$30,A58,"Cao độ")</f>
        <v>14</v>
      </c>
      <c r="C58" s="87" t="str">
        <f>IF(B58="","",_xll.TimTenLoaiDat(B58,$F$12:$H$24))</f>
        <v>Lớp 5</v>
      </c>
      <c r="D58" s="82" t="str">
        <f>IF(B58="","",_xll.TimTinhChatDat(B58,$H$12:$I$24))</f>
        <v>Cát chặt vừa - thô</v>
      </c>
      <c r="E58" s="96">
        <f>IF(B58="","",_xll.Qb_CocMaSatKMD(B58,$H$12:$M$24,$D$23,$D$25,$H$30,$D$15,$D$26,"GanmaRR"))</f>
        <v>1.1000000000000001</v>
      </c>
      <c r="F58" s="41">
        <f>IFERROR(_xll.TinhGammaqbCMS($D$19,_xll.TimTinhChatDatCotTU(B58,$H$12:$O$23,7),_xll.TimTinhChatDatCotTU(B58,$H$12:$O$23,7),_xll.TimTinhChatDatCotTU(B58,$H$12:$O$23,3),$D$12,_xll.TimTinhChatDatCotTU(B58,$H$12:$O$23,6),$D$20),"")</f>
        <v>0.93552000000000002</v>
      </c>
      <c r="G58" s="95">
        <f>IF(B58="","",_xll.Qb_CocMaSatKMD(B58,$H$12:$M$24,$D$23,$D$25,$H$30,$D$15,$D$26,"qb"))</f>
        <v>8100</v>
      </c>
      <c r="H58" s="95">
        <f t="shared" si="0"/>
        <v>6546.6731963102802</v>
      </c>
      <c r="I58" s="96">
        <f>IF(B58="","",_xll.flu_CocMaSatKMD($D$24,$D$16,$D$17,$D$25,$H$12:$M$24,FALSE,FALSE,$D$18,$D$13,$K$30,$H$30,A58,"GanmaRf"))</f>
        <v>1</v>
      </c>
      <c r="J58" s="96">
        <f>IF(B58="","",_xll.flu_CocMaSatKMD($D$24,$D$16,$D$17,$D$25,$H$12:$M$24,FALSE,FALSE,$D$18,$D$13,$K$30,$H$30,A58,"Li"))</f>
        <v>1</v>
      </c>
      <c r="K58" s="41">
        <f>IFERROR(_xll.TinhGammafiCMS($D$19,_xll.TimTinhChatDatCotTU(B58,$H$12:$O$23,7),_xll.TimTinhChatDatCotTU(B58,$H$12:$O$23,7),_xll.TimTinhChatDatCotTU(B58,$H$12:$O$23,3),$D$12,_xll.TimTinhChatDatCotTU(B58,$H$12:$O$23,6),$D$20),"")</f>
        <v>0.93552000000000002</v>
      </c>
      <c r="L58" s="95">
        <f>IF(B58="","",IF(B58&lt;=$I$28,0,_xll.flu_CocMaSatKMD($D$24,$D$16,$D$17,$D$25,$H$12:$M$24,FALSE,FALSE,$D$18,$D$13,$K$30,$H$30,A58,"f")))</f>
        <v>70.599999999999994</v>
      </c>
      <c r="M58" s="95">
        <f t="shared" si="1"/>
        <v>207.495006805614</v>
      </c>
      <c r="N58" s="95">
        <f t="shared" si="4"/>
        <v>1287.9452089756601</v>
      </c>
      <c r="O58" s="87">
        <f t="shared" si="3"/>
        <v>7834.6184052859398</v>
      </c>
    </row>
    <row r="59" spans="1:23">
      <c r="A59" s="87">
        <f t="shared" si="2"/>
        <v>18</v>
      </c>
      <c r="B59" s="83">
        <f>_xll.flu_CocMaSatKMD($D$24,$D$16,$D$17,$D$25,$H$12:$M$24,FALSE,FALSE,$D$18,$D$13,$K$30,$H$30,A59,"Cao độ")</f>
        <v>15</v>
      </c>
      <c r="C59" s="87" t="str">
        <f>IF(B59="","",_xll.TimTenLoaiDat(B59,$F$12:$H$24))</f>
        <v>Lớp 5</v>
      </c>
      <c r="D59" s="82" t="str">
        <f>IF(B59="","",_xll.TimTinhChatDat(B59,$H$12:$I$24))</f>
        <v>Cát chặt vừa - thô</v>
      </c>
      <c r="E59" s="96">
        <f>IF(B59="","",_xll.Qb_CocMaSatKMD(B59,$H$12:$M$24,$D$23,$D$25,$H$30,$D$15,$D$26,"GanmaRR"))</f>
        <v>1.1000000000000001</v>
      </c>
      <c r="F59" s="41">
        <f>IFERROR(_xll.TinhGammaqbCMS($D$19,_xll.TimTinhChatDatCotTU(B59,$H$12:$O$23,7),_xll.TimTinhChatDatCotTU(B59,$H$12:$O$23,7),_xll.TimTinhChatDatCotTU(B59,$H$12:$O$23,3),$D$12,_xll.TimTinhChatDatCotTU(B59,$H$12:$O$23,6),$D$20),"")</f>
        <v>0.93552000000000002</v>
      </c>
      <c r="G59" s="95">
        <f>IF(B59="","",_xll.Qb_CocMaSatKMD(B59,$H$12:$M$24,$D$23,$D$25,$H$30,$D$15,$D$26,"qb"))</f>
        <v>8200</v>
      </c>
      <c r="H59" s="95">
        <f t="shared" si="0"/>
        <v>6627.4963221906601</v>
      </c>
      <c r="I59" s="96">
        <f>IF(B59="","",_xll.flu_CocMaSatKMD($D$24,$D$16,$D$17,$D$25,$H$12:$M$24,FALSE,FALSE,$D$18,$D$13,$K$30,$H$30,A59,"GanmaRf"))</f>
        <v>1</v>
      </c>
      <c r="J59" s="96">
        <f>IF(B59="","",_xll.flu_CocMaSatKMD($D$24,$D$16,$D$17,$D$25,$H$12:$M$24,FALSE,FALSE,$D$18,$D$13,$K$30,$H$30,A59,"Li"))</f>
        <v>1</v>
      </c>
      <c r="K59" s="41">
        <f>IFERROR(_xll.TinhGammafiCMS($D$19,_xll.TimTinhChatDatCotTU(B59,$H$12:$O$23,7),_xll.TimTinhChatDatCotTU(B59,$H$12:$O$23,7),_xll.TimTinhChatDatCotTU(B59,$H$12:$O$23,3),$D$12,_xll.TimTinhChatDatCotTU(B59,$H$12:$O$23,6),$D$20),"")</f>
        <v>0.93552000000000002</v>
      </c>
      <c r="L59" s="95">
        <f>IF(B59="","",IF(B59&lt;=$I$28,0,_xll.flu_CocMaSatKMD($D$24,$D$16,$D$17,$D$25,$H$12:$M$24,FALSE,FALSE,$D$18,$D$13,$K$30,$H$30,A59,"f")))</f>
        <v>72</v>
      </c>
      <c r="M59" s="95">
        <f t="shared" si="1"/>
        <v>211.60963866861499</v>
      </c>
      <c r="N59" s="95">
        <f t="shared" si="4"/>
        <v>1499.55484764427</v>
      </c>
      <c r="O59" s="87">
        <f t="shared" si="3"/>
        <v>8127.0511698349301</v>
      </c>
    </row>
    <row r="60" spans="1:23">
      <c r="A60" s="87">
        <f t="shared" si="2"/>
        <v>19</v>
      </c>
      <c r="B60" s="83">
        <f>_xll.flu_CocMaSatKMD($D$24,$D$16,$D$17,$D$25,$H$12:$M$24,FALSE,FALSE,$D$18,$D$13,$K$30,$H$30,A60,"Cao độ")</f>
        <v>16</v>
      </c>
      <c r="C60" s="87" t="str">
        <f>IF(B60="","",_xll.TimTenLoaiDat(B60,$F$12:$H$24))</f>
        <v>Lớp 5</v>
      </c>
      <c r="D60" s="82" t="str">
        <f>IF(B60="","",_xll.TimTinhChatDat(B60,$H$12:$I$24))</f>
        <v>Cát chặt vừa - thô</v>
      </c>
      <c r="E60" s="96">
        <f>IF(B60="","",_xll.Qb_CocMaSatKMD(B60,$H$12:$M$24,$D$23,$D$25,$H$30,$D$15,$D$26,"GanmaRR"))</f>
        <v>1.1000000000000001</v>
      </c>
      <c r="F60" s="41">
        <f>IFERROR(_xll.TinhGammaqbCMS($D$19,_xll.TimTinhChatDatCotTU(B60,$H$12:$O$23,7),_xll.TimTinhChatDatCotTU(B60,$H$12:$O$23,7),_xll.TimTinhChatDatCotTU(B60,$H$12:$O$23,3),$D$12,_xll.TimTinhChatDatCotTU(B60,$H$12:$O$23,6),$D$20),"")</f>
        <v>0.93552000000000002</v>
      </c>
      <c r="G60" s="95">
        <f>IF(B60="","",_xll.Qb_CocMaSatKMD(B60,$H$12:$M$24,$D$23,$D$25,$H$30,$D$15,$D$26,"qb"))</f>
        <v>8260</v>
      </c>
      <c r="H60" s="95">
        <f t="shared" si="0"/>
        <v>6675.9901977188802</v>
      </c>
      <c r="I60" s="96">
        <f>IF(B60="","",_xll.flu_CocMaSatKMD($D$24,$D$16,$D$17,$D$25,$H$12:$M$24,FALSE,FALSE,$D$18,$D$13,$K$30,$H$30,A60,"GanmaRf"))</f>
        <v>1</v>
      </c>
      <c r="J60" s="96">
        <f>IF(B60="","",_xll.flu_CocMaSatKMD($D$24,$D$16,$D$17,$D$25,$H$12:$M$24,FALSE,FALSE,$D$18,$D$13,$K$30,$H$30,A60,"Li"))</f>
        <v>1</v>
      </c>
      <c r="K60" s="41">
        <f>IFERROR(_xll.TinhGammafiCMS($D$19,_xll.TimTinhChatDatCotTU(B60,$H$12:$O$23,7),_xll.TimTinhChatDatCotTU(B60,$H$12:$O$23,7),_xll.TimTinhChatDatCotTU(B60,$H$12:$O$23,3),$D$12,_xll.TimTinhChatDatCotTU(B60,$H$12:$O$23,6),$D$20),"")</f>
        <v>0.93552000000000002</v>
      </c>
      <c r="L60" s="95">
        <f>IF(B60="","",IF(B60&lt;=$I$28,0,_xll.flu_CocMaSatKMD($D$24,$D$16,$D$17,$D$25,$H$12:$M$24,FALSE,FALSE,$D$18,$D$13,$K$30,$H$30,A60,"f")))</f>
        <v>73.400000000000006</v>
      </c>
      <c r="M60" s="95">
        <f t="shared" si="1"/>
        <v>215.72427053161601</v>
      </c>
      <c r="N60" s="95">
        <f t="shared" si="4"/>
        <v>1715.2791181758901</v>
      </c>
      <c r="O60" s="87">
        <f t="shared" si="3"/>
        <v>8391.2693158947695</v>
      </c>
    </row>
    <row r="61" spans="1:23">
      <c r="A61" s="87">
        <f t="shared" si="2"/>
        <v>20</v>
      </c>
      <c r="B61" s="83">
        <f>_xll.flu_CocMaSatKMD($D$24,$D$16,$D$17,$D$25,$H$12:$M$24,FALSE,FALSE,$D$18,$D$13,$K$30,$H$30,A61,"Cao độ")</f>
        <v>17</v>
      </c>
      <c r="C61" s="87" t="str">
        <f>IF(B61="","",_xll.TimTenLoaiDat(B61,$F$12:$H$24))</f>
        <v>Lớp 5</v>
      </c>
      <c r="D61" s="82" t="str">
        <f>IF(B61="","",_xll.TimTinhChatDat(B61,$H$12:$I$24))</f>
        <v>Cát chặt vừa - thô</v>
      </c>
      <c r="E61" s="96">
        <f>IF(B61="","",_xll.Qb_CocMaSatKMD(B61,$H$12:$M$24,$D$23,$D$25,$H$30,$D$15,$D$26,"GanmaRR"))</f>
        <v>1.1000000000000001</v>
      </c>
      <c r="F61" s="41">
        <f>IFERROR(_xll.TinhGammaqbCMS($D$19,_xll.TimTinhChatDatCotTU(B61,$H$12:$O$23,7),_xll.TimTinhChatDatCotTU(B61,$H$12:$O$23,7),_xll.TimTinhChatDatCotTU(B61,$H$12:$O$23,3),$D$12,_xll.TimTinhChatDatCotTU(B61,$H$12:$O$23,6),$D$20),"")</f>
        <v>0.93552000000000002</v>
      </c>
      <c r="G61" s="95">
        <f>IF(B61="","",_xll.Qb_CocMaSatKMD(B61,$H$12:$M$24,$D$23,$D$25,$H$30,$D$15,$D$26,"qb"))</f>
        <v>8320</v>
      </c>
      <c r="H61" s="95">
        <f t="shared" si="0"/>
        <v>6724.4840732471102</v>
      </c>
      <c r="I61" s="96">
        <f>IF(B61="","",_xll.flu_CocMaSatKMD($D$24,$D$16,$D$17,$D$25,$H$12:$M$24,FALSE,FALSE,$D$18,$D$13,$K$30,$H$30,A61,"GanmaRf"))</f>
        <v>1</v>
      </c>
      <c r="J61" s="96">
        <f>IF(B61="","",_xll.flu_CocMaSatKMD($D$24,$D$16,$D$17,$D$25,$H$12:$M$24,FALSE,FALSE,$D$18,$D$13,$K$30,$H$30,A61,"Li"))</f>
        <v>1</v>
      </c>
      <c r="K61" s="41">
        <f>IFERROR(_xll.TinhGammafiCMS($D$19,_xll.TimTinhChatDatCotTU(B61,$H$12:$O$23,7),_xll.TimTinhChatDatCotTU(B61,$H$12:$O$23,7),_xll.TimTinhChatDatCotTU(B61,$H$12:$O$23,3),$D$12,_xll.TimTinhChatDatCotTU(B61,$H$12:$O$23,6),$D$20),"")</f>
        <v>0.93552000000000002</v>
      </c>
      <c r="L61" s="95">
        <f>IF(B61="","",IF(B61&lt;=$I$28,0,_xll.flu_CocMaSatKMD($D$24,$D$16,$D$17,$D$25,$H$12:$M$24,FALSE,FALSE,$D$18,$D$13,$K$30,$H$30,A61,"f")))</f>
        <v>74.8</v>
      </c>
      <c r="M61" s="95">
        <f t="shared" si="1"/>
        <v>219.83890239461701</v>
      </c>
      <c r="N61" s="95">
        <f t="shared" si="4"/>
        <v>1935.11802057051</v>
      </c>
      <c r="O61" s="87">
        <f t="shared" si="3"/>
        <v>8659.6020938176098</v>
      </c>
    </row>
    <row r="62" spans="1:23">
      <c r="A62" s="87">
        <f t="shared" si="2"/>
        <v>21</v>
      </c>
      <c r="B62" s="83">
        <f>_xll.flu_CocMaSatKMD($D$24,$D$16,$D$17,$D$25,$H$12:$M$24,FALSE,FALSE,$D$18,$D$13,$K$30,$H$30,A62,"Cao độ")</f>
        <v>18</v>
      </c>
      <c r="C62" s="87" t="str">
        <f>IF(B62="","",_xll.TimTenLoaiDat(B62,$F$12:$H$24))</f>
        <v>Lớp 5</v>
      </c>
      <c r="D62" s="82" t="str">
        <f>IF(B62="","",_xll.TimTinhChatDat(B62,$H$12:$I$24))</f>
        <v>Cát chặt vừa - thô</v>
      </c>
      <c r="E62" s="96">
        <f>IF(B62="","",_xll.Qb_CocMaSatKMD(B62,$H$12:$M$24,$D$23,$D$25,$H$30,$D$15,$D$26,"GanmaRR"))</f>
        <v>1.1000000000000001</v>
      </c>
      <c r="F62" s="41">
        <f>IFERROR(_xll.TinhGammaqbCMS($D$19,_xll.TimTinhChatDatCotTU(B62,$H$12:$O$23,7),_xll.TimTinhChatDatCotTU(B62,$H$12:$O$23,7),_xll.TimTinhChatDatCotTU(B62,$H$12:$O$23,3),$D$12,_xll.TimTinhChatDatCotTU(B62,$H$12:$O$23,6),$D$20),"")</f>
        <v>0.93552000000000002</v>
      </c>
      <c r="G62" s="95">
        <f>IF(B62="","",_xll.Qb_CocMaSatKMD(B62,$H$12:$M$24,$D$23,$D$25,$H$30,$D$15,$D$26,"qb"))</f>
        <v>8380</v>
      </c>
      <c r="H62" s="95">
        <f t="shared" si="0"/>
        <v>6772.9779487753303</v>
      </c>
      <c r="I62" s="96">
        <f>IF(B62="","",_xll.flu_CocMaSatKMD($D$24,$D$16,$D$17,$D$25,$H$12:$M$24,FALSE,FALSE,$D$18,$D$13,$K$30,$H$30,A62,"GanmaRf"))</f>
        <v>1</v>
      </c>
      <c r="J62" s="96">
        <f>IF(B62="","",_xll.flu_CocMaSatKMD($D$24,$D$16,$D$17,$D$25,$H$12:$M$24,FALSE,FALSE,$D$18,$D$13,$K$30,$H$30,A62,"Li"))</f>
        <v>1</v>
      </c>
      <c r="K62" s="41">
        <f>IFERROR(_xll.TinhGammafiCMS($D$19,_xll.TimTinhChatDatCotTU(B62,$H$12:$O$23,7),_xll.TimTinhChatDatCotTU(B62,$H$12:$O$23,7),_xll.TimTinhChatDatCotTU(B62,$H$12:$O$23,3),$D$12,_xll.TimTinhChatDatCotTU(B62,$H$12:$O$23,6),$D$20),"")</f>
        <v>0.93552000000000002</v>
      </c>
      <c r="L62" s="95">
        <f>IF(B62="","",IF(B62&lt;=$I$28,0,_xll.flu_CocMaSatKMD($D$24,$D$16,$D$17,$D$25,$H$12:$M$24,FALSE,FALSE,$D$18,$D$13,$K$30,$H$30,A62,"f")))</f>
        <v>76.2</v>
      </c>
      <c r="M62" s="95">
        <f t="shared" si="1"/>
        <v>223.953534257618</v>
      </c>
      <c r="N62" s="95">
        <f t="shared" si="4"/>
        <v>2159.07155482812</v>
      </c>
      <c r="O62" s="87">
        <f t="shared" si="3"/>
        <v>8932.0495036034608</v>
      </c>
    </row>
    <row r="63" spans="1:23">
      <c r="A63" s="87">
        <f t="shared" si="2"/>
        <v>22</v>
      </c>
      <c r="B63" s="83">
        <f>_xll.flu_CocMaSatKMD($D$24,$D$16,$D$17,$D$25,$H$12:$M$24,FALSE,FALSE,$D$18,$D$13,$K$30,$H$30,A63,"Cao độ")</f>
        <v>19</v>
      </c>
      <c r="C63" s="87" t="str">
        <f>IF(B63="","",_xll.TimTenLoaiDat(B63,$F$12:$H$24))</f>
        <v>Lớp 5</v>
      </c>
      <c r="D63" s="82" t="str">
        <f>IF(B63="","",_xll.TimTinhChatDat(B63,$H$12:$I$24))</f>
        <v>Cát chặt vừa - thô</v>
      </c>
      <c r="E63" s="96">
        <f>IF(B63="","",_xll.Qb_CocMaSatKMD(B63,$H$12:$M$24,$D$23,$D$25,$H$30,$D$15,$D$26,"GanmaRR"))</f>
        <v>1.1000000000000001</v>
      </c>
      <c r="F63" s="41">
        <f>IFERROR(_xll.TinhGammaqbCMS($D$19,_xll.TimTinhChatDatCotTU(B63,$H$12:$O$23,7),_xll.TimTinhChatDatCotTU(B63,$H$12:$O$23,7),_xll.TimTinhChatDatCotTU(B63,$H$12:$O$23,3),$D$12,_xll.TimTinhChatDatCotTU(B63,$H$12:$O$23,6),$D$20),"")</f>
        <v>0.93552000000000002</v>
      </c>
      <c r="G63" s="95">
        <f>IF(B63="","",_xll.Qb_CocMaSatKMD(B63,$H$12:$M$24,$D$23,$D$25,$H$30,$D$15,$D$26,"qb"))</f>
        <v>8440</v>
      </c>
      <c r="H63" s="95">
        <f t="shared" si="0"/>
        <v>6821.4718243035604</v>
      </c>
      <c r="I63" s="96">
        <f>IF(B63="","",_xll.flu_CocMaSatKMD($D$24,$D$16,$D$17,$D$25,$H$12:$M$24,FALSE,FALSE,$D$18,$D$13,$K$30,$H$30,A63,"GanmaRf"))</f>
        <v>1</v>
      </c>
      <c r="J63" s="96">
        <f>IF(B63="","",_xll.flu_CocMaSatKMD($D$24,$D$16,$D$17,$D$25,$H$12:$M$24,FALSE,FALSE,$D$18,$D$13,$K$30,$H$30,A63,"Li"))</f>
        <v>1</v>
      </c>
      <c r="K63" s="41">
        <f>IFERROR(_xll.TinhGammafiCMS($D$19,_xll.TimTinhChatDatCotTU(B63,$H$12:$O$23,7),_xll.TimTinhChatDatCotTU(B63,$H$12:$O$23,7),_xll.TimTinhChatDatCotTU(B63,$H$12:$O$23,3),$D$12,_xll.TimTinhChatDatCotTU(B63,$H$12:$O$23,6),$D$20),"")</f>
        <v>0.93552000000000002</v>
      </c>
      <c r="L63" s="95">
        <f>IF(B63="","",IF(B63&lt;=$I$28,0,_xll.flu_CocMaSatKMD($D$24,$D$16,$D$17,$D$25,$H$12:$M$24,FALSE,FALSE,$D$18,$D$13,$K$30,$H$30,A63,"f")))</f>
        <v>77.599999999999994</v>
      </c>
      <c r="M63" s="95">
        <f t="shared" si="1"/>
        <v>228.068166120619</v>
      </c>
      <c r="N63" s="95">
        <f t="shared" si="4"/>
        <v>2387.13972094874</v>
      </c>
      <c r="O63" s="87">
        <f t="shared" si="3"/>
        <v>9208.6115452523009</v>
      </c>
    </row>
    <row r="64" spans="1:23">
      <c r="A64" s="87">
        <f t="shared" si="2"/>
        <v>23</v>
      </c>
      <c r="B64" s="83">
        <f>_xll.flu_CocMaSatKMD($D$24,$D$16,$D$17,$D$25,$H$12:$M$24,FALSE,FALSE,$D$18,$D$13,$K$30,$H$30,A64,"Cao độ")</f>
        <v>20</v>
      </c>
      <c r="C64" s="87" t="str">
        <f>IF(B64="","",_xll.TimTenLoaiDat(B64,$F$12:$H$24))</f>
        <v>Lớp 5</v>
      </c>
      <c r="D64" s="82" t="str">
        <f>IF(B64="","",_xll.TimTinhChatDat(B64,$H$12:$I$24))</f>
        <v>Cát chặt vừa - thô</v>
      </c>
      <c r="E64" s="96">
        <f>IF(B64="","",_xll.Qb_CocMaSatKMD(B64,$H$12:$M$24,$D$23,$D$25,$H$30,$D$15,$D$26,"GanmaRR"))</f>
        <v>1.1000000000000001</v>
      </c>
      <c r="F64" s="41">
        <f>IFERROR(_xll.TinhGammaqbCMS($D$19,_xll.TimTinhChatDatCotTU(B64,$H$12:$O$23,7),_xll.TimTinhChatDatCotTU(B64,$H$12:$O$23,7),_xll.TimTinhChatDatCotTU(B64,$H$12:$O$23,3),$D$12,_xll.TimTinhChatDatCotTU(B64,$H$12:$O$23,6),$D$20),"")</f>
        <v>0.93552000000000002</v>
      </c>
      <c r="G64" s="95">
        <f>IF(B64="","",_xll.Qb_CocMaSatKMD(B64,$H$12:$M$24,$D$23,$D$25,$H$30,$D$15,$D$26,"qb"))</f>
        <v>8500</v>
      </c>
      <c r="H64" s="95">
        <f t="shared" si="0"/>
        <v>6869.9656998317796</v>
      </c>
      <c r="I64" s="96">
        <f>IF(B64="","",_xll.flu_CocMaSatKMD($D$24,$D$16,$D$17,$D$25,$H$12:$M$24,FALSE,FALSE,$D$18,$D$13,$K$30,$H$30,A64,"GanmaRf"))</f>
        <v>1</v>
      </c>
      <c r="J64" s="96">
        <f>IF(B64="","",_xll.flu_CocMaSatKMD($D$24,$D$16,$D$17,$D$25,$H$12:$M$24,FALSE,FALSE,$D$18,$D$13,$K$30,$H$30,A64,"Li"))</f>
        <v>1</v>
      </c>
      <c r="K64" s="41">
        <f>IFERROR(_xll.TinhGammafiCMS($D$19,_xll.TimTinhChatDatCotTU(B64,$H$12:$O$23,7),_xll.TimTinhChatDatCotTU(B64,$H$12:$O$23,7),_xll.TimTinhChatDatCotTU(B64,$H$12:$O$23,3),$D$12,_xll.TimTinhChatDatCotTU(B64,$H$12:$O$23,6),$D$20),"")</f>
        <v>0.93552000000000002</v>
      </c>
      <c r="L64" s="95">
        <f>IF(B64="","",IF(B64&lt;=$I$28,0,_xll.flu_CocMaSatKMD($D$24,$D$16,$D$17,$D$25,$H$12:$M$24,FALSE,FALSE,$D$18,$D$13,$K$30,$H$30,A64,"f")))</f>
        <v>79</v>
      </c>
      <c r="M64" s="95">
        <f t="shared" si="1"/>
        <v>232.18279798361999</v>
      </c>
      <c r="N64" s="95">
        <f t="shared" si="4"/>
        <v>2619.3225189323598</v>
      </c>
      <c r="O64" s="87">
        <f t="shared" si="3"/>
        <v>9489.2882187641408</v>
      </c>
    </row>
    <row r="65" spans="1:15">
      <c r="A65" s="87">
        <f t="shared" si="2"/>
        <v>24</v>
      </c>
      <c r="B65" s="83">
        <f>_xll.flu_CocMaSatKMD($D$24,$D$16,$D$17,$D$25,$H$12:$M$24,FALSE,FALSE,$D$18,$D$13,$K$30,$H$30,A65,"Cao độ")</f>
        <v>21</v>
      </c>
      <c r="C65" s="87" t="str">
        <f>IF(B65="","",_xll.TimTenLoaiDat(B65,$F$12:$H$24))</f>
        <v>Lớp 5</v>
      </c>
      <c r="D65" s="82" t="str">
        <f>IF(B65="","",_xll.TimTinhChatDat(B65,$H$12:$I$24))</f>
        <v>Cát chặt vừa - thô</v>
      </c>
      <c r="E65" s="96">
        <f>IF(B65="","",_xll.Qb_CocMaSatKMD(B65,$H$12:$M$24,$D$23,$D$25,$H$30,$D$15,$D$26,"GanmaRR"))</f>
        <v>1.1000000000000001</v>
      </c>
      <c r="F65" s="41">
        <f>IFERROR(_xll.TinhGammaqbCMS($D$19,_xll.TimTinhChatDatCotTU(B65,$H$12:$O$23,7),_xll.TimTinhChatDatCotTU(B65,$H$12:$O$23,7),_xll.TimTinhChatDatCotTU(B65,$H$12:$O$23,3),$D$12,_xll.TimTinhChatDatCotTU(B65,$H$12:$O$23,6),$D$20),"")</f>
        <v>0.93552000000000002</v>
      </c>
      <c r="G65" s="95">
        <f>IF(B65="","",_xll.Qb_CocMaSatKMD(B65,$H$12:$M$24,$D$23,$D$25,$H$30,$D$15,$D$26,"qb"))</f>
        <v>8600</v>
      </c>
      <c r="H65" s="95">
        <f t="shared" si="0"/>
        <v>6950.7888257121504</v>
      </c>
      <c r="I65" s="96">
        <f>IF(B65="","",_xll.flu_CocMaSatKMD($D$24,$D$16,$D$17,$D$25,$H$12:$M$24,FALSE,FALSE,$D$18,$D$13,$K$30,$H$30,A65,"GanmaRf"))</f>
        <v>1</v>
      </c>
      <c r="J65" s="96">
        <f>IF(B65="","",_xll.flu_CocMaSatKMD($D$24,$D$16,$D$17,$D$25,$H$12:$M$24,FALSE,FALSE,$D$18,$D$13,$K$30,$H$30,A65,"Li"))</f>
        <v>1</v>
      </c>
      <c r="K65" s="41">
        <f>IFERROR(_xll.TinhGammafiCMS($D$19,_xll.TimTinhChatDatCotTU(B65,$H$12:$O$23,7),_xll.TimTinhChatDatCotTU(B65,$H$12:$O$23,7),_xll.TimTinhChatDatCotTU(B65,$H$12:$O$23,3),$D$12,_xll.TimTinhChatDatCotTU(B65,$H$12:$O$23,6),$D$20),"")</f>
        <v>0.93552000000000002</v>
      </c>
      <c r="L65" s="95">
        <f>IF(B65="","",IF(B65&lt;=$I$28,0,_xll.flu_CocMaSatKMD($D$24,$D$16,$D$17,$D$25,$H$12:$M$24,FALSE,FALSE,$D$18,$D$13,$K$30,$H$30,A65,"f")))</f>
        <v>80.400000000000006</v>
      </c>
      <c r="M65" s="95">
        <f t="shared" si="1"/>
        <v>236.29742984661999</v>
      </c>
      <c r="N65" s="95">
        <f t="shared" si="4"/>
        <v>2855.61994877898</v>
      </c>
      <c r="O65" s="87">
        <f t="shared" si="3"/>
        <v>9806.4087744911394</v>
      </c>
    </row>
    <row r="66" spans="1:15">
      <c r="A66" s="87">
        <f t="shared" si="2"/>
        <v>25</v>
      </c>
      <c r="B66" s="83">
        <f>_xll.flu_CocMaSatKMD($D$24,$D$16,$D$17,$D$25,$H$12:$M$24,FALSE,FALSE,$D$18,$D$13,$K$30,$H$30,A66,"Cao độ")</f>
        <v>22</v>
      </c>
      <c r="C66" s="87" t="str">
        <f>IF(B66="","",_xll.TimTenLoaiDat(B66,$F$12:$H$24))</f>
        <v>Lớp 5</v>
      </c>
      <c r="D66" s="82" t="str">
        <f>IF(B66="","",_xll.TimTinhChatDat(B66,$H$12:$I$24))</f>
        <v>Cát chặt vừa - thô</v>
      </c>
      <c r="E66" s="96">
        <f>IF(B66="","",_xll.Qb_CocMaSatKMD(B66,$H$12:$M$24,$D$23,$D$25,$H$30,$D$15,$D$26,"GanmaRR"))</f>
        <v>1.1000000000000001</v>
      </c>
      <c r="F66" s="41">
        <f>IFERROR(_xll.TinhGammaqbCMS($D$19,_xll.TimTinhChatDatCotTU(B66,$H$12:$O$23,7),_xll.TimTinhChatDatCotTU(B66,$H$12:$O$23,7),_xll.TimTinhChatDatCotTU(B66,$H$12:$O$23,3),$D$12,_xll.TimTinhChatDatCotTU(B66,$H$12:$O$23,6),$D$20),"")</f>
        <v>0.93552000000000002</v>
      </c>
      <c r="G66" s="95">
        <f>IF(B66="","",_xll.Qb_CocMaSatKMD(B66,$H$12:$M$24,$D$23,$D$25,$H$30,$D$15,$D$26,"qb"))</f>
        <v>8700</v>
      </c>
      <c r="H66" s="95">
        <f t="shared" si="0"/>
        <v>7031.6119515925302</v>
      </c>
      <c r="I66" s="96">
        <f>IF(B66="","",_xll.flu_CocMaSatKMD($D$24,$D$16,$D$17,$D$25,$H$12:$M$24,FALSE,FALSE,$D$18,$D$13,$K$30,$H$30,A66,"GanmaRf"))</f>
        <v>1</v>
      </c>
      <c r="J66" s="96">
        <f>IF(B66="","",_xll.flu_CocMaSatKMD($D$24,$D$16,$D$17,$D$25,$H$12:$M$24,FALSE,FALSE,$D$18,$D$13,$K$30,$H$30,A66,"Li"))</f>
        <v>1</v>
      </c>
      <c r="K66" s="41">
        <f>IFERROR(_xll.TinhGammafiCMS($D$19,_xll.TimTinhChatDatCotTU(B66,$H$12:$O$23,7),_xll.TimTinhChatDatCotTU(B66,$H$12:$O$23,7),_xll.TimTinhChatDatCotTU(B66,$H$12:$O$23,3),$D$12,_xll.TimTinhChatDatCotTU(B66,$H$12:$O$23,6),$D$20),"")</f>
        <v>0.93552000000000002</v>
      </c>
      <c r="L66" s="95">
        <f>IF(B66="","",IF(B66&lt;=$I$28,0,_xll.flu_CocMaSatKMD($D$24,$D$16,$D$17,$D$25,$H$12:$M$24,FALSE,FALSE,$D$18,$D$13,$K$30,$H$30,A66,"f")))</f>
        <v>81.8</v>
      </c>
      <c r="M66" s="95">
        <f t="shared" si="1"/>
        <v>240.41206170962101</v>
      </c>
      <c r="N66" s="95">
        <f t="shared" si="4"/>
        <v>3096.0320104886</v>
      </c>
      <c r="O66" s="87">
        <f t="shared" si="3"/>
        <v>10127.6439620811</v>
      </c>
    </row>
    <row r="67" spans="1:15">
      <c r="A67" s="87">
        <f t="shared" si="2"/>
        <v>26</v>
      </c>
      <c r="B67" s="83">
        <f>_xll.flu_CocMaSatKMD($D$24,$D$16,$D$17,$D$25,$H$12:$M$24,FALSE,FALSE,$D$18,$D$13,$K$30,$H$30,A67,"Cao độ")</f>
        <v>23</v>
      </c>
      <c r="C67" s="87" t="str">
        <f>IF(B67="","",_xll.TimTenLoaiDat(B67,$F$12:$H$24))</f>
        <v>Lớp 5</v>
      </c>
      <c r="D67" s="82" t="str">
        <f>IF(B67="","",_xll.TimTinhChatDat(B67,$H$12:$I$24))</f>
        <v>Cát chặt vừa - thô</v>
      </c>
      <c r="E67" s="96">
        <f>IF(B67="","",_xll.Qb_CocMaSatKMD(B67,$H$12:$M$24,$D$23,$D$25,$H$30,$D$15,$D$26,"GanmaRR"))</f>
        <v>1.1000000000000001</v>
      </c>
      <c r="F67" s="41">
        <f>IFERROR(_xll.TinhGammaqbCMS($D$19,_xll.TimTinhChatDatCotTU(B67,$H$12:$O$23,7),_xll.TimTinhChatDatCotTU(B67,$H$12:$O$23,7),_xll.TimTinhChatDatCotTU(B67,$H$12:$O$23,3),$D$12,_xll.TimTinhChatDatCotTU(B67,$H$12:$O$23,6),$D$20),"")</f>
        <v>0.93552000000000002</v>
      </c>
      <c r="G67" s="95">
        <f>IF(B67="","",_xll.Qb_CocMaSatKMD(B67,$H$12:$M$24,$D$23,$D$25,$H$30,$D$15,$D$26,"qb"))</f>
        <v>8800</v>
      </c>
      <c r="H67" s="95">
        <f t="shared" si="0"/>
        <v>7112.4350774729</v>
      </c>
      <c r="I67" s="96">
        <f>IF(B67="","",_xll.flu_CocMaSatKMD($D$24,$D$16,$D$17,$D$25,$H$12:$M$24,FALSE,FALSE,$D$18,$D$13,$K$30,$H$30,A67,"GanmaRf"))</f>
        <v>1</v>
      </c>
      <c r="J67" s="96">
        <f>IF(B67="","",_xll.flu_CocMaSatKMD($D$24,$D$16,$D$17,$D$25,$H$12:$M$24,FALSE,FALSE,$D$18,$D$13,$K$30,$H$30,A67,"Li"))</f>
        <v>1</v>
      </c>
      <c r="K67" s="41">
        <f>IFERROR(_xll.TinhGammafiCMS($D$19,_xll.TimTinhChatDatCotTU(B67,$H$12:$O$23,7),_xll.TimTinhChatDatCotTU(B67,$H$12:$O$23,7),_xll.TimTinhChatDatCotTU(B67,$H$12:$O$23,3),$D$12,_xll.TimTinhChatDatCotTU(B67,$H$12:$O$23,6),$D$20),"")</f>
        <v>0.93552000000000002</v>
      </c>
      <c r="L67" s="95">
        <f>IF(B67="","",IF(B67&lt;=$I$28,0,_xll.flu_CocMaSatKMD($D$24,$D$16,$D$17,$D$25,$H$12:$M$24,FALSE,FALSE,$D$18,$D$13,$K$30,$H$30,A67,"f")))</f>
        <v>83.2</v>
      </c>
      <c r="M67" s="95">
        <f t="shared" si="1"/>
        <v>244.52669357262201</v>
      </c>
      <c r="N67" s="95">
        <f t="shared" si="4"/>
        <v>3340.5587040612299</v>
      </c>
      <c r="O67" s="87">
        <f t="shared" si="3"/>
        <v>10452.9937815341</v>
      </c>
    </row>
    <row r="68" spans="1:15">
      <c r="A68" s="87">
        <f t="shared" si="2"/>
        <v>27</v>
      </c>
      <c r="B68" s="83">
        <f>_xll.flu_CocMaSatKMD($D$24,$D$16,$D$17,$D$25,$H$12:$M$24,FALSE,FALSE,$D$18,$D$13,$K$30,$H$30,A68,"Cao độ")</f>
        <v>24</v>
      </c>
      <c r="C68" s="87" t="str">
        <f>IF(B68="","",_xll.TimTenLoaiDat(B68,$F$12:$H$24))</f>
        <v>Lớp 5</v>
      </c>
      <c r="D68" s="82" t="str">
        <f>IF(B68="","",_xll.TimTinhChatDat(B68,$H$12:$I$24))</f>
        <v>Cát chặt vừa - thô</v>
      </c>
      <c r="E68" s="96">
        <f>IF(B68="","",_xll.Qb_CocMaSatKMD(B68,$H$12:$M$24,$D$23,$D$25,$H$30,$D$15,$D$26,"GanmaRR"))</f>
        <v>1.1000000000000001</v>
      </c>
      <c r="F68" s="41">
        <f>IFERROR(_xll.TinhGammaqbCMS($D$19,_xll.TimTinhChatDatCotTU(B68,$H$12:$O$23,7),_xll.TimTinhChatDatCotTU(B68,$H$12:$O$23,7),_xll.TimTinhChatDatCotTU(B68,$H$12:$O$23,3),$D$12,_xll.TimTinhChatDatCotTU(B68,$H$12:$O$23,6),$D$20),"")</f>
        <v>0.93552000000000002</v>
      </c>
      <c r="G68" s="95">
        <f>IF(B68="","",_xll.Qb_CocMaSatKMD(B68,$H$12:$M$24,$D$23,$D$25,$H$30,$D$15,$D$26,"qb"))</f>
        <v>8900</v>
      </c>
      <c r="H68" s="95">
        <f t="shared" si="0"/>
        <v>7193.2582033532799</v>
      </c>
      <c r="I68" s="96">
        <f>IF(B68="","",_xll.flu_CocMaSatKMD($D$24,$D$16,$D$17,$D$25,$H$12:$M$24,FALSE,FALSE,$D$18,$D$13,$K$30,$H$30,A68,"GanmaRf"))</f>
        <v>1</v>
      </c>
      <c r="J68" s="96">
        <f>IF(B68="","",_xll.flu_CocMaSatKMD($D$24,$D$16,$D$17,$D$25,$H$12:$M$24,FALSE,FALSE,$D$18,$D$13,$K$30,$H$30,A68,"Li"))</f>
        <v>1</v>
      </c>
      <c r="K68" s="41">
        <f>IFERROR(_xll.TinhGammafiCMS($D$19,_xll.TimTinhChatDatCotTU(B68,$H$12:$O$23,7),_xll.TimTinhChatDatCotTU(B68,$H$12:$O$23,7),_xll.TimTinhChatDatCotTU(B68,$H$12:$O$23,3),$D$12,_xll.TimTinhChatDatCotTU(B68,$H$12:$O$23,6),$D$20),"")</f>
        <v>0.93552000000000002</v>
      </c>
      <c r="L68" s="95">
        <f>IF(B68="","",IF(B68&lt;=$I$28,0,_xll.flu_CocMaSatKMD($D$24,$D$16,$D$17,$D$25,$H$12:$M$24,FALSE,FALSE,$D$18,$D$13,$K$30,$H$30,A68,"f")))</f>
        <v>84.6</v>
      </c>
      <c r="M68" s="95">
        <f t="shared" si="1"/>
        <v>248.641325435623</v>
      </c>
      <c r="N68" s="95">
        <f t="shared" si="4"/>
        <v>3589.2000294968502</v>
      </c>
      <c r="O68" s="87">
        <f t="shared" si="3"/>
        <v>10782.4582328501</v>
      </c>
    </row>
    <row r="69" spans="1:15">
      <c r="A69" s="87">
        <f t="shared" si="2"/>
        <v>28</v>
      </c>
      <c r="B69" s="83">
        <f>_xll.flu_CocMaSatKMD($D$24,$D$16,$D$17,$D$25,$H$12:$M$24,FALSE,FALSE,$D$18,$D$13,$K$30,$H$30,A69,"Cao độ")</f>
        <v>25</v>
      </c>
      <c r="C69" s="87" t="str">
        <f>IF(B69="","",_xll.TimTenLoaiDat(B69,$F$12:$H$24))</f>
        <v>Lớp 5</v>
      </c>
      <c r="D69" s="82" t="str">
        <f>IF(B69="","",_xll.TimTinhChatDat(B69,$H$12:$I$24))</f>
        <v>Cát chặt vừa - thô</v>
      </c>
      <c r="E69" s="96">
        <f>IF(B69="","",_xll.Qb_CocMaSatKMD(B69,$H$12:$M$24,$D$23,$D$25,$H$30,$D$15,$D$26,"GanmaRR"))</f>
        <v>1.1000000000000001</v>
      </c>
      <c r="F69" s="41">
        <f>IFERROR(_xll.TinhGammaqbCMS($D$19,_xll.TimTinhChatDatCotTU(B69,$H$12:$O$23,7),_xll.TimTinhChatDatCotTU(B69,$H$12:$O$23,7),_xll.TimTinhChatDatCotTU(B69,$H$12:$O$23,3),$D$12,_xll.TimTinhChatDatCotTU(B69,$H$12:$O$23,6),$D$20),"")</f>
        <v>0.93552000000000002</v>
      </c>
      <c r="G69" s="95">
        <f>IF(B69="","",_xll.Qb_CocMaSatKMD(B69,$H$12:$M$24,$D$23,$D$25,$H$30,$D$15,$D$26,"qb"))</f>
        <v>9000</v>
      </c>
      <c r="H69" s="95">
        <f t="shared" si="0"/>
        <v>7274.0813292336497</v>
      </c>
      <c r="I69" s="96">
        <f>IF(B69="","",_xll.flu_CocMaSatKMD($D$24,$D$16,$D$17,$D$25,$H$12:$M$24,FALSE,FALSE,$D$18,$D$13,$K$30,$H$30,A69,"GanmaRf"))</f>
        <v>1</v>
      </c>
      <c r="J69" s="96">
        <f>IF(B69="","",_xll.flu_CocMaSatKMD($D$24,$D$16,$D$17,$D$25,$H$12:$M$24,FALSE,FALSE,$D$18,$D$13,$K$30,$H$30,A69,"Li"))</f>
        <v>1</v>
      </c>
      <c r="K69" s="41">
        <f>IFERROR(_xll.TinhGammafiCMS($D$19,_xll.TimTinhChatDatCotTU(B69,$H$12:$O$23,7),_xll.TimTinhChatDatCotTU(B69,$H$12:$O$23,7),_xll.TimTinhChatDatCotTU(B69,$H$12:$O$23,3),$D$12,_xll.TimTinhChatDatCotTU(B69,$H$12:$O$23,6),$D$20),"")</f>
        <v>0.93552000000000002</v>
      </c>
      <c r="L69" s="95">
        <f>IF(B69="","",IF(B69&lt;=$I$28,0,_xll.flu_CocMaSatKMD($D$24,$D$16,$D$17,$D$25,$H$12:$M$24,FALSE,FALSE,$D$18,$D$13,$K$30,$H$30,A69,"f")))</f>
        <v>86</v>
      </c>
      <c r="M69" s="95">
        <f t="shared" si="1"/>
        <v>252.755957298624</v>
      </c>
      <c r="N69" s="95">
        <f t="shared" si="4"/>
        <v>3841.9559867954699</v>
      </c>
      <c r="O69" s="87">
        <f t="shared" si="3"/>
        <v>11116.0373160291</v>
      </c>
    </row>
    <row r="70" spans="1:15">
      <c r="A70" s="87">
        <f t="shared" si="2"/>
        <v>29</v>
      </c>
      <c r="B70" s="83">
        <f>_xll.flu_CocMaSatKMD($D$24,$D$16,$D$17,$D$25,$H$12:$M$24,FALSE,FALSE,$D$18,$D$13,$K$30,$H$30,A70,"Cao độ")</f>
        <v>26</v>
      </c>
      <c r="C70" s="87" t="str">
        <f>IF(B70="","",_xll.TimTenLoaiDat(B70,$F$12:$H$24))</f>
        <v>Lớp 5</v>
      </c>
      <c r="D70" s="82" t="str">
        <f>IF(B70="","",_xll.TimTinhChatDat(B70,$H$12:$I$24))</f>
        <v>Cát chặt vừa - thô</v>
      </c>
      <c r="E70" s="96">
        <f>IF(B70="","",_xll.Qb_CocMaSatKMD(B70,$H$12:$M$24,$D$23,$D$25,$H$30,$D$15,$D$26,"GanmaRR"))</f>
        <v>1.1000000000000001</v>
      </c>
      <c r="F70" s="41">
        <f>IFERROR(_xll.TinhGammaqbCMS($D$19,_xll.TimTinhChatDatCotTU(B70,$H$12:$O$23,7),_xll.TimTinhChatDatCotTU(B70,$H$12:$O$23,7),_xll.TimTinhChatDatCotTU(B70,$H$12:$O$23,3),$D$12,_xll.TimTinhChatDatCotTU(B70,$H$12:$O$23,6),$D$20),"")</f>
        <v>0.93552000000000002</v>
      </c>
      <c r="G70" s="95">
        <f>IF(B70="","",_xll.Qb_CocMaSatKMD(B70,$H$12:$M$24,$D$23,$D$25,$H$30,$D$15,$D$26,"qb"))</f>
        <v>9100</v>
      </c>
      <c r="H70" s="95">
        <f t="shared" si="0"/>
        <v>7354.9044551140196</v>
      </c>
      <c r="I70" s="96">
        <f>IF(B70="","",_xll.flu_CocMaSatKMD($D$24,$D$16,$D$17,$D$25,$H$12:$M$24,FALSE,FALSE,$D$18,$D$13,$K$30,$H$30,A70,"GanmaRf"))</f>
        <v>1</v>
      </c>
      <c r="J70" s="96">
        <f>IF(B70="","",_xll.flu_CocMaSatKMD($D$24,$D$16,$D$17,$D$25,$H$12:$M$24,FALSE,FALSE,$D$18,$D$13,$K$30,$H$30,A70,"Li"))</f>
        <v>1</v>
      </c>
      <c r="K70" s="41">
        <f>IFERROR(_xll.TinhGammafiCMS($D$19,_xll.TimTinhChatDatCotTU(B70,$H$12:$O$23,7),_xll.TimTinhChatDatCotTU(B70,$H$12:$O$23,7),_xll.TimTinhChatDatCotTU(B70,$H$12:$O$23,3),$D$12,_xll.TimTinhChatDatCotTU(B70,$H$12:$O$23,6),$D$20),"")</f>
        <v>0.93552000000000002</v>
      </c>
      <c r="L70" s="95">
        <f>IF(B70="","",IF(B70&lt;=$I$28,0,_xll.flu_CocMaSatKMD($D$24,$D$16,$D$17,$D$25,$H$12:$M$24,FALSE,FALSE,$D$18,$D$13,$K$30,$H$30,A70,"f")))</f>
        <v>87.4</v>
      </c>
      <c r="M70" s="95">
        <f t="shared" si="1"/>
        <v>256.87058916162499</v>
      </c>
      <c r="N70" s="95">
        <f t="shared" si="4"/>
        <v>4098.8265759571004</v>
      </c>
      <c r="O70" s="87">
        <f t="shared" si="3"/>
        <v>11453.7310310711</v>
      </c>
    </row>
    <row r="71" spans="1:15">
      <c r="A71" s="87">
        <f t="shared" si="2"/>
        <v>30</v>
      </c>
      <c r="B71" s="83">
        <f>_xll.flu_CocMaSatKMD($D$24,$D$16,$D$17,$D$25,$H$12:$M$24,FALSE,FALSE,$D$18,$D$13,$K$30,$H$30,A71,"Cao độ")</f>
        <v>27</v>
      </c>
      <c r="C71" s="87" t="str">
        <f>IF(B71="","",_xll.TimTenLoaiDat(B71,$F$12:$H$24))</f>
        <v>Lớp 6</v>
      </c>
      <c r="D71" s="82" t="str">
        <f>IF(B71="","",_xll.TimTinhChatDat(B71,$H$12:$I$24))</f>
        <v>Cát chặt vừa - thô</v>
      </c>
      <c r="E71" s="96">
        <f>IF(B71="","",_xll.Qb_CocMaSatKMD(B71,$H$12:$M$24,$D$23,$D$25,$H$30,$D$15,$D$26,"GanmaRR"))</f>
        <v>1.1000000000000001</v>
      </c>
      <c r="F71" s="41">
        <f>IFERROR(_xll.TinhGammaqbCMS($D$19,_xll.TimTinhChatDatCotTU(B71,$H$12:$O$23,7),_xll.TimTinhChatDatCotTU(B71,$H$12:$O$23,7),_xll.TimTinhChatDatCotTU(B71,$H$12:$O$23,3),$D$12,_xll.TimTinhChatDatCotTU(B71,$H$12:$O$23,6),$D$20),"")</f>
        <v>0.93552000000000002</v>
      </c>
      <c r="G71" s="95">
        <f>IF(B71="","",_xll.Qb_CocMaSatKMD(B71,$H$12:$M$24,$D$23,$D$25,$H$30,$D$15,$D$26,"qb"))</f>
        <v>9200</v>
      </c>
      <c r="H71" s="95">
        <f t="shared" si="0"/>
        <v>7435.7275809944003</v>
      </c>
      <c r="I71" s="96">
        <f>IF(B71="","",_xll.flu_CocMaSatKMD($D$24,$D$16,$D$17,$D$25,$H$12:$M$24,FALSE,FALSE,$D$18,$D$13,$K$30,$H$30,A71,"GanmaRf"))</f>
        <v>1</v>
      </c>
      <c r="J71" s="96">
        <f>IF(B71="","",_xll.flu_CocMaSatKMD($D$24,$D$16,$D$17,$D$25,$H$12:$M$24,FALSE,FALSE,$D$18,$D$13,$K$30,$H$30,A71,"Li"))</f>
        <v>1</v>
      </c>
      <c r="K71" s="41">
        <f>IFERROR(_xll.TinhGammafiCMS($D$19,_xll.TimTinhChatDatCotTU(B71,$H$12:$O$23,7),_xll.TimTinhChatDatCotTU(B71,$H$12:$O$23,7),_xll.TimTinhChatDatCotTU(B71,$H$12:$O$23,3),$D$12,_xll.TimTinhChatDatCotTU(B71,$H$12:$O$23,6),$D$20),"")</f>
        <v>0.93552000000000002</v>
      </c>
      <c r="L71" s="95">
        <f>IF(B71="","",IF(B71&lt;=$I$28,0,_xll.flu_CocMaSatKMD($D$24,$D$16,$D$17,$D$25,$H$12:$M$24,FALSE,FALSE,$D$18,$D$13,$K$30,$H$30,A71,"f")))</f>
        <v>88.8</v>
      </c>
      <c r="M71" s="95">
        <f t="shared" si="1"/>
        <v>260.98522102462499</v>
      </c>
      <c r="N71" s="95">
        <f t="shared" si="4"/>
        <v>4359.8117969817204</v>
      </c>
      <c r="O71" s="87">
        <f t="shared" si="3"/>
        <v>11795.5393779761</v>
      </c>
    </row>
    <row r="72" spans="1:15">
      <c r="A72" s="87">
        <f t="shared" si="2"/>
        <v>31</v>
      </c>
      <c r="B72" s="83">
        <f>_xll.flu_CocMaSatKMD($D$24,$D$16,$D$17,$D$25,$H$12:$M$24,FALSE,FALSE,$D$18,$D$13,$K$30,$H$30,A72,"Cao độ")</f>
        <v>28</v>
      </c>
      <c r="C72" s="87" t="str">
        <f>IF(B72="","",_xll.TimTenLoaiDat(B72,$F$12:$H$24))</f>
        <v>Lớp 6</v>
      </c>
      <c r="D72" s="82" t="str">
        <f>IF(B72="","",_xll.TimTinhChatDat(B72,$H$12:$I$24))</f>
        <v>Cát chặt vừa - thô</v>
      </c>
      <c r="E72" s="96">
        <f>IF(B72="","",_xll.Qb_CocMaSatKMD(B72,$H$12:$M$24,$D$23,$D$25,$H$30,$D$15,$D$26,"GanmaRR"))</f>
        <v>1.1000000000000001</v>
      </c>
      <c r="F72" s="41">
        <f>IFERROR(_xll.TinhGammaqbCMS($D$19,_xll.TimTinhChatDatCotTU(B72,$H$12:$O$23,7),_xll.TimTinhChatDatCotTU(B72,$H$12:$O$23,7),_xll.TimTinhChatDatCotTU(B72,$H$12:$O$23,3),$D$12,_xll.TimTinhChatDatCotTU(B72,$H$12:$O$23,6),$D$20),"")</f>
        <v>0.93552000000000002</v>
      </c>
      <c r="G72" s="95">
        <f>IF(B72="","",_xll.Qb_CocMaSatKMD(B72,$H$12:$M$24,$D$23,$D$25,$H$30,$D$15,$D$26,"qb"))</f>
        <v>9300</v>
      </c>
      <c r="H72" s="95">
        <f t="shared" si="0"/>
        <v>7516.5507068747702</v>
      </c>
      <c r="I72" s="96">
        <f>IF(B72="","",_xll.flu_CocMaSatKMD($D$24,$D$16,$D$17,$D$25,$H$12:$M$24,FALSE,FALSE,$D$18,$D$13,$K$30,$H$30,A72,"GanmaRf"))</f>
        <v>1</v>
      </c>
      <c r="J72" s="96">
        <f>IF(B72="","",_xll.flu_CocMaSatKMD($D$24,$D$16,$D$17,$D$25,$H$12:$M$24,FALSE,FALSE,$D$18,$D$13,$K$30,$H$30,A72,"Li"))</f>
        <v>1</v>
      </c>
      <c r="K72" s="41">
        <f>IFERROR(_xll.TinhGammafiCMS($D$19,_xll.TimTinhChatDatCotTU(B72,$H$12:$O$23,7),_xll.TimTinhChatDatCotTU(B72,$H$12:$O$23,7),_xll.TimTinhChatDatCotTU(B72,$H$12:$O$23,3),$D$12,_xll.TimTinhChatDatCotTU(B72,$H$12:$O$23,6),$D$20),"")</f>
        <v>0.93552000000000002</v>
      </c>
      <c r="L72" s="95">
        <f>IF(B72="","",IF(B72&lt;=$I$28,0,_xll.flu_CocMaSatKMD($D$24,$D$16,$D$17,$D$25,$H$12:$M$24,FALSE,FALSE,$D$18,$D$13,$K$30,$H$30,A72,"f")))</f>
        <v>90.2</v>
      </c>
      <c r="M72" s="95">
        <f t="shared" si="1"/>
        <v>265.09985288762601</v>
      </c>
      <c r="N72" s="95">
        <f t="shared" si="4"/>
        <v>4624.9116498693502</v>
      </c>
      <c r="O72" s="87">
        <f t="shared" si="3"/>
        <v>12141.462356744099</v>
      </c>
    </row>
    <row r="73" spans="1:15">
      <c r="A73" s="87">
        <f t="shared" si="2"/>
        <v>32</v>
      </c>
      <c r="B73" s="83">
        <f>_xll.flu_CocMaSatKMD($D$24,$D$16,$D$17,$D$25,$H$12:$M$24,FALSE,FALSE,$D$18,$D$13,$K$30,$H$30,A73,"Cao độ")</f>
        <v>29</v>
      </c>
      <c r="C73" s="87" t="str">
        <f>IF(B73="","",_xll.TimTenLoaiDat(B73,$F$12:$H$24))</f>
        <v>Lớp 6</v>
      </c>
      <c r="D73" s="82" t="str">
        <f>IF(B73="","",_xll.TimTinhChatDat(B73,$H$12:$I$24))</f>
        <v>Cát chặt vừa - thô</v>
      </c>
      <c r="E73" s="96">
        <f>IF(B73="","",_xll.Qb_CocMaSatKMD(B73,$H$12:$M$24,$D$23,$D$25,$H$30,$D$15,$D$26,"GanmaRR"))</f>
        <v>1.1000000000000001</v>
      </c>
      <c r="F73" s="41">
        <f>IFERROR(_xll.TinhGammaqbCMS($D$19,_xll.TimTinhChatDatCotTU(B73,$H$12:$O$23,7),_xll.TimTinhChatDatCotTU(B73,$H$12:$O$23,7),_xll.TimTinhChatDatCotTU(B73,$H$12:$O$23,3),$D$12,_xll.TimTinhChatDatCotTU(B73,$H$12:$O$23,6),$D$20),"")</f>
        <v>0.93552000000000002</v>
      </c>
      <c r="G73" s="95">
        <f>IF(B73="","",_xll.Qb_CocMaSatKMD(B73,$H$12:$M$24,$D$23,$D$25,$H$30,$D$15,$D$26,"qb"))</f>
        <v>9400</v>
      </c>
      <c r="H73" s="95">
        <f t="shared" ref="H73:H104" si="5">IF(B73="","",$D$25*E73*G73*$D$23*F73)</f>
        <v>7597.37383275514</v>
      </c>
      <c r="I73" s="96">
        <f>IF(B73="","",_xll.flu_CocMaSatKMD($D$24,$D$16,$D$17,$D$25,$H$12:$M$24,FALSE,FALSE,$D$18,$D$13,$K$30,$H$30,A73,"GanmaRf"))</f>
        <v>1</v>
      </c>
      <c r="J73" s="96">
        <f>IF(B73="","",_xll.flu_CocMaSatKMD($D$24,$D$16,$D$17,$D$25,$H$12:$M$24,FALSE,FALSE,$D$18,$D$13,$K$30,$H$30,A73,"Li"))</f>
        <v>1</v>
      </c>
      <c r="K73" s="41">
        <f>IFERROR(_xll.TinhGammafiCMS($D$19,_xll.TimTinhChatDatCotTU(B73,$H$12:$O$23,7),_xll.TimTinhChatDatCotTU(B73,$H$12:$O$23,7),_xll.TimTinhChatDatCotTU(B73,$H$12:$O$23,3),$D$12,_xll.TimTinhChatDatCotTU(B73,$H$12:$O$23,6),$D$20),"")</f>
        <v>0.93552000000000002</v>
      </c>
      <c r="L73" s="95">
        <f>IF(B73="","",IF(B73&lt;=$I$28,0,_xll.flu_CocMaSatKMD($D$24,$D$16,$D$17,$D$25,$H$12:$M$24,FALSE,FALSE,$D$18,$D$13,$K$30,$H$30,A73,"f")))</f>
        <v>91.6</v>
      </c>
      <c r="M73" s="95">
        <f t="shared" ref="M73:M104" si="6">IF(B73="","",L73*$D$24*J73*I73*$D$25*K73)</f>
        <v>269.21448475062698</v>
      </c>
      <c r="N73" s="95">
        <f t="shared" si="4"/>
        <v>4894.1261346199799</v>
      </c>
      <c r="O73" s="87">
        <f t="shared" si="3"/>
        <v>12491.499967375101</v>
      </c>
    </row>
    <row r="74" spans="1:15">
      <c r="A74" s="87">
        <f t="shared" si="2"/>
        <v>33</v>
      </c>
      <c r="B74" s="83">
        <f>_xll.flu_CocMaSatKMD($D$24,$D$16,$D$17,$D$25,$H$12:$M$24,FALSE,FALSE,$D$18,$D$13,$K$30,$H$30,A74,"Cao độ")</f>
        <v>30</v>
      </c>
      <c r="C74" s="87" t="str">
        <f>IF(B74="","",_xll.TimTenLoaiDat(B74,$F$12:$H$24))</f>
        <v>Lớp 6</v>
      </c>
      <c r="D74" s="82" t="str">
        <f>IF(B74="","",_xll.TimTinhChatDat(B74,$H$12:$I$24))</f>
        <v>Cát chặt vừa - thô</v>
      </c>
      <c r="E74" s="96">
        <f>IF(B74="","",_xll.Qb_CocMaSatKMD(B74,$H$12:$M$24,$D$23,$D$25,$H$30,$D$15,$D$26,"GanmaRR"))</f>
        <v>1.1000000000000001</v>
      </c>
      <c r="F74" s="41">
        <f>IFERROR(_xll.TinhGammaqbCMS($D$19,_xll.TimTinhChatDatCotTU(B74,$H$12:$O$23,7),_xll.TimTinhChatDatCotTU(B74,$H$12:$O$23,7),_xll.TimTinhChatDatCotTU(B74,$H$12:$O$23,3),$D$12,_xll.TimTinhChatDatCotTU(B74,$H$12:$O$23,6),$D$20),"")</f>
        <v>0.93552000000000002</v>
      </c>
      <c r="G74" s="95">
        <f>IF(B74="","",_xll.Qb_CocMaSatKMD(B74,$H$12:$M$24,$D$23,$D$25,$H$30,$D$15,$D$26,"qb"))</f>
        <v>9500</v>
      </c>
      <c r="H74" s="95">
        <f t="shared" si="5"/>
        <v>7678.1969586355199</v>
      </c>
      <c r="I74" s="96">
        <f>IF(B74="","",_xll.flu_CocMaSatKMD($D$24,$D$16,$D$17,$D$25,$H$12:$M$24,FALSE,FALSE,$D$18,$D$13,$K$30,$H$30,A74,"GanmaRf"))</f>
        <v>1</v>
      </c>
      <c r="J74" s="96">
        <f>IF(B74="","",_xll.flu_CocMaSatKMD($D$24,$D$16,$D$17,$D$25,$H$12:$M$24,FALSE,FALSE,$D$18,$D$13,$K$30,$H$30,A74,"Li"))</f>
        <v>1</v>
      </c>
      <c r="K74" s="41">
        <f>IFERROR(_xll.TinhGammafiCMS($D$19,_xll.TimTinhChatDatCotTU(B74,$H$12:$O$23,7),_xll.TimTinhChatDatCotTU(B74,$H$12:$O$23,7),_xll.TimTinhChatDatCotTU(B74,$H$12:$O$23,3),$D$12,_xll.TimTinhChatDatCotTU(B74,$H$12:$O$23,6),$D$20),"")</f>
        <v>0.93552000000000002</v>
      </c>
      <c r="L74" s="95">
        <f>IF(B74="","",IF(B74&lt;=$I$28,0,_xll.flu_CocMaSatKMD($D$24,$D$16,$D$17,$D$25,$H$12:$M$24,FALSE,FALSE,$D$18,$D$13,$K$30,$H$30,A74,"f")))</f>
        <v>93</v>
      </c>
      <c r="M74" s="95">
        <f t="shared" si="6"/>
        <v>273.329116613628</v>
      </c>
      <c r="N74" s="95">
        <f t="shared" si="4"/>
        <v>5167.4552512336004</v>
      </c>
      <c r="O74" s="87">
        <f t="shared" si="3"/>
        <v>12845.6522098691</v>
      </c>
    </row>
    <row r="75" spans="1:15">
      <c r="A75" s="87">
        <f t="shared" si="2"/>
        <v>34</v>
      </c>
      <c r="B75" s="83">
        <f>_xll.flu_CocMaSatKMD($D$24,$D$16,$D$17,$D$25,$H$12:$M$24,FALSE,FALSE,$D$18,$D$13,$K$30,$H$30,A75,"Cao độ")</f>
        <v>31</v>
      </c>
      <c r="C75" s="87" t="str">
        <f>IF(B75="","",_xll.TimTenLoaiDat(B75,$F$12:$H$24))</f>
        <v>Lớp 6</v>
      </c>
      <c r="D75" s="82" t="str">
        <f>IF(B75="","",_xll.TimTinhChatDat(B75,$H$12:$I$24))</f>
        <v>Cát chặt vừa - thô</v>
      </c>
      <c r="E75" s="96">
        <f>IF(B75="","",_xll.Qb_CocMaSatKMD(B75,$H$12:$M$24,$D$23,$D$25,$H$30,$D$15,$D$26,"GanmaRR"))</f>
        <v>1.1000000000000001</v>
      </c>
      <c r="F75" s="41">
        <f>IFERROR(_xll.TinhGammaqbCMS($D$19,_xll.TimTinhChatDatCotTU(B75,$H$12:$O$23,7),_xll.TimTinhChatDatCotTU(B75,$H$12:$O$23,7),_xll.TimTinhChatDatCotTU(B75,$H$12:$O$23,3),$D$12,_xll.TimTinhChatDatCotTU(B75,$H$12:$O$23,6),$D$20),"")</f>
        <v>0.93552000000000002</v>
      </c>
      <c r="G75" s="95">
        <f>IF(B75="","",_xll.Qb_CocMaSatKMD(B75,$H$12:$M$24,$D$23,$D$25,$H$30,$D$15,$D$26,"qb"))</f>
        <v>9600</v>
      </c>
      <c r="H75" s="95">
        <f t="shared" si="5"/>
        <v>7759.0200845158897</v>
      </c>
      <c r="I75" s="96">
        <f>IF(B75="","",_xll.flu_CocMaSatKMD($D$24,$D$16,$D$17,$D$25,$H$12:$M$24,FALSE,FALSE,$D$18,$D$13,$K$30,$H$30,A75,"GanmaRf"))</f>
        <v>1</v>
      </c>
      <c r="J75" s="96">
        <f>IF(B75="","",_xll.flu_CocMaSatKMD($D$24,$D$16,$D$17,$D$25,$H$12:$M$24,FALSE,FALSE,$D$18,$D$13,$K$30,$H$30,A75,"Li"))</f>
        <v>1</v>
      </c>
      <c r="K75" s="41">
        <f>IFERROR(_xll.TinhGammafiCMS($D$19,_xll.TimTinhChatDatCotTU(B75,$H$12:$O$23,7),_xll.TimTinhChatDatCotTU(B75,$H$12:$O$23,7),_xll.TimTinhChatDatCotTU(B75,$H$12:$O$23,3),$D$12,_xll.TimTinhChatDatCotTU(B75,$H$12:$O$23,6),$D$20),"")</f>
        <v>0.93552000000000002</v>
      </c>
      <c r="L75" s="95">
        <f>IF(B75="","",IF(B75&lt;=$I$28,0,_xll.flu_CocMaSatKMD($D$24,$D$16,$D$17,$D$25,$H$12:$M$24,FALSE,FALSE,$D$18,$D$13,$K$30,$H$30,A75,"f")))</f>
        <v>94.4</v>
      </c>
      <c r="M75" s="95">
        <f t="shared" si="6"/>
        <v>277.44374847662903</v>
      </c>
      <c r="N75" s="95">
        <f t="shared" si="4"/>
        <v>5444.8989997102299</v>
      </c>
      <c r="O75" s="87">
        <f t="shared" si="3"/>
        <v>13203.9190842261</v>
      </c>
    </row>
    <row r="76" spans="1:15">
      <c r="A76" s="87">
        <f t="shared" si="2"/>
        <v>35</v>
      </c>
      <c r="B76" s="83">
        <f>_xll.flu_CocMaSatKMD($D$24,$D$16,$D$17,$D$25,$H$12:$M$24,FALSE,FALSE,$D$18,$D$13,$K$30,$H$30,A76,"Cao độ")</f>
        <v>32</v>
      </c>
      <c r="C76" s="87" t="str">
        <f>IF(B76="","",_xll.TimTenLoaiDat(B76,$F$12:$H$24))</f>
        <v>Lớp 6</v>
      </c>
      <c r="D76" s="82" t="str">
        <f>IF(B76="","",_xll.TimTinhChatDat(B76,$H$12:$I$24))</f>
        <v>Cát chặt vừa - thô</v>
      </c>
      <c r="E76" s="96">
        <f>IF(B76="","",_xll.Qb_CocMaSatKMD(B76,$H$12:$M$24,$D$23,$D$25,$H$30,$D$15,$D$26,"GanmaRR"))</f>
        <v>1.1000000000000001</v>
      </c>
      <c r="F76" s="41">
        <f>IFERROR(_xll.TinhGammaqbCMS($D$19,_xll.TimTinhChatDatCotTU(B76,$H$12:$O$23,7),_xll.TimTinhChatDatCotTU(B76,$H$12:$O$23,7),_xll.TimTinhChatDatCotTU(B76,$H$12:$O$23,3),$D$12,_xll.TimTinhChatDatCotTU(B76,$H$12:$O$23,6),$D$20),"")</f>
        <v>0.93552000000000002</v>
      </c>
      <c r="G76" s="95">
        <f>IF(B76="","",_xll.Qb_CocMaSatKMD(B76,$H$12:$M$24,$D$23,$D$25,$H$30,$D$15,$D$26,"qb"))</f>
        <v>9700</v>
      </c>
      <c r="H76" s="95">
        <f t="shared" si="5"/>
        <v>7839.8432103962696</v>
      </c>
      <c r="I76" s="96">
        <f>IF(B76="","",_xll.flu_CocMaSatKMD($D$24,$D$16,$D$17,$D$25,$H$12:$M$24,FALSE,FALSE,$D$18,$D$13,$K$30,$H$30,A76,"GanmaRf"))</f>
        <v>1</v>
      </c>
      <c r="J76" s="96">
        <f>IF(B76="","",_xll.flu_CocMaSatKMD($D$24,$D$16,$D$17,$D$25,$H$12:$M$24,FALSE,FALSE,$D$18,$D$13,$K$30,$H$30,A76,"Li"))</f>
        <v>1</v>
      </c>
      <c r="K76" s="41">
        <f>IFERROR(_xll.TinhGammafiCMS($D$19,_xll.TimTinhChatDatCotTU(B76,$H$12:$O$23,7),_xll.TimTinhChatDatCotTU(B76,$H$12:$O$23,7),_xll.TimTinhChatDatCotTU(B76,$H$12:$O$23,3),$D$12,_xll.TimTinhChatDatCotTU(B76,$H$12:$O$23,6),$D$20),"")</f>
        <v>0.93552000000000002</v>
      </c>
      <c r="L76" s="95">
        <f>IF(B76="","",IF(B76&lt;=$I$28,0,_xll.flu_CocMaSatKMD($D$24,$D$16,$D$17,$D$25,$H$12:$M$24,FALSE,FALSE,$D$18,$D$13,$K$30,$H$30,A76,"f")))</f>
        <v>95.8</v>
      </c>
      <c r="M76" s="95">
        <f t="shared" si="6"/>
        <v>281.55838033962999</v>
      </c>
      <c r="N76" s="95">
        <f t="shared" si="4"/>
        <v>5726.4573800498601</v>
      </c>
      <c r="O76" s="87">
        <f t="shared" si="3"/>
        <v>13566.300590446101</v>
      </c>
    </row>
    <row r="77" spans="1:15">
      <c r="A77" s="87">
        <f t="shared" si="2"/>
        <v>36</v>
      </c>
      <c r="B77" s="83">
        <f>_xll.flu_CocMaSatKMD($D$24,$D$16,$D$17,$D$25,$H$12:$M$24,FALSE,FALSE,$D$18,$D$13,$K$30,$H$30,A77,"Cao độ")</f>
        <v>33</v>
      </c>
      <c r="C77" s="87" t="str">
        <f>IF(B77="","",_xll.TimTenLoaiDat(B77,$F$12:$H$24))</f>
        <v>Lớp 6</v>
      </c>
      <c r="D77" s="82" t="str">
        <f>IF(B77="","",_xll.TimTinhChatDat(B77,$H$12:$I$24))</f>
        <v>Cát chặt vừa - thô</v>
      </c>
      <c r="E77" s="96">
        <f>IF(B77="","",_xll.Qb_CocMaSatKMD(B77,$H$12:$M$24,$D$23,$D$25,$H$30,$D$15,$D$26,"GanmaRR"))</f>
        <v>1.1000000000000001</v>
      </c>
      <c r="F77" s="41">
        <f>IFERROR(_xll.TinhGammaqbCMS($D$19,_xll.TimTinhChatDatCotTU(B77,$H$12:$O$23,7),_xll.TimTinhChatDatCotTU(B77,$H$12:$O$23,7),_xll.TimTinhChatDatCotTU(B77,$H$12:$O$23,3),$D$12,_xll.TimTinhChatDatCotTU(B77,$H$12:$O$23,6),$D$20),"")</f>
        <v>0.93552000000000002</v>
      </c>
      <c r="G77" s="95">
        <f>IF(B77="","",_xll.Qb_CocMaSatKMD(B77,$H$12:$M$24,$D$23,$D$25,$H$30,$D$15,$D$26,"qb"))</f>
        <v>9800</v>
      </c>
      <c r="H77" s="95">
        <f t="shared" si="5"/>
        <v>7920.6663362766403</v>
      </c>
      <c r="I77" s="96">
        <f>IF(B77="","",_xll.flu_CocMaSatKMD($D$24,$D$16,$D$17,$D$25,$H$12:$M$24,FALSE,FALSE,$D$18,$D$13,$K$30,$H$30,A77,"GanmaRf"))</f>
        <v>1</v>
      </c>
      <c r="J77" s="96">
        <f>IF(B77="","",_xll.flu_CocMaSatKMD($D$24,$D$16,$D$17,$D$25,$H$12:$M$24,FALSE,FALSE,$D$18,$D$13,$K$30,$H$30,A77,"Li"))</f>
        <v>1</v>
      </c>
      <c r="K77" s="41">
        <f>IFERROR(_xll.TinhGammafiCMS($D$19,_xll.TimTinhChatDatCotTU(B77,$H$12:$O$23,7),_xll.TimTinhChatDatCotTU(B77,$H$12:$O$23,7),_xll.TimTinhChatDatCotTU(B77,$H$12:$O$23,3),$D$12,_xll.TimTinhChatDatCotTU(B77,$H$12:$O$23,6),$D$20),"")</f>
        <v>0.93552000000000002</v>
      </c>
      <c r="L77" s="95">
        <f>IF(B77="","",IF(B77&lt;=$I$28,0,_xll.flu_CocMaSatKMD($D$24,$D$16,$D$17,$D$25,$H$12:$M$24,FALSE,FALSE,$D$18,$D$13,$K$30,$H$30,A77,"f")))</f>
        <v>97.2</v>
      </c>
      <c r="M77" s="95">
        <f t="shared" si="6"/>
        <v>285.67301220263101</v>
      </c>
      <c r="N77" s="95">
        <f t="shared" si="4"/>
        <v>6012.1303922524903</v>
      </c>
      <c r="O77" s="87">
        <f t="shared" si="3"/>
        <v>13932.7967285291</v>
      </c>
    </row>
    <row r="78" spans="1:15">
      <c r="A78" s="87">
        <f t="shared" si="2"/>
        <v>37</v>
      </c>
      <c r="B78" s="83">
        <f>_xll.flu_CocMaSatKMD($D$24,$D$16,$D$17,$D$25,$H$12:$M$24,FALSE,FALSE,$D$18,$D$13,$K$30,$H$30,A78,"Cao độ")</f>
        <v>34</v>
      </c>
      <c r="C78" s="87" t="str">
        <f>IF(B78="","",_xll.TimTenLoaiDat(B78,$F$12:$H$24))</f>
        <v>Lớp 6</v>
      </c>
      <c r="D78" s="82" t="str">
        <f>IF(B78="","",_xll.TimTinhChatDat(B78,$H$12:$I$24))</f>
        <v>Cát chặt vừa - thô</v>
      </c>
      <c r="E78" s="96">
        <f>IF(B78="","",_xll.Qb_CocMaSatKMD(B78,$H$12:$M$24,$D$23,$D$25,$H$30,$D$15,$D$26,"GanmaRR"))</f>
        <v>1.1000000000000001</v>
      </c>
      <c r="F78" s="41">
        <f>IFERROR(_xll.TinhGammaqbCMS($D$19,_xll.TimTinhChatDatCotTU(B78,$H$12:$O$23,7),_xll.TimTinhChatDatCotTU(B78,$H$12:$O$23,7),_xll.TimTinhChatDatCotTU(B78,$H$12:$O$23,3),$D$12,_xll.TimTinhChatDatCotTU(B78,$H$12:$O$23,6),$D$20),"")</f>
        <v>0.93552000000000002</v>
      </c>
      <c r="G78" s="95">
        <f>IF(B78="","",_xll.Qb_CocMaSatKMD(B78,$H$12:$M$24,$D$23,$D$25,$H$30,$D$15,$D$26,"qb"))</f>
        <v>9900</v>
      </c>
      <c r="H78" s="95">
        <f t="shared" si="5"/>
        <v>8001.4894621570102</v>
      </c>
      <c r="I78" s="96">
        <f>IF(B78="","",_xll.flu_CocMaSatKMD($D$24,$D$16,$D$17,$D$25,$H$12:$M$24,FALSE,FALSE,$D$18,$D$13,$K$30,$H$30,A78,"GanmaRf"))</f>
        <v>1</v>
      </c>
      <c r="J78" s="96">
        <f>IF(B78="","",_xll.flu_CocMaSatKMD($D$24,$D$16,$D$17,$D$25,$H$12:$M$24,FALSE,FALSE,$D$18,$D$13,$K$30,$H$30,A78,"Li"))</f>
        <v>1</v>
      </c>
      <c r="K78" s="41">
        <f>IFERROR(_xll.TinhGammafiCMS($D$19,_xll.TimTinhChatDatCotTU(B78,$H$12:$O$23,7),_xll.TimTinhChatDatCotTU(B78,$H$12:$O$23,7),_xll.TimTinhChatDatCotTU(B78,$H$12:$O$23,3),$D$12,_xll.TimTinhChatDatCotTU(B78,$H$12:$O$23,6),$D$20),"")</f>
        <v>0.93552000000000002</v>
      </c>
      <c r="L78" s="95">
        <f>IF(B78="","",IF(B78&lt;=$I$28,0,_xll.flu_CocMaSatKMD($D$24,$D$16,$D$17,$D$25,$H$12:$M$24,FALSE,FALSE,$D$18,$D$13,$K$30,$H$30,A78,"f")))</f>
        <v>98.6</v>
      </c>
      <c r="M78" s="95">
        <f t="shared" si="6"/>
        <v>289.78764406563101</v>
      </c>
      <c r="N78" s="95">
        <f t="shared" si="4"/>
        <v>6301.9180363181204</v>
      </c>
      <c r="O78" s="87">
        <f t="shared" si="3"/>
        <v>14303.407498475101</v>
      </c>
    </row>
    <row r="79" spans="1:15">
      <c r="A79" s="87">
        <f t="shared" si="2"/>
        <v>38</v>
      </c>
      <c r="B79" s="83">
        <f>_xll.flu_CocMaSatKMD($D$24,$D$16,$D$17,$D$25,$H$12:$M$24,FALSE,FALSE,$D$18,$D$13,$K$30,$H$30,A79,"Cao độ")</f>
        <v>35</v>
      </c>
      <c r="C79" s="87" t="str">
        <f>IF(B79="","",_xll.TimTenLoaiDat(B79,$F$12:$H$24))</f>
        <v>Lớp 6</v>
      </c>
      <c r="D79" s="82" t="str">
        <f>IF(B79="","",_xll.TimTinhChatDat(B79,$H$12:$I$24))</f>
        <v>Cát chặt vừa - thô</v>
      </c>
      <c r="E79" s="96">
        <f>IF(B79="","",_xll.Qb_CocMaSatKMD(B79,$H$12:$M$24,$D$23,$D$25,$H$30,$D$15,$D$26,"GanmaRR"))</f>
        <v>1.1000000000000001</v>
      </c>
      <c r="F79" s="41">
        <f>IFERROR(_xll.TinhGammaqbCMS($D$19,_xll.TimTinhChatDatCotTU(B79,$H$12:$O$23,7),_xll.TimTinhChatDatCotTU(B79,$H$12:$O$23,7),_xll.TimTinhChatDatCotTU(B79,$H$12:$O$23,3),$D$12,_xll.TimTinhChatDatCotTU(B79,$H$12:$O$23,6),$D$20),"")</f>
        <v>0.93552000000000002</v>
      </c>
      <c r="G79" s="95">
        <f>IF(B79="","",_xll.Qb_CocMaSatKMD(B79,$H$12:$M$24,$D$23,$D$25,$H$30,$D$15,$D$26,"qb"))</f>
        <v>10000</v>
      </c>
      <c r="H79" s="95">
        <f t="shared" si="5"/>
        <v>8082.31258803739</v>
      </c>
      <c r="I79" s="96">
        <f>IF(B79="","",_xll.flu_CocMaSatKMD($D$24,$D$16,$D$17,$D$25,$H$12:$M$24,FALSE,FALSE,$D$18,$D$13,$K$30,$H$30,A79,"GanmaRf"))</f>
        <v>1</v>
      </c>
      <c r="J79" s="96">
        <f>IF(B79="","",_xll.flu_CocMaSatKMD($D$24,$D$16,$D$17,$D$25,$H$12:$M$24,FALSE,FALSE,$D$18,$D$13,$K$30,$H$30,A79,"Li"))</f>
        <v>1</v>
      </c>
      <c r="K79" s="41">
        <f>IFERROR(_xll.TinhGammafiCMS($D$19,_xll.TimTinhChatDatCotTU(B79,$H$12:$O$23,7),_xll.TimTinhChatDatCotTU(B79,$H$12:$O$23,7),_xll.TimTinhChatDatCotTU(B79,$H$12:$O$23,3),$D$12,_xll.TimTinhChatDatCotTU(B79,$H$12:$O$23,6),$D$20),"")</f>
        <v>0.93552000000000002</v>
      </c>
      <c r="L79" s="95">
        <f>IF(B79="","",IF(B79&lt;=$I$28,0,_xll.flu_CocMaSatKMD($D$24,$D$16,$D$17,$D$25,$H$12:$M$24,FALSE,FALSE,$D$18,$D$13,$K$30,$H$30,A79,"f")))</f>
        <v>100</v>
      </c>
      <c r="M79" s="95">
        <f t="shared" si="6"/>
        <v>293.90227592863198</v>
      </c>
      <c r="N79" s="95">
        <f t="shared" si="4"/>
        <v>6595.8203122467503</v>
      </c>
      <c r="O79" s="87">
        <f t="shared" si="3"/>
        <v>14678.132900284099</v>
      </c>
    </row>
    <row r="80" spans="1:15">
      <c r="A80" s="87">
        <f t="shared" si="2"/>
        <v>39</v>
      </c>
      <c r="B80" s="83">
        <f>_xll.flu_CocMaSatKMD($D$24,$D$16,$D$17,$D$25,$H$12:$M$24,FALSE,FALSE,$D$18,$D$13,$K$30,$H$30,A80,"Cao độ")</f>
        <v>36</v>
      </c>
      <c r="C80" s="87" t="str">
        <f>IF(B80="","",_xll.TimTenLoaiDat(B80,$F$12:$H$24))</f>
        <v>Lớp 6</v>
      </c>
      <c r="D80" s="82" t="str">
        <f>IF(B80="","",_xll.TimTinhChatDat(B80,$H$12:$I$24))</f>
        <v>Cát chặt vừa - thô</v>
      </c>
      <c r="E80" s="96">
        <f>IF(B80="","",_xll.Qb_CocMaSatKMD(B80,$H$12:$M$24,$D$23,$D$25,$H$30,$D$15,$D$26,"GanmaRR"))</f>
        <v>1.1000000000000001</v>
      </c>
      <c r="F80" s="41">
        <f>IFERROR(_xll.TinhGammaqbCMS($D$19,_xll.TimTinhChatDatCotTU(B80,$H$12:$O$23,7),_xll.TimTinhChatDatCotTU(B80,$H$12:$O$23,7),_xll.TimTinhChatDatCotTU(B80,$H$12:$O$23,3),$D$12,_xll.TimTinhChatDatCotTU(B80,$H$12:$O$23,6),$D$20),"")</f>
        <v>0.93552000000000002</v>
      </c>
      <c r="G80" s="95">
        <f>IF(B80="","",_xll.Qb_CocMaSatKMD(B80,$H$12:$M$24,$D$23,$D$25,$H$30,$D$15,$D$26,"qb"))</f>
        <v>10100</v>
      </c>
      <c r="H80" s="95">
        <f t="shared" si="5"/>
        <v>8163.1357139177599</v>
      </c>
      <c r="I80" s="96">
        <f>IF(B80="","",_xll.flu_CocMaSatKMD($D$24,$D$16,$D$17,$D$25,$H$12:$M$24,FALSE,FALSE,$D$18,$D$13,$K$30,$H$30,A80,"GanmaRf"))</f>
        <v>1</v>
      </c>
      <c r="J80" s="96">
        <f>IF(B80="","",_xll.flu_CocMaSatKMD($D$24,$D$16,$D$17,$D$25,$H$12:$M$24,FALSE,FALSE,$D$18,$D$13,$K$30,$H$30,A80,"Li"))</f>
        <v>1</v>
      </c>
      <c r="K80" s="41">
        <f>IFERROR(_xll.TinhGammafiCMS($D$19,_xll.TimTinhChatDatCotTU(B80,$H$12:$O$23,7),_xll.TimTinhChatDatCotTU(B80,$H$12:$O$23,7),_xll.TimTinhChatDatCotTU(B80,$H$12:$O$23,3),$D$12,_xll.TimTinhChatDatCotTU(B80,$H$12:$O$23,6),$D$20),"")</f>
        <v>0.93552000000000002</v>
      </c>
      <c r="L80" s="95">
        <f>IF(B80="","",IF(B80&lt;=$I$28,0,_xll.flu_CocMaSatKMD($D$24,$D$16,$D$17,$D$25,$H$12:$M$24,FALSE,FALSE,$D$18,$D$13,$K$30,$H$30,A80,"f")))</f>
        <v>101.4</v>
      </c>
      <c r="M80" s="95">
        <f t="shared" si="6"/>
        <v>298.016907791633</v>
      </c>
      <c r="N80" s="95">
        <f t="shared" si="4"/>
        <v>6893.8372200383901</v>
      </c>
      <c r="O80" s="87">
        <f t="shared" si="3"/>
        <v>15056.9729339561</v>
      </c>
    </row>
    <row r="81" spans="1:15">
      <c r="A81" s="87">
        <f t="shared" si="2"/>
        <v>40</v>
      </c>
      <c r="B81" s="83">
        <f>_xll.flu_CocMaSatKMD($D$24,$D$16,$D$17,$D$25,$H$12:$M$24,FALSE,FALSE,$D$18,$D$13,$K$30,$H$30,A81,"Cao độ")</f>
        <v>37</v>
      </c>
      <c r="C81" s="87" t="str">
        <f>IF(B81="","",_xll.TimTenLoaiDat(B81,$F$12:$H$24))</f>
        <v>Lớp 6</v>
      </c>
      <c r="D81" s="82" t="str">
        <f>IF(B81="","",_xll.TimTinhChatDat(B81,$H$12:$I$24))</f>
        <v>Cát chặt vừa - thô</v>
      </c>
      <c r="E81" s="96">
        <f>IF(B81="","",_xll.Qb_CocMaSatKMD(B81,$H$12:$M$24,$D$23,$D$25,$H$30,$D$15,$D$26,"GanmaRR"))</f>
        <v>1.1000000000000001</v>
      </c>
      <c r="F81" s="41">
        <f>IFERROR(_xll.TinhGammaqbCMS($D$19,_xll.TimTinhChatDatCotTU(B81,$H$12:$O$23,7),_xll.TimTinhChatDatCotTU(B81,$H$12:$O$23,7),_xll.TimTinhChatDatCotTU(B81,$H$12:$O$23,3),$D$12,_xll.TimTinhChatDatCotTU(B81,$H$12:$O$23,6),$D$20),"")</f>
        <v>0.93552000000000002</v>
      </c>
      <c r="G81" s="95">
        <f>IF(B81="","",_xll.Qb_CocMaSatKMD(B81,$H$12:$M$24,$D$23,$D$25,$H$30,$D$15,$D$26,"qb"))</f>
        <v>10200</v>
      </c>
      <c r="H81" s="95">
        <f t="shared" si="5"/>
        <v>8243.9588397981406</v>
      </c>
      <c r="I81" s="96">
        <f>IF(B81="","",_xll.flu_CocMaSatKMD($D$24,$D$16,$D$17,$D$25,$H$12:$M$24,FALSE,FALSE,$D$18,$D$13,$K$30,$H$30,A81,"GanmaRf"))</f>
        <v>1</v>
      </c>
      <c r="J81" s="96">
        <f>IF(B81="","",_xll.flu_CocMaSatKMD($D$24,$D$16,$D$17,$D$25,$H$12:$M$24,FALSE,FALSE,$D$18,$D$13,$K$30,$H$30,A81,"Li"))</f>
        <v>1</v>
      </c>
      <c r="K81" s="41">
        <f>IFERROR(_xll.TinhGammafiCMS($D$19,_xll.TimTinhChatDatCotTU(B81,$H$12:$O$23,7),_xll.TimTinhChatDatCotTU(B81,$H$12:$O$23,7),_xll.TimTinhChatDatCotTU(B81,$H$12:$O$23,3),$D$12,_xll.TimTinhChatDatCotTU(B81,$H$12:$O$23,6),$D$20),"")</f>
        <v>0.93552000000000002</v>
      </c>
      <c r="L81" s="95">
        <f>IF(B81="","",IF(B81&lt;=$I$28,0,_xll.flu_CocMaSatKMD($D$24,$D$16,$D$17,$D$25,$H$12:$M$24,FALSE,FALSE,$D$18,$D$13,$K$30,$H$30,A81,"f")))</f>
        <v>102.8</v>
      </c>
      <c r="M81" s="95">
        <f t="shared" si="6"/>
        <v>302.13153965463403</v>
      </c>
      <c r="N81" s="95">
        <f t="shared" si="4"/>
        <v>7195.9687596930198</v>
      </c>
      <c r="O81" s="87">
        <f t="shared" si="3"/>
        <v>15439.9275994912</v>
      </c>
    </row>
    <row r="82" spans="1:15">
      <c r="A82" s="87">
        <f t="shared" si="2"/>
        <v>41</v>
      </c>
      <c r="B82" s="83">
        <f>_xll.flu_CocMaSatKMD($D$24,$D$16,$D$17,$D$25,$H$12:$M$24,FALSE,FALSE,$D$18,$D$13,$K$30,$H$30,A82,"Cao độ")</f>
        <v>38</v>
      </c>
      <c r="C82" s="87" t="str">
        <f>IF(B82="","",_xll.TimTenLoaiDat(B82,$F$12:$H$24))</f>
        <v>Lớp 6</v>
      </c>
      <c r="D82" s="82" t="str">
        <f>IF(B82="","",_xll.TimTinhChatDat(B82,$H$12:$I$24))</f>
        <v>Cát chặt vừa - thô</v>
      </c>
      <c r="E82" s="96">
        <f>IF(B82="","",_xll.Qb_CocMaSatKMD(B82,$H$12:$M$24,$D$23,$D$25,$H$30,$D$15,$D$26,"GanmaRR"))</f>
        <v>1.1000000000000001</v>
      </c>
      <c r="F82" s="41">
        <f>IFERROR(_xll.TinhGammaqbCMS($D$19,_xll.TimTinhChatDatCotTU(B82,$H$12:$O$23,7),_xll.TimTinhChatDatCotTU(B82,$H$12:$O$23,7),_xll.TimTinhChatDatCotTU(B82,$H$12:$O$23,3),$D$12,_xll.TimTinhChatDatCotTU(B82,$H$12:$O$23,6),$D$20),"")</f>
        <v>0.93552000000000002</v>
      </c>
      <c r="G82" s="95">
        <f>IF(B82="","",_xll.Qb_CocMaSatKMD(B82,$H$12:$M$24,$D$23,$D$25,$H$30,$D$15,$D$26,"qb"))</f>
        <v>10300</v>
      </c>
      <c r="H82" s="95">
        <f t="shared" si="5"/>
        <v>8324.7819656785105</v>
      </c>
      <c r="I82" s="96">
        <f>IF(B82="","",_xll.flu_CocMaSatKMD($D$24,$D$16,$D$17,$D$25,$H$12:$M$24,FALSE,FALSE,$D$18,$D$13,$K$30,$H$30,A82,"GanmaRf"))</f>
        <v>1</v>
      </c>
      <c r="J82" s="96">
        <f>IF(B82="","",_xll.flu_CocMaSatKMD($D$24,$D$16,$D$17,$D$25,$H$12:$M$24,FALSE,FALSE,$D$18,$D$13,$K$30,$H$30,A82,"Li"))</f>
        <v>0.20000000000000301</v>
      </c>
      <c r="K82" s="41">
        <f>IFERROR(_xll.TinhGammafiCMS($D$19,_xll.TimTinhChatDatCotTU(B82,$H$12:$O$23,7),_xll.TimTinhChatDatCotTU(B82,$H$12:$O$23,7),_xll.TimTinhChatDatCotTU(B82,$H$12:$O$23,3),$D$12,_xll.TimTinhChatDatCotTU(B82,$H$12:$O$23,6),$D$20),"")</f>
        <v>0.93552000000000002</v>
      </c>
      <c r="L82" s="95">
        <f>IF(B82="","",IF(B82&lt;=$I$28,0,_xll.flu_CocMaSatKMD($D$24,$D$16,$D$17,$D$25,$H$12:$M$24,FALSE,FALSE,$D$18,$D$13,$K$30,$H$30,A82,"f")))</f>
        <v>104.2</v>
      </c>
      <c r="M82" s="95">
        <f t="shared" si="6"/>
        <v>61.2492343035278</v>
      </c>
      <c r="N82" s="95">
        <f t="shared" si="4"/>
        <v>7257.2179939965499</v>
      </c>
      <c r="O82" s="87">
        <f t="shared" si="3"/>
        <v>15581.9999596751</v>
      </c>
    </row>
    <row r="83" spans="1:15">
      <c r="A83" s="87">
        <f t="shared" si="2"/>
        <v>42</v>
      </c>
      <c r="B83" s="83">
        <f>_xll.flu_CocMaSatKMD($D$24,$D$16,$D$17,$D$25,$H$12:$M$24,FALSE,FALSE,$D$18,$D$13,$K$30,$H$30,A83,"Cao độ")</f>
        <v>38.200000000000003</v>
      </c>
      <c r="C83" s="87" t="str">
        <f>IF(B83="","",_xll.TimTenLoaiDat(B83,$F$12:$H$24))</f>
        <v>Lớp 7</v>
      </c>
      <c r="D83" s="82" t="str">
        <f>IF(B83="","",_xll.TimTinhChatDat(B83,$H$12:$I$24))</f>
        <v>Cát chặt vừa - lẫn sỏi sạn</v>
      </c>
      <c r="E83" s="96">
        <f>IF(B83="","",_xll.Qb_CocMaSatKMD(B83,$H$12:$M$24,$D$23,$D$25,$H$30,$D$15,$D$26,"GanmaRR"))</f>
        <v>1.1000000000000001</v>
      </c>
      <c r="F83" s="41">
        <f>IFERROR(_xll.TinhGammaqbCMS($D$19,_xll.TimTinhChatDatCotTU(B83,$H$12:$O$23,7),_xll.TimTinhChatDatCotTU(B83,$H$12:$O$23,7),_xll.TimTinhChatDatCotTU(B83,$H$12:$O$23,3),$D$12,_xll.TimTinhChatDatCotTU(B83,$H$12:$O$23,6),$D$20),"")</f>
        <v>0.98551999999999995</v>
      </c>
      <c r="G83" s="95">
        <f>IF(B83="","",_xll.Qb_CocMaSatKMD(B83,$H$12:$M$24,$D$23,$D$25,$H$30,$D$15,$D$26,"qb"))</f>
        <v>15512</v>
      </c>
      <c r="H83" s="95">
        <f t="shared" si="5"/>
        <v>13207.3535836478</v>
      </c>
      <c r="I83" s="96">
        <f>IF(B83="","",_xll.flu_CocMaSatKMD($D$24,$D$16,$D$17,$D$25,$H$12:$M$24,FALSE,FALSE,$D$18,$D$13,$K$30,$H$30,A83,"GanmaRf"))</f>
        <v>1</v>
      </c>
      <c r="J83" s="96">
        <f>IF(B83="","",_xll.flu_CocMaSatKMD($D$24,$D$16,$D$17,$D$25,$H$12:$M$24,FALSE,FALSE,$D$18,$D$13,$K$30,$H$30,A83,"Li"))</f>
        <v>0.79999999999999705</v>
      </c>
      <c r="K83" s="41">
        <f>IFERROR(_xll.TinhGammafiCMS($D$19,_xll.TimTinhChatDatCotTU(B83,$H$12:$O$23,7),_xll.TimTinhChatDatCotTU(B83,$H$12:$O$23,7),_xll.TimTinhChatDatCotTU(B83,$H$12:$O$23,3),$D$12,_xll.TimTinhChatDatCotTU(B83,$H$12:$O$23,6),$D$20),"")</f>
        <v>0.93552000000000002</v>
      </c>
      <c r="L83" s="95">
        <f>IF(B83="","",IF(B83&lt;=$I$28,0,_xll.flu_CocMaSatKMD($D$24,$D$16,$D$17,$D$25,$H$12:$M$24,FALSE,FALSE,$D$18,$D$13,$K$30,$H$30,A83,"f")))</f>
        <v>104.48</v>
      </c>
      <c r="M83" s="95">
        <f t="shared" si="6"/>
        <v>245.65527831218699</v>
      </c>
      <c r="N83" s="95">
        <f t="shared" si="4"/>
        <v>7502.8732723087396</v>
      </c>
      <c r="O83" s="87">
        <f t="shared" si="3"/>
        <v>20710.226855956498</v>
      </c>
    </row>
    <row r="84" spans="1:15">
      <c r="A84" s="87">
        <f t="shared" si="2"/>
        <v>43</v>
      </c>
      <c r="B84" s="83">
        <f>_xll.flu_CocMaSatKMD($D$24,$D$16,$D$17,$D$25,$H$12:$M$24,FALSE,FALSE,$D$18,$D$13,$K$30,$H$30,A84,"Cao độ")</f>
        <v>39</v>
      </c>
      <c r="C84" s="87" t="str">
        <f>IF(B84="","",_xll.TimTenLoaiDat(B84,$F$12:$H$24))</f>
        <v>Lớp 7</v>
      </c>
      <c r="D84" s="82" t="str">
        <f>IF(B84="","",_xll.TimTinhChatDat(B84,$H$12:$I$24))</f>
        <v>Cát chặt vừa - lẫn sỏi sạn</v>
      </c>
      <c r="E84" s="96">
        <f>IF(B84="","",_xll.Qb_CocMaSatKMD(B84,$H$12:$M$24,$D$23,$D$25,$H$30,$D$15,$D$26,"GanmaRR"))</f>
        <v>1.1000000000000001</v>
      </c>
      <c r="F84" s="41">
        <f>IFERROR(_xll.TinhGammaqbCMS($D$19,_xll.TimTinhChatDatCotTU(B84,$H$12:$O$23,7),_xll.TimTinhChatDatCotTU(B84,$H$12:$O$23,7),_xll.TimTinhChatDatCotTU(B84,$H$12:$O$23,3),$D$12,_xll.TimTinhChatDatCotTU(B84,$H$12:$O$23,6),$D$20),"")</f>
        <v>0.98551999999999995</v>
      </c>
      <c r="G84" s="95">
        <f>IF(B84="","",_xll.Qb_CocMaSatKMD(B84,$H$12:$M$24,$D$23,$D$25,$H$30,$D$15,$D$26,"qb"))</f>
        <v>15640</v>
      </c>
      <c r="H84" s="95">
        <f t="shared" si="5"/>
        <v>13316.336387845</v>
      </c>
      <c r="I84" s="96">
        <f>IF(B84="","",_xll.flu_CocMaSatKMD($D$24,$D$16,$D$17,$D$25,$H$12:$M$24,FALSE,FALSE,$D$18,$D$13,$K$30,$H$30,A84,"GanmaRf"))</f>
        <v>1</v>
      </c>
      <c r="J84" s="96">
        <f>IF(B84="","",_xll.flu_CocMaSatKMD($D$24,$D$16,$D$17,$D$25,$H$12:$M$24,FALSE,FALSE,$D$18,$D$13,$K$30,$H$30,A84,"Li"))</f>
        <v>1</v>
      </c>
      <c r="K84" s="41">
        <f>IFERROR(_xll.TinhGammafiCMS($D$19,_xll.TimTinhChatDatCotTU(B84,$H$12:$O$23,7),_xll.TimTinhChatDatCotTU(B84,$H$12:$O$23,7),_xll.TimTinhChatDatCotTU(B84,$H$12:$O$23,3),$D$12,_xll.TimTinhChatDatCotTU(B84,$H$12:$O$23,6),$D$20),"")</f>
        <v>0.93552000000000002</v>
      </c>
      <c r="L84" s="95">
        <f>IF(B84="","",IF(B84&lt;=$I$28,0,_xll.flu_CocMaSatKMD($D$24,$D$16,$D$17,$D$25,$H$12:$M$24,FALSE,FALSE,$D$18,$D$13,$K$30,$H$30,A84,"f")))</f>
        <v>105.6</v>
      </c>
      <c r="M84" s="95">
        <f t="shared" si="6"/>
        <v>310.36080338063601</v>
      </c>
      <c r="N84" s="95">
        <f t="shared" si="4"/>
        <v>7813.23407568937</v>
      </c>
      <c r="O84" s="87">
        <f t="shared" si="3"/>
        <v>21129.570463534299</v>
      </c>
    </row>
    <row r="85" spans="1:15">
      <c r="A85" s="87">
        <f t="shared" si="2"/>
        <v>44</v>
      </c>
      <c r="B85" s="83">
        <f>_xll.flu_CocMaSatKMD($D$24,$D$16,$D$17,$D$25,$H$12:$M$24,FALSE,FALSE,$D$18,$D$13,$K$30,$H$30,A85,"Cao độ")</f>
        <v>40</v>
      </c>
      <c r="C85" s="87" t="str">
        <f>IF(B85="","",_xll.TimTenLoaiDat(B85,$F$12:$H$24))</f>
        <v>Lớp 7</v>
      </c>
      <c r="D85" s="82" t="str">
        <f>IF(B85="","",_xll.TimTinhChatDat(B85,$H$12:$I$24))</f>
        <v>Cát chặt vừa - lẫn sỏi sạn</v>
      </c>
      <c r="E85" s="96">
        <f>IF(B85="","",_xll.Qb_CocMaSatKMD(B85,$H$12:$M$24,$D$23,$D$25,$H$30,$D$15,$D$26,"GanmaRR"))</f>
        <v>1.1000000000000001</v>
      </c>
      <c r="F85" s="41">
        <f>IFERROR(_xll.TinhGammaqbCMS($D$19,_xll.TimTinhChatDatCotTU(B85,$H$12:$O$23,7),_xll.TimTinhChatDatCotTU(B85,$H$12:$O$23,7),_xll.TimTinhChatDatCotTU(B85,$H$12:$O$23,3),$D$12,_xll.TimTinhChatDatCotTU(B85,$H$12:$O$23,6),$D$20),"")</f>
        <v>0.98551999999999995</v>
      </c>
      <c r="G85" s="95">
        <f>IF(B85="","",_xll.Qb_CocMaSatKMD(B85,$H$12:$M$24,$D$23,$D$25,$H$30,$D$15,$D$26,"qb"))</f>
        <v>15800</v>
      </c>
      <c r="H85" s="95">
        <f t="shared" si="5"/>
        <v>13452.564893091499</v>
      </c>
      <c r="I85" s="96">
        <f>IF(B85="","",_xll.flu_CocMaSatKMD($D$24,$D$16,$D$17,$D$25,$H$12:$M$24,FALSE,FALSE,$D$18,$D$13,$K$30,$H$30,A85,"GanmaRf"))</f>
        <v>1</v>
      </c>
      <c r="J85" s="96">
        <f>IF(B85="","",_xll.flu_CocMaSatKMD($D$24,$D$16,$D$17,$D$25,$H$12:$M$24,FALSE,FALSE,$D$18,$D$13,$K$30,$H$30,A85,"Li"))</f>
        <v>1</v>
      </c>
      <c r="K85" s="41">
        <f>IFERROR(_xll.TinhGammafiCMS($D$19,_xll.TimTinhChatDatCotTU(B85,$H$12:$O$23,7),_xll.TimTinhChatDatCotTU(B85,$H$12:$O$23,7),_xll.TimTinhChatDatCotTU(B85,$H$12:$O$23,3),$D$12,_xll.TimTinhChatDatCotTU(B85,$H$12:$O$23,6),$D$20),"")</f>
        <v>0.93552000000000002</v>
      </c>
      <c r="L85" s="95">
        <f>IF(B85="","",IF(B85&lt;=$I$28,0,_xll.flu_CocMaSatKMD($D$24,$D$16,$D$17,$D$25,$H$12:$M$24,FALSE,FALSE,$D$18,$D$13,$K$30,$H$30,A85,"f")))</f>
        <v>107</v>
      </c>
      <c r="M85" s="95">
        <f t="shared" si="6"/>
        <v>314.47543524363698</v>
      </c>
      <c r="N85" s="95">
        <f t="shared" si="4"/>
        <v>8127.7095109330103</v>
      </c>
      <c r="O85" s="87">
        <f t="shared" si="3"/>
        <v>21580.274404024502</v>
      </c>
    </row>
    <row r="86" spans="1:15">
      <c r="A86" s="87">
        <f t="shared" si="2"/>
        <v>45</v>
      </c>
      <c r="B86" s="83">
        <f>_xll.flu_CocMaSatKMD($D$24,$D$16,$D$17,$D$25,$H$12:$M$24,FALSE,FALSE,$D$18,$D$13,$K$30,$H$30,A86,"Cao độ")</f>
        <v>41</v>
      </c>
      <c r="C86" s="87" t="str">
        <f>IF(B86="","",_xll.TimTenLoaiDat(B86,$F$12:$H$24))</f>
        <v>Lớp 7</v>
      </c>
      <c r="D86" s="82" t="str">
        <f>IF(B86="","",_xll.TimTinhChatDat(B86,$H$12:$I$24))</f>
        <v>Cát chặt vừa - lẫn sỏi sạn</v>
      </c>
      <c r="E86" s="96">
        <f>IF(B86="","",_xll.Qb_CocMaSatKMD(B86,$H$12:$M$24,$D$23,$D$25,$H$30,$D$15,$D$26,"GanmaRR"))</f>
        <v>1.1000000000000001</v>
      </c>
      <c r="F86" s="41">
        <f>IFERROR(_xll.TinhGammaqbCMS($D$19,_xll.TimTinhChatDatCotTU(B86,$H$12:$O$23,7),_xll.TimTinhChatDatCotTU(B86,$H$12:$O$23,7),_xll.TimTinhChatDatCotTU(B86,$H$12:$O$23,3),$D$12,_xll.TimTinhChatDatCotTU(B86,$H$12:$O$23,6),$D$20),"")</f>
        <v>0.98551999999999995</v>
      </c>
      <c r="G86" s="95">
        <f>IF(B86="","",_xll.Qb_CocMaSatKMD(B86,$H$12:$M$24,$D$23,$D$25,$H$30,$D$15,$D$26,"qb"))</f>
        <v>15800</v>
      </c>
      <c r="H86" s="95">
        <f t="shared" si="5"/>
        <v>13452.564893091499</v>
      </c>
      <c r="I86" s="96">
        <f>IF(B86="","",_xll.flu_CocMaSatKMD($D$24,$D$16,$D$17,$D$25,$H$12:$M$24,FALSE,FALSE,$D$18,$D$13,$K$30,$H$30,A86,"GanmaRf"))</f>
        <v>1</v>
      </c>
      <c r="J86" s="96">
        <f>IF(B86="","",_xll.flu_CocMaSatKMD($D$24,$D$16,$D$17,$D$25,$H$12:$M$24,FALSE,FALSE,$D$18,$D$13,$K$30,$H$30,A86,"Li"))</f>
        <v>1</v>
      </c>
      <c r="K86" s="41">
        <f>IFERROR(_xll.TinhGammafiCMS($D$19,_xll.TimTinhChatDatCotTU(B86,$H$12:$O$23,7),_xll.TimTinhChatDatCotTU(B86,$H$12:$O$23,7),_xll.TimTinhChatDatCotTU(B86,$H$12:$O$23,3),$D$12,_xll.TimTinhChatDatCotTU(B86,$H$12:$O$23,6),$D$20),"")</f>
        <v>0.93552000000000002</v>
      </c>
      <c r="L86" s="95">
        <f>IF(B86="","",IF(B86&lt;=$I$28,0,_xll.flu_CocMaSatKMD($D$24,$D$16,$D$17,$D$25,$H$12:$M$24,FALSE,FALSE,$D$18,$D$13,$K$30,$H$30,A86,"f")))</f>
        <v>107</v>
      </c>
      <c r="M86" s="95">
        <f t="shared" si="6"/>
        <v>314.47543524363698</v>
      </c>
      <c r="N86" s="95">
        <f t="shared" si="4"/>
        <v>8442.1849461766506</v>
      </c>
      <c r="O86" s="87">
        <f t="shared" si="3"/>
        <v>21894.749839268101</v>
      </c>
    </row>
    <row r="87" spans="1:15">
      <c r="A87" s="87">
        <f t="shared" si="2"/>
        <v>46</v>
      </c>
      <c r="B87" s="83">
        <f>_xll.flu_CocMaSatKMD($D$24,$D$16,$D$17,$D$25,$H$12:$M$24,FALSE,FALSE,$D$18,$D$13,$K$30,$H$30,A87,"Cao độ")</f>
        <v>42</v>
      </c>
      <c r="C87" s="87" t="str">
        <f>IF(B87="","",_xll.TimTenLoaiDat(B87,$F$12:$H$24))</f>
        <v>Lớp 7</v>
      </c>
      <c r="D87" s="82" t="str">
        <f>IF(B87="","",_xll.TimTinhChatDat(B87,$H$12:$I$24))</f>
        <v>Cát chặt vừa - lẫn sỏi sạn</v>
      </c>
      <c r="E87" s="96">
        <f>IF(B87="","",_xll.Qb_CocMaSatKMD(B87,$H$12:$M$24,$D$23,$D$25,$H$30,$D$15,$D$26,"GanmaRR"))</f>
        <v>1.1000000000000001</v>
      </c>
      <c r="F87" s="41">
        <f>IFERROR(_xll.TinhGammaqbCMS($D$19,_xll.TimTinhChatDatCotTU(B87,$H$12:$O$23,7),_xll.TimTinhChatDatCotTU(B87,$H$12:$O$23,7),_xll.TimTinhChatDatCotTU(B87,$H$12:$O$23,3),$D$12,_xll.TimTinhChatDatCotTU(B87,$H$12:$O$23,6),$D$20),"")</f>
        <v>0.98551999999999995</v>
      </c>
      <c r="G87" s="95">
        <f>IF(B87="","",_xll.Qb_CocMaSatKMD(B87,$H$12:$M$24,$D$23,$D$25,$H$30,$D$15,$D$26,"qb"))</f>
        <v>15800</v>
      </c>
      <c r="H87" s="95">
        <f t="shared" si="5"/>
        <v>13452.564893091499</v>
      </c>
      <c r="I87" s="96">
        <f>IF(B87="","",_xll.flu_CocMaSatKMD($D$24,$D$16,$D$17,$D$25,$H$12:$M$24,FALSE,FALSE,$D$18,$D$13,$K$30,$H$30,A87,"GanmaRf"))</f>
        <v>1</v>
      </c>
      <c r="J87" s="96">
        <f>IF(B87="","",_xll.flu_CocMaSatKMD($D$24,$D$16,$D$17,$D$25,$H$12:$M$24,FALSE,FALSE,$D$18,$D$13,$K$30,$H$30,A87,"Li"))</f>
        <v>1</v>
      </c>
      <c r="K87" s="41">
        <f>IFERROR(_xll.TinhGammafiCMS($D$19,_xll.TimTinhChatDatCotTU(B87,$H$12:$O$23,7),_xll.TimTinhChatDatCotTU(B87,$H$12:$O$23,7),_xll.TimTinhChatDatCotTU(B87,$H$12:$O$23,3),$D$12,_xll.TimTinhChatDatCotTU(B87,$H$12:$O$23,6),$D$20),"")</f>
        <v>0.93552000000000002</v>
      </c>
      <c r="L87" s="95">
        <f>IF(B87="","",IF(B87&lt;=$I$28,0,_xll.flu_CocMaSatKMD($D$24,$D$16,$D$17,$D$25,$H$12:$M$24,FALSE,FALSE,$D$18,$D$13,$K$30,$H$30,A87,"f")))</f>
        <v>107</v>
      </c>
      <c r="M87" s="95">
        <f t="shared" si="6"/>
        <v>314.47543524363698</v>
      </c>
      <c r="N87" s="95">
        <f t="shared" si="4"/>
        <v>8756.6603814202808</v>
      </c>
      <c r="O87" s="87">
        <f t="shared" si="3"/>
        <v>22209.2252745117</v>
      </c>
    </row>
    <row r="88" spans="1:15">
      <c r="A88" s="87">
        <f t="shared" si="2"/>
        <v>47</v>
      </c>
      <c r="B88" s="83">
        <f>_xll.flu_CocMaSatKMD($D$24,$D$16,$D$17,$D$25,$H$12:$M$24,FALSE,FALSE,$D$18,$D$13,$K$30,$H$30,A88,"Cao độ")</f>
        <v>43</v>
      </c>
      <c r="C88" s="87" t="str">
        <f>IF(B88="","",_xll.TimTenLoaiDat(B88,$F$12:$H$24))</f>
        <v>Lớp 7</v>
      </c>
      <c r="D88" s="82" t="str">
        <f>IF(B88="","",_xll.TimTinhChatDat(B88,$H$12:$I$24))</f>
        <v>Cát chặt vừa - lẫn sỏi sạn</v>
      </c>
      <c r="E88" s="96">
        <f>IF(B88="","",_xll.Qb_CocMaSatKMD(B88,$H$12:$M$24,$D$23,$D$25,$H$30,$D$15,$D$26,"GanmaRR"))</f>
        <v>1.1000000000000001</v>
      </c>
      <c r="F88" s="41">
        <f>IFERROR(_xll.TinhGammaqbCMS($D$19,_xll.TimTinhChatDatCotTU(B88,$H$12:$O$23,7),_xll.TimTinhChatDatCotTU(B88,$H$12:$O$23,7),_xll.TimTinhChatDatCotTU(B88,$H$12:$O$23,3),$D$12,_xll.TimTinhChatDatCotTU(B88,$H$12:$O$23,6),$D$20),"")</f>
        <v>0.98551999999999995</v>
      </c>
      <c r="G88" s="95">
        <f>IF(B88="","",_xll.Qb_CocMaSatKMD(B88,$H$12:$M$24,$D$23,$D$25,$H$30,$D$15,$D$26,"qb"))</f>
        <v>15800</v>
      </c>
      <c r="H88" s="95">
        <f t="shared" si="5"/>
        <v>13452.564893091499</v>
      </c>
      <c r="I88" s="96">
        <f>IF(B88="","",_xll.flu_CocMaSatKMD($D$24,$D$16,$D$17,$D$25,$H$12:$M$24,FALSE,FALSE,$D$18,$D$13,$K$30,$H$30,A88,"GanmaRf"))</f>
        <v>1</v>
      </c>
      <c r="J88" s="96">
        <f>IF(B88="","",_xll.flu_CocMaSatKMD($D$24,$D$16,$D$17,$D$25,$H$12:$M$24,FALSE,FALSE,$D$18,$D$13,$K$30,$H$30,A88,"Li"))</f>
        <v>0.20000000000000301</v>
      </c>
      <c r="K88" s="41">
        <f>IFERROR(_xll.TinhGammafiCMS($D$19,_xll.TimTinhChatDatCotTU(B88,$H$12:$O$23,7),_xll.TimTinhChatDatCotTU(B88,$H$12:$O$23,7),_xll.TimTinhChatDatCotTU(B88,$H$12:$O$23,3),$D$12,_xll.TimTinhChatDatCotTU(B88,$H$12:$O$23,6),$D$20),"")</f>
        <v>0.93552000000000002</v>
      </c>
      <c r="L88" s="95">
        <f>IF(B88="","",IF(B88&lt;=$I$28,0,_xll.flu_CocMaSatKMD($D$24,$D$16,$D$17,$D$25,$H$12:$M$24,FALSE,FALSE,$D$18,$D$13,$K$30,$H$30,A88,"f")))</f>
        <v>107</v>
      </c>
      <c r="M88" s="95">
        <f t="shared" si="6"/>
        <v>62.8950870487282</v>
      </c>
      <c r="N88" s="95">
        <f t="shared" si="4"/>
        <v>8819.5554684690105</v>
      </c>
      <c r="O88" s="87">
        <f t="shared" si="3"/>
        <v>22272.120361560501</v>
      </c>
    </row>
    <row r="89" spans="1:15">
      <c r="A89" s="87">
        <f t="shared" si="2"/>
        <v>48</v>
      </c>
      <c r="B89" s="83">
        <f>_xll.flu_CocMaSatKMD($D$24,$D$16,$D$17,$D$25,$H$12:$M$24,FALSE,FALSE,$D$18,$D$13,$K$30,$H$30,A89,"Cao độ")</f>
        <v>43.2</v>
      </c>
      <c r="C89" s="87" t="str">
        <f>IF(B89="","",_xll.TimTenLoaiDat(B89,$F$12:$H$24))</f>
        <v>Lớp 7</v>
      </c>
      <c r="D89" s="82" t="str">
        <f>IF(B89="","",_xll.TimTinhChatDat(B89,$H$12:$I$24))</f>
        <v>Cát chặt vừa - lẫn sỏi sạn</v>
      </c>
      <c r="E89" s="96">
        <f>IF(B89="","",_xll.Qb_CocMaSatKMD(B89,$H$12:$M$24,$D$23,$D$25,$H$30,$D$15,$D$26,"GanmaRR"))</f>
        <v>1.1000000000000001</v>
      </c>
      <c r="F89" s="41">
        <f>IFERROR(_xll.TinhGammaqbCMS($D$19,_xll.TimTinhChatDatCotTU(B89,$H$12:$O$23,7),_xll.TimTinhChatDatCotTU(B89,$H$12:$O$23,7),_xll.TimTinhChatDatCotTU(B89,$H$12:$O$23,3),$D$12,_xll.TimTinhChatDatCotTU(B89,$H$12:$O$23,6),$D$20),"")</f>
        <v>0.98551999999999995</v>
      </c>
      <c r="G89" s="95">
        <f>IF(B89="","",_xll.Qb_CocMaSatKMD(B89,$H$12:$M$24,$D$23,$D$25,$H$30,$D$15,$D$26,"qb"))</f>
        <v>15800</v>
      </c>
      <c r="H89" s="95">
        <f t="shared" si="5"/>
        <v>13452.564893091499</v>
      </c>
      <c r="I89" s="96">
        <f>IF(B89="","",_xll.flu_CocMaSatKMD($D$24,$D$16,$D$17,$D$25,$H$12:$M$24,FALSE,FALSE,$D$18,$D$13,$K$30,$H$30,A89,"GanmaRf"))</f>
        <v>1</v>
      </c>
      <c r="J89" s="96">
        <f>IF(B89="","",_xll.flu_CocMaSatKMD($D$24,$D$16,$D$17,$D$25,$H$12:$M$24,FALSE,FALSE,$D$18,$D$13,$K$30,$H$30,A89,"Li"))</f>
        <v>0</v>
      </c>
      <c r="K89" s="41">
        <f>IFERROR(_xll.TinhGammafiCMS($D$19,_xll.TimTinhChatDatCotTU(B89,$H$12:$O$23,7),_xll.TimTinhChatDatCotTU(B89,$H$12:$O$23,7),_xll.TimTinhChatDatCotTU(B89,$H$12:$O$23,3),$D$12,_xll.TimTinhChatDatCotTU(B89,$H$12:$O$23,6),$D$20),"")</f>
        <v>0.93552000000000002</v>
      </c>
      <c r="L89" s="95">
        <f>IF(B89="","",IF(B89&lt;=$I$28,0,_xll.flu_CocMaSatKMD($D$24,$D$16,$D$17,$D$25,$H$12:$M$24,FALSE,FALSE,$D$18,$D$13,$K$30,$H$30,A89,"f")))</f>
        <v>107</v>
      </c>
      <c r="M89" s="95">
        <f t="shared" si="6"/>
        <v>0</v>
      </c>
      <c r="N89" s="95">
        <f t="shared" si="4"/>
        <v>8819.5554684690105</v>
      </c>
      <c r="O89" s="87">
        <f t="shared" si="3"/>
        <v>22272.120361560501</v>
      </c>
    </row>
    <row r="90" spans="1:15">
      <c r="A90" s="87">
        <f t="shared" si="2"/>
        <v>49</v>
      </c>
      <c r="B90" s="83">
        <f>_xll.flu_CocMaSatKMD($D$24,$D$16,$D$17,$D$25,$H$12:$M$24,FALSE,FALSE,$D$18,$D$13,$K$30,$H$30,A90,"Cao độ")</f>
        <v>44</v>
      </c>
      <c r="C90" s="87" t="str">
        <f>IF(B90="","",_xll.TimTenLoaiDat(B90,$F$12:$H$24))</f>
        <v>Lớp 7</v>
      </c>
      <c r="D90" s="82" t="str">
        <f>IF(B90="","",_xll.TimTinhChatDat(B90,$H$12:$I$24))</f>
        <v>Cát chặt vừa - lẫn sỏi sạn</v>
      </c>
      <c r="E90" s="96">
        <f>IF(B90="","",_xll.Qb_CocMaSatKMD(B90,$H$12:$M$24,$D$23,$D$25,$H$30,$D$15,$D$26,"GanmaRR"))</f>
        <v>1.1000000000000001</v>
      </c>
      <c r="F90" s="41">
        <f>IFERROR(_xll.TinhGammaqbCMS($D$19,_xll.TimTinhChatDatCotTU(B90,$H$12:$O$23,7),_xll.TimTinhChatDatCotTU(B90,$H$12:$O$23,7),_xll.TimTinhChatDatCotTU(B90,$H$12:$O$23,3),$D$12,_xll.TimTinhChatDatCotTU(B90,$H$12:$O$23,6),$D$20),"")</f>
        <v>0.98551999999999995</v>
      </c>
      <c r="G90" s="95">
        <f>IF(B90="","",_xll.Qb_CocMaSatKMD(B90,$H$12:$M$24,$D$23,$D$25,$H$30,$D$15,$D$26,"qb"))</f>
        <v>15800</v>
      </c>
      <c r="H90" s="95">
        <f t="shared" si="5"/>
        <v>13452.564893091499</v>
      </c>
      <c r="I90" s="96">
        <f>IF(B90="","",_xll.flu_CocMaSatKMD($D$24,$D$16,$D$17,$D$25,$H$12:$M$24,FALSE,FALSE,$D$18,$D$13,$K$30,$H$30,A90,"GanmaRf"))</f>
        <v>1</v>
      </c>
      <c r="J90" s="96">
        <f>IF(B90="","",_xll.flu_CocMaSatKMD($D$24,$D$16,$D$17,$D$25,$H$12:$M$24,FALSE,FALSE,$D$18,$D$13,$K$30,$H$30,A90,"Li"))</f>
        <v>1</v>
      </c>
      <c r="K90" s="41">
        <f>IFERROR(_xll.TinhGammafiCMS($D$19,_xll.TimTinhChatDatCotTU(B90,$H$12:$O$23,7),_xll.TimTinhChatDatCotTU(B90,$H$12:$O$23,7),_xll.TimTinhChatDatCotTU(B90,$H$12:$O$23,3),$D$12,_xll.TimTinhChatDatCotTU(B90,$H$12:$O$23,6),$D$20),"")</f>
        <v>0.93552000000000002</v>
      </c>
      <c r="L90" s="95">
        <f>IF(B90="","",IF(B90&lt;=$I$28,0,_xll.flu_CocMaSatKMD($D$24,$D$16,$D$17,$D$25,$H$12:$M$24,FALSE,FALSE,$D$18,$D$13,$K$30,$H$30,A90,"f")))</f>
        <v>107</v>
      </c>
      <c r="M90" s="95">
        <f t="shared" si="6"/>
        <v>314.47543524363698</v>
      </c>
      <c r="N90" s="95">
        <f t="shared" si="4"/>
        <v>9134.0309037126499</v>
      </c>
      <c r="O90" s="87">
        <f t="shared" si="3"/>
        <v>22586.5957968041</v>
      </c>
    </row>
    <row r="91" spans="1:15">
      <c r="A91" s="87">
        <f t="shared" si="2"/>
        <v>50</v>
      </c>
      <c r="B91" s="83">
        <f>_xll.flu_CocMaSatKMD($D$24,$D$16,$D$17,$D$25,$H$12:$M$24,FALSE,FALSE,$D$18,$D$13,$K$30,$H$30,A91,"Cao độ")</f>
        <v>45</v>
      </c>
      <c r="C91" s="87" t="str">
        <f>IF(B91="","",_xll.TimTenLoaiDat(B91,$F$12:$H$24))</f>
        <v>Lớp 7</v>
      </c>
      <c r="D91" s="82" t="str">
        <f>IF(B91="","",_xll.TimTinhChatDat(B91,$H$12:$I$24))</f>
        <v>Cát chặt vừa - lẫn sỏi sạn</v>
      </c>
      <c r="E91" s="96">
        <f>IF(B91="","",_xll.Qb_CocMaSatKMD(B91,$H$12:$M$24,$D$23,$D$25,$H$30,$D$15,$D$26,"GanmaRR"))</f>
        <v>1.1000000000000001</v>
      </c>
      <c r="F91" s="41">
        <f>IFERROR(_xll.TinhGammaqbCMS($D$19,_xll.TimTinhChatDatCotTU(B91,$H$12:$O$23,7),_xll.TimTinhChatDatCotTU(B91,$H$12:$O$23,7),_xll.TimTinhChatDatCotTU(B91,$H$12:$O$23,3),$D$12,_xll.TimTinhChatDatCotTU(B91,$H$12:$O$23,6),$D$20),"")</f>
        <v>0.98551999999999995</v>
      </c>
      <c r="G91" s="95">
        <f>IF(B91="","",_xll.Qb_CocMaSatKMD(B91,$H$12:$M$24,$D$23,$D$25,$H$30,$D$15,$D$26,"qb"))</f>
        <v>15800</v>
      </c>
      <c r="H91" s="95">
        <f t="shared" si="5"/>
        <v>13452.564893091499</v>
      </c>
      <c r="I91" s="96">
        <f>IF(B91="","",_xll.flu_CocMaSatKMD($D$24,$D$16,$D$17,$D$25,$H$12:$M$24,FALSE,FALSE,$D$18,$D$13,$K$30,$H$30,A91,"GanmaRf"))</f>
        <v>1</v>
      </c>
      <c r="J91" s="96">
        <f>IF(B91="","",_xll.flu_CocMaSatKMD($D$24,$D$16,$D$17,$D$25,$H$12:$M$24,FALSE,FALSE,$D$18,$D$13,$K$30,$H$30,A91,"Li"))</f>
        <v>0</v>
      </c>
      <c r="K91" s="41">
        <f>IFERROR(_xll.TinhGammafiCMS($D$19,_xll.TimTinhChatDatCotTU(B91,$H$12:$O$23,7),_xll.TimTinhChatDatCotTU(B91,$H$12:$O$23,7),_xll.TimTinhChatDatCotTU(B91,$H$12:$O$23,3),$D$12,_xll.TimTinhChatDatCotTU(B91,$H$12:$O$23,6),$D$20),"")</f>
        <v>0.93552000000000002</v>
      </c>
      <c r="L91" s="95">
        <f>IF(B91="","",IF(B91&lt;=$I$28,0,_xll.flu_CocMaSatKMD($D$24,$D$16,$D$17,$D$25,$H$12:$M$24,FALSE,FALSE,$D$18,$D$13,$K$30,$H$30,A91,"f")))</f>
        <v>107</v>
      </c>
      <c r="M91" s="95">
        <f t="shared" si="6"/>
        <v>0</v>
      </c>
      <c r="N91" s="95">
        <f t="shared" si="4"/>
        <v>9134.0309037126499</v>
      </c>
      <c r="O91" s="87">
        <f t="shared" si="3"/>
        <v>22586.5957968041</v>
      </c>
    </row>
    <row r="92" spans="1:15">
      <c r="A92" s="87">
        <f t="shared" si="2"/>
        <v>51</v>
      </c>
      <c r="B92" s="83" t="str">
        <f>_xll.flu_CocMaSatKMD($D$24,$D$16,$D$17,$D$25,$H$12:$M$24,FALSE,FALSE,$D$18,$D$13,$K$30,$H$30,A92,"Cao độ")</f>
        <v/>
      </c>
      <c r="C92" s="87" t="str">
        <f>IF(B92="","",_xll.TimTenLoaiDat(B92,$F$12:$H$24))</f>
        <v/>
      </c>
      <c r="D92" s="82" t="str">
        <f>IF(B92="","",_xll.TimTinhChatDat(B92,$H$12:$I$24))</f>
        <v/>
      </c>
      <c r="E92" s="96" t="str">
        <f>IF(B92="","",_xll.Qb_CocMaSatKMD(B92,$H$12:$M$24,$D$23,$D$25,$H$30,$D$15,$D$26,"GanmaRR"))</f>
        <v/>
      </c>
      <c r="F92" s="41" t="str">
        <f>IFERROR(_xll.TinhGammaqbCMS($D$19,_xll.TimTinhChatDatCotTU(B92,$H$12:$O$23,7),_xll.TimTinhChatDatCotTU(B92,$H$12:$O$23,7),_xll.TimTinhChatDatCotTU(B92,$H$12:$O$23,3),$D$12,_xll.TimTinhChatDatCotTU(B92,$H$12:$O$23,6),$D$20),"")</f>
        <v/>
      </c>
      <c r="G92" s="95" t="str">
        <f>IF(B92="","",_xll.Qb_CocMaSatKMD(B92,$H$12:$M$24,$D$23,$D$25,$H$30,$D$15,$D$26,"qb"))</f>
        <v/>
      </c>
      <c r="H92" s="95" t="str">
        <f t="shared" si="5"/>
        <v/>
      </c>
      <c r="I92" s="96" t="str">
        <f>IF(B92="","",_xll.flu_CocMaSatKMD($D$24,$D$16,$D$17,$D$25,$H$12:$M$24,FALSE,FALSE,$D$18,$D$13,$K$30,$H$30,A92,"GanmaRf"))</f>
        <v/>
      </c>
      <c r="J92" s="96" t="str">
        <f>IF(B92="","",_xll.flu_CocMaSatKMD($D$24,$D$16,$D$17,$D$25,$H$12:$M$24,FALSE,FALSE,$D$18,$D$13,$K$30,$H$30,A92,"Li"))</f>
        <v/>
      </c>
      <c r="K92" s="41" t="str">
        <f>IFERROR(_xll.TinhGammafiCMS($D$19,_xll.TimTinhChatDatCotTU(B92,$H$12:$O$23,7),_xll.TimTinhChatDatCotTU(B92,$H$12:$O$23,7),_xll.TimTinhChatDatCotTU(B92,$H$12:$O$23,3),$D$12,_xll.TimTinhChatDatCotTU(B92,$H$12:$O$23,6),$D$20),"")</f>
        <v/>
      </c>
      <c r="L92" s="95" t="str">
        <f>IF(B92="","",IF(B92&lt;=$I$28,0,_xll.flu_CocMaSatKMD($D$24,$D$16,$D$17,$D$25,$H$12:$M$24,FALSE,FALSE,$D$18,$D$13,$K$30,$H$30,A92,"f")))</f>
        <v/>
      </c>
      <c r="M92" s="95" t="str">
        <f t="shared" si="6"/>
        <v/>
      </c>
      <c r="N92" s="95" t="str">
        <f t="shared" si="4"/>
        <v/>
      </c>
      <c r="O92" s="87" t="str">
        <f t="shared" si="3"/>
        <v/>
      </c>
    </row>
    <row r="93" spans="1:15">
      <c r="A93" s="87">
        <f t="shared" si="2"/>
        <v>52</v>
      </c>
      <c r="B93" s="83" t="str">
        <f>_xll.flu_CocMaSatKMD($D$24,$D$16,$D$17,$D$25,$H$12:$M$24,FALSE,FALSE,$D$18,$D$13,$K$30,$H$30,A93,"Cao độ")</f>
        <v/>
      </c>
      <c r="C93" s="87" t="str">
        <f>IF(B93="","",_xll.TimTenLoaiDat(B93,$F$12:$H$24))</f>
        <v/>
      </c>
      <c r="D93" s="82" t="str">
        <f>IF(B93="","",_xll.TimTinhChatDat(B93,$H$12:$I$24))</f>
        <v/>
      </c>
      <c r="E93" s="96" t="str">
        <f>IF(B93="","",_xll.Qb_CocMaSatKMD(B93,$H$12:$M$24,$D$23,$D$25,$H$30,$D$15,$D$26,"GanmaRR"))</f>
        <v/>
      </c>
      <c r="F93" s="41" t="str">
        <f>IFERROR(_xll.TinhGammaqbCMS($D$19,_xll.TimTinhChatDatCotTU(B93,$H$12:$O$23,7),_xll.TimTinhChatDatCotTU(B93,$H$12:$O$23,7),_xll.TimTinhChatDatCotTU(B93,$H$12:$O$23,3),$D$12,_xll.TimTinhChatDatCotTU(B93,$H$12:$O$23,6),$D$20),"")</f>
        <v/>
      </c>
      <c r="G93" s="95" t="str">
        <f>IF(B93="","",_xll.Qb_CocMaSatKMD(B93,$H$12:$M$24,$D$23,$D$25,$H$30,$D$15,$D$26,"qb"))</f>
        <v/>
      </c>
      <c r="H93" s="95" t="str">
        <f t="shared" si="5"/>
        <v/>
      </c>
      <c r="I93" s="96" t="str">
        <f>IF(B93="","",_xll.flu_CocMaSatKMD($D$24,$D$16,$D$17,$D$25,$H$12:$M$24,FALSE,FALSE,$D$18,$D$13,$K$30,$H$30,A93,"GanmaRf"))</f>
        <v/>
      </c>
      <c r="J93" s="96" t="str">
        <f>IF(B93="","",_xll.flu_CocMaSatKMD($D$24,$D$16,$D$17,$D$25,$H$12:$M$24,FALSE,FALSE,$D$18,$D$13,$K$30,$H$30,A93,"Li"))</f>
        <v/>
      </c>
      <c r="K93" s="41" t="str">
        <f>IFERROR(_xll.TinhGammafiCMS($D$19,_xll.TimTinhChatDatCotTU(B93,$H$12:$O$23,7),_xll.TimTinhChatDatCotTU(B93,$H$12:$O$23,7),_xll.TimTinhChatDatCotTU(B93,$H$12:$O$23,3),$D$12,_xll.TimTinhChatDatCotTU(B93,$H$12:$O$23,6),$D$20),"")</f>
        <v/>
      </c>
      <c r="L93" s="95" t="str">
        <f>IF(B93="","",IF(B93&lt;=$I$28,0,_xll.flu_CocMaSatKMD($D$24,$D$16,$D$17,$D$25,$H$12:$M$24,FALSE,FALSE,$D$18,$D$13,$K$30,$H$30,A93,"f")))</f>
        <v/>
      </c>
      <c r="M93" s="95" t="str">
        <f t="shared" si="6"/>
        <v/>
      </c>
      <c r="N93" s="95" t="str">
        <f t="shared" si="4"/>
        <v/>
      </c>
      <c r="O93" s="87" t="str">
        <f t="shared" si="3"/>
        <v/>
      </c>
    </row>
    <row r="94" spans="1:15">
      <c r="A94" s="87">
        <f t="shared" si="2"/>
        <v>53</v>
      </c>
      <c r="B94" s="83" t="str">
        <f>_xll.flu_CocMaSatKMD($D$24,$D$16,$D$17,$D$25,$H$12:$M$24,FALSE,FALSE,$D$18,$D$13,$K$30,$H$30,A94,"Cao độ")</f>
        <v/>
      </c>
      <c r="C94" s="87" t="str">
        <f>IF(B94="","",_xll.TimTenLoaiDat(B94,$F$12:$H$24))</f>
        <v/>
      </c>
      <c r="D94" s="82" t="str">
        <f>IF(B94="","",_xll.TimTinhChatDat(B94,$H$12:$I$24))</f>
        <v/>
      </c>
      <c r="E94" s="96" t="str">
        <f>IF(B94="","",_xll.Qb_CocMaSatKMD(B94,$H$12:$M$24,$D$23,$D$25,$H$30,$D$15,$D$26,"GanmaRR"))</f>
        <v/>
      </c>
      <c r="F94" s="41" t="str">
        <f>IFERROR(_xll.TinhGammaqbCMS($D$19,_xll.TimTinhChatDatCotTU(B94,$H$12:$O$23,7),_xll.TimTinhChatDatCotTU(B94,$H$12:$O$23,7),_xll.TimTinhChatDatCotTU(B94,$H$12:$O$23,3),$D$12,_xll.TimTinhChatDatCotTU(B94,$H$12:$O$23,6),$D$20),"")</f>
        <v/>
      </c>
      <c r="G94" s="95" t="str">
        <f>IF(B94="","",_xll.Qb_CocMaSatKMD(B94,$H$12:$M$24,$D$23,$D$25,$H$30,$D$15,$D$26,"qb"))</f>
        <v/>
      </c>
      <c r="H94" s="95" t="str">
        <f t="shared" si="5"/>
        <v/>
      </c>
      <c r="I94" s="96" t="str">
        <f>IF(B94="","",_xll.flu_CocMaSatKMD($D$24,$D$16,$D$17,$D$25,$H$12:$M$24,FALSE,FALSE,$D$18,$D$13,$K$30,$H$30,A94,"GanmaRf"))</f>
        <v/>
      </c>
      <c r="J94" s="96" t="str">
        <f>IF(B94="","",_xll.flu_CocMaSatKMD($D$24,$D$16,$D$17,$D$25,$H$12:$M$24,FALSE,FALSE,$D$18,$D$13,$K$30,$H$30,A94,"Li"))</f>
        <v/>
      </c>
      <c r="K94" s="41" t="str">
        <f>IFERROR(_xll.TinhGammafiCMS($D$19,_xll.TimTinhChatDatCotTU(B94,$H$12:$O$23,7),_xll.TimTinhChatDatCotTU(B94,$H$12:$O$23,7),_xll.TimTinhChatDatCotTU(B94,$H$12:$O$23,3),$D$12,_xll.TimTinhChatDatCotTU(B94,$H$12:$O$23,6),$D$20),"")</f>
        <v/>
      </c>
      <c r="L94" s="95" t="str">
        <f>IF(B94="","",IF(B94&lt;=$I$28,0,_xll.flu_CocMaSatKMD($D$24,$D$16,$D$17,$D$25,$H$12:$M$24,FALSE,FALSE,$D$18,$D$13,$K$30,$H$30,A94,"f")))</f>
        <v/>
      </c>
      <c r="M94" s="95" t="str">
        <f t="shared" si="6"/>
        <v/>
      </c>
      <c r="N94" s="95" t="str">
        <f t="shared" si="4"/>
        <v/>
      </c>
      <c r="O94" s="87" t="str">
        <f t="shared" si="3"/>
        <v/>
      </c>
    </row>
    <row r="95" spans="1:15">
      <c r="A95" s="87">
        <f t="shared" si="2"/>
        <v>54</v>
      </c>
      <c r="B95" s="83" t="str">
        <f>_xll.flu_CocMaSatKMD($D$24,$D$16,$D$17,$D$25,$H$12:$M$24,FALSE,FALSE,$D$18,$D$13,$K$30,$H$30,A95,"Cao độ")</f>
        <v/>
      </c>
      <c r="C95" s="87" t="str">
        <f>IF(B95="","",_xll.TimTenLoaiDat(B95,$F$12:$H$24))</f>
        <v/>
      </c>
      <c r="D95" s="82" t="str">
        <f>IF(B95="","",_xll.TimTinhChatDat(B95,$H$12:$I$24))</f>
        <v/>
      </c>
      <c r="E95" s="96" t="str">
        <f>IF(B95="","",_xll.Qb_CocMaSatKMD(B95,$H$12:$M$24,$D$23,$D$25,$H$30,$D$15,$D$26,"GanmaRR"))</f>
        <v/>
      </c>
      <c r="F95" s="41" t="str">
        <f>IFERROR(_xll.TinhGammaqbCMS($D$19,_xll.TimTinhChatDatCotTU(B95,$H$12:$O$23,7),_xll.TimTinhChatDatCotTU(B95,$H$12:$O$23,7),_xll.TimTinhChatDatCotTU(B95,$H$12:$O$23,3),$D$12,_xll.TimTinhChatDatCotTU(B95,$H$12:$O$23,6),$D$20),"")</f>
        <v/>
      </c>
      <c r="G95" s="95" t="str">
        <f>IF(B95="","",_xll.Qb_CocMaSatKMD(B95,$H$12:$M$24,$D$23,$D$25,$H$30,$D$15,$D$26,"qb"))</f>
        <v/>
      </c>
      <c r="H95" s="95" t="str">
        <f t="shared" si="5"/>
        <v/>
      </c>
      <c r="I95" s="96" t="str">
        <f>IF(B95="","",_xll.flu_CocMaSatKMD($D$24,$D$16,$D$17,$D$25,$H$12:$M$24,FALSE,FALSE,$D$18,$D$13,$K$30,$H$30,A95,"GanmaRf"))</f>
        <v/>
      </c>
      <c r="J95" s="96" t="str">
        <f>IF(B95="","",_xll.flu_CocMaSatKMD($D$24,$D$16,$D$17,$D$25,$H$12:$M$24,FALSE,FALSE,$D$18,$D$13,$K$30,$H$30,A95,"Li"))</f>
        <v/>
      </c>
      <c r="K95" s="41" t="str">
        <f>IFERROR(_xll.TinhGammafiCMS($D$19,_xll.TimTinhChatDatCotTU(B95,$H$12:$O$23,7),_xll.TimTinhChatDatCotTU(B95,$H$12:$O$23,7),_xll.TimTinhChatDatCotTU(B95,$H$12:$O$23,3),$D$12,_xll.TimTinhChatDatCotTU(B95,$H$12:$O$23,6),$D$20),"")</f>
        <v/>
      </c>
      <c r="L95" s="95" t="str">
        <f>IF(B95="","",IF(B95&lt;=$I$28,0,_xll.flu_CocMaSatKMD($D$24,$D$16,$D$17,$D$25,$H$12:$M$24,FALSE,FALSE,$D$18,$D$13,$K$30,$H$30,A95,"f")))</f>
        <v/>
      </c>
      <c r="M95" s="95" t="str">
        <f t="shared" si="6"/>
        <v/>
      </c>
      <c r="N95" s="95" t="str">
        <f t="shared" si="4"/>
        <v/>
      </c>
      <c r="O95" s="87" t="str">
        <f t="shared" si="3"/>
        <v/>
      </c>
    </row>
    <row r="96" spans="1:15">
      <c r="A96" s="87">
        <f t="shared" si="2"/>
        <v>55</v>
      </c>
      <c r="B96" s="83" t="str">
        <f>_xll.flu_CocMaSatKMD($D$24,$D$16,$D$17,$D$25,$H$12:$M$24,FALSE,FALSE,$D$18,$D$13,$K$30,$H$30,A96,"Cao độ")</f>
        <v/>
      </c>
      <c r="C96" s="87" t="str">
        <f>IF(B96="","",_xll.TimTenLoaiDat(B96,$F$12:$H$24))</f>
        <v/>
      </c>
      <c r="D96" s="82" t="str">
        <f>IF(B96="","",_xll.TimTinhChatDat(B96,$H$12:$I$24))</f>
        <v/>
      </c>
      <c r="E96" s="96" t="str">
        <f>IF(B96="","",_xll.Qb_CocMaSatKMD(B96,$H$12:$M$24,$D$23,$D$25,$H$30,$D$15,$D$26,"GanmaRR"))</f>
        <v/>
      </c>
      <c r="F96" s="41" t="str">
        <f>IFERROR(_xll.TinhGammaqbCMS($D$19,_xll.TimTinhChatDatCotTU(B96,$H$12:$O$23,7),_xll.TimTinhChatDatCotTU(B96,$H$12:$O$23,7),_xll.TimTinhChatDatCotTU(B96,$H$12:$O$23,3),$D$12,_xll.TimTinhChatDatCotTU(B96,$H$12:$O$23,6),$D$20),"")</f>
        <v/>
      </c>
      <c r="G96" s="95" t="str">
        <f>IF(B96="","",_xll.Qb_CocMaSatKMD(B96,$H$12:$M$24,$D$23,$D$25,$H$30,$D$15,$D$26,"qb"))</f>
        <v/>
      </c>
      <c r="H96" s="95" t="str">
        <f t="shared" si="5"/>
        <v/>
      </c>
      <c r="I96" s="96" t="str">
        <f>IF(B96="","",_xll.flu_CocMaSatKMD($D$24,$D$16,$D$17,$D$25,$H$12:$M$24,FALSE,FALSE,$D$18,$D$13,$K$30,$H$30,A96,"GanmaRf"))</f>
        <v/>
      </c>
      <c r="J96" s="96" t="str">
        <f>IF(B96="","",_xll.flu_CocMaSatKMD($D$24,$D$16,$D$17,$D$25,$H$12:$M$24,FALSE,FALSE,$D$18,$D$13,$K$30,$H$30,A96,"Li"))</f>
        <v/>
      </c>
      <c r="K96" s="41" t="str">
        <f>IFERROR(_xll.TinhGammafiCMS($D$19,_xll.TimTinhChatDatCotTU(B96,$H$12:$O$23,7),_xll.TimTinhChatDatCotTU(B96,$H$12:$O$23,7),_xll.TimTinhChatDatCotTU(B96,$H$12:$O$23,3),$D$12,_xll.TimTinhChatDatCotTU(B96,$H$12:$O$23,6),$D$20),"")</f>
        <v/>
      </c>
      <c r="L96" s="95" t="str">
        <f>IF(B96="","",IF(B96&lt;=$I$28,0,_xll.flu_CocMaSatKMD($D$24,$D$16,$D$17,$D$25,$H$12:$M$24,FALSE,FALSE,$D$18,$D$13,$K$30,$H$30,A96,"f")))</f>
        <v/>
      </c>
      <c r="M96" s="95" t="str">
        <f t="shared" si="6"/>
        <v/>
      </c>
      <c r="N96" s="95" t="str">
        <f t="shared" si="4"/>
        <v/>
      </c>
      <c r="O96" s="87" t="str">
        <f t="shared" si="3"/>
        <v/>
      </c>
    </row>
    <row r="97" spans="1:15">
      <c r="A97" s="87">
        <f t="shared" si="2"/>
        <v>56</v>
      </c>
      <c r="B97" s="83" t="str">
        <f>_xll.flu_CocMaSatKMD($D$24,$D$16,$D$17,$D$25,$H$12:$M$24,FALSE,FALSE,$D$18,$D$13,$K$30,$H$30,A97,"Cao độ")</f>
        <v/>
      </c>
      <c r="C97" s="87" t="str">
        <f>IF(B97="","",_xll.TimTenLoaiDat(B97,$F$12:$H$24))</f>
        <v/>
      </c>
      <c r="D97" s="82" t="str">
        <f>IF(B97="","",_xll.TimTinhChatDat(B97,$H$12:$I$24))</f>
        <v/>
      </c>
      <c r="E97" s="96" t="str">
        <f>IF(B97="","",_xll.Qb_CocMaSatKMD(B97,$H$12:$M$24,$D$23,$D$25,$H$30,$D$15,$D$26,"GanmaRR"))</f>
        <v/>
      </c>
      <c r="F97" s="41" t="str">
        <f>IFERROR(_xll.TinhGammaqbCMS($D$19,_xll.TimTinhChatDatCotTU(B97,$H$12:$O$23,7),_xll.TimTinhChatDatCotTU(B97,$H$12:$O$23,7),_xll.TimTinhChatDatCotTU(B97,$H$12:$O$23,3),$D$12,_xll.TimTinhChatDatCotTU(B97,$H$12:$O$23,6),$D$20),"")</f>
        <v/>
      </c>
      <c r="G97" s="95" t="str">
        <f>IF(B97="","",_xll.Qb_CocMaSatKMD(B97,$H$12:$M$24,$D$23,$D$25,$H$30,$D$15,$D$26,"qb"))</f>
        <v/>
      </c>
      <c r="H97" s="95" t="str">
        <f t="shared" si="5"/>
        <v/>
      </c>
      <c r="I97" s="96" t="str">
        <f>IF(B97="","",_xll.flu_CocMaSatKMD($D$24,$D$16,$D$17,$D$25,$H$12:$M$24,FALSE,FALSE,$D$18,$D$13,$K$30,$H$30,A97,"GanmaRf"))</f>
        <v/>
      </c>
      <c r="J97" s="96" t="str">
        <f>IF(B97="","",_xll.flu_CocMaSatKMD($D$24,$D$16,$D$17,$D$25,$H$12:$M$24,FALSE,FALSE,$D$18,$D$13,$K$30,$H$30,A97,"Li"))</f>
        <v/>
      </c>
      <c r="K97" s="41" t="str">
        <f>IFERROR(_xll.TinhGammafiCMS($D$19,_xll.TimTinhChatDatCotTU(B97,$H$12:$O$23,7),_xll.TimTinhChatDatCotTU(B97,$H$12:$O$23,7),_xll.TimTinhChatDatCotTU(B97,$H$12:$O$23,3),$D$12,_xll.TimTinhChatDatCotTU(B97,$H$12:$O$23,6),$D$20),"")</f>
        <v/>
      </c>
      <c r="L97" s="95" t="str">
        <f>IF(B97="","",IF(B97&lt;=$I$28,0,_xll.flu_CocMaSatKMD($D$24,$D$16,$D$17,$D$25,$H$12:$M$24,FALSE,FALSE,$D$18,$D$13,$K$30,$H$30,A97,"f")))</f>
        <v/>
      </c>
      <c r="M97" s="95" t="str">
        <f t="shared" si="6"/>
        <v/>
      </c>
      <c r="N97" s="95" t="str">
        <f t="shared" si="4"/>
        <v/>
      </c>
      <c r="O97" s="87" t="str">
        <f t="shared" si="3"/>
        <v/>
      </c>
    </row>
    <row r="98" spans="1:15">
      <c r="A98" s="87">
        <f t="shared" si="2"/>
        <v>57</v>
      </c>
      <c r="B98" s="83" t="str">
        <f>_xll.flu_CocMaSatKMD($D$24,$D$16,$D$17,$D$25,$H$12:$M$24,FALSE,FALSE,$D$18,$D$13,$K$30,$H$30,A98,"Cao độ")</f>
        <v/>
      </c>
      <c r="C98" s="87" t="str">
        <f>IF(B98="","",_xll.TimTenLoaiDat(B98,$F$12:$H$24))</f>
        <v/>
      </c>
      <c r="D98" s="82" t="str">
        <f>IF(B98="","",_xll.TimTinhChatDat(B98,$H$12:$I$24))</f>
        <v/>
      </c>
      <c r="E98" s="96" t="str">
        <f>IF(B98="","",_xll.Qb_CocMaSatKMD(B98,$H$12:$M$24,$D$23,$D$25,$H$30,$D$15,$D$26,"GanmaRR"))</f>
        <v/>
      </c>
      <c r="F98" s="41" t="str">
        <f>IFERROR(_xll.TinhGammaqbCMS($D$19,_xll.TimTinhChatDatCotTU(B98,$H$12:$O$23,7),_xll.TimTinhChatDatCotTU(B98,$H$12:$O$23,7),_xll.TimTinhChatDatCotTU(B98,$H$12:$O$23,3),$D$12,_xll.TimTinhChatDatCotTU(B98,$H$12:$O$23,6),$D$20),"")</f>
        <v/>
      </c>
      <c r="G98" s="95" t="str">
        <f>IF(B98="","",_xll.Qb_CocMaSatKMD(B98,$H$12:$M$24,$D$23,$D$25,$H$30,$D$15,$D$26,"qb"))</f>
        <v/>
      </c>
      <c r="H98" s="95" t="str">
        <f t="shared" si="5"/>
        <v/>
      </c>
      <c r="I98" s="96" t="str">
        <f>IF(B98="","",_xll.flu_CocMaSatKMD($D$24,$D$16,$D$17,$D$25,$H$12:$M$24,FALSE,FALSE,$D$18,$D$13,$K$30,$H$30,A98,"GanmaRf"))</f>
        <v/>
      </c>
      <c r="J98" s="96" t="str">
        <f>IF(B98="","",_xll.flu_CocMaSatKMD($D$24,$D$16,$D$17,$D$25,$H$12:$M$24,FALSE,FALSE,$D$18,$D$13,$K$30,$H$30,A98,"Li"))</f>
        <v/>
      </c>
      <c r="K98" s="41" t="str">
        <f>IFERROR(_xll.TinhGammafiCMS($D$19,_xll.TimTinhChatDatCotTU(B98,$H$12:$O$23,7),_xll.TimTinhChatDatCotTU(B98,$H$12:$O$23,7),_xll.TimTinhChatDatCotTU(B98,$H$12:$O$23,3),$D$12,_xll.TimTinhChatDatCotTU(B98,$H$12:$O$23,6),$D$20),"")</f>
        <v/>
      </c>
      <c r="L98" s="95" t="str">
        <f>IF(B98="","",IF(B98&lt;=$I$28,0,_xll.flu_CocMaSatKMD($D$24,$D$16,$D$17,$D$25,$H$12:$M$24,FALSE,FALSE,$D$18,$D$13,$K$30,$H$30,A98,"f")))</f>
        <v/>
      </c>
      <c r="M98" s="95" t="str">
        <f t="shared" si="6"/>
        <v/>
      </c>
      <c r="N98" s="95" t="str">
        <f t="shared" si="4"/>
        <v/>
      </c>
      <c r="O98" s="87" t="str">
        <f t="shared" si="3"/>
        <v/>
      </c>
    </row>
    <row r="99" spans="1:15">
      <c r="A99" s="87">
        <f t="shared" si="2"/>
        <v>58</v>
      </c>
      <c r="B99" s="83" t="str">
        <f>_xll.flu_CocMaSatKMD($D$24,$D$16,$D$17,$D$25,$H$12:$M$24,FALSE,FALSE,$D$18,$D$13,$K$30,$H$30,A99,"Cao độ")</f>
        <v/>
      </c>
      <c r="C99" s="87" t="str">
        <f>IF(B99="","",_xll.TimTenLoaiDat(B99,$F$12:$H$24))</f>
        <v/>
      </c>
      <c r="D99" s="82" t="str">
        <f>IF(B99="","",_xll.TimTinhChatDat(B99,$H$12:$I$24))</f>
        <v/>
      </c>
      <c r="E99" s="96" t="str">
        <f>IF(B99="","",_xll.Qb_CocMaSatKMD(B99,$H$12:$M$24,$D$23,$D$25,$H$30,$D$15,$D$26,"GanmaRR"))</f>
        <v/>
      </c>
      <c r="F99" s="41" t="str">
        <f>IFERROR(_xll.TinhGammaqbCMS($D$19,_xll.TimTinhChatDatCotTU(B99,$H$12:$O$23,7),_xll.TimTinhChatDatCotTU(B99,$H$12:$O$23,7),_xll.TimTinhChatDatCotTU(B99,$H$12:$O$23,3),$D$12,_xll.TimTinhChatDatCotTU(B99,$H$12:$O$23,6),$D$20),"")</f>
        <v/>
      </c>
      <c r="G99" s="95" t="str">
        <f>IF(B99="","",_xll.Qb_CocMaSatKMD(B99,$H$12:$M$24,$D$23,$D$25,$H$30,$D$15,$D$26,"qb"))</f>
        <v/>
      </c>
      <c r="H99" s="95" t="str">
        <f t="shared" si="5"/>
        <v/>
      </c>
      <c r="I99" s="96" t="str">
        <f>IF(B99="","",_xll.flu_CocMaSatKMD($D$24,$D$16,$D$17,$D$25,$H$12:$M$24,FALSE,FALSE,$D$18,$D$13,$K$30,$H$30,A99,"GanmaRf"))</f>
        <v/>
      </c>
      <c r="J99" s="96" t="str">
        <f>IF(B99="","",_xll.flu_CocMaSatKMD($D$24,$D$16,$D$17,$D$25,$H$12:$M$24,FALSE,FALSE,$D$18,$D$13,$K$30,$H$30,A99,"Li"))</f>
        <v/>
      </c>
      <c r="K99" s="41" t="str">
        <f>IFERROR(_xll.TinhGammafiCMS($D$19,_xll.TimTinhChatDatCotTU(B99,$H$12:$O$23,7),_xll.TimTinhChatDatCotTU(B99,$H$12:$O$23,7),_xll.TimTinhChatDatCotTU(B99,$H$12:$O$23,3),$D$12,_xll.TimTinhChatDatCotTU(B99,$H$12:$O$23,6),$D$20),"")</f>
        <v/>
      </c>
      <c r="L99" s="95" t="str">
        <f>IF(B99="","",IF(B99&lt;=$I$28,0,_xll.flu_CocMaSatKMD($D$24,$D$16,$D$17,$D$25,$H$12:$M$24,FALSE,FALSE,$D$18,$D$13,$K$30,$H$30,A99,"f")))</f>
        <v/>
      </c>
      <c r="M99" s="95" t="str">
        <f t="shared" si="6"/>
        <v/>
      </c>
      <c r="N99" s="95" t="str">
        <f t="shared" si="4"/>
        <v/>
      </c>
      <c r="O99" s="87" t="str">
        <f t="shared" si="3"/>
        <v/>
      </c>
    </row>
    <row r="100" spans="1:15">
      <c r="A100" s="87">
        <f t="shared" si="2"/>
        <v>59</v>
      </c>
      <c r="B100" s="83" t="str">
        <f>_xll.flu_CocMaSatKMD($D$24,$D$16,$D$17,$D$25,$H$12:$M$24,FALSE,FALSE,$D$18,$D$13,$K$30,$H$30,A100,"Cao độ")</f>
        <v/>
      </c>
      <c r="C100" s="87" t="str">
        <f>IF(B100="","",_xll.TimTenLoaiDat(B100,$F$12:$H$24))</f>
        <v/>
      </c>
      <c r="D100" s="82" t="str">
        <f>IF(B100="","",_xll.TimTinhChatDat(B100,$H$12:$I$24))</f>
        <v/>
      </c>
      <c r="E100" s="96" t="str">
        <f>IF(B100="","",_xll.Qb_CocMaSatKMD(B100,$H$12:$M$24,$D$23,$D$25,$H$30,$D$15,$D$26,"GanmaRR"))</f>
        <v/>
      </c>
      <c r="F100" s="41" t="str">
        <f>IFERROR(_xll.TinhGammaqbCMS($D$19,_xll.TimTinhChatDatCotTU(B100,$H$12:$O$23,7),_xll.TimTinhChatDatCotTU(B100,$H$12:$O$23,7),_xll.TimTinhChatDatCotTU(B100,$H$12:$O$23,3),$D$12,_xll.TimTinhChatDatCotTU(B100,$H$12:$O$23,6),$D$20),"")</f>
        <v/>
      </c>
      <c r="G100" s="95" t="str">
        <f>IF(B100="","",_xll.Qb_CocMaSatKMD(B100,$H$12:$M$24,$D$23,$D$25,$H$30,$D$15,$D$26,"qb"))</f>
        <v/>
      </c>
      <c r="H100" s="95" t="str">
        <f t="shared" si="5"/>
        <v/>
      </c>
      <c r="I100" s="96" t="str">
        <f>IF(B100="","",_xll.flu_CocMaSatKMD($D$24,$D$16,$D$17,$D$25,$H$12:$M$24,FALSE,FALSE,$D$18,$D$13,$K$30,$H$30,A100,"GanmaRf"))</f>
        <v/>
      </c>
      <c r="J100" s="96" t="str">
        <f>IF(B100="","",_xll.flu_CocMaSatKMD($D$24,$D$16,$D$17,$D$25,$H$12:$M$24,FALSE,FALSE,$D$18,$D$13,$K$30,$H$30,A100,"Li"))</f>
        <v/>
      </c>
      <c r="K100" s="41" t="str">
        <f>IFERROR(_xll.TinhGammafiCMS($D$19,_xll.TimTinhChatDatCotTU(B100,$H$12:$O$23,7),_xll.TimTinhChatDatCotTU(B100,$H$12:$O$23,7),_xll.TimTinhChatDatCotTU(B100,$H$12:$O$23,3),$D$12,_xll.TimTinhChatDatCotTU(B100,$H$12:$O$23,6),$D$20),"")</f>
        <v/>
      </c>
      <c r="L100" s="95" t="str">
        <f>IF(B100="","",IF(B100&lt;=$I$28,0,_xll.flu_CocMaSatKMD($D$24,$D$16,$D$17,$D$25,$H$12:$M$24,FALSE,FALSE,$D$18,$D$13,$K$30,$H$30,A100,"f")))</f>
        <v/>
      </c>
      <c r="M100" s="95" t="str">
        <f t="shared" si="6"/>
        <v/>
      </c>
      <c r="N100" s="95" t="str">
        <f t="shared" si="4"/>
        <v/>
      </c>
      <c r="O100" s="87" t="str">
        <f t="shared" si="3"/>
        <v/>
      </c>
    </row>
    <row r="101" spans="1:15">
      <c r="A101" s="87">
        <f t="shared" si="2"/>
        <v>60</v>
      </c>
      <c r="B101" s="83" t="str">
        <f>_xll.flu_CocMaSatKMD($D$24,$D$16,$D$17,$D$25,$H$12:$M$24,FALSE,FALSE,$D$18,$D$13,$K$30,$H$30,A101,"Cao độ")</f>
        <v/>
      </c>
      <c r="C101" s="87" t="str">
        <f>IF(B101="","",_xll.TimTenLoaiDat(B101,$F$12:$H$24))</f>
        <v/>
      </c>
      <c r="D101" s="82" t="str">
        <f>IF(B101="","",_xll.TimTinhChatDat(B101,$H$12:$I$24))</f>
        <v/>
      </c>
      <c r="E101" s="96" t="str">
        <f>IF(B101="","",_xll.Qb_CocMaSatKMD(B101,$H$12:$M$24,$D$23,$D$25,$H$30,$D$15,$D$26,"GanmaRR"))</f>
        <v/>
      </c>
      <c r="F101" s="41" t="str">
        <f>IFERROR(_xll.TinhGammaqbCMS($D$19,_xll.TimTinhChatDatCotTU(B101,$H$12:$O$23,7),_xll.TimTinhChatDatCotTU(B101,$H$12:$O$23,7),_xll.TimTinhChatDatCotTU(B101,$H$12:$O$23,3),$D$12,_xll.TimTinhChatDatCotTU(B101,$H$12:$O$23,6),$D$20),"")</f>
        <v/>
      </c>
      <c r="G101" s="95" t="str">
        <f>IF(B101="","",_xll.Qb_CocMaSatKMD(B101,$H$12:$M$24,$D$23,$D$25,$H$30,$D$15,$D$26,"qb"))</f>
        <v/>
      </c>
      <c r="H101" s="95" t="str">
        <f t="shared" si="5"/>
        <v/>
      </c>
      <c r="I101" s="96" t="str">
        <f>IF(B101="","",_xll.flu_CocMaSatKMD($D$24,$D$16,$D$17,$D$25,$H$12:$M$24,FALSE,FALSE,$D$18,$D$13,$K$30,$H$30,A101,"GanmaRf"))</f>
        <v/>
      </c>
      <c r="J101" s="96" t="str">
        <f>IF(B101="","",_xll.flu_CocMaSatKMD($D$24,$D$16,$D$17,$D$25,$H$12:$M$24,FALSE,FALSE,$D$18,$D$13,$K$30,$H$30,A101,"Li"))</f>
        <v/>
      </c>
      <c r="K101" s="41" t="str">
        <f>IFERROR(_xll.TinhGammafiCMS($D$19,_xll.TimTinhChatDatCotTU(B101,$H$12:$O$23,7),_xll.TimTinhChatDatCotTU(B101,$H$12:$O$23,7),_xll.TimTinhChatDatCotTU(B101,$H$12:$O$23,3),$D$12,_xll.TimTinhChatDatCotTU(B101,$H$12:$O$23,6),$D$20),"")</f>
        <v/>
      </c>
      <c r="L101" s="95" t="str">
        <f>IF(B101="","",IF(B101&lt;=$I$28,0,_xll.flu_CocMaSatKMD($D$24,$D$16,$D$17,$D$25,$H$12:$M$24,FALSE,FALSE,$D$18,$D$13,$K$30,$H$30,A101,"f")))</f>
        <v/>
      </c>
      <c r="M101" s="95" t="str">
        <f t="shared" si="6"/>
        <v/>
      </c>
      <c r="N101" s="95" t="str">
        <f t="shared" si="4"/>
        <v/>
      </c>
      <c r="O101" s="87" t="str">
        <f t="shared" si="3"/>
        <v/>
      </c>
    </row>
    <row r="102" spans="1:15">
      <c r="A102" s="87">
        <f t="shared" si="2"/>
        <v>61</v>
      </c>
      <c r="B102" s="83" t="str">
        <f>_xll.flu_CocMaSatKMD($D$24,$D$16,$D$17,$D$25,$H$12:$M$24,FALSE,FALSE,$D$18,$D$13,$K$30,$H$30,A102,"Cao độ")</f>
        <v/>
      </c>
      <c r="C102" s="87" t="str">
        <f>IF(B102="","",_xll.TimTenLoaiDat(B102,$F$12:$H$24))</f>
        <v/>
      </c>
      <c r="D102" s="82" t="str">
        <f>IF(B102="","",_xll.TimTinhChatDat(B102,$H$12:$I$24))</f>
        <v/>
      </c>
      <c r="E102" s="96" t="str">
        <f>IF(B102="","",_xll.Qb_CocMaSatKMD(B102,$H$12:$M$24,$D$23,$D$25,$H$30,$D$15,$D$26,"GanmaRR"))</f>
        <v/>
      </c>
      <c r="F102" s="41" t="str">
        <f>IFERROR(_xll.TinhGammaqbCMS($D$19,_xll.TimTinhChatDatCotTU(B102,$H$12:$O$23,7),_xll.TimTinhChatDatCotTU(B102,$H$12:$O$23,7),_xll.TimTinhChatDatCotTU(B102,$H$12:$O$23,3),$D$12,_xll.TimTinhChatDatCotTU(B102,$H$12:$O$23,6),$D$20),"")</f>
        <v/>
      </c>
      <c r="G102" s="95" t="str">
        <f>IF(B102="","",_xll.Qb_CocMaSatKMD(B102,$H$12:$M$24,$D$23,$D$25,$H$30,$D$15,$D$26,"qb"))</f>
        <v/>
      </c>
      <c r="H102" s="95" t="str">
        <f t="shared" si="5"/>
        <v/>
      </c>
      <c r="I102" s="96" t="str">
        <f>IF(B102="","",_xll.flu_CocMaSatKMD($D$24,$D$16,$D$17,$D$25,$H$12:$M$24,FALSE,FALSE,$D$18,$D$13,$K$30,$H$30,A102,"GanmaRf"))</f>
        <v/>
      </c>
      <c r="J102" s="96" t="str">
        <f>IF(B102="","",_xll.flu_CocMaSatKMD($D$24,$D$16,$D$17,$D$25,$H$12:$M$24,FALSE,FALSE,$D$18,$D$13,$K$30,$H$30,A102,"Li"))</f>
        <v/>
      </c>
      <c r="K102" s="41" t="str">
        <f>IFERROR(_xll.TinhGammafiCMS($D$19,_xll.TimTinhChatDatCotTU(B102,$H$12:$O$23,7),_xll.TimTinhChatDatCotTU(B102,$H$12:$O$23,7),_xll.TimTinhChatDatCotTU(B102,$H$12:$O$23,3),$D$12,_xll.TimTinhChatDatCotTU(B102,$H$12:$O$23,6),$D$20),"")</f>
        <v/>
      </c>
      <c r="L102" s="95" t="str">
        <f>IF(B102="","",IF(B102&lt;=$I$28,0,_xll.flu_CocMaSatKMD($D$24,$D$16,$D$17,$D$25,$H$12:$M$24,FALSE,FALSE,$D$18,$D$13,$K$30,$H$30,A102,"f")))</f>
        <v/>
      </c>
      <c r="M102" s="95" t="str">
        <f t="shared" si="6"/>
        <v/>
      </c>
      <c r="N102" s="95" t="str">
        <f t="shared" si="4"/>
        <v/>
      </c>
      <c r="O102" s="87" t="str">
        <f t="shared" si="3"/>
        <v/>
      </c>
    </row>
    <row r="103" spans="1:15">
      <c r="A103" s="87">
        <f t="shared" si="2"/>
        <v>62</v>
      </c>
      <c r="B103" s="83" t="str">
        <f>_xll.flu_CocMaSatKMD($D$24,$D$16,$D$17,$D$25,$H$12:$M$24,FALSE,FALSE,$D$18,$D$13,$K$30,$H$30,A103,"Cao độ")</f>
        <v/>
      </c>
      <c r="C103" s="87" t="str">
        <f>IF(B103="","",_xll.TimTenLoaiDat(B103,$F$12:$H$24))</f>
        <v/>
      </c>
      <c r="D103" s="82" t="str">
        <f>IF(B103="","",_xll.TimTinhChatDat(B103,$H$12:$I$24))</f>
        <v/>
      </c>
      <c r="E103" s="96" t="str">
        <f>IF(B103="","",_xll.Qb_CocMaSatKMD(B103,$H$12:$M$24,$D$23,$D$25,$H$30,$D$15,$D$26,"GanmaRR"))</f>
        <v/>
      </c>
      <c r="F103" s="41" t="str">
        <f>IFERROR(_xll.TinhGammaqbCMS($D$19,_xll.TimTinhChatDatCotTU(B103,$H$12:$O$23,7),_xll.TimTinhChatDatCotTU(B103,$H$12:$O$23,7),_xll.TimTinhChatDatCotTU(B103,$H$12:$O$23,3),$D$12,_xll.TimTinhChatDatCotTU(B103,$H$12:$O$23,6),$D$20),"")</f>
        <v/>
      </c>
      <c r="G103" s="95" t="str">
        <f>IF(B103="","",_xll.Qb_CocMaSatKMD(B103,$H$12:$M$24,$D$23,$D$25,$H$30,$D$15,$D$26,"qb"))</f>
        <v/>
      </c>
      <c r="H103" s="95" t="str">
        <f t="shared" si="5"/>
        <v/>
      </c>
      <c r="I103" s="96" t="str">
        <f>IF(B103="","",_xll.flu_CocMaSatKMD($D$24,$D$16,$D$17,$D$25,$H$12:$M$24,FALSE,FALSE,$D$18,$D$13,$K$30,$H$30,A103,"GanmaRf"))</f>
        <v/>
      </c>
      <c r="J103" s="96" t="str">
        <f>IF(B103="","",_xll.flu_CocMaSatKMD($D$24,$D$16,$D$17,$D$25,$H$12:$M$24,FALSE,FALSE,$D$18,$D$13,$K$30,$H$30,A103,"Li"))</f>
        <v/>
      </c>
      <c r="K103" s="41" t="str">
        <f>IFERROR(_xll.TinhGammafiCMS($D$19,_xll.TimTinhChatDatCotTU(B103,$H$12:$O$23,7),_xll.TimTinhChatDatCotTU(B103,$H$12:$O$23,7),_xll.TimTinhChatDatCotTU(B103,$H$12:$O$23,3),$D$12,_xll.TimTinhChatDatCotTU(B103,$H$12:$O$23,6),$D$20),"")</f>
        <v/>
      </c>
      <c r="L103" s="95" t="str">
        <f>IF(B103="","",IF(B103&lt;=$I$28,0,_xll.flu_CocMaSatKMD($D$24,$D$16,$D$17,$D$25,$H$12:$M$24,FALSE,FALSE,$D$18,$D$13,$K$30,$H$30,A103,"f")))</f>
        <v/>
      </c>
      <c r="M103" s="95" t="str">
        <f t="shared" si="6"/>
        <v/>
      </c>
      <c r="N103" s="95" t="str">
        <f t="shared" si="4"/>
        <v/>
      </c>
      <c r="O103" s="87" t="str">
        <f t="shared" si="3"/>
        <v/>
      </c>
    </row>
    <row r="104" spans="1:15">
      <c r="A104" s="87">
        <f t="shared" si="2"/>
        <v>63</v>
      </c>
      <c r="B104" s="83" t="str">
        <f>_xll.flu_CocMaSatKMD($D$24,$D$16,$D$17,$D$25,$H$12:$M$24,FALSE,FALSE,$D$18,$D$13,$K$30,$H$30,A104,"Cao độ")</f>
        <v/>
      </c>
      <c r="C104" s="87" t="str">
        <f>IF(B104="","",_xll.TimTenLoaiDat(B104,$F$12:$H$24))</f>
        <v/>
      </c>
      <c r="D104" s="82" t="str">
        <f>IF(B104="","",_xll.TimTinhChatDat(B104,$H$12:$I$24))</f>
        <v/>
      </c>
      <c r="E104" s="96" t="str">
        <f>IF(B104="","",_xll.Qb_CocMaSatKMD(B104,$H$12:$M$24,$D$23,$D$25,$H$30,$D$15,$D$26,"GanmaRR"))</f>
        <v/>
      </c>
      <c r="F104" s="41" t="str">
        <f>IFERROR(_xll.TinhGammaqbCMS($D$19,_xll.TimTinhChatDatCotTU(B104,$H$12:$O$23,7),_xll.TimTinhChatDatCotTU(B104,$H$12:$O$23,7),_xll.TimTinhChatDatCotTU(B104,$H$12:$O$23,3),$D$12,_xll.TimTinhChatDatCotTU(B104,$H$12:$O$23,6),$D$20),"")</f>
        <v/>
      </c>
      <c r="G104" s="95" t="str">
        <f>IF(B104="","",_xll.Qb_CocMaSatKMD(B104,$H$12:$M$24,$D$23,$D$25,$H$30,$D$15,$D$26,"qb"))</f>
        <v/>
      </c>
      <c r="H104" s="95" t="str">
        <f t="shared" si="5"/>
        <v/>
      </c>
      <c r="I104" s="96" t="str">
        <f>IF(B104="","",_xll.flu_CocMaSatKMD($D$24,$D$16,$D$17,$D$25,$H$12:$M$24,FALSE,FALSE,$D$18,$D$13,$K$30,$H$30,A104,"GanmaRf"))</f>
        <v/>
      </c>
      <c r="J104" s="96" t="str">
        <f>IF(B104="","",_xll.flu_CocMaSatKMD($D$24,$D$16,$D$17,$D$25,$H$12:$M$24,FALSE,FALSE,$D$18,$D$13,$K$30,$H$30,A104,"Li"))</f>
        <v/>
      </c>
      <c r="K104" s="41" t="str">
        <f>IFERROR(_xll.TinhGammafiCMS($D$19,_xll.TimTinhChatDatCotTU(B104,$H$12:$O$23,7),_xll.TimTinhChatDatCotTU(B104,$H$12:$O$23,7),_xll.TimTinhChatDatCotTU(B104,$H$12:$O$23,3),$D$12,_xll.TimTinhChatDatCotTU(B104,$H$12:$O$23,6),$D$20),"")</f>
        <v/>
      </c>
      <c r="L104" s="95" t="str">
        <f>IF(B104="","",IF(B104&lt;=$I$28,0,_xll.flu_CocMaSatKMD($D$24,$D$16,$D$17,$D$25,$H$12:$M$24,FALSE,FALSE,$D$18,$D$13,$K$30,$H$30,A104,"f")))</f>
        <v/>
      </c>
      <c r="M104" s="95" t="str">
        <f t="shared" si="6"/>
        <v/>
      </c>
      <c r="N104" s="95" t="str">
        <f t="shared" si="4"/>
        <v/>
      </c>
      <c r="O104" s="87" t="str">
        <f t="shared" si="3"/>
        <v/>
      </c>
    </row>
    <row r="105" spans="1:15">
      <c r="A105" s="87">
        <f t="shared" si="2"/>
        <v>64</v>
      </c>
      <c r="B105" s="83" t="str">
        <f>_xll.flu_CocMaSatKMD($D$24,$D$16,$D$17,$D$25,$H$12:$M$24,FALSE,FALSE,$D$18,$D$13,$K$30,$H$30,A105,"Cao độ")</f>
        <v/>
      </c>
      <c r="C105" s="87" t="str">
        <f>IF(B105="","",_xll.TimTenLoaiDat(B105,$F$12:$H$24))</f>
        <v/>
      </c>
      <c r="D105" s="82" t="str">
        <f>IF(B105="","",_xll.TimTinhChatDat(B105,$H$12:$I$24))</f>
        <v/>
      </c>
      <c r="E105" s="96" t="str">
        <f>IF(B105="","",_xll.Qb_CocMaSatKMD(B105,$H$12:$M$24,$D$23,$D$25,$H$30,$D$15,$D$26,"GanmaRR"))</f>
        <v/>
      </c>
      <c r="F105" s="41" t="str">
        <f>IFERROR(_xll.TinhGammaqbCMS($D$19,_xll.TimTinhChatDatCotTU(B105,$H$12:$O$23,7),_xll.TimTinhChatDatCotTU(B105,$H$12:$O$23,7),_xll.TimTinhChatDatCotTU(B105,$H$12:$O$23,3),$D$12,_xll.TimTinhChatDatCotTU(B105,$H$12:$O$23,6),$D$20),"")</f>
        <v/>
      </c>
      <c r="G105" s="95" t="str">
        <f>IF(B105="","",_xll.Qb_CocMaSatKMD(B105,$H$12:$M$24,$D$23,$D$25,$H$30,$D$15,$D$26,"qb"))</f>
        <v/>
      </c>
      <c r="H105" s="95" t="str">
        <f t="shared" ref="H105:H136" si="7">IF(B105="","",$D$25*E105*G105*$D$23*F105)</f>
        <v/>
      </c>
      <c r="I105" s="96" t="str">
        <f>IF(B105="","",_xll.flu_CocMaSatKMD($D$24,$D$16,$D$17,$D$25,$H$12:$M$24,FALSE,FALSE,$D$18,$D$13,$K$30,$H$30,A105,"GanmaRf"))</f>
        <v/>
      </c>
      <c r="J105" s="96" t="str">
        <f>IF(B105="","",_xll.flu_CocMaSatKMD($D$24,$D$16,$D$17,$D$25,$H$12:$M$24,FALSE,FALSE,$D$18,$D$13,$K$30,$H$30,A105,"Li"))</f>
        <v/>
      </c>
      <c r="K105" s="41" t="str">
        <f>IFERROR(_xll.TinhGammafiCMS($D$19,_xll.TimTinhChatDatCotTU(B105,$H$12:$O$23,7),_xll.TimTinhChatDatCotTU(B105,$H$12:$O$23,7),_xll.TimTinhChatDatCotTU(B105,$H$12:$O$23,3),$D$12,_xll.TimTinhChatDatCotTU(B105,$H$12:$O$23,6),$D$20),"")</f>
        <v/>
      </c>
      <c r="L105" s="95" t="str">
        <f>IF(B105="","",IF(B105&lt;=$I$28,0,_xll.flu_CocMaSatKMD($D$24,$D$16,$D$17,$D$25,$H$12:$M$24,FALSE,FALSE,$D$18,$D$13,$K$30,$H$30,A105,"f")))</f>
        <v/>
      </c>
      <c r="M105" s="95" t="str">
        <f t="shared" ref="M105:M136" si="8">IF(B105="","",L105*$D$24*J105*I105*$D$25*K105)</f>
        <v/>
      </c>
      <c r="N105" s="95" t="str">
        <f t="shared" si="4"/>
        <v/>
      </c>
      <c r="O105" s="87" t="str">
        <f t="shared" si="3"/>
        <v/>
      </c>
    </row>
    <row r="106" spans="1:15">
      <c r="A106" s="87">
        <f t="shared" ref="A106:A150" si="9">+A105+1</f>
        <v>65</v>
      </c>
      <c r="B106" s="83" t="str">
        <f>_xll.flu_CocMaSatKMD($D$24,$D$16,$D$17,$D$25,$H$12:$M$24,FALSE,FALSE,$D$18,$D$13,$K$30,$H$30,A106,"Cao độ")</f>
        <v/>
      </c>
      <c r="C106" s="87" t="str">
        <f>IF(B106="","",_xll.TimTenLoaiDat(B106,$F$12:$H$24))</f>
        <v/>
      </c>
      <c r="D106" s="82" t="str">
        <f>IF(B106="","",_xll.TimTinhChatDat(B106,$H$12:$I$24))</f>
        <v/>
      </c>
      <c r="E106" s="96" t="str">
        <f>IF(B106="","",_xll.Qb_CocMaSatKMD(B106,$H$12:$M$24,$D$23,$D$25,$H$30,$D$15,$D$26,"GanmaRR"))</f>
        <v/>
      </c>
      <c r="F106" s="41" t="str">
        <f>IFERROR(_xll.TinhGammaqbCMS($D$19,_xll.TimTinhChatDatCotTU(B106,$H$12:$O$23,7),_xll.TimTinhChatDatCotTU(B106,$H$12:$O$23,7),_xll.TimTinhChatDatCotTU(B106,$H$12:$O$23,3),$D$12,_xll.TimTinhChatDatCotTU(B106,$H$12:$O$23,6),$D$20),"")</f>
        <v/>
      </c>
      <c r="G106" s="95" t="str">
        <f>IF(B106="","",_xll.Qb_CocMaSatKMD(B106,$H$12:$M$24,$D$23,$D$25,$H$30,$D$15,$D$26,"qb"))</f>
        <v/>
      </c>
      <c r="H106" s="95" t="str">
        <f t="shared" si="7"/>
        <v/>
      </c>
      <c r="I106" s="96" t="str">
        <f>IF(B106="","",_xll.flu_CocMaSatKMD($D$24,$D$16,$D$17,$D$25,$H$12:$M$24,FALSE,FALSE,$D$18,$D$13,$K$30,$H$30,A106,"GanmaRf"))</f>
        <v/>
      </c>
      <c r="J106" s="96" t="str">
        <f>IF(B106="","",_xll.flu_CocMaSatKMD($D$24,$D$16,$D$17,$D$25,$H$12:$M$24,FALSE,FALSE,$D$18,$D$13,$K$30,$H$30,A106,"Li"))</f>
        <v/>
      </c>
      <c r="K106" s="41" t="str">
        <f>IFERROR(_xll.TinhGammafiCMS($D$19,_xll.TimTinhChatDatCotTU(B106,$H$12:$O$23,7),_xll.TimTinhChatDatCotTU(B106,$H$12:$O$23,7),_xll.TimTinhChatDatCotTU(B106,$H$12:$O$23,3),$D$12,_xll.TimTinhChatDatCotTU(B106,$H$12:$O$23,6),$D$20),"")</f>
        <v/>
      </c>
      <c r="L106" s="95" t="str">
        <f>IF(B106="","",IF(B106&lt;=$I$28,0,_xll.flu_CocMaSatKMD($D$24,$D$16,$D$17,$D$25,$H$12:$M$24,FALSE,FALSE,$D$18,$D$13,$K$30,$H$30,A106,"f")))</f>
        <v/>
      </c>
      <c r="M106" s="95" t="str">
        <f t="shared" si="8"/>
        <v/>
      </c>
      <c r="N106" s="95" t="str">
        <f t="shared" si="4"/>
        <v/>
      </c>
      <c r="O106" s="87" t="str">
        <f t="shared" ref="O106:O110" si="10">IFERROR(N106+H106,"")</f>
        <v/>
      </c>
    </row>
    <row r="107" spans="1:15">
      <c r="A107" s="87">
        <f t="shared" si="9"/>
        <v>66</v>
      </c>
      <c r="B107" s="83" t="str">
        <f>_xll.flu_CocMaSatKMD($D$24,$D$16,$D$17,$D$25,$H$12:$M$24,FALSE,FALSE,$D$18,$D$13,$K$30,$H$30,A107,"Cao độ")</f>
        <v/>
      </c>
      <c r="C107" s="87" t="str">
        <f>IF(B107="","",_xll.TimTenLoaiDat(B107,$F$12:$H$24))</f>
        <v/>
      </c>
      <c r="D107" s="82" t="str">
        <f>IF(B107="","",_xll.TimTinhChatDat(B107,$H$12:$I$24))</f>
        <v/>
      </c>
      <c r="E107" s="96" t="str">
        <f>IF(B107="","",_xll.Qb_CocMaSatKMD(B107,$H$12:$M$24,$D$23,$D$25,$H$30,$D$15,$D$26,"GanmaRR"))</f>
        <v/>
      </c>
      <c r="F107" s="41" t="str">
        <f>IFERROR(_xll.TinhGammaqbCMS($D$19,_xll.TimTinhChatDatCotTU(B107,$H$12:$O$23,7),_xll.TimTinhChatDatCotTU(B107,$H$12:$O$23,7),_xll.TimTinhChatDatCotTU(B107,$H$12:$O$23,3),$D$12,_xll.TimTinhChatDatCotTU(B107,$H$12:$O$23,6),$D$20),"")</f>
        <v/>
      </c>
      <c r="G107" s="95" t="str">
        <f>IF(B107="","",_xll.Qb_CocMaSatKMD(B107,$H$12:$M$24,$D$23,$D$25,$H$30,$D$15,$D$26,"qb"))</f>
        <v/>
      </c>
      <c r="H107" s="95" t="str">
        <f t="shared" si="7"/>
        <v/>
      </c>
      <c r="I107" s="96" t="str">
        <f>IF(B107="","",_xll.flu_CocMaSatKMD($D$24,$D$16,$D$17,$D$25,$H$12:$M$24,FALSE,FALSE,$D$18,$D$13,$K$30,$H$30,A107,"GanmaRf"))</f>
        <v/>
      </c>
      <c r="J107" s="96" t="str">
        <f>IF(B107="","",_xll.flu_CocMaSatKMD($D$24,$D$16,$D$17,$D$25,$H$12:$M$24,FALSE,FALSE,$D$18,$D$13,$K$30,$H$30,A107,"Li"))</f>
        <v/>
      </c>
      <c r="K107" s="41" t="str">
        <f>IFERROR(_xll.TinhGammafiCMS($D$19,_xll.TimTinhChatDatCotTU(B107,$H$12:$O$23,7),_xll.TimTinhChatDatCotTU(B107,$H$12:$O$23,7),_xll.TimTinhChatDatCotTU(B107,$H$12:$O$23,3),$D$12,_xll.TimTinhChatDatCotTU(B107,$H$12:$O$23,6),$D$20),"")</f>
        <v/>
      </c>
      <c r="L107" s="95" t="str">
        <f>IF(B107="","",IF(B107&lt;=$I$28,0,_xll.flu_CocMaSatKMD($D$24,$D$16,$D$17,$D$25,$H$12:$M$24,FALSE,FALSE,$D$18,$D$13,$K$30,$H$30,A107,"f")))</f>
        <v/>
      </c>
      <c r="M107" s="95" t="str">
        <f t="shared" si="8"/>
        <v/>
      </c>
      <c r="N107" s="95" t="str">
        <f t="shared" ref="N107:N110" si="11">IFERROR(M107+N106,"")</f>
        <v/>
      </c>
      <c r="O107" s="87" t="str">
        <f t="shared" si="10"/>
        <v/>
      </c>
    </row>
    <row r="108" spans="1:15">
      <c r="A108" s="87">
        <f t="shared" si="9"/>
        <v>67</v>
      </c>
      <c r="B108" s="83" t="str">
        <f>_xll.flu_CocMaSatKMD($D$24,$D$16,$D$17,$D$25,$H$12:$M$24,FALSE,FALSE,$D$18,$D$13,$K$30,$H$30,A108,"Cao độ")</f>
        <v/>
      </c>
      <c r="C108" s="87" t="str">
        <f>IF(B108="","",_xll.TimTenLoaiDat(B108,$F$12:$H$24))</f>
        <v/>
      </c>
      <c r="D108" s="82" t="str">
        <f>IF(B108="","",_xll.TimTinhChatDat(B108,$H$12:$I$24))</f>
        <v/>
      </c>
      <c r="E108" s="96" t="str">
        <f>IF(B108="","",_xll.Qb_CocMaSatKMD(B108,$H$12:$M$24,$D$23,$D$25,$H$30,$D$15,$D$26,"GanmaRR"))</f>
        <v/>
      </c>
      <c r="F108" s="41" t="str">
        <f>IFERROR(_xll.TinhGammaqbCMS($D$19,_xll.TimTinhChatDatCotTU(B108,$H$12:$O$23,7),_xll.TimTinhChatDatCotTU(B108,$H$12:$O$23,7),_xll.TimTinhChatDatCotTU(B108,$H$12:$O$23,3),$D$12,_xll.TimTinhChatDatCotTU(B108,$H$12:$O$23,6),$D$20),"")</f>
        <v/>
      </c>
      <c r="G108" s="95" t="str">
        <f>IF(B108="","",_xll.Qb_CocMaSatKMD(B108,$H$12:$M$24,$D$23,$D$25,$H$30,$D$15,$D$26,"qb"))</f>
        <v/>
      </c>
      <c r="H108" s="95" t="str">
        <f t="shared" si="7"/>
        <v/>
      </c>
      <c r="I108" s="96" t="str">
        <f>IF(B108="","",_xll.flu_CocMaSatKMD($D$24,$D$16,$D$17,$D$25,$H$12:$M$24,FALSE,FALSE,$D$18,$D$13,$K$30,$H$30,A108,"GanmaRf"))</f>
        <v/>
      </c>
      <c r="J108" s="96" t="str">
        <f>IF(B108="","",_xll.flu_CocMaSatKMD($D$24,$D$16,$D$17,$D$25,$H$12:$M$24,FALSE,FALSE,$D$18,$D$13,$K$30,$H$30,A108,"Li"))</f>
        <v/>
      </c>
      <c r="K108" s="41" t="str">
        <f>IFERROR(_xll.TinhGammafiCMS($D$19,_xll.TimTinhChatDatCotTU(B108,$H$12:$O$23,7),_xll.TimTinhChatDatCotTU(B108,$H$12:$O$23,7),_xll.TimTinhChatDatCotTU(B108,$H$12:$O$23,3),$D$12,_xll.TimTinhChatDatCotTU(B108,$H$12:$O$23,6),$D$20),"")</f>
        <v/>
      </c>
      <c r="L108" s="95" t="str">
        <f>IF(B108="","",IF(B108&lt;=$I$28,0,_xll.flu_CocMaSatKMD($D$24,$D$16,$D$17,$D$25,$H$12:$M$24,FALSE,FALSE,$D$18,$D$13,$K$30,$H$30,A108,"f")))</f>
        <v/>
      </c>
      <c r="M108" s="95" t="str">
        <f t="shared" si="8"/>
        <v/>
      </c>
      <c r="N108" s="95" t="str">
        <f t="shared" si="11"/>
        <v/>
      </c>
      <c r="O108" s="87" t="str">
        <f t="shared" si="10"/>
        <v/>
      </c>
    </row>
    <row r="109" spans="1:15">
      <c r="A109" s="87">
        <f t="shared" si="9"/>
        <v>68</v>
      </c>
      <c r="B109" s="83" t="str">
        <f>_xll.flu_CocMaSatKMD($D$24,$D$16,$D$17,$D$25,$H$12:$M$24,FALSE,FALSE,$D$18,$D$13,$K$30,$H$30,A109,"Cao độ")</f>
        <v/>
      </c>
      <c r="C109" s="87" t="str">
        <f>IF(B109="","",_xll.TimTenLoaiDat(B109,$F$12:$H$24))</f>
        <v/>
      </c>
      <c r="D109" s="82" t="str">
        <f>IF(B109="","",_xll.TimTinhChatDat(B109,$H$12:$I$24))</f>
        <v/>
      </c>
      <c r="E109" s="96" t="str">
        <f>IF(B109="","",_xll.Qb_CocMaSatKMD(B109,$H$12:$M$24,$D$23,$D$25,$H$30,$D$15,$D$26,"GanmaRR"))</f>
        <v/>
      </c>
      <c r="F109" s="41" t="str">
        <f>IFERROR(_xll.TinhGammaqbCMS($D$19,_xll.TimTinhChatDatCotTU(B109,$H$12:$O$23,7),_xll.TimTinhChatDatCotTU(B109,$H$12:$O$23,7),_xll.TimTinhChatDatCotTU(B109,$H$12:$O$23,3),$D$12,_xll.TimTinhChatDatCotTU(B109,$H$12:$O$23,6),$D$20),"")</f>
        <v/>
      </c>
      <c r="G109" s="95" t="str">
        <f>IF(B109="","",_xll.Qb_CocMaSatKMD(B109,$H$12:$M$24,$D$23,$D$25,$H$30,$D$15,$D$26,"qb"))</f>
        <v/>
      </c>
      <c r="H109" s="95" t="str">
        <f t="shared" si="7"/>
        <v/>
      </c>
      <c r="I109" s="96" t="str">
        <f>IF(B109="","",_xll.flu_CocMaSatKMD($D$24,$D$16,$D$17,$D$25,$H$12:$M$24,FALSE,FALSE,$D$18,$D$13,$K$30,$H$30,A109,"GanmaRf"))</f>
        <v/>
      </c>
      <c r="J109" s="96" t="str">
        <f>IF(B109="","",_xll.flu_CocMaSatKMD($D$24,$D$16,$D$17,$D$25,$H$12:$M$24,FALSE,FALSE,$D$18,$D$13,$K$30,$H$30,A109,"Li"))</f>
        <v/>
      </c>
      <c r="K109" s="41" t="str">
        <f>IFERROR(_xll.TinhGammafiCMS($D$19,_xll.TimTinhChatDatCotTU(B109,$H$12:$O$23,7),_xll.TimTinhChatDatCotTU(B109,$H$12:$O$23,7),_xll.TimTinhChatDatCotTU(B109,$H$12:$O$23,3),$D$12,_xll.TimTinhChatDatCotTU(B109,$H$12:$O$23,6),$D$20),"")</f>
        <v/>
      </c>
      <c r="L109" s="95" t="str">
        <f>IF(B109="","",IF(B109&lt;=$I$28,0,_xll.flu_CocMaSatKMD($D$24,$D$16,$D$17,$D$25,$H$12:$M$24,FALSE,FALSE,$D$18,$D$13,$K$30,$H$30,A109,"f")))</f>
        <v/>
      </c>
      <c r="M109" s="95" t="str">
        <f t="shared" si="8"/>
        <v/>
      </c>
      <c r="N109" s="95" t="str">
        <f t="shared" si="11"/>
        <v/>
      </c>
      <c r="O109" s="87" t="str">
        <f t="shared" si="10"/>
        <v/>
      </c>
    </row>
    <row r="110" spans="1:15">
      <c r="A110" s="87">
        <f t="shared" si="9"/>
        <v>69</v>
      </c>
      <c r="B110" s="83" t="str">
        <f>_xll.flu_CocMaSatKMD($D$24,$D$16,$D$17,$D$25,$H$12:$M$24,FALSE,FALSE,$D$18,$D$13,$K$30,$H$30,A110,"Cao độ")</f>
        <v/>
      </c>
      <c r="C110" s="87" t="str">
        <f>IF(B110="","",_xll.TimTenLoaiDat(B110,$F$12:$H$24))</f>
        <v/>
      </c>
      <c r="D110" s="82" t="str">
        <f>IF(B110="","",_xll.TimTinhChatDat(B110,$H$12:$I$24))</f>
        <v/>
      </c>
      <c r="E110" s="96" t="str">
        <f>IF(B110="","",_xll.Qb_CocMaSatKMD(B110,$H$12:$M$24,$D$23,$D$25,$H$30,$D$15,$D$26,"GanmaRR"))</f>
        <v/>
      </c>
      <c r="F110" s="41" t="str">
        <f>IFERROR(_xll.TinhGammaqbCMS($D$19,_xll.TimTinhChatDatCotTU(B110,$H$12:$O$23,7),_xll.TimTinhChatDatCotTU(B110,$H$12:$O$23,7),_xll.TimTinhChatDatCotTU(B110,$H$12:$O$23,3),$D$12,_xll.TimTinhChatDatCotTU(B110,$H$12:$O$23,6),$D$20),"")</f>
        <v/>
      </c>
      <c r="G110" s="95" t="str">
        <f>IF(B110="","",_xll.Qb_CocMaSatKMD(B110,$H$12:$M$24,$D$23,$D$25,$H$30,$D$15,$D$26,"qb"))</f>
        <v/>
      </c>
      <c r="H110" s="95" t="str">
        <f t="shared" si="7"/>
        <v/>
      </c>
      <c r="I110" s="96" t="str">
        <f>IF(B110="","",_xll.flu_CocMaSatKMD($D$24,$D$16,$D$17,$D$25,$H$12:$M$24,FALSE,FALSE,$D$18,$D$13,$K$30,$H$30,A110,"GanmaRf"))</f>
        <v/>
      </c>
      <c r="J110" s="96" t="str">
        <f>IF(B110="","",_xll.flu_CocMaSatKMD($D$24,$D$16,$D$17,$D$25,$H$12:$M$24,FALSE,FALSE,$D$18,$D$13,$K$30,$H$30,A110,"Li"))</f>
        <v/>
      </c>
      <c r="K110" s="41" t="str">
        <f>IFERROR(_xll.TinhGammafiCMS($D$19,_xll.TimTinhChatDatCotTU(B110,$H$12:$O$23,7),_xll.TimTinhChatDatCotTU(B110,$H$12:$O$23,7),_xll.TimTinhChatDatCotTU(B110,$H$12:$O$23,3),$D$12,_xll.TimTinhChatDatCotTU(B110,$H$12:$O$23,6),$D$20),"")</f>
        <v/>
      </c>
      <c r="L110" s="95" t="str">
        <f>IF(B110="","",IF(B110&lt;=$I$28,0,_xll.flu_CocMaSatKMD($D$24,$D$16,$D$17,$D$25,$H$12:$M$24,FALSE,FALSE,$D$18,$D$13,$K$30,$H$30,A110,"f")))</f>
        <v/>
      </c>
      <c r="M110" s="95" t="str">
        <f t="shared" si="8"/>
        <v/>
      </c>
      <c r="N110" s="95" t="str">
        <f t="shared" si="11"/>
        <v/>
      </c>
      <c r="O110" s="87" t="str">
        <f t="shared" si="10"/>
        <v/>
      </c>
    </row>
    <row r="111" spans="1:15">
      <c r="A111" s="87">
        <f t="shared" si="9"/>
        <v>70</v>
      </c>
      <c r="B111" s="83" t="str">
        <f>_xll.flu_CocMaSatKMD($D$24,$D$16,$D$17,$D$25,$H$12:$M$24,FALSE,FALSE,$D$18,$D$13,$K$30,$H$30,A111,"Cao độ")</f>
        <v/>
      </c>
      <c r="C111" s="87" t="str">
        <f>IF(B111="","",_xll.TimTenLoaiDat(B111,$F$12:$H$24))</f>
        <v/>
      </c>
      <c r="D111" s="82" t="str">
        <f>IF(B111="","",_xll.TimTinhChatDat(B111,$H$12:$I$24))</f>
        <v/>
      </c>
      <c r="E111" s="96" t="str">
        <f>IF(B111="","",_xll.Qb_CocMaSatKMD(B111,$H$12:$M$24,$D$23,$D$25,$H$30,$D$15,$D$26,"GanmaRR"))</f>
        <v/>
      </c>
      <c r="F111" s="41" t="str">
        <f>IFERROR(_xll.TinhGammaqbCMS($D$19,_xll.TimTinhChatDatCotTU(B111,$H$12:$O$23,7),_xll.TimTinhChatDatCotTU(B111,$H$12:$O$23,7),_xll.TimTinhChatDatCotTU(B111,$H$12:$O$23,3),$D$12,_xll.TimTinhChatDatCotTU(B111,$H$12:$O$23,6),$D$20),"")</f>
        <v/>
      </c>
      <c r="G111" s="95" t="str">
        <f>IF(B111="","",_xll.Qb_CocMaSatKMD(B111,$H$12:$M$24,$D$23,$D$25,$H$30,$D$15,$D$26,"qb"))</f>
        <v/>
      </c>
      <c r="H111" s="95" t="str">
        <f t="shared" si="7"/>
        <v/>
      </c>
      <c r="I111" s="96" t="str">
        <f>IF(B111="","",_xll.flu_CocMaSatKMD($D$24,$D$16,$D$17,$D$25,$H$12:$M$24,FALSE,FALSE,$D$18,$D$13,$K$30,$H$30,A111,"GanmaRf"))</f>
        <v/>
      </c>
      <c r="J111" s="96" t="str">
        <f>IF(B111="","",_xll.flu_CocMaSatKMD($D$24,$D$16,$D$17,$D$25,$H$12:$M$24,FALSE,FALSE,$D$18,$D$13,$K$30,$H$30,A111,"Li"))</f>
        <v/>
      </c>
      <c r="K111" s="41" t="str">
        <f>IFERROR(_xll.TinhGammafiCMS($D$19,_xll.TimTinhChatDatCotTU(B111,$H$12:$O$23,7),_xll.TimTinhChatDatCotTU(B111,$H$12:$O$23,7),_xll.TimTinhChatDatCotTU(B111,$H$12:$O$23,3),$D$12,_xll.TimTinhChatDatCotTU(B111,$H$12:$O$23,6),$D$20),"")</f>
        <v/>
      </c>
      <c r="L111" s="95" t="str">
        <f>IF(B111="","",IF(B111&lt;=$I$28,0,_xll.flu_CocMaSatKMD($D$24,$D$16,$D$17,$D$25,$H$12:$M$24,FALSE,FALSE,$D$18,$D$13,$K$30,$H$30,A111,"f")))</f>
        <v/>
      </c>
      <c r="M111" s="95" t="str">
        <f t="shared" si="8"/>
        <v/>
      </c>
      <c r="N111" s="95" t="str">
        <f t="shared" ref="N111:N150" si="12">IFERROR(M111+N110,"")</f>
        <v/>
      </c>
      <c r="O111" s="87" t="str">
        <f t="shared" ref="O111:O150" si="13">IFERROR(N111+H111,"")</f>
        <v/>
      </c>
    </row>
    <row r="112" spans="1:15">
      <c r="A112" s="87">
        <f t="shared" si="9"/>
        <v>71</v>
      </c>
      <c r="B112" s="83" t="str">
        <f>_xll.flu_CocMaSatKMD($D$24,$D$16,$D$17,$D$25,$H$12:$M$24,FALSE,FALSE,$D$18,$D$13,$K$30,$H$30,A112,"Cao độ")</f>
        <v/>
      </c>
      <c r="C112" s="87" t="str">
        <f>IF(B112="","",_xll.TimTenLoaiDat(B112,$F$12:$H$24))</f>
        <v/>
      </c>
      <c r="D112" s="82" t="str">
        <f>IF(B112="","",_xll.TimTinhChatDat(B112,$H$12:$I$24))</f>
        <v/>
      </c>
      <c r="E112" s="96" t="str">
        <f>IF(B112="","",_xll.Qb_CocMaSatKMD(B112,$H$12:$M$24,$D$23,$D$25,$H$30,$D$15,$D$26,"GanmaRR"))</f>
        <v/>
      </c>
      <c r="F112" s="41" t="str">
        <f>IFERROR(_xll.TinhGammaqbCMS($D$19,_xll.TimTinhChatDatCotTU(B112,$H$12:$O$23,7),_xll.TimTinhChatDatCotTU(B112,$H$12:$O$23,7),_xll.TimTinhChatDatCotTU(B112,$H$12:$O$23,3),$D$12,_xll.TimTinhChatDatCotTU(B112,$H$12:$O$23,6),$D$20),"")</f>
        <v/>
      </c>
      <c r="G112" s="95" t="str">
        <f>IF(B112="","",_xll.Qb_CocMaSatKMD(B112,$H$12:$M$24,$D$23,$D$25,$H$30,$D$15,$D$26,"qb"))</f>
        <v/>
      </c>
      <c r="H112" s="95" t="str">
        <f t="shared" si="7"/>
        <v/>
      </c>
      <c r="I112" s="96" t="str">
        <f>IF(B112="","",_xll.flu_CocMaSatKMD($D$24,$D$16,$D$17,$D$25,$H$12:$M$24,FALSE,FALSE,$D$18,$D$13,$K$30,$H$30,A112,"GanmaRf"))</f>
        <v/>
      </c>
      <c r="J112" s="96" t="str">
        <f>IF(B112="","",_xll.flu_CocMaSatKMD($D$24,$D$16,$D$17,$D$25,$H$12:$M$24,FALSE,FALSE,$D$18,$D$13,$K$30,$H$30,A112,"Li"))</f>
        <v/>
      </c>
      <c r="K112" s="41" t="str">
        <f>IFERROR(_xll.TinhGammafiCMS($D$19,_xll.TimTinhChatDatCotTU(B112,$H$12:$O$23,7),_xll.TimTinhChatDatCotTU(B112,$H$12:$O$23,7),_xll.TimTinhChatDatCotTU(B112,$H$12:$O$23,3),$D$12,_xll.TimTinhChatDatCotTU(B112,$H$12:$O$23,6),$D$20),"")</f>
        <v/>
      </c>
      <c r="L112" s="95" t="str">
        <f>IF(B112="","",IF(B112&lt;=$I$28,0,_xll.flu_CocMaSatKMD($D$24,$D$16,$D$17,$D$25,$H$12:$M$24,FALSE,FALSE,$D$18,$D$13,$K$30,$H$30,A112,"f")))</f>
        <v/>
      </c>
      <c r="M112" s="95" t="str">
        <f t="shared" si="8"/>
        <v/>
      </c>
      <c r="N112" s="95" t="str">
        <f t="shared" si="12"/>
        <v/>
      </c>
      <c r="O112" s="87" t="str">
        <f t="shared" si="13"/>
        <v/>
      </c>
    </row>
    <row r="113" spans="1:15">
      <c r="A113" s="87">
        <f t="shared" si="9"/>
        <v>72</v>
      </c>
      <c r="B113" s="83" t="str">
        <f>_xll.flu_CocMaSatKMD($D$24,$D$16,$D$17,$D$25,$H$12:$M$24,FALSE,FALSE,$D$18,$D$13,$K$30,$H$30,A113,"Cao độ")</f>
        <v/>
      </c>
      <c r="C113" s="87" t="str">
        <f>IF(B113="","",_xll.TimTenLoaiDat(B113,$F$12:$H$24))</f>
        <v/>
      </c>
      <c r="D113" s="82" t="str">
        <f>IF(B113="","",_xll.TimTinhChatDat(B113,$H$12:$I$24))</f>
        <v/>
      </c>
      <c r="E113" s="96" t="str">
        <f>IF(B113="","",_xll.Qb_CocMaSatKMD(B113,$H$12:$M$24,$D$23,$D$25,$H$30,$D$15,$D$26,"GanmaRR"))</f>
        <v/>
      </c>
      <c r="F113" s="41" t="str">
        <f>IFERROR(_xll.TinhGammaqbCMS($D$19,_xll.TimTinhChatDatCotTU(B113,$H$12:$O$23,7),_xll.TimTinhChatDatCotTU(B113,$H$12:$O$23,7),_xll.TimTinhChatDatCotTU(B113,$H$12:$O$23,3),$D$12,_xll.TimTinhChatDatCotTU(B113,$H$12:$O$23,6),$D$20),"")</f>
        <v/>
      </c>
      <c r="G113" s="95" t="str">
        <f>IF(B113="","",_xll.Qb_CocMaSatKMD(B113,$H$12:$M$24,$D$23,$D$25,$H$30,$D$15,$D$26,"qb"))</f>
        <v/>
      </c>
      <c r="H113" s="95" t="str">
        <f t="shared" si="7"/>
        <v/>
      </c>
      <c r="I113" s="96" t="str">
        <f>IF(B113="","",_xll.flu_CocMaSatKMD($D$24,$D$16,$D$17,$D$25,$H$12:$M$24,FALSE,FALSE,$D$18,$D$13,$K$30,$H$30,A113,"GanmaRf"))</f>
        <v/>
      </c>
      <c r="J113" s="96" t="str">
        <f>IF(B113="","",_xll.flu_CocMaSatKMD($D$24,$D$16,$D$17,$D$25,$H$12:$M$24,FALSE,FALSE,$D$18,$D$13,$K$30,$H$30,A113,"Li"))</f>
        <v/>
      </c>
      <c r="K113" s="41" t="str">
        <f>IFERROR(_xll.TinhGammafiCMS($D$19,_xll.TimTinhChatDatCotTU(B113,$H$12:$O$23,7),_xll.TimTinhChatDatCotTU(B113,$H$12:$O$23,7),_xll.TimTinhChatDatCotTU(B113,$H$12:$O$23,3),$D$12,_xll.TimTinhChatDatCotTU(B113,$H$12:$O$23,6),$D$20),"")</f>
        <v/>
      </c>
      <c r="L113" s="95" t="str">
        <f>IF(B113="","",IF(B113&lt;=$I$28,0,_xll.flu_CocMaSatKMD($D$24,$D$16,$D$17,$D$25,$H$12:$M$24,FALSE,FALSE,$D$18,$D$13,$K$30,$H$30,A113,"f")))</f>
        <v/>
      </c>
      <c r="M113" s="95" t="str">
        <f t="shared" si="8"/>
        <v/>
      </c>
      <c r="N113" s="95" t="str">
        <f t="shared" si="12"/>
        <v/>
      </c>
      <c r="O113" s="87" t="str">
        <f t="shared" si="13"/>
        <v/>
      </c>
    </row>
    <row r="114" spans="1:15">
      <c r="A114" s="87">
        <f t="shared" si="9"/>
        <v>73</v>
      </c>
      <c r="B114" s="83" t="str">
        <f>_xll.flu_CocMaSatKMD($D$24,$D$16,$D$17,$D$25,$H$12:$M$24,FALSE,FALSE,$D$18,$D$13,$K$30,$H$30,A114,"Cao độ")</f>
        <v/>
      </c>
      <c r="C114" s="87" t="str">
        <f>IF(B114="","",_xll.TimTenLoaiDat(B114,$F$12:$H$24))</f>
        <v/>
      </c>
      <c r="D114" s="82" t="str">
        <f>IF(B114="","",_xll.TimTinhChatDat(B114,$H$12:$I$24))</f>
        <v/>
      </c>
      <c r="E114" s="96" t="str">
        <f>IF(B114="","",_xll.Qb_CocMaSatKMD(B114,$H$12:$M$24,$D$23,$D$25,$H$30,$D$15,$D$26,"GanmaRR"))</f>
        <v/>
      </c>
      <c r="F114" s="41" t="str">
        <f>IFERROR(_xll.TinhGammaqbCMS($D$19,_xll.TimTinhChatDatCotTU(B114,$H$12:$O$23,7),_xll.TimTinhChatDatCotTU(B114,$H$12:$O$23,7),_xll.TimTinhChatDatCotTU(B114,$H$12:$O$23,3),$D$12,_xll.TimTinhChatDatCotTU(B114,$H$12:$O$23,6),$D$20),"")</f>
        <v/>
      </c>
      <c r="G114" s="95" t="str">
        <f>IF(B114="","",_xll.Qb_CocMaSatKMD(B114,$H$12:$M$24,$D$23,$D$25,$H$30,$D$15,$D$26,"qb"))</f>
        <v/>
      </c>
      <c r="H114" s="95" t="str">
        <f t="shared" si="7"/>
        <v/>
      </c>
      <c r="I114" s="96" t="str">
        <f>IF(B114="","",_xll.flu_CocMaSatKMD($D$24,$D$16,$D$17,$D$25,$H$12:$M$24,FALSE,FALSE,$D$18,$D$13,$K$30,$H$30,A114,"GanmaRf"))</f>
        <v/>
      </c>
      <c r="J114" s="96" t="str">
        <f>IF(B114="","",_xll.flu_CocMaSatKMD($D$24,$D$16,$D$17,$D$25,$H$12:$M$24,FALSE,FALSE,$D$18,$D$13,$K$30,$H$30,A114,"Li"))</f>
        <v/>
      </c>
      <c r="K114" s="41" t="str">
        <f>IFERROR(_xll.TinhGammafiCMS($D$19,_xll.TimTinhChatDatCotTU(B114,$H$12:$O$23,7),_xll.TimTinhChatDatCotTU(B114,$H$12:$O$23,7),_xll.TimTinhChatDatCotTU(B114,$H$12:$O$23,3),$D$12,_xll.TimTinhChatDatCotTU(B114,$H$12:$O$23,6),$D$20),"")</f>
        <v/>
      </c>
      <c r="L114" s="95" t="str">
        <f>IF(B114="","",IF(B114&lt;=$I$28,0,_xll.flu_CocMaSatKMD($D$24,$D$16,$D$17,$D$25,$H$12:$M$24,FALSE,FALSE,$D$18,$D$13,$K$30,$H$30,A114,"f")))</f>
        <v/>
      </c>
      <c r="M114" s="95" t="str">
        <f t="shared" si="8"/>
        <v/>
      </c>
      <c r="N114" s="95" t="str">
        <f t="shared" si="12"/>
        <v/>
      </c>
      <c r="O114" s="87" t="str">
        <f t="shared" si="13"/>
        <v/>
      </c>
    </row>
    <row r="115" spans="1:15" customFormat="1">
      <c r="A115" s="87">
        <f t="shared" si="9"/>
        <v>74</v>
      </c>
      <c r="B115" s="83" t="str">
        <f>_xll.flu_CocMaSatKMD($D$24,$D$16,$D$17,$D$25,$H$12:$M$24,FALSE,FALSE,$D$18,$D$13,$K$30,$H$30,A115,"Cao độ")</f>
        <v/>
      </c>
      <c r="C115" s="87" t="str">
        <f>IF(B115="","",_xll.TimTenLoaiDat(B115,$F$12:$H$24))</f>
        <v/>
      </c>
      <c r="D115" s="82" t="str">
        <f>IF(B115="","",_xll.TimTinhChatDat(B115,$H$12:$I$24))</f>
        <v/>
      </c>
      <c r="E115" s="96" t="str">
        <f>IF(B115="","",_xll.Qb_CocMaSatKMD(B115,$H$12:$M$24,$D$23,$D$25,$H$30,$D$15,$D$26,"GanmaRR"))</f>
        <v/>
      </c>
      <c r="F115" s="41" t="str">
        <f>IFERROR(_xll.TinhGammaqbCMS($D$19,_xll.TimTinhChatDatCotTU(B115,$H$12:$O$23,7),_xll.TimTinhChatDatCotTU(B115,$H$12:$O$23,7),_xll.TimTinhChatDatCotTU(B115,$H$12:$O$23,3),$D$12,_xll.TimTinhChatDatCotTU(B115,$H$12:$O$23,6),$D$20),"")</f>
        <v/>
      </c>
      <c r="G115" s="95" t="str">
        <f>IF(B115="","",_xll.Qb_CocMaSatKMD(B115,$H$12:$M$24,$D$23,$D$25,$H$30,$D$15,$D$26,"qb"))</f>
        <v/>
      </c>
      <c r="H115" s="95" t="str">
        <f t="shared" si="7"/>
        <v/>
      </c>
      <c r="I115" s="96" t="str">
        <f>IF(B115="","",_xll.flu_CocMaSatKMD($D$24,$D$16,$D$17,$D$25,$H$12:$M$24,FALSE,FALSE,$D$18,$D$13,$K$30,$H$30,A115,"GanmaRf"))</f>
        <v/>
      </c>
      <c r="J115" s="96" t="str">
        <f>IF(B115="","",_xll.flu_CocMaSatKMD($D$24,$D$16,$D$17,$D$25,$H$12:$M$24,FALSE,FALSE,$D$18,$D$13,$K$30,$H$30,A115,"Li"))</f>
        <v/>
      </c>
      <c r="K115" s="41" t="str">
        <f>IFERROR(_xll.TinhGammafiCMS($D$19,_xll.TimTinhChatDatCotTU(B115,$H$12:$O$23,7),_xll.TimTinhChatDatCotTU(B115,$H$12:$O$23,7),_xll.TimTinhChatDatCotTU(B115,$H$12:$O$23,3),$D$12,_xll.TimTinhChatDatCotTU(B115,$H$12:$O$23,6),$D$20),"")</f>
        <v/>
      </c>
      <c r="L115" s="95" t="str">
        <f>IF(B115="","",IF(B115&lt;=$I$28,0,_xll.flu_CocMaSatKMD($D$24,$D$16,$D$17,$D$25,$H$12:$M$24,FALSE,FALSE,$D$18,$D$13,$K$30,$H$30,A115,"f")))</f>
        <v/>
      </c>
      <c r="M115" s="95" t="str">
        <f t="shared" si="8"/>
        <v/>
      </c>
      <c r="N115" s="95" t="str">
        <f t="shared" si="12"/>
        <v/>
      </c>
      <c r="O115" s="87" t="str">
        <f t="shared" si="13"/>
        <v/>
      </c>
    </row>
    <row r="116" spans="1:15" customFormat="1">
      <c r="A116" s="87">
        <f t="shared" si="9"/>
        <v>75</v>
      </c>
      <c r="B116" s="83" t="str">
        <f>_xll.flu_CocMaSatKMD($D$24,$D$16,$D$17,$D$25,$H$12:$M$24,FALSE,FALSE,$D$18,$D$13,$K$30,$H$30,A116,"Cao độ")</f>
        <v/>
      </c>
      <c r="C116" s="87" t="str">
        <f>IF(B116="","",_xll.TimTenLoaiDat(B116,$F$12:$H$24))</f>
        <v/>
      </c>
      <c r="D116" s="82" t="str">
        <f>IF(B116="","",_xll.TimTinhChatDat(B116,$H$12:$I$24))</f>
        <v/>
      </c>
      <c r="E116" s="96" t="str">
        <f>IF(B116="","",_xll.Qb_CocMaSatKMD(B116,$H$12:$M$24,$D$23,$D$25,$H$30,$D$15,$D$26,"GanmaRR"))</f>
        <v/>
      </c>
      <c r="F116" s="41" t="str">
        <f>IFERROR(_xll.TinhGammaqbCMS($D$19,_xll.TimTinhChatDatCotTU(B116,$H$12:$O$23,7),_xll.TimTinhChatDatCotTU(B116,$H$12:$O$23,7),_xll.TimTinhChatDatCotTU(B116,$H$12:$O$23,3),$D$12,_xll.TimTinhChatDatCotTU(B116,$H$12:$O$23,6),$D$20),"")</f>
        <v/>
      </c>
      <c r="G116" s="95" t="str">
        <f>IF(B116="","",_xll.Qb_CocMaSatKMD(B116,$H$12:$M$24,$D$23,$D$25,$H$30,$D$15,$D$26,"qb"))</f>
        <v/>
      </c>
      <c r="H116" s="95" t="str">
        <f t="shared" si="7"/>
        <v/>
      </c>
      <c r="I116" s="96" t="str">
        <f>IF(B116="","",_xll.flu_CocMaSatKMD($D$24,$D$16,$D$17,$D$25,$H$12:$M$24,FALSE,FALSE,$D$18,$D$13,$K$30,$H$30,A116,"GanmaRf"))</f>
        <v/>
      </c>
      <c r="J116" s="96" t="str">
        <f>IF(B116="","",_xll.flu_CocMaSatKMD($D$24,$D$16,$D$17,$D$25,$H$12:$M$24,FALSE,FALSE,$D$18,$D$13,$K$30,$H$30,A116,"Li"))</f>
        <v/>
      </c>
      <c r="K116" s="41" t="str">
        <f>IFERROR(_xll.TinhGammafiCMS($D$19,_xll.TimTinhChatDatCotTU(B116,$H$12:$O$23,7),_xll.TimTinhChatDatCotTU(B116,$H$12:$O$23,7),_xll.TimTinhChatDatCotTU(B116,$H$12:$O$23,3),$D$12,_xll.TimTinhChatDatCotTU(B116,$H$12:$O$23,6),$D$20),"")</f>
        <v/>
      </c>
      <c r="L116" s="95" t="str">
        <f>IF(B116="","",IF(B116&lt;=$I$28,0,_xll.flu_CocMaSatKMD($D$24,$D$16,$D$17,$D$25,$H$12:$M$24,FALSE,FALSE,$D$18,$D$13,$K$30,$H$30,A116,"f")))</f>
        <v/>
      </c>
      <c r="M116" s="95" t="str">
        <f t="shared" si="8"/>
        <v/>
      </c>
      <c r="N116" s="95" t="str">
        <f t="shared" si="12"/>
        <v/>
      </c>
      <c r="O116" s="87" t="str">
        <f t="shared" si="13"/>
        <v/>
      </c>
    </row>
    <row r="117" spans="1:15" customFormat="1">
      <c r="A117" s="87">
        <f t="shared" si="9"/>
        <v>76</v>
      </c>
      <c r="B117" s="83" t="str">
        <f>_xll.flu_CocMaSatKMD($D$24,$D$16,$D$17,$D$25,$H$12:$M$24,FALSE,FALSE,$D$18,$D$13,$K$30,$H$30,A117,"Cao độ")</f>
        <v/>
      </c>
      <c r="C117" s="87" t="str">
        <f>IF(B117="","",_xll.TimTenLoaiDat(B117,$F$12:$H$24))</f>
        <v/>
      </c>
      <c r="D117" s="82" t="str">
        <f>IF(B117="","",_xll.TimTinhChatDat(B117,$H$12:$I$24))</f>
        <v/>
      </c>
      <c r="E117" s="96" t="str">
        <f>IF(B117="","",_xll.Qb_CocMaSatKMD(B117,$H$12:$M$24,$D$23,$D$25,$H$30,$D$15,$D$26,"GanmaRR"))</f>
        <v/>
      </c>
      <c r="F117" s="41" t="str">
        <f>IFERROR(_xll.TinhGammaqbCMS($D$19,_xll.TimTinhChatDatCotTU(B117,$H$12:$O$23,7),_xll.TimTinhChatDatCotTU(B117,$H$12:$O$23,7),_xll.TimTinhChatDatCotTU(B117,$H$12:$O$23,3),$D$12,_xll.TimTinhChatDatCotTU(B117,$H$12:$O$23,6),$D$20),"")</f>
        <v/>
      </c>
      <c r="G117" s="95" t="str">
        <f>IF(B117="","",_xll.Qb_CocMaSatKMD(B117,$H$12:$M$24,$D$23,$D$25,$H$30,$D$15,$D$26,"qb"))</f>
        <v/>
      </c>
      <c r="H117" s="95" t="str">
        <f t="shared" si="7"/>
        <v/>
      </c>
      <c r="I117" s="96" t="str">
        <f>IF(B117="","",_xll.flu_CocMaSatKMD($D$24,$D$16,$D$17,$D$25,$H$12:$M$24,FALSE,FALSE,$D$18,$D$13,$K$30,$H$30,A117,"GanmaRf"))</f>
        <v/>
      </c>
      <c r="J117" s="96" t="str">
        <f>IF(B117="","",_xll.flu_CocMaSatKMD($D$24,$D$16,$D$17,$D$25,$H$12:$M$24,FALSE,FALSE,$D$18,$D$13,$K$30,$H$30,A117,"Li"))</f>
        <v/>
      </c>
      <c r="K117" s="41" t="str">
        <f>IFERROR(_xll.TinhGammafiCMS($D$19,_xll.TimTinhChatDatCotTU(B117,$H$12:$O$23,7),_xll.TimTinhChatDatCotTU(B117,$H$12:$O$23,7),_xll.TimTinhChatDatCotTU(B117,$H$12:$O$23,3),$D$12,_xll.TimTinhChatDatCotTU(B117,$H$12:$O$23,6),$D$20),"")</f>
        <v/>
      </c>
      <c r="L117" s="95" t="str">
        <f>IF(B117="","",IF(B117&lt;=$I$28,0,_xll.flu_CocMaSatKMD($D$24,$D$16,$D$17,$D$25,$H$12:$M$24,FALSE,FALSE,$D$18,$D$13,$K$30,$H$30,A117,"f")))</f>
        <v/>
      </c>
      <c r="M117" s="95" t="str">
        <f t="shared" si="8"/>
        <v/>
      </c>
      <c r="N117" s="95" t="str">
        <f t="shared" si="12"/>
        <v/>
      </c>
      <c r="O117" s="87" t="str">
        <f t="shared" si="13"/>
        <v/>
      </c>
    </row>
    <row r="118" spans="1:15" customFormat="1">
      <c r="A118" s="87">
        <f t="shared" si="9"/>
        <v>77</v>
      </c>
      <c r="B118" s="83" t="str">
        <f>_xll.flu_CocMaSatKMD($D$24,$D$16,$D$17,$D$25,$H$12:$M$24,FALSE,FALSE,$D$18,$D$13,$K$30,$H$30,A118,"Cao độ")</f>
        <v/>
      </c>
      <c r="C118" s="87" t="str">
        <f>IF(B118="","",_xll.TimTenLoaiDat(B118,$F$12:$H$24))</f>
        <v/>
      </c>
      <c r="D118" s="82" t="str">
        <f>IF(B118="","",_xll.TimTinhChatDat(B118,$H$12:$I$24))</f>
        <v/>
      </c>
      <c r="E118" s="96" t="str">
        <f>IF(B118="","",_xll.Qb_CocMaSatKMD(B118,$H$12:$M$24,$D$23,$D$25,$H$30,$D$15,$D$26,"GanmaRR"))</f>
        <v/>
      </c>
      <c r="F118" s="41" t="str">
        <f>IFERROR(_xll.TinhGammaqbCMS($D$19,_xll.TimTinhChatDatCotTU(B118,$H$12:$O$23,7),_xll.TimTinhChatDatCotTU(B118,$H$12:$O$23,7),_xll.TimTinhChatDatCotTU(B118,$H$12:$O$23,3),$D$12,_xll.TimTinhChatDatCotTU(B118,$H$12:$O$23,6),$D$20),"")</f>
        <v/>
      </c>
      <c r="G118" s="95" t="str">
        <f>IF(B118="","",_xll.Qb_CocMaSatKMD(B118,$H$12:$M$24,$D$23,$D$25,$H$30,$D$15,$D$26,"qb"))</f>
        <v/>
      </c>
      <c r="H118" s="95" t="str">
        <f t="shared" si="7"/>
        <v/>
      </c>
      <c r="I118" s="96" t="str">
        <f>IF(B118="","",_xll.flu_CocMaSatKMD($D$24,$D$16,$D$17,$D$25,$H$12:$M$24,FALSE,FALSE,$D$18,$D$13,$K$30,$H$30,A118,"GanmaRf"))</f>
        <v/>
      </c>
      <c r="J118" s="96" t="str">
        <f>IF(B118="","",_xll.flu_CocMaSatKMD($D$24,$D$16,$D$17,$D$25,$H$12:$M$24,FALSE,FALSE,$D$18,$D$13,$K$30,$H$30,A118,"Li"))</f>
        <v/>
      </c>
      <c r="K118" s="41" t="str">
        <f>IFERROR(_xll.TinhGammafiCMS($D$19,_xll.TimTinhChatDatCotTU(B118,$H$12:$O$23,7),_xll.TimTinhChatDatCotTU(B118,$H$12:$O$23,7),_xll.TimTinhChatDatCotTU(B118,$H$12:$O$23,3),$D$12,_xll.TimTinhChatDatCotTU(B118,$H$12:$O$23,6),$D$20),"")</f>
        <v/>
      </c>
      <c r="L118" s="95" t="str">
        <f>IF(B118="","",IF(B118&lt;=$I$28,0,_xll.flu_CocMaSatKMD($D$24,$D$16,$D$17,$D$25,$H$12:$M$24,FALSE,FALSE,$D$18,$D$13,$K$30,$H$30,A118,"f")))</f>
        <v/>
      </c>
      <c r="M118" s="95" t="str">
        <f t="shared" si="8"/>
        <v/>
      </c>
      <c r="N118" s="95" t="str">
        <f t="shared" si="12"/>
        <v/>
      </c>
      <c r="O118" s="87" t="str">
        <f t="shared" si="13"/>
        <v/>
      </c>
    </row>
    <row r="119" spans="1:15" customFormat="1">
      <c r="A119" s="87">
        <f t="shared" si="9"/>
        <v>78</v>
      </c>
      <c r="B119" s="83" t="str">
        <f>_xll.flu_CocMaSatKMD($D$24,$D$16,$D$17,$D$25,$H$12:$M$24,FALSE,FALSE,$D$18,$D$13,$K$30,$H$30,A119,"Cao độ")</f>
        <v/>
      </c>
      <c r="C119" s="87" t="str">
        <f>IF(B119="","",_xll.TimTenLoaiDat(B119,$F$12:$H$24))</f>
        <v/>
      </c>
      <c r="D119" s="82" t="str">
        <f>IF(B119="","",_xll.TimTinhChatDat(B119,$H$12:$I$24))</f>
        <v/>
      </c>
      <c r="E119" s="96" t="str">
        <f>IF(B119="","",_xll.Qb_CocMaSatKMD(B119,$H$12:$M$24,$D$23,$D$25,$H$30,$D$15,$D$26,"GanmaRR"))</f>
        <v/>
      </c>
      <c r="F119" s="41" t="str">
        <f>IFERROR(_xll.TinhGammaqbCMS($D$19,_xll.TimTinhChatDatCotTU(B119,$H$12:$O$23,7),_xll.TimTinhChatDatCotTU(B119,$H$12:$O$23,7),_xll.TimTinhChatDatCotTU(B119,$H$12:$O$23,3),$D$12,_xll.TimTinhChatDatCotTU(B119,$H$12:$O$23,6),$D$20),"")</f>
        <v/>
      </c>
      <c r="G119" s="95" t="str">
        <f>IF(B119="","",_xll.Qb_CocMaSatKMD(B119,$H$12:$M$24,$D$23,$D$25,$H$30,$D$15,$D$26,"qb"))</f>
        <v/>
      </c>
      <c r="H119" s="95" t="str">
        <f t="shared" si="7"/>
        <v/>
      </c>
      <c r="I119" s="96" t="str">
        <f>IF(B119="","",_xll.flu_CocMaSatKMD($D$24,$D$16,$D$17,$D$25,$H$12:$M$24,FALSE,FALSE,$D$18,$D$13,$K$30,$H$30,A119,"GanmaRf"))</f>
        <v/>
      </c>
      <c r="J119" s="96" t="str">
        <f>IF(B119="","",_xll.flu_CocMaSatKMD($D$24,$D$16,$D$17,$D$25,$H$12:$M$24,FALSE,FALSE,$D$18,$D$13,$K$30,$H$30,A119,"Li"))</f>
        <v/>
      </c>
      <c r="K119" s="41" t="str">
        <f>IFERROR(_xll.TinhGammafiCMS($D$19,_xll.TimTinhChatDatCotTU(B119,$H$12:$O$23,7),_xll.TimTinhChatDatCotTU(B119,$H$12:$O$23,7),_xll.TimTinhChatDatCotTU(B119,$H$12:$O$23,3),$D$12,_xll.TimTinhChatDatCotTU(B119,$H$12:$O$23,6),$D$20),"")</f>
        <v/>
      </c>
      <c r="L119" s="95" t="str">
        <f>IF(B119="","",IF(B119&lt;=$I$28,0,_xll.flu_CocMaSatKMD($D$24,$D$16,$D$17,$D$25,$H$12:$M$24,FALSE,FALSE,$D$18,$D$13,$K$30,$H$30,A119,"f")))</f>
        <v/>
      </c>
      <c r="M119" s="95" t="str">
        <f t="shared" si="8"/>
        <v/>
      </c>
      <c r="N119" s="95" t="str">
        <f t="shared" si="12"/>
        <v/>
      </c>
      <c r="O119" s="87" t="str">
        <f t="shared" si="13"/>
        <v/>
      </c>
    </row>
    <row r="120" spans="1:15" customFormat="1">
      <c r="A120" s="87">
        <f t="shared" si="9"/>
        <v>79</v>
      </c>
      <c r="B120" s="83" t="str">
        <f>_xll.flu_CocMaSatKMD($D$24,$D$16,$D$17,$D$25,$H$12:$M$24,FALSE,FALSE,$D$18,$D$13,$K$30,$H$30,A120,"Cao độ")</f>
        <v/>
      </c>
      <c r="C120" s="87" t="str">
        <f>IF(B120="","",_xll.TimTenLoaiDat(B120,$F$12:$H$24))</f>
        <v/>
      </c>
      <c r="D120" s="82" t="str">
        <f>IF(B120="","",_xll.TimTinhChatDat(B120,$H$12:$I$24))</f>
        <v/>
      </c>
      <c r="E120" s="96" t="str">
        <f>IF(B120="","",_xll.Qb_CocMaSatKMD(B120,$H$12:$M$24,$D$23,$D$25,$H$30,$D$15,$D$26,"GanmaRR"))</f>
        <v/>
      </c>
      <c r="F120" s="41" t="str">
        <f>IFERROR(_xll.TinhGammaqbCMS($D$19,_xll.TimTinhChatDatCotTU(B120,$H$12:$O$23,7),_xll.TimTinhChatDatCotTU(B120,$H$12:$O$23,7),_xll.TimTinhChatDatCotTU(B120,$H$12:$O$23,3),$D$12,_xll.TimTinhChatDatCotTU(B120,$H$12:$O$23,6),$D$20),"")</f>
        <v/>
      </c>
      <c r="G120" s="95" t="str">
        <f>IF(B120="","",_xll.Qb_CocMaSatKMD(B120,$H$12:$M$24,$D$23,$D$25,$H$30,$D$15,$D$26,"qb"))</f>
        <v/>
      </c>
      <c r="H120" s="95" t="str">
        <f t="shared" si="7"/>
        <v/>
      </c>
      <c r="I120" s="96" t="str">
        <f>IF(B120="","",_xll.flu_CocMaSatKMD($D$24,$D$16,$D$17,$D$25,$H$12:$M$24,FALSE,FALSE,$D$18,$D$13,$K$30,$H$30,A120,"GanmaRf"))</f>
        <v/>
      </c>
      <c r="J120" s="96" t="str">
        <f>IF(B120="","",_xll.flu_CocMaSatKMD($D$24,$D$16,$D$17,$D$25,$H$12:$M$24,FALSE,FALSE,$D$18,$D$13,$K$30,$H$30,A120,"Li"))</f>
        <v/>
      </c>
      <c r="K120" s="41" t="str">
        <f>IFERROR(_xll.TinhGammafiCMS($D$19,_xll.TimTinhChatDatCotTU(B120,$H$12:$O$23,7),_xll.TimTinhChatDatCotTU(B120,$H$12:$O$23,7),_xll.TimTinhChatDatCotTU(B120,$H$12:$O$23,3),$D$12,_xll.TimTinhChatDatCotTU(B120,$H$12:$O$23,6),$D$20),"")</f>
        <v/>
      </c>
      <c r="L120" s="95" t="str">
        <f>IF(B120="","",IF(B120&lt;=$I$28,0,_xll.flu_CocMaSatKMD($D$24,$D$16,$D$17,$D$25,$H$12:$M$24,FALSE,FALSE,$D$18,$D$13,$K$30,$H$30,A120,"f")))</f>
        <v/>
      </c>
      <c r="M120" s="95" t="str">
        <f t="shared" si="8"/>
        <v/>
      </c>
      <c r="N120" s="95" t="str">
        <f t="shared" si="12"/>
        <v/>
      </c>
      <c r="O120" s="87" t="str">
        <f t="shared" si="13"/>
        <v/>
      </c>
    </row>
    <row r="121" spans="1:15" s="37" customFormat="1" ht="12.75">
      <c r="A121" s="87">
        <f t="shared" si="9"/>
        <v>80</v>
      </c>
      <c r="B121" s="83" t="str">
        <f>_xll.flu_CocMaSatKMD($D$24,$D$16,$D$17,$D$25,$H$12:$M$24,FALSE,FALSE,$D$18,$D$13,$K$30,$H$30,A121,"Cao độ")</f>
        <v/>
      </c>
      <c r="C121" s="87" t="str">
        <f>IF(B121="","",_xll.TimTenLoaiDat(B121,$F$12:$H$24))</f>
        <v/>
      </c>
      <c r="D121" s="82" t="str">
        <f>IF(B121="","",_xll.TimTinhChatDat(B121,$H$12:$I$24))</f>
        <v/>
      </c>
      <c r="E121" s="96" t="str">
        <f>IF(B121="","",_xll.Qb_CocMaSatKMD(B121,$H$12:$M$24,$D$23,$D$25,$H$30,$D$15,$D$26,"GanmaRR"))</f>
        <v/>
      </c>
      <c r="F121" s="41" t="str">
        <f>IFERROR(_xll.TinhGammaqbCMS($D$19,_xll.TimTinhChatDatCotTU(B121,$H$12:$O$23,7),_xll.TimTinhChatDatCotTU(B121,$H$12:$O$23,7),_xll.TimTinhChatDatCotTU(B121,$H$12:$O$23,3),$D$12,_xll.TimTinhChatDatCotTU(B121,$H$12:$O$23,6),$D$20),"")</f>
        <v/>
      </c>
      <c r="G121" s="95" t="str">
        <f>IF(B121="","",_xll.Qb_CocMaSatKMD(B121,$H$12:$M$24,$D$23,$D$25,$H$30,$D$15,$D$26,"qb"))</f>
        <v/>
      </c>
      <c r="H121" s="95" t="str">
        <f t="shared" si="7"/>
        <v/>
      </c>
      <c r="I121" s="96" t="str">
        <f>IF(B121="","",_xll.flu_CocMaSatKMD($D$24,$D$16,$D$17,$D$25,$H$12:$M$24,FALSE,FALSE,$D$18,$D$13,$K$30,$H$30,A121,"GanmaRf"))</f>
        <v/>
      </c>
      <c r="J121" s="96" t="str">
        <f>IF(B121="","",_xll.flu_CocMaSatKMD($D$24,$D$16,$D$17,$D$25,$H$12:$M$24,FALSE,FALSE,$D$18,$D$13,$K$30,$H$30,A121,"Li"))</f>
        <v/>
      </c>
      <c r="K121" s="41" t="str">
        <f>IFERROR(_xll.TinhGammafiCMS($D$19,_xll.TimTinhChatDatCotTU(B121,$H$12:$O$23,7),_xll.TimTinhChatDatCotTU(B121,$H$12:$O$23,7),_xll.TimTinhChatDatCotTU(B121,$H$12:$O$23,3),$D$12,_xll.TimTinhChatDatCotTU(B121,$H$12:$O$23,6),$D$20),"")</f>
        <v/>
      </c>
      <c r="L121" s="95" t="str">
        <f>IF(B121="","",IF(B121&lt;=$I$28,0,_xll.flu_CocMaSatKMD($D$24,$D$16,$D$17,$D$25,$H$12:$M$24,FALSE,FALSE,$D$18,$D$13,$K$30,$H$30,A121,"f")))</f>
        <v/>
      </c>
      <c r="M121" s="95" t="str">
        <f t="shared" si="8"/>
        <v/>
      </c>
      <c r="N121" s="95" t="str">
        <f t="shared" si="12"/>
        <v/>
      </c>
      <c r="O121" s="87" t="str">
        <f t="shared" si="13"/>
        <v/>
      </c>
    </row>
    <row r="122" spans="1:15" s="37" customFormat="1" ht="12.75">
      <c r="A122" s="87">
        <f t="shared" si="9"/>
        <v>81</v>
      </c>
      <c r="B122" s="83" t="str">
        <f>_xll.flu_CocMaSatKMD($D$24,$D$16,$D$17,$D$25,$H$12:$M$24,FALSE,FALSE,$D$18,$D$13,$K$30,$H$30,A122,"Cao độ")</f>
        <v/>
      </c>
      <c r="C122" s="87" t="str">
        <f>IF(B122="","",_xll.TimTenLoaiDat(B122,$F$12:$H$24))</f>
        <v/>
      </c>
      <c r="D122" s="82" t="str">
        <f>IF(B122="","",_xll.TimTinhChatDat(B122,$H$12:$I$24))</f>
        <v/>
      </c>
      <c r="E122" s="96" t="str">
        <f>IF(B122="","",_xll.Qb_CocMaSatKMD(B122,$H$12:$M$24,$D$23,$D$25,$H$30,$D$15,$D$26,"GanmaRR"))</f>
        <v/>
      </c>
      <c r="F122" s="41" t="str">
        <f>IFERROR(_xll.TinhGammaqbCMS($D$19,_xll.TimTinhChatDatCotTU(B122,$H$12:$O$23,7),_xll.TimTinhChatDatCotTU(B122,$H$12:$O$23,7),_xll.TimTinhChatDatCotTU(B122,$H$12:$O$23,3),$D$12,_xll.TimTinhChatDatCotTU(B122,$H$12:$O$23,6),$D$20),"")</f>
        <v/>
      </c>
      <c r="G122" s="95" t="str">
        <f>IF(B122="","",_xll.Qb_CocMaSatKMD(B122,$H$12:$M$24,$D$23,$D$25,$H$30,$D$15,$D$26,"qb"))</f>
        <v/>
      </c>
      <c r="H122" s="95" t="str">
        <f t="shared" si="7"/>
        <v/>
      </c>
      <c r="I122" s="96" t="str">
        <f>IF(B122="","",_xll.flu_CocMaSatKMD($D$24,$D$16,$D$17,$D$25,$H$12:$M$24,FALSE,FALSE,$D$18,$D$13,$K$30,$H$30,A122,"GanmaRf"))</f>
        <v/>
      </c>
      <c r="J122" s="96" t="str">
        <f>IF(B122="","",_xll.flu_CocMaSatKMD($D$24,$D$16,$D$17,$D$25,$H$12:$M$24,FALSE,FALSE,$D$18,$D$13,$K$30,$H$30,A122,"Li"))</f>
        <v/>
      </c>
      <c r="K122" s="41" t="str">
        <f>IFERROR(_xll.TinhGammafiCMS($D$19,_xll.TimTinhChatDatCotTU(B122,$H$12:$O$23,7),_xll.TimTinhChatDatCotTU(B122,$H$12:$O$23,7),_xll.TimTinhChatDatCotTU(B122,$H$12:$O$23,3),$D$12,_xll.TimTinhChatDatCotTU(B122,$H$12:$O$23,6),$D$20),"")</f>
        <v/>
      </c>
      <c r="L122" s="95" t="str">
        <f>IF(B122="","",IF(B122&lt;=$I$28,0,_xll.flu_CocMaSatKMD($D$24,$D$16,$D$17,$D$25,$H$12:$M$24,FALSE,FALSE,$D$18,$D$13,$K$30,$H$30,A122,"f")))</f>
        <v/>
      </c>
      <c r="M122" s="95" t="str">
        <f t="shared" si="8"/>
        <v/>
      </c>
      <c r="N122" s="95" t="str">
        <f t="shared" si="12"/>
        <v/>
      </c>
      <c r="O122" s="87" t="str">
        <f t="shared" si="13"/>
        <v/>
      </c>
    </row>
    <row r="123" spans="1:15" s="37" customFormat="1" ht="12.75">
      <c r="A123" s="87">
        <f t="shared" si="9"/>
        <v>82</v>
      </c>
      <c r="B123" s="83" t="str">
        <f>_xll.flu_CocMaSatKMD($D$24,$D$16,$D$17,$D$25,$H$12:$M$24,FALSE,FALSE,$D$18,$D$13,$K$30,$H$30,A123,"Cao độ")</f>
        <v/>
      </c>
      <c r="C123" s="87" t="str">
        <f>IF(B123="","",_xll.TimTenLoaiDat(B123,$F$12:$H$24))</f>
        <v/>
      </c>
      <c r="D123" s="82" t="str">
        <f>IF(B123="","",_xll.TimTinhChatDat(B123,$H$12:$I$24))</f>
        <v/>
      </c>
      <c r="E123" s="96" t="str">
        <f>IF(B123="","",_xll.Qb_CocMaSatKMD(B123,$H$12:$M$24,$D$23,$D$25,$H$30,$D$15,$D$26,"GanmaRR"))</f>
        <v/>
      </c>
      <c r="F123" s="41" t="str">
        <f>IFERROR(_xll.TinhGammaqbCMS($D$19,_xll.TimTinhChatDatCotTU(B123,$H$12:$O$23,7),_xll.TimTinhChatDatCotTU(B123,$H$12:$O$23,7),_xll.TimTinhChatDatCotTU(B123,$H$12:$O$23,3),$D$12,_xll.TimTinhChatDatCotTU(B123,$H$12:$O$23,6),$D$20),"")</f>
        <v/>
      </c>
      <c r="G123" s="95" t="str">
        <f>IF(B123="","",_xll.Qb_CocMaSatKMD(B123,$H$12:$M$24,$D$23,$D$25,$H$30,$D$15,$D$26,"qb"))</f>
        <v/>
      </c>
      <c r="H123" s="95" t="str">
        <f t="shared" si="7"/>
        <v/>
      </c>
      <c r="I123" s="96" t="str">
        <f>IF(B123="","",_xll.flu_CocMaSatKMD($D$24,$D$16,$D$17,$D$25,$H$12:$M$24,FALSE,FALSE,$D$18,$D$13,$K$30,$H$30,A123,"GanmaRf"))</f>
        <v/>
      </c>
      <c r="J123" s="96" t="str">
        <f>IF(B123="","",_xll.flu_CocMaSatKMD($D$24,$D$16,$D$17,$D$25,$H$12:$M$24,FALSE,FALSE,$D$18,$D$13,$K$30,$H$30,A123,"Li"))</f>
        <v/>
      </c>
      <c r="K123" s="41" t="str">
        <f>IFERROR(_xll.TinhGammafiCMS($D$19,_xll.TimTinhChatDatCotTU(B123,$H$12:$O$23,7),_xll.TimTinhChatDatCotTU(B123,$H$12:$O$23,7),_xll.TimTinhChatDatCotTU(B123,$H$12:$O$23,3),$D$12,_xll.TimTinhChatDatCotTU(B123,$H$12:$O$23,6),$D$20),"")</f>
        <v/>
      </c>
      <c r="L123" s="95" t="str">
        <f>IF(B123="","",IF(B123&lt;=$I$28,0,_xll.flu_CocMaSatKMD($D$24,$D$16,$D$17,$D$25,$H$12:$M$24,FALSE,FALSE,$D$18,$D$13,$K$30,$H$30,A123,"f")))</f>
        <v/>
      </c>
      <c r="M123" s="95" t="str">
        <f t="shared" si="8"/>
        <v/>
      </c>
      <c r="N123" s="95" t="str">
        <f t="shared" si="12"/>
        <v/>
      </c>
      <c r="O123" s="87" t="str">
        <f t="shared" si="13"/>
        <v/>
      </c>
    </row>
    <row r="124" spans="1:15" s="37" customFormat="1" ht="12.75">
      <c r="A124" s="87">
        <f t="shared" si="9"/>
        <v>83</v>
      </c>
      <c r="B124" s="83" t="str">
        <f>_xll.flu_CocMaSatKMD($D$24,$D$16,$D$17,$D$25,$H$12:$M$24,FALSE,FALSE,$D$18,$D$13,$K$30,$H$30,A124,"Cao độ")</f>
        <v/>
      </c>
      <c r="C124" s="87" t="str">
        <f>IF(B124="","",_xll.TimTenLoaiDat(B124,$F$12:$H$24))</f>
        <v/>
      </c>
      <c r="D124" s="82" t="str">
        <f>IF(B124="","",_xll.TimTinhChatDat(B124,$H$12:$I$24))</f>
        <v/>
      </c>
      <c r="E124" s="96" t="str">
        <f>IF(B124="","",_xll.Qb_CocMaSatKMD(B124,$H$12:$M$24,$D$23,$D$25,$H$30,$D$15,$D$26,"GanmaRR"))</f>
        <v/>
      </c>
      <c r="F124" s="41" t="str">
        <f>IFERROR(_xll.TinhGammaqbCMS($D$19,_xll.TimTinhChatDatCotTU(B124,$H$12:$O$23,7),_xll.TimTinhChatDatCotTU(B124,$H$12:$O$23,7),_xll.TimTinhChatDatCotTU(B124,$H$12:$O$23,3),$D$12,_xll.TimTinhChatDatCotTU(B124,$H$12:$O$23,6),$D$20),"")</f>
        <v/>
      </c>
      <c r="G124" s="95" t="str">
        <f>IF(B124="","",_xll.Qb_CocMaSatKMD(B124,$H$12:$M$24,$D$23,$D$25,$H$30,$D$15,$D$26,"qb"))</f>
        <v/>
      </c>
      <c r="H124" s="95" t="str">
        <f t="shared" si="7"/>
        <v/>
      </c>
      <c r="I124" s="96" t="str">
        <f>IF(B124="","",_xll.flu_CocMaSatKMD($D$24,$D$16,$D$17,$D$25,$H$12:$M$24,FALSE,FALSE,$D$18,$D$13,$K$30,$H$30,A124,"GanmaRf"))</f>
        <v/>
      </c>
      <c r="J124" s="96" t="str">
        <f>IF(B124="","",_xll.flu_CocMaSatKMD($D$24,$D$16,$D$17,$D$25,$H$12:$M$24,FALSE,FALSE,$D$18,$D$13,$K$30,$H$30,A124,"Li"))</f>
        <v/>
      </c>
      <c r="K124" s="41" t="str">
        <f>IFERROR(_xll.TinhGammafiCMS($D$19,_xll.TimTinhChatDatCotTU(B124,$H$12:$O$23,7),_xll.TimTinhChatDatCotTU(B124,$H$12:$O$23,7),_xll.TimTinhChatDatCotTU(B124,$H$12:$O$23,3),$D$12,_xll.TimTinhChatDatCotTU(B124,$H$12:$O$23,6),$D$20),"")</f>
        <v/>
      </c>
      <c r="L124" s="95" t="str">
        <f>IF(B124="","",IF(B124&lt;=$I$28,0,_xll.flu_CocMaSatKMD($D$24,$D$16,$D$17,$D$25,$H$12:$M$24,FALSE,FALSE,$D$18,$D$13,$K$30,$H$30,A124,"f")))</f>
        <v/>
      </c>
      <c r="M124" s="95" t="str">
        <f t="shared" si="8"/>
        <v/>
      </c>
      <c r="N124" s="95" t="str">
        <f t="shared" si="12"/>
        <v/>
      </c>
      <c r="O124" s="87" t="str">
        <f t="shared" si="13"/>
        <v/>
      </c>
    </row>
    <row r="125" spans="1:15" s="37" customFormat="1" ht="12.75">
      <c r="A125" s="87">
        <f t="shared" si="9"/>
        <v>84</v>
      </c>
      <c r="B125" s="83" t="str">
        <f>_xll.flu_CocMaSatKMD($D$24,$D$16,$D$17,$D$25,$H$12:$M$24,FALSE,FALSE,$D$18,$D$13,$K$30,$H$30,A125,"Cao độ")</f>
        <v/>
      </c>
      <c r="C125" s="87" t="str">
        <f>IF(B125="","",_xll.TimTenLoaiDat(B125,$F$12:$H$24))</f>
        <v/>
      </c>
      <c r="D125" s="82" t="str">
        <f>IF(B125="","",_xll.TimTinhChatDat(B125,$H$12:$I$24))</f>
        <v/>
      </c>
      <c r="E125" s="96" t="str">
        <f>IF(B125="","",_xll.Qb_CocMaSatKMD(B125,$H$12:$M$24,$D$23,$D$25,$H$30,$D$15,$D$26,"GanmaRR"))</f>
        <v/>
      </c>
      <c r="F125" s="41" t="str">
        <f>IFERROR(_xll.TinhGammaqbCMS($D$19,_xll.TimTinhChatDatCotTU(B125,$H$12:$O$23,7),_xll.TimTinhChatDatCotTU(B125,$H$12:$O$23,7),_xll.TimTinhChatDatCotTU(B125,$H$12:$O$23,3),$D$12,_xll.TimTinhChatDatCotTU(B125,$H$12:$O$23,6),$D$20),"")</f>
        <v/>
      </c>
      <c r="G125" s="95" t="str">
        <f>IF(B125="","",_xll.Qb_CocMaSatKMD(B125,$H$12:$M$24,$D$23,$D$25,$H$30,$D$15,$D$26,"qb"))</f>
        <v/>
      </c>
      <c r="H125" s="95" t="str">
        <f t="shared" si="7"/>
        <v/>
      </c>
      <c r="I125" s="96" t="str">
        <f>IF(B125="","",_xll.flu_CocMaSatKMD($D$24,$D$16,$D$17,$D$25,$H$12:$M$24,FALSE,FALSE,$D$18,$D$13,$K$30,$H$30,A125,"GanmaRf"))</f>
        <v/>
      </c>
      <c r="J125" s="96" t="str">
        <f>IF(B125="","",_xll.flu_CocMaSatKMD($D$24,$D$16,$D$17,$D$25,$H$12:$M$24,FALSE,FALSE,$D$18,$D$13,$K$30,$H$30,A125,"Li"))</f>
        <v/>
      </c>
      <c r="K125" s="41" t="str">
        <f>IFERROR(_xll.TinhGammafiCMS($D$19,_xll.TimTinhChatDatCotTU(B125,$H$12:$O$23,7),_xll.TimTinhChatDatCotTU(B125,$H$12:$O$23,7),_xll.TimTinhChatDatCotTU(B125,$H$12:$O$23,3),$D$12,_xll.TimTinhChatDatCotTU(B125,$H$12:$O$23,6),$D$20),"")</f>
        <v/>
      </c>
      <c r="L125" s="95" t="str">
        <f>IF(B125="","",IF(B125&lt;=$I$28,0,_xll.flu_CocMaSatKMD($D$24,$D$16,$D$17,$D$25,$H$12:$M$24,FALSE,FALSE,$D$18,$D$13,$K$30,$H$30,A125,"f")))</f>
        <v/>
      </c>
      <c r="M125" s="95" t="str">
        <f t="shared" si="8"/>
        <v/>
      </c>
      <c r="N125" s="95" t="str">
        <f t="shared" si="12"/>
        <v/>
      </c>
      <c r="O125" s="87" t="str">
        <f t="shared" si="13"/>
        <v/>
      </c>
    </row>
    <row r="126" spans="1:15" s="37" customFormat="1" ht="12.75">
      <c r="A126" s="87">
        <f t="shared" si="9"/>
        <v>85</v>
      </c>
      <c r="B126" s="83" t="str">
        <f>_xll.flu_CocMaSatKMD($D$24,$D$16,$D$17,$D$25,$H$12:$M$24,FALSE,FALSE,$D$18,$D$13,$K$30,$H$30,A126,"Cao độ")</f>
        <v/>
      </c>
      <c r="C126" s="87" t="str">
        <f>IF(B126="","",_xll.TimTenLoaiDat(B126,$F$12:$H$24))</f>
        <v/>
      </c>
      <c r="D126" s="82" t="str">
        <f>IF(B126="","",_xll.TimTinhChatDat(B126,$H$12:$I$24))</f>
        <v/>
      </c>
      <c r="E126" s="96" t="str">
        <f>IF(B126="","",_xll.Qb_CocMaSatKMD(B126,$H$12:$M$24,$D$23,$D$25,$H$30,$D$15,$D$26,"GanmaRR"))</f>
        <v/>
      </c>
      <c r="F126" s="41" t="str">
        <f>IFERROR(_xll.TinhGammaqbCMS($D$19,_xll.TimTinhChatDatCotTU(B126,$H$12:$O$23,7),_xll.TimTinhChatDatCotTU(B126,$H$12:$O$23,7),_xll.TimTinhChatDatCotTU(B126,$H$12:$O$23,3),$D$12,_xll.TimTinhChatDatCotTU(B126,$H$12:$O$23,6),$D$20),"")</f>
        <v/>
      </c>
      <c r="G126" s="95" t="str">
        <f>IF(B126="","",_xll.Qb_CocMaSatKMD(B126,$H$12:$M$24,$D$23,$D$25,$H$30,$D$15,$D$26,"qb"))</f>
        <v/>
      </c>
      <c r="H126" s="95" t="str">
        <f t="shared" si="7"/>
        <v/>
      </c>
      <c r="I126" s="96" t="str">
        <f>IF(B126="","",_xll.flu_CocMaSatKMD($D$24,$D$16,$D$17,$D$25,$H$12:$M$24,FALSE,FALSE,$D$18,$D$13,$K$30,$H$30,A126,"GanmaRf"))</f>
        <v/>
      </c>
      <c r="J126" s="96" t="str">
        <f>IF(B126="","",_xll.flu_CocMaSatKMD($D$24,$D$16,$D$17,$D$25,$H$12:$M$24,FALSE,FALSE,$D$18,$D$13,$K$30,$H$30,A126,"Li"))</f>
        <v/>
      </c>
      <c r="K126" s="41" t="str">
        <f>IFERROR(_xll.TinhGammafiCMS($D$19,_xll.TimTinhChatDatCotTU(B126,$H$12:$O$23,7),_xll.TimTinhChatDatCotTU(B126,$H$12:$O$23,7),_xll.TimTinhChatDatCotTU(B126,$H$12:$O$23,3),$D$12,_xll.TimTinhChatDatCotTU(B126,$H$12:$O$23,6),$D$20),"")</f>
        <v/>
      </c>
      <c r="L126" s="95" t="str">
        <f>IF(B126="","",IF(B126&lt;=$I$28,0,_xll.flu_CocMaSatKMD($D$24,$D$16,$D$17,$D$25,$H$12:$M$24,FALSE,FALSE,$D$18,$D$13,$K$30,$H$30,A126,"f")))</f>
        <v/>
      </c>
      <c r="M126" s="95" t="str">
        <f t="shared" si="8"/>
        <v/>
      </c>
      <c r="N126" s="95" t="str">
        <f t="shared" si="12"/>
        <v/>
      </c>
      <c r="O126" s="87" t="str">
        <f t="shared" si="13"/>
        <v/>
      </c>
    </row>
    <row r="127" spans="1:15" s="37" customFormat="1" ht="12.75">
      <c r="A127" s="87">
        <f t="shared" si="9"/>
        <v>86</v>
      </c>
      <c r="B127" s="83" t="str">
        <f>_xll.flu_CocMaSatKMD($D$24,$D$16,$D$17,$D$25,$H$12:$M$24,FALSE,FALSE,$D$18,$D$13,$K$30,$H$30,A127,"Cao độ")</f>
        <v/>
      </c>
      <c r="C127" s="87" t="str">
        <f>IF(B127="","",_xll.TimTenLoaiDat(B127,$F$12:$H$24))</f>
        <v/>
      </c>
      <c r="D127" s="82" t="str">
        <f>IF(B127="","",_xll.TimTinhChatDat(B127,$H$12:$I$24))</f>
        <v/>
      </c>
      <c r="E127" s="96" t="str">
        <f>IF(B127="","",_xll.Qb_CocMaSatKMD(B127,$H$12:$M$24,$D$23,$D$25,$H$30,$D$15,$D$26,"GanmaRR"))</f>
        <v/>
      </c>
      <c r="F127" s="41" t="str">
        <f>IFERROR(_xll.TinhGammaqbCMS($D$19,_xll.TimTinhChatDatCotTU(B127,$H$12:$O$23,7),_xll.TimTinhChatDatCotTU(B127,$H$12:$O$23,7),_xll.TimTinhChatDatCotTU(B127,$H$12:$O$23,3),$D$12,_xll.TimTinhChatDatCotTU(B127,$H$12:$O$23,6),$D$20),"")</f>
        <v/>
      </c>
      <c r="G127" s="95" t="str">
        <f>IF(B127="","",_xll.Qb_CocMaSatKMD(B127,$H$12:$M$24,$D$23,$D$25,$H$30,$D$15,$D$26,"qb"))</f>
        <v/>
      </c>
      <c r="H127" s="95" t="str">
        <f t="shared" si="7"/>
        <v/>
      </c>
      <c r="I127" s="96" t="str">
        <f>IF(B127="","",_xll.flu_CocMaSatKMD($D$24,$D$16,$D$17,$D$25,$H$12:$M$24,FALSE,FALSE,$D$18,$D$13,$K$30,$H$30,A127,"GanmaRf"))</f>
        <v/>
      </c>
      <c r="J127" s="96" t="str">
        <f>IF(B127="","",_xll.flu_CocMaSatKMD($D$24,$D$16,$D$17,$D$25,$H$12:$M$24,FALSE,FALSE,$D$18,$D$13,$K$30,$H$30,A127,"Li"))</f>
        <v/>
      </c>
      <c r="K127" s="41" t="str">
        <f>IFERROR(_xll.TinhGammafiCMS($D$19,_xll.TimTinhChatDatCotTU(B127,$H$12:$O$23,7),_xll.TimTinhChatDatCotTU(B127,$H$12:$O$23,7),_xll.TimTinhChatDatCotTU(B127,$H$12:$O$23,3),$D$12,_xll.TimTinhChatDatCotTU(B127,$H$12:$O$23,6),$D$20),"")</f>
        <v/>
      </c>
      <c r="L127" s="95" t="str">
        <f>IF(B127="","",IF(B127&lt;=$I$28,0,_xll.flu_CocMaSatKMD($D$24,$D$16,$D$17,$D$25,$H$12:$M$24,FALSE,FALSE,$D$18,$D$13,$K$30,$H$30,A127,"f")))</f>
        <v/>
      </c>
      <c r="M127" s="95" t="str">
        <f t="shared" si="8"/>
        <v/>
      </c>
      <c r="N127" s="95" t="str">
        <f t="shared" si="12"/>
        <v/>
      </c>
      <c r="O127" s="87" t="str">
        <f t="shared" si="13"/>
        <v/>
      </c>
    </row>
    <row r="128" spans="1:15" s="37" customFormat="1" ht="12.75">
      <c r="A128" s="87">
        <f t="shared" si="9"/>
        <v>87</v>
      </c>
      <c r="B128" s="83" t="str">
        <f>_xll.flu_CocMaSatKMD($D$24,$D$16,$D$17,$D$25,$H$12:$M$24,FALSE,FALSE,$D$18,$D$13,$K$30,$H$30,A128,"Cao độ")</f>
        <v/>
      </c>
      <c r="C128" s="87" t="str">
        <f>IF(B128="","",_xll.TimTenLoaiDat(B128,$F$12:$H$24))</f>
        <v/>
      </c>
      <c r="D128" s="82" t="str">
        <f>IF(B128="","",_xll.TimTinhChatDat(B128,$H$12:$I$24))</f>
        <v/>
      </c>
      <c r="E128" s="96" t="str">
        <f>IF(B128="","",_xll.Qb_CocMaSatKMD(B128,$H$12:$M$24,$D$23,$D$25,$H$30,$D$15,$D$26,"GanmaRR"))</f>
        <v/>
      </c>
      <c r="F128" s="41" t="str">
        <f>IFERROR(_xll.TinhGammaqbCMS($D$19,_xll.TimTinhChatDatCotTU(B128,$H$12:$O$23,7),_xll.TimTinhChatDatCotTU(B128,$H$12:$O$23,7),_xll.TimTinhChatDatCotTU(B128,$H$12:$O$23,3),$D$12,_xll.TimTinhChatDatCotTU(B128,$H$12:$O$23,6),$D$20),"")</f>
        <v/>
      </c>
      <c r="G128" s="95" t="str">
        <f>IF(B128="","",_xll.Qb_CocMaSatKMD(B128,$H$12:$M$24,$D$23,$D$25,$H$30,$D$15,$D$26,"qb"))</f>
        <v/>
      </c>
      <c r="H128" s="95" t="str">
        <f t="shared" si="7"/>
        <v/>
      </c>
      <c r="I128" s="96" t="str">
        <f>IF(B128="","",_xll.flu_CocMaSatKMD($D$24,$D$16,$D$17,$D$25,$H$12:$M$24,FALSE,FALSE,$D$18,$D$13,$K$30,$H$30,A128,"GanmaRf"))</f>
        <v/>
      </c>
      <c r="J128" s="96" t="str">
        <f>IF(B128="","",_xll.flu_CocMaSatKMD($D$24,$D$16,$D$17,$D$25,$H$12:$M$24,FALSE,FALSE,$D$18,$D$13,$K$30,$H$30,A128,"Li"))</f>
        <v/>
      </c>
      <c r="K128" s="41" t="str">
        <f>IFERROR(_xll.TinhGammafiCMS($D$19,_xll.TimTinhChatDatCotTU(B128,$H$12:$O$23,7),_xll.TimTinhChatDatCotTU(B128,$H$12:$O$23,7),_xll.TimTinhChatDatCotTU(B128,$H$12:$O$23,3),$D$12,_xll.TimTinhChatDatCotTU(B128,$H$12:$O$23,6),$D$20),"")</f>
        <v/>
      </c>
      <c r="L128" s="95" t="str">
        <f>IF(B128="","",IF(B128&lt;=$I$28,0,_xll.flu_CocMaSatKMD($D$24,$D$16,$D$17,$D$25,$H$12:$M$24,FALSE,FALSE,$D$18,$D$13,$K$30,$H$30,A128,"f")))</f>
        <v/>
      </c>
      <c r="M128" s="95" t="str">
        <f t="shared" si="8"/>
        <v/>
      </c>
      <c r="N128" s="95" t="str">
        <f t="shared" si="12"/>
        <v/>
      </c>
      <c r="O128" s="87" t="str">
        <f t="shared" si="13"/>
        <v/>
      </c>
    </row>
    <row r="129" spans="1:15" s="37" customFormat="1" ht="12.75">
      <c r="A129" s="87">
        <f t="shared" si="9"/>
        <v>88</v>
      </c>
      <c r="B129" s="83" t="str">
        <f>_xll.flu_CocMaSatKMD($D$24,$D$16,$D$17,$D$25,$H$12:$M$24,FALSE,FALSE,$D$18,$D$13,$K$30,$H$30,A129,"Cao độ")</f>
        <v/>
      </c>
      <c r="C129" s="87" t="str">
        <f>IF(B129="","",_xll.TimTenLoaiDat(B129,$F$12:$H$24))</f>
        <v/>
      </c>
      <c r="D129" s="82" t="str">
        <f>IF(B129="","",_xll.TimTinhChatDat(B129,$H$12:$I$24))</f>
        <v/>
      </c>
      <c r="E129" s="96" t="str">
        <f>IF(B129="","",_xll.Qb_CocMaSatKMD(B129,$H$12:$M$24,$D$23,$D$25,$H$30,$D$15,$D$26,"GanmaRR"))</f>
        <v/>
      </c>
      <c r="F129" s="41" t="str">
        <f>IFERROR(_xll.TinhGammaqbCMS($D$19,_xll.TimTinhChatDatCotTU(B129,$H$12:$O$23,7),_xll.TimTinhChatDatCotTU(B129,$H$12:$O$23,7),_xll.TimTinhChatDatCotTU(B129,$H$12:$O$23,3),$D$12,_xll.TimTinhChatDatCotTU(B129,$H$12:$O$23,6),$D$20),"")</f>
        <v/>
      </c>
      <c r="G129" s="95" t="str">
        <f>IF(B129="","",_xll.Qb_CocMaSatKMD(B129,$H$12:$M$24,$D$23,$D$25,$H$30,$D$15,$D$26,"qb"))</f>
        <v/>
      </c>
      <c r="H129" s="95" t="str">
        <f t="shared" si="7"/>
        <v/>
      </c>
      <c r="I129" s="96" t="str">
        <f>IF(B129="","",_xll.flu_CocMaSatKMD($D$24,$D$16,$D$17,$D$25,$H$12:$M$24,FALSE,FALSE,$D$18,$D$13,$K$30,$H$30,A129,"GanmaRf"))</f>
        <v/>
      </c>
      <c r="J129" s="96" t="str">
        <f>IF(B129="","",_xll.flu_CocMaSatKMD($D$24,$D$16,$D$17,$D$25,$H$12:$M$24,FALSE,FALSE,$D$18,$D$13,$K$30,$H$30,A129,"Li"))</f>
        <v/>
      </c>
      <c r="K129" s="41" t="str">
        <f>IFERROR(_xll.TinhGammafiCMS($D$19,_xll.TimTinhChatDatCotTU(B129,$H$12:$O$23,7),_xll.TimTinhChatDatCotTU(B129,$H$12:$O$23,7),_xll.TimTinhChatDatCotTU(B129,$H$12:$O$23,3),$D$12,_xll.TimTinhChatDatCotTU(B129,$H$12:$O$23,6),$D$20),"")</f>
        <v/>
      </c>
      <c r="L129" s="95" t="str">
        <f>IF(B129="","",IF(B129&lt;=$I$28,0,_xll.flu_CocMaSatKMD($D$24,$D$16,$D$17,$D$25,$H$12:$M$24,FALSE,FALSE,$D$18,$D$13,$K$30,$H$30,A129,"f")))</f>
        <v/>
      </c>
      <c r="M129" s="95" t="str">
        <f t="shared" si="8"/>
        <v/>
      </c>
      <c r="N129" s="95" t="str">
        <f t="shared" si="12"/>
        <v/>
      </c>
      <c r="O129" s="87" t="str">
        <f t="shared" si="13"/>
        <v/>
      </c>
    </row>
    <row r="130" spans="1:15" s="37" customFormat="1" ht="12.75">
      <c r="A130" s="87">
        <f t="shared" si="9"/>
        <v>89</v>
      </c>
      <c r="B130" s="83" t="str">
        <f>_xll.flu_CocMaSatKMD($D$24,$D$16,$D$17,$D$25,$H$12:$M$24,FALSE,FALSE,$D$18,$D$13,$K$30,$H$30,A130,"Cao độ")</f>
        <v/>
      </c>
      <c r="C130" s="87" t="str">
        <f>IF(B130="","",_xll.TimTenLoaiDat(B130,$F$12:$H$24))</f>
        <v/>
      </c>
      <c r="D130" s="82" t="str">
        <f>IF(B130="","",_xll.TimTinhChatDat(B130,$H$12:$I$24))</f>
        <v/>
      </c>
      <c r="E130" s="96" t="str">
        <f>IF(B130="","",_xll.Qb_CocMaSatKMD(B130,$H$12:$M$24,$D$23,$D$25,$H$30,$D$15,$D$26,"GanmaRR"))</f>
        <v/>
      </c>
      <c r="F130" s="41" t="str">
        <f>IFERROR(_xll.TinhGammaqbCMS($D$19,_xll.TimTinhChatDatCotTU(B130,$H$12:$O$23,7),_xll.TimTinhChatDatCotTU(B130,$H$12:$O$23,7),_xll.TimTinhChatDatCotTU(B130,$H$12:$O$23,3),$D$12,_xll.TimTinhChatDatCotTU(B130,$H$12:$O$23,6),$D$20),"")</f>
        <v/>
      </c>
      <c r="G130" s="95" t="str">
        <f>IF(B130="","",_xll.Qb_CocMaSatKMD(B130,$H$12:$M$24,$D$23,$D$25,$H$30,$D$15,$D$26,"qb"))</f>
        <v/>
      </c>
      <c r="H130" s="95" t="str">
        <f t="shared" si="7"/>
        <v/>
      </c>
      <c r="I130" s="96" t="str">
        <f>IF(B130="","",_xll.flu_CocMaSatKMD($D$24,$D$16,$D$17,$D$25,$H$12:$M$24,FALSE,FALSE,$D$18,$D$13,$K$30,$H$30,A130,"GanmaRf"))</f>
        <v/>
      </c>
      <c r="J130" s="96" t="str">
        <f>IF(B130="","",_xll.flu_CocMaSatKMD($D$24,$D$16,$D$17,$D$25,$H$12:$M$24,FALSE,FALSE,$D$18,$D$13,$K$30,$H$30,A130,"Li"))</f>
        <v/>
      </c>
      <c r="K130" s="41" t="str">
        <f>IFERROR(_xll.TinhGammafiCMS($D$19,_xll.TimTinhChatDatCotTU(B130,$H$12:$O$23,7),_xll.TimTinhChatDatCotTU(B130,$H$12:$O$23,7),_xll.TimTinhChatDatCotTU(B130,$H$12:$O$23,3),$D$12,_xll.TimTinhChatDatCotTU(B130,$H$12:$O$23,6),$D$20),"")</f>
        <v/>
      </c>
      <c r="L130" s="95" t="str">
        <f>IF(B130="","",IF(B130&lt;=$I$28,0,_xll.flu_CocMaSatKMD($D$24,$D$16,$D$17,$D$25,$H$12:$M$24,FALSE,FALSE,$D$18,$D$13,$K$30,$H$30,A130,"f")))</f>
        <v/>
      </c>
      <c r="M130" s="95" t="str">
        <f t="shared" si="8"/>
        <v/>
      </c>
      <c r="N130" s="95" t="str">
        <f t="shared" si="12"/>
        <v/>
      </c>
      <c r="O130" s="87" t="str">
        <f t="shared" si="13"/>
        <v/>
      </c>
    </row>
    <row r="131" spans="1:15" s="37" customFormat="1" ht="12.75">
      <c r="A131" s="87">
        <f t="shared" si="9"/>
        <v>90</v>
      </c>
      <c r="B131" s="83" t="str">
        <f>_xll.flu_CocMaSatKMD($D$24,$D$16,$D$17,$D$25,$H$12:$M$24,FALSE,FALSE,$D$18,$D$13,$K$30,$H$30,A131,"Cao độ")</f>
        <v/>
      </c>
      <c r="C131" s="87" t="str">
        <f>IF(B131="","",_xll.TimTenLoaiDat(B131,$F$12:$H$24))</f>
        <v/>
      </c>
      <c r="D131" s="82" t="str">
        <f>IF(B131="","",_xll.TimTinhChatDat(B131,$H$12:$I$24))</f>
        <v/>
      </c>
      <c r="E131" s="96" t="str">
        <f>IF(B131="","",_xll.Qb_CocMaSatKMD(B131,$H$12:$M$24,$D$23,$D$25,$H$30,$D$15,$D$26,"GanmaRR"))</f>
        <v/>
      </c>
      <c r="F131" s="41" t="str">
        <f>IFERROR(_xll.TinhGammaqbCMS($D$19,_xll.TimTinhChatDatCotTU(B131,$H$12:$O$23,7),_xll.TimTinhChatDatCotTU(B131,$H$12:$O$23,7),_xll.TimTinhChatDatCotTU(B131,$H$12:$O$23,3),$D$12,_xll.TimTinhChatDatCotTU(B131,$H$12:$O$23,6),$D$20),"")</f>
        <v/>
      </c>
      <c r="G131" s="95" t="str">
        <f>IF(B131="","",_xll.Qb_CocMaSatKMD(B131,$H$12:$M$24,$D$23,$D$25,$H$30,$D$15,$D$26,"qb"))</f>
        <v/>
      </c>
      <c r="H131" s="95" t="str">
        <f t="shared" si="7"/>
        <v/>
      </c>
      <c r="I131" s="96" t="str">
        <f>IF(B131="","",_xll.flu_CocMaSatKMD($D$24,$D$16,$D$17,$D$25,$H$12:$M$24,FALSE,FALSE,$D$18,$D$13,$K$30,$H$30,A131,"GanmaRf"))</f>
        <v/>
      </c>
      <c r="J131" s="96" t="str">
        <f>IF(B131="","",_xll.flu_CocMaSatKMD($D$24,$D$16,$D$17,$D$25,$H$12:$M$24,FALSE,FALSE,$D$18,$D$13,$K$30,$H$30,A131,"Li"))</f>
        <v/>
      </c>
      <c r="K131" s="41" t="str">
        <f>IFERROR(_xll.TinhGammafiCMS($D$19,_xll.TimTinhChatDatCotTU(B131,$H$12:$O$23,7),_xll.TimTinhChatDatCotTU(B131,$H$12:$O$23,7),_xll.TimTinhChatDatCotTU(B131,$H$12:$O$23,3),$D$12,_xll.TimTinhChatDatCotTU(B131,$H$12:$O$23,6),$D$20),"")</f>
        <v/>
      </c>
      <c r="L131" s="95" t="str">
        <f>IF(B131="","",IF(B131&lt;=$I$28,0,_xll.flu_CocMaSatKMD($D$24,$D$16,$D$17,$D$25,$H$12:$M$24,FALSE,FALSE,$D$18,$D$13,$K$30,$H$30,A131,"f")))</f>
        <v/>
      </c>
      <c r="M131" s="95" t="str">
        <f t="shared" si="8"/>
        <v/>
      </c>
      <c r="N131" s="95" t="str">
        <f t="shared" si="12"/>
        <v/>
      </c>
      <c r="O131" s="87" t="str">
        <f t="shared" si="13"/>
        <v/>
      </c>
    </row>
    <row r="132" spans="1:15" s="37" customFormat="1" ht="12.75">
      <c r="A132" s="87">
        <f t="shared" si="9"/>
        <v>91</v>
      </c>
      <c r="B132" s="83" t="str">
        <f>_xll.flu_CocMaSatKMD($D$24,$D$16,$D$17,$D$25,$H$12:$M$24,FALSE,FALSE,$D$18,$D$13,$K$30,$H$30,A132,"Cao độ")</f>
        <v/>
      </c>
      <c r="C132" s="87" t="str">
        <f>IF(B132="","",_xll.TimTenLoaiDat(B132,$F$12:$H$24))</f>
        <v/>
      </c>
      <c r="D132" s="82" t="str">
        <f>IF(B132="","",_xll.TimTinhChatDat(B132,$H$12:$I$24))</f>
        <v/>
      </c>
      <c r="E132" s="96" t="str">
        <f>IF(B132="","",_xll.Qb_CocMaSatKMD(B132,$H$12:$M$24,$D$23,$D$25,$H$30,$D$15,$D$26,"GanmaRR"))</f>
        <v/>
      </c>
      <c r="F132" s="41" t="str">
        <f>IFERROR(_xll.TinhGammaqbCMS($D$19,_xll.TimTinhChatDatCotTU(B132,$H$12:$O$23,7),_xll.TimTinhChatDatCotTU(B132,$H$12:$O$23,7),_xll.TimTinhChatDatCotTU(B132,$H$12:$O$23,3),$D$12,_xll.TimTinhChatDatCotTU(B132,$H$12:$O$23,6),$D$20),"")</f>
        <v/>
      </c>
      <c r="G132" s="95" t="str">
        <f>IF(B132="","",_xll.Qb_CocMaSatKMD(B132,$H$12:$M$24,$D$23,$D$25,$H$30,$D$15,$D$26,"qb"))</f>
        <v/>
      </c>
      <c r="H132" s="95" t="str">
        <f t="shared" si="7"/>
        <v/>
      </c>
      <c r="I132" s="96" t="str">
        <f>IF(B132="","",_xll.flu_CocMaSatKMD($D$24,$D$16,$D$17,$D$25,$H$12:$M$24,FALSE,FALSE,$D$18,$D$13,$K$30,$H$30,A132,"GanmaRf"))</f>
        <v/>
      </c>
      <c r="J132" s="96" t="str">
        <f>IF(B132="","",_xll.flu_CocMaSatKMD($D$24,$D$16,$D$17,$D$25,$H$12:$M$24,FALSE,FALSE,$D$18,$D$13,$K$30,$H$30,A132,"Li"))</f>
        <v/>
      </c>
      <c r="K132" s="41" t="str">
        <f>IFERROR(_xll.TinhGammafiCMS($D$19,_xll.TimTinhChatDatCotTU(B132,$H$12:$O$23,7),_xll.TimTinhChatDatCotTU(B132,$H$12:$O$23,7),_xll.TimTinhChatDatCotTU(B132,$H$12:$O$23,3),$D$12,_xll.TimTinhChatDatCotTU(B132,$H$12:$O$23,6),$D$20),"")</f>
        <v/>
      </c>
      <c r="L132" s="95" t="str">
        <f>IF(B132="","",IF(B132&lt;=$I$28,0,_xll.flu_CocMaSatKMD($D$24,$D$16,$D$17,$D$25,$H$12:$M$24,FALSE,FALSE,$D$18,$D$13,$K$30,$H$30,A132,"f")))</f>
        <v/>
      </c>
      <c r="M132" s="95" t="str">
        <f t="shared" si="8"/>
        <v/>
      </c>
      <c r="N132" s="95" t="str">
        <f t="shared" si="12"/>
        <v/>
      </c>
      <c r="O132" s="87" t="str">
        <f t="shared" si="13"/>
        <v/>
      </c>
    </row>
    <row r="133" spans="1:15" s="37" customFormat="1" ht="12.75">
      <c r="A133" s="87">
        <f t="shared" si="9"/>
        <v>92</v>
      </c>
      <c r="B133" s="83" t="str">
        <f>_xll.flu_CocMaSatKMD($D$24,$D$16,$D$17,$D$25,$H$12:$M$24,FALSE,FALSE,$D$18,$D$13,$K$30,$H$30,A133,"Cao độ")</f>
        <v/>
      </c>
      <c r="C133" s="87" t="str">
        <f>IF(B133="","",_xll.TimTenLoaiDat(B133,$F$12:$H$24))</f>
        <v/>
      </c>
      <c r="D133" s="82" t="str">
        <f>IF(B133="","",_xll.TimTinhChatDat(B133,$H$12:$I$24))</f>
        <v/>
      </c>
      <c r="E133" s="96" t="str">
        <f>IF(B133="","",_xll.Qb_CocMaSatKMD(B133,$H$12:$M$24,$D$23,$D$25,$H$30,$D$15,$D$26,"GanmaRR"))</f>
        <v/>
      </c>
      <c r="F133" s="41" t="str">
        <f>IFERROR(_xll.TinhGammaqbCMS($D$19,_xll.TimTinhChatDatCotTU(B133,$H$12:$O$23,7),_xll.TimTinhChatDatCotTU(B133,$H$12:$O$23,7),_xll.TimTinhChatDatCotTU(B133,$H$12:$O$23,3),$D$12,_xll.TimTinhChatDatCotTU(B133,$H$12:$O$23,6),$D$20),"")</f>
        <v/>
      </c>
      <c r="G133" s="95" t="str">
        <f>IF(B133="","",_xll.Qb_CocMaSatKMD(B133,$H$12:$M$24,$D$23,$D$25,$H$30,$D$15,$D$26,"qb"))</f>
        <v/>
      </c>
      <c r="H133" s="95" t="str">
        <f t="shared" si="7"/>
        <v/>
      </c>
      <c r="I133" s="96" t="str">
        <f>IF(B133="","",_xll.flu_CocMaSatKMD($D$24,$D$16,$D$17,$D$25,$H$12:$M$24,FALSE,FALSE,$D$18,$D$13,$K$30,$H$30,A133,"GanmaRf"))</f>
        <v/>
      </c>
      <c r="J133" s="96" t="str">
        <f>IF(B133="","",_xll.flu_CocMaSatKMD($D$24,$D$16,$D$17,$D$25,$H$12:$M$24,FALSE,FALSE,$D$18,$D$13,$K$30,$H$30,A133,"Li"))</f>
        <v/>
      </c>
      <c r="K133" s="41" t="str">
        <f>IFERROR(_xll.TinhGammafiCMS($D$19,_xll.TimTinhChatDatCotTU(B133,$H$12:$O$23,7),_xll.TimTinhChatDatCotTU(B133,$H$12:$O$23,7),_xll.TimTinhChatDatCotTU(B133,$H$12:$O$23,3),$D$12,_xll.TimTinhChatDatCotTU(B133,$H$12:$O$23,6),$D$20),"")</f>
        <v/>
      </c>
      <c r="L133" s="95" t="str">
        <f>IF(B133="","",IF(B133&lt;=$I$28,0,_xll.flu_CocMaSatKMD($D$24,$D$16,$D$17,$D$25,$H$12:$M$24,FALSE,FALSE,$D$18,$D$13,$K$30,$H$30,A133,"f")))</f>
        <v/>
      </c>
      <c r="M133" s="95" t="str">
        <f t="shared" si="8"/>
        <v/>
      </c>
      <c r="N133" s="95" t="str">
        <f t="shared" si="12"/>
        <v/>
      </c>
      <c r="O133" s="87" t="str">
        <f t="shared" si="13"/>
        <v/>
      </c>
    </row>
    <row r="134" spans="1:15" s="37" customFormat="1" ht="12.75">
      <c r="A134" s="87">
        <f t="shared" si="9"/>
        <v>93</v>
      </c>
      <c r="B134" s="83" t="str">
        <f>_xll.flu_CocMaSatKMD($D$24,$D$16,$D$17,$D$25,$H$12:$M$24,FALSE,FALSE,$D$18,$D$13,$K$30,$H$30,A134,"Cao độ")</f>
        <v/>
      </c>
      <c r="C134" s="87" t="str">
        <f>IF(B134="","",_xll.TimTenLoaiDat(B134,$F$12:$H$24))</f>
        <v/>
      </c>
      <c r="D134" s="82" t="str">
        <f>IF(B134="","",_xll.TimTinhChatDat(B134,$H$12:$I$24))</f>
        <v/>
      </c>
      <c r="E134" s="96" t="str">
        <f>IF(B134="","",_xll.Qb_CocMaSatKMD(B134,$H$12:$M$24,$D$23,$D$25,$H$30,$D$15,$D$26,"GanmaRR"))</f>
        <v/>
      </c>
      <c r="F134" s="41" t="str">
        <f>IFERROR(_xll.TinhGammaqbCMS($D$19,_xll.TimTinhChatDatCotTU(B134,$H$12:$O$23,7),_xll.TimTinhChatDatCotTU(B134,$H$12:$O$23,7),_xll.TimTinhChatDatCotTU(B134,$H$12:$O$23,3),$D$12,_xll.TimTinhChatDatCotTU(B134,$H$12:$O$23,6),$D$20),"")</f>
        <v/>
      </c>
      <c r="G134" s="95" t="str">
        <f>IF(B134="","",_xll.Qb_CocMaSatKMD(B134,$H$12:$M$24,$D$23,$D$25,$H$30,$D$15,$D$26,"qb"))</f>
        <v/>
      </c>
      <c r="H134" s="95" t="str">
        <f t="shared" si="7"/>
        <v/>
      </c>
      <c r="I134" s="96" t="str">
        <f>IF(B134="","",_xll.flu_CocMaSatKMD($D$24,$D$16,$D$17,$D$25,$H$12:$M$24,FALSE,FALSE,$D$18,$D$13,$K$30,$H$30,A134,"GanmaRf"))</f>
        <v/>
      </c>
      <c r="J134" s="96" t="str">
        <f>IF(B134="","",_xll.flu_CocMaSatKMD($D$24,$D$16,$D$17,$D$25,$H$12:$M$24,FALSE,FALSE,$D$18,$D$13,$K$30,$H$30,A134,"Li"))</f>
        <v/>
      </c>
      <c r="K134" s="41" t="str">
        <f>IFERROR(_xll.TinhGammafiCMS($D$19,_xll.TimTinhChatDatCotTU(B134,$H$12:$O$23,7),_xll.TimTinhChatDatCotTU(B134,$H$12:$O$23,7),_xll.TimTinhChatDatCotTU(B134,$H$12:$O$23,3),$D$12,_xll.TimTinhChatDatCotTU(B134,$H$12:$O$23,6),$D$20),"")</f>
        <v/>
      </c>
      <c r="L134" s="95" t="str">
        <f>IF(B134="","",IF(B134&lt;=$I$28,0,_xll.flu_CocMaSatKMD($D$24,$D$16,$D$17,$D$25,$H$12:$M$24,FALSE,FALSE,$D$18,$D$13,$K$30,$H$30,A134,"f")))</f>
        <v/>
      </c>
      <c r="M134" s="95" t="str">
        <f t="shared" si="8"/>
        <v/>
      </c>
      <c r="N134" s="95" t="str">
        <f t="shared" si="12"/>
        <v/>
      </c>
      <c r="O134" s="87" t="str">
        <f t="shared" si="13"/>
        <v/>
      </c>
    </row>
    <row r="135" spans="1:15" s="37" customFormat="1" ht="12.75">
      <c r="A135" s="87">
        <f t="shared" si="9"/>
        <v>94</v>
      </c>
      <c r="B135" s="83" t="str">
        <f>_xll.flu_CocMaSatKMD($D$24,$D$16,$D$17,$D$25,$H$12:$M$24,FALSE,FALSE,$D$18,$D$13,$K$30,$H$30,A135,"Cao độ")</f>
        <v/>
      </c>
      <c r="C135" s="87" t="str">
        <f>IF(B135="","",_xll.TimTenLoaiDat(B135,$F$12:$H$24))</f>
        <v/>
      </c>
      <c r="D135" s="82" t="str">
        <f>IF(B135="","",_xll.TimTinhChatDat(B135,$H$12:$I$24))</f>
        <v/>
      </c>
      <c r="E135" s="96" t="str">
        <f>IF(B135="","",_xll.Qb_CocMaSatKMD(B135,$H$12:$M$24,$D$23,$D$25,$H$30,$D$15,$D$26,"GanmaRR"))</f>
        <v/>
      </c>
      <c r="F135" s="41" t="str">
        <f>IFERROR(_xll.TinhGammaqbCMS($D$19,_xll.TimTinhChatDatCotTU(B135,$H$12:$O$23,7),_xll.TimTinhChatDatCotTU(B135,$H$12:$O$23,7),_xll.TimTinhChatDatCotTU(B135,$H$12:$O$23,3),$D$12,_xll.TimTinhChatDatCotTU(B135,$H$12:$O$23,6),$D$20),"")</f>
        <v/>
      </c>
      <c r="G135" s="95" t="str">
        <f>IF(B135="","",_xll.Qb_CocMaSatKMD(B135,$H$12:$M$24,$D$23,$D$25,$H$30,$D$15,$D$26,"qb"))</f>
        <v/>
      </c>
      <c r="H135" s="95" t="str">
        <f t="shared" si="7"/>
        <v/>
      </c>
      <c r="I135" s="96" t="str">
        <f>IF(B135="","",_xll.flu_CocMaSatKMD($D$24,$D$16,$D$17,$D$25,$H$12:$M$24,FALSE,FALSE,$D$18,$D$13,$K$30,$H$30,A135,"GanmaRf"))</f>
        <v/>
      </c>
      <c r="J135" s="96" t="str">
        <f>IF(B135="","",_xll.flu_CocMaSatKMD($D$24,$D$16,$D$17,$D$25,$H$12:$M$24,FALSE,FALSE,$D$18,$D$13,$K$30,$H$30,A135,"Li"))</f>
        <v/>
      </c>
      <c r="K135" s="41" t="str">
        <f>IFERROR(_xll.TinhGammafiCMS($D$19,_xll.TimTinhChatDatCotTU(B135,$H$12:$O$23,7),_xll.TimTinhChatDatCotTU(B135,$H$12:$O$23,7),_xll.TimTinhChatDatCotTU(B135,$H$12:$O$23,3),$D$12,_xll.TimTinhChatDatCotTU(B135,$H$12:$O$23,6),$D$20),"")</f>
        <v/>
      </c>
      <c r="L135" s="95" t="str">
        <f>IF(B135="","",IF(B135&lt;=$I$28,0,_xll.flu_CocMaSatKMD($D$24,$D$16,$D$17,$D$25,$H$12:$M$24,FALSE,FALSE,$D$18,$D$13,$K$30,$H$30,A135,"f")))</f>
        <v/>
      </c>
      <c r="M135" s="95" t="str">
        <f t="shared" si="8"/>
        <v/>
      </c>
      <c r="N135" s="95" t="str">
        <f t="shared" si="12"/>
        <v/>
      </c>
      <c r="O135" s="87" t="str">
        <f t="shared" si="13"/>
        <v/>
      </c>
    </row>
    <row r="136" spans="1:15" s="37" customFormat="1" ht="12.75">
      <c r="A136" s="87">
        <f t="shared" si="9"/>
        <v>95</v>
      </c>
      <c r="B136" s="83" t="str">
        <f>_xll.flu_CocMaSatKMD($D$24,$D$16,$D$17,$D$25,$H$12:$M$24,FALSE,FALSE,$D$18,$D$13,$K$30,$H$30,A136,"Cao độ")</f>
        <v/>
      </c>
      <c r="C136" s="87" t="str">
        <f>IF(B136="","",_xll.TimTenLoaiDat(B136,$F$12:$H$24))</f>
        <v/>
      </c>
      <c r="D136" s="82" t="str">
        <f>IF(B136="","",_xll.TimTinhChatDat(B136,$H$12:$I$24))</f>
        <v/>
      </c>
      <c r="E136" s="96" t="str">
        <f>IF(B136="","",_xll.Qb_CocMaSatKMD(B136,$H$12:$M$24,$D$23,$D$25,$H$30,$D$15,$D$26,"GanmaRR"))</f>
        <v/>
      </c>
      <c r="F136" s="41" t="str">
        <f>IFERROR(_xll.TinhGammaqbCMS($D$19,_xll.TimTinhChatDatCotTU(B136,$H$12:$O$23,7),_xll.TimTinhChatDatCotTU(B136,$H$12:$O$23,7),_xll.TimTinhChatDatCotTU(B136,$H$12:$O$23,3),$D$12,_xll.TimTinhChatDatCotTU(B136,$H$12:$O$23,6),$D$20),"")</f>
        <v/>
      </c>
      <c r="G136" s="95" t="str">
        <f>IF(B136="","",_xll.Qb_CocMaSatKMD(B136,$H$12:$M$24,$D$23,$D$25,$H$30,$D$15,$D$26,"qb"))</f>
        <v/>
      </c>
      <c r="H136" s="95" t="str">
        <f t="shared" si="7"/>
        <v/>
      </c>
      <c r="I136" s="96" t="str">
        <f>IF(B136="","",_xll.flu_CocMaSatKMD($D$24,$D$16,$D$17,$D$25,$H$12:$M$24,FALSE,FALSE,$D$18,$D$13,$K$30,$H$30,A136,"GanmaRf"))</f>
        <v/>
      </c>
      <c r="J136" s="96" t="str">
        <f>IF(B136="","",_xll.flu_CocMaSatKMD($D$24,$D$16,$D$17,$D$25,$H$12:$M$24,FALSE,FALSE,$D$18,$D$13,$K$30,$H$30,A136,"Li"))</f>
        <v/>
      </c>
      <c r="K136" s="41" t="str">
        <f>IFERROR(_xll.TinhGammafiCMS($D$19,_xll.TimTinhChatDatCotTU(B136,$H$12:$O$23,7),_xll.TimTinhChatDatCotTU(B136,$H$12:$O$23,7),_xll.TimTinhChatDatCotTU(B136,$H$12:$O$23,3),$D$12,_xll.TimTinhChatDatCotTU(B136,$H$12:$O$23,6),$D$20),"")</f>
        <v/>
      </c>
      <c r="L136" s="95" t="str">
        <f>IF(B136="","",IF(B136&lt;=$I$28,0,_xll.flu_CocMaSatKMD($D$24,$D$16,$D$17,$D$25,$H$12:$M$24,FALSE,FALSE,$D$18,$D$13,$K$30,$H$30,A136,"f")))</f>
        <v/>
      </c>
      <c r="M136" s="95" t="str">
        <f t="shared" si="8"/>
        <v/>
      </c>
      <c r="N136" s="95" t="str">
        <f t="shared" si="12"/>
        <v/>
      </c>
      <c r="O136" s="87" t="str">
        <f t="shared" si="13"/>
        <v/>
      </c>
    </row>
    <row r="137" spans="1:15">
      <c r="A137" s="87">
        <f t="shared" si="9"/>
        <v>96</v>
      </c>
      <c r="B137" s="83" t="str">
        <f>_xll.flu_CocMaSatKMD($D$24,$D$16,$D$17,$D$25,$H$12:$M$24,FALSE,FALSE,$D$18,$D$13,$K$30,$H$30,A137,"Cao độ")</f>
        <v/>
      </c>
      <c r="C137" s="87" t="str">
        <f>IF(B137="","",_xll.TimTenLoaiDat(B137,$F$12:$H$24))</f>
        <v/>
      </c>
      <c r="D137" s="82" t="str">
        <f>IF(B137="","",_xll.TimTinhChatDat(B137,$H$12:$I$24))</f>
        <v/>
      </c>
      <c r="E137" s="96" t="str">
        <f>IF(B137="","",_xll.Qb_CocMaSatKMD(B137,$H$12:$M$24,$D$23,$D$25,$H$30,$D$15,$D$26,"GanmaRR"))</f>
        <v/>
      </c>
      <c r="F137" s="41" t="str">
        <f>IFERROR(_xll.TinhGammaqbCMS($D$19,_xll.TimTinhChatDatCotTU(B137,$H$12:$O$23,7),_xll.TimTinhChatDatCotTU(B137,$H$12:$O$23,7),_xll.TimTinhChatDatCotTU(B137,$H$12:$O$23,3),$D$12,_xll.TimTinhChatDatCotTU(B137,$H$12:$O$23,6),$D$20),"")</f>
        <v/>
      </c>
      <c r="G137" s="95" t="str">
        <f>IF(B137="","",_xll.Qb_CocMaSatKMD(B137,$H$12:$M$24,$D$23,$D$25,$H$30,$D$15,$D$26,"qb"))</f>
        <v/>
      </c>
      <c r="H137" s="95" t="str">
        <f t="shared" ref="H137:H150" si="14">IF(B137="","",$D$25*E137*G137*$D$23*F137)</f>
        <v/>
      </c>
      <c r="I137" s="96" t="str">
        <f>IF(B137="","",_xll.flu_CocMaSatKMD($D$24,$D$16,$D$17,$D$25,$H$12:$M$24,FALSE,FALSE,$D$18,$D$13,$K$30,$H$30,A137,"GanmaRf"))</f>
        <v/>
      </c>
      <c r="J137" s="96" t="str">
        <f>IF(B137="","",_xll.flu_CocMaSatKMD($D$24,$D$16,$D$17,$D$25,$H$12:$M$24,FALSE,FALSE,$D$18,$D$13,$K$30,$H$30,A137,"Li"))</f>
        <v/>
      </c>
      <c r="K137" s="41" t="str">
        <f>IFERROR(_xll.TinhGammafiCMS($D$19,_xll.TimTinhChatDatCotTU(B137,$H$12:$O$23,7),_xll.TimTinhChatDatCotTU(B137,$H$12:$O$23,7),_xll.TimTinhChatDatCotTU(B137,$H$12:$O$23,3),$D$12,_xll.TimTinhChatDatCotTU(B137,$H$12:$O$23,6),$D$20),"")</f>
        <v/>
      </c>
      <c r="L137" s="95" t="str">
        <f>IF(B137="","",IF(B137&lt;=$I$28,0,_xll.flu_CocMaSatKMD($D$24,$D$16,$D$17,$D$25,$H$12:$M$24,FALSE,FALSE,$D$18,$D$13,$K$30,$H$30,A137,"f")))</f>
        <v/>
      </c>
      <c r="M137" s="95" t="str">
        <f t="shared" ref="M137:M150" si="15">IF(B137="","",L137*$D$24*J137*I137*$D$25*K137)</f>
        <v/>
      </c>
      <c r="N137" s="95" t="str">
        <f t="shared" si="12"/>
        <v/>
      </c>
      <c r="O137" s="87" t="str">
        <f t="shared" si="13"/>
        <v/>
      </c>
    </row>
    <row r="138" spans="1:15">
      <c r="A138" s="87">
        <f t="shared" si="9"/>
        <v>97</v>
      </c>
      <c r="B138" s="83" t="str">
        <f>_xll.flu_CocMaSatKMD($D$24,$D$16,$D$17,$D$25,$H$12:$M$24,FALSE,FALSE,$D$18,$D$13,$K$30,$H$30,A138,"Cao độ")</f>
        <v/>
      </c>
      <c r="C138" s="87" t="str">
        <f>IF(B138="","",_xll.TimTenLoaiDat(B138,$F$12:$H$24))</f>
        <v/>
      </c>
      <c r="D138" s="82" t="str">
        <f>IF(B138="","",_xll.TimTinhChatDat(B138,$H$12:$I$24))</f>
        <v/>
      </c>
      <c r="E138" s="96" t="str">
        <f>IF(B138="","",_xll.Qb_CocMaSatKMD(B138,$H$12:$M$24,$D$23,$D$25,$H$30,$D$15,$D$26,"GanmaRR"))</f>
        <v/>
      </c>
      <c r="F138" s="41" t="str">
        <f>IFERROR(_xll.TinhGammaqbCMS($D$19,_xll.TimTinhChatDatCotTU(B138,$H$12:$O$23,7),_xll.TimTinhChatDatCotTU(B138,$H$12:$O$23,7),_xll.TimTinhChatDatCotTU(B138,$H$12:$O$23,3),$D$12,_xll.TimTinhChatDatCotTU(B138,$H$12:$O$23,6),$D$20),"")</f>
        <v/>
      </c>
      <c r="G138" s="95" t="str">
        <f>IF(B138="","",_xll.Qb_CocMaSatKMD(B138,$H$12:$M$24,$D$23,$D$25,$H$30,$D$15,$D$26,"qb"))</f>
        <v/>
      </c>
      <c r="H138" s="95" t="str">
        <f t="shared" si="14"/>
        <v/>
      </c>
      <c r="I138" s="96" t="str">
        <f>IF(B138="","",_xll.flu_CocMaSatKMD($D$24,$D$16,$D$17,$D$25,$H$12:$M$24,FALSE,FALSE,$D$18,$D$13,$K$30,$H$30,A138,"GanmaRf"))</f>
        <v/>
      </c>
      <c r="J138" s="96" t="str">
        <f>IF(B138="","",_xll.flu_CocMaSatKMD($D$24,$D$16,$D$17,$D$25,$H$12:$M$24,FALSE,FALSE,$D$18,$D$13,$K$30,$H$30,A138,"Li"))</f>
        <v/>
      </c>
      <c r="K138" s="41" t="str">
        <f>IFERROR(_xll.TinhGammafiCMS($D$19,_xll.TimTinhChatDatCotTU(B138,$H$12:$O$23,7),_xll.TimTinhChatDatCotTU(B138,$H$12:$O$23,7),_xll.TimTinhChatDatCotTU(B138,$H$12:$O$23,3),$D$12,_xll.TimTinhChatDatCotTU(B138,$H$12:$O$23,6),$D$20),"")</f>
        <v/>
      </c>
      <c r="L138" s="95" t="str">
        <f>IF(B138="","",IF(B138&lt;=$I$28,0,_xll.flu_CocMaSatKMD($D$24,$D$16,$D$17,$D$25,$H$12:$M$24,FALSE,FALSE,$D$18,$D$13,$K$30,$H$30,A138,"f")))</f>
        <v/>
      </c>
      <c r="M138" s="95" t="str">
        <f t="shared" si="15"/>
        <v/>
      </c>
      <c r="N138" s="95" t="str">
        <f t="shared" si="12"/>
        <v/>
      </c>
      <c r="O138" s="87" t="str">
        <f t="shared" si="13"/>
        <v/>
      </c>
    </row>
    <row r="139" spans="1:15">
      <c r="A139" s="87">
        <f t="shared" si="9"/>
        <v>98</v>
      </c>
      <c r="B139" s="83" t="str">
        <f>_xll.flu_CocMaSatKMD($D$24,$D$16,$D$17,$D$25,$H$12:$M$24,FALSE,FALSE,$D$18,$D$13,$K$30,$H$30,A139,"Cao độ")</f>
        <v/>
      </c>
      <c r="C139" s="87" t="str">
        <f>IF(B139="","",_xll.TimTenLoaiDat(B139,$F$12:$H$24))</f>
        <v/>
      </c>
      <c r="D139" s="82" t="str">
        <f>IF(B139="","",_xll.TimTinhChatDat(B139,$H$12:$I$24))</f>
        <v/>
      </c>
      <c r="E139" s="96" t="str">
        <f>IF(B139="","",_xll.Qb_CocMaSatKMD(B139,$H$12:$M$24,$D$23,$D$25,$H$30,$D$15,$D$26,"GanmaRR"))</f>
        <v/>
      </c>
      <c r="F139" s="41" t="str">
        <f>IFERROR(_xll.TinhGammaqbCMS($D$19,_xll.TimTinhChatDatCotTU(B139,$H$12:$O$23,7),_xll.TimTinhChatDatCotTU(B139,$H$12:$O$23,7),_xll.TimTinhChatDatCotTU(B139,$H$12:$O$23,3),$D$12,_xll.TimTinhChatDatCotTU(B139,$H$12:$O$23,6),$D$20),"")</f>
        <v/>
      </c>
      <c r="G139" s="95" t="str">
        <f>IF(B139="","",_xll.Qb_CocMaSatKMD(B139,$H$12:$M$24,$D$23,$D$25,$H$30,$D$15,$D$26,"qb"))</f>
        <v/>
      </c>
      <c r="H139" s="95" t="str">
        <f t="shared" si="14"/>
        <v/>
      </c>
      <c r="I139" s="96" t="str">
        <f>IF(B139="","",_xll.flu_CocMaSatKMD($D$24,$D$16,$D$17,$D$25,$H$12:$M$24,FALSE,FALSE,$D$18,$D$13,$K$30,$H$30,A139,"GanmaRf"))</f>
        <v/>
      </c>
      <c r="J139" s="96" t="str">
        <f>IF(B139="","",_xll.flu_CocMaSatKMD($D$24,$D$16,$D$17,$D$25,$H$12:$M$24,FALSE,FALSE,$D$18,$D$13,$K$30,$H$30,A139,"Li"))</f>
        <v/>
      </c>
      <c r="K139" s="41" t="str">
        <f>IFERROR(_xll.TinhGammafiCMS($D$19,_xll.TimTinhChatDatCotTU(B139,$H$12:$O$23,7),_xll.TimTinhChatDatCotTU(B139,$H$12:$O$23,7),_xll.TimTinhChatDatCotTU(B139,$H$12:$O$23,3),$D$12,_xll.TimTinhChatDatCotTU(B139,$H$12:$O$23,6),$D$20),"")</f>
        <v/>
      </c>
      <c r="L139" s="95" t="str">
        <f>IF(B139="","",IF(B139&lt;=$I$28,0,_xll.flu_CocMaSatKMD($D$24,$D$16,$D$17,$D$25,$H$12:$M$24,FALSE,FALSE,$D$18,$D$13,$K$30,$H$30,A139,"f")))</f>
        <v/>
      </c>
      <c r="M139" s="95" t="str">
        <f t="shared" si="15"/>
        <v/>
      </c>
      <c r="N139" s="95" t="str">
        <f t="shared" si="12"/>
        <v/>
      </c>
      <c r="O139" s="87" t="str">
        <f t="shared" si="13"/>
        <v/>
      </c>
    </row>
    <row r="140" spans="1:15">
      <c r="A140" s="87">
        <f t="shared" si="9"/>
        <v>99</v>
      </c>
      <c r="B140" s="83" t="str">
        <f>_xll.flu_CocMaSatKMD($D$24,$D$16,$D$17,$D$25,$H$12:$M$24,FALSE,FALSE,$D$18,$D$13,$K$30,$H$30,A140,"Cao độ")</f>
        <v/>
      </c>
      <c r="C140" s="87" t="str">
        <f>IF(B140="","",_xll.TimTenLoaiDat(B140,$F$12:$H$24))</f>
        <v/>
      </c>
      <c r="D140" s="82" t="str">
        <f>IF(B140="","",_xll.TimTinhChatDat(B140,$H$12:$I$24))</f>
        <v/>
      </c>
      <c r="E140" s="96" t="str">
        <f>IF(B140="","",_xll.Qb_CocMaSatKMD(B140,$H$12:$M$24,$D$23,$D$25,$H$30,$D$15,$D$26,"GanmaRR"))</f>
        <v/>
      </c>
      <c r="F140" s="41" t="str">
        <f>IFERROR(_xll.TinhGammaqbCMS($D$19,_xll.TimTinhChatDatCotTU(B140,$H$12:$O$23,7),_xll.TimTinhChatDatCotTU(B140,$H$12:$O$23,7),_xll.TimTinhChatDatCotTU(B140,$H$12:$O$23,3),$D$12,_xll.TimTinhChatDatCotTU(B140,$H$12:$O$23,6),$D$20),"")</f>
        <v/>
      </c>
      <c r="G140" s="95" t="str">
        <f>IF(B140="","",_xll.Qb_CocMaSatKMD(B140,$H$12:$M$24,$D$23,$D$25,$H$30,$D$15,$D$26,"qb"))</f>
        <v/>
      </c>
      <c r="H140" s="95" t="str">
        <f t="shared" si="14"/>
        <v/>
      </c>
      <c r="I140" s="96" t="str">
        <f>IF(B140="","",_xll.flu_CocMaSatKMD($D$24,$D$16,$D$17,$D$25,$H$12:$M$24,FALSE,FALSE,$D$18,$D$13,$K$30,$H$30,A140,"GanmaRf"))</f>
        <v/>
      </c>
      <c r="J140" s="96" t="str">
        <f>IF(B140="","",_xll.flu_CocMaSatKMD($D$24,$D$16,$D$17,$D$25,$H$12:$M$24,FALSE,FALSE,$D$18,$D$13,$K$30,$H$30,A140,"Li"))</f>
        <v/>
      </c>
      <c r="K140" s="41" t="str">
        <f>IFERROR(_xll.TinhGammafiCMS($D$19,_xll.TimTinhChatDatCotTU(B140,$H$12:$O$23,7),_xll.TimTinhChatDatCotTU(B140,$H$12:$O$23,7),_xll.TimTinhChatDatCotTU(B140,$H$12:$O$23,3),$D$12,_xll.TimTinhChatDatCotTU(B140,$H$12:$O$23,6),$D$20),"")</f>
        <v/>
      </c>
      <c r="L140" s="95" t="str">
        <f>IF(B140="","",IF(B140&lt;=$I$28,0,_xll.flu_CocMaSatKMD($D$24,$D$16,$D$17,$D$25,$H$12:$M$24,FALSE,FALSE,$D$18,$D$13,$K$30,$H$30,A140,"f")))</f>
        <v/>
      </c>
      <c r="M140" s="95" t="str">
        <f t="shared" si="15"/>
        <v/>
      </c>
      <c r="N140" s="95" t="str">
        <f t="shared" si="12"/>
        <v/>
      </c>
      <c r="O140" s="87" t="str">
        <f t="shared" si="13"/>
        <v/>
      </c>
    </row>
    <row r="141" spans="1:15">
      <c r="A141" s="87">
        <f t="shared" si="9"/>
        <v>100</v>
      </c>
      <c r="B141" s="83" t="str">
        <f>_xll.flu_CocMaSatKMD($D$24,$D$16,$D$17,$D$25,$H$12:$M$24,FALSE,FALSE,$D$18,$D$13,$K$30,$H$30,A141,"Cao độ")</f>
        <v/>
      </c>
      <c r="C141" s="87" t="str">
        <f>IF(B141="","",_xll.TimTenLoaiDat(B141,$F$12:$H$24))</f>
        <v/>
      </c>
      <c r="D141" s="82" t="str">
        <f>IF(B141="","",_xll.TimTinhChatDat(B141,$H$12:$I$24))</f>
        <v/>
      </c>
      <c r="E141" s="96" t="str">
        <f>IF(B141="","",_xll.Qb_CocMaSatKMD(B141,$H$12:$M$24,$D$23,$D$25,$H$30,$D$15,$D$26,"GanmaRR"))</f>
        <v/>
      </c>
      <c r="F141" s="41" t="str">
        <f>IFERROR(_xll.TinhGammaqbCMS($D$19,_xll.TimTinhChatDatCotTU(B141,$H$12:$O$23,7),_xll.TimTinhChatDatCotTU(B141,$H$12:$O$23,7),_xll.TimTinhChatDatCotTU(B141,$H$12:$O$23,3),$D$12,_xll.TimTinhChatDatCotTU(B141,$H$12:$O$23,6),$D$20),"")</f>
        <v/>
      </c>
      <c r="G141" s="95" t="str">
        <f>IF(B141="","",_xll.Qb_CocMaSatKMD(B141,$H$12:$M$24,$D$23,$D$25,$H$30,$D$15,$D$26,"qb"))</f>
        <v/>
      </c>
      <c r="H141" s="95" t="str">
        <f t="shared" si="14"/>
        <v/>
      </c>
      <c r="I141" s="96" t="str">
        <f>IF(B141="","",_xll.flu_CocMaSatKMD($D$24,$D$16,$D$17,$D$25,$H$12:$M$24,FALSE,FALSE,$D$18,$D$13,$K$30,$H$30,A141,"GanmaRf"))</f>
        <v/>
      </c>
      <c r="J141" s="96" t="str">
        <f>IF(B141="","",_xll.flu_CocMaSatKMD($D$24,$D$16,$D$17,$D$25,$H$12:$M$24,FALSE,FALSE,$D$18,$D$13,$K$30,$H$30,A141,"Li"))</f>
        <v/>
      </c>
      <c r="K141" s="41" t="str">
        <f>IFERROR(_xll.TinhGammafiCMS($D$19,_xll.TimTinhChatDatCotTU(B141,$H$12:$O$23,7),_xll.TimTinhChatDatCotTU(B141,$H$12:$O$23,7),_xll.TimTinhChatDatCotTU(B141,$H$12:$O$23,3),$D$12,_xll.TimTinhChatDatCotTU(B141,$H$12:$O$23,6),$D$20),"")</f>
        <v/>
      </c>
      <c r="L141" s="95" t="str">
        <f>IF(B141="","",IF(B141&lt;=$I$28,0,_xll.flu_CocMaSatKMD($D$24,$D$16,$D$17,$D$25,$H$12:$M$24,FALSE,FALSE,$D$18,$D$13,$K$30,$H$30,A141,"f")))</f>
        <v/>
      </c>
      <c r="M141" s="95" t="str">
        <f t="shared" si="15"/>
        <v/>
      </c>
      <c r="N141" s="95" t="str">
        <f t="shared" si="12"/>
        <v/>
      </c>
      <c r="O141" s="87" t="str">
        <f t="shared" si="13"/>
        <v/>
      </c>
    </row>
    <row r="142" spans="1:15">
      <c r="A142" s="87">
        <f t="shared" si="9"/>
        <v>101</v>
      </c>
      <c r="B142" s="83" t="str">
        <f>_xll.flu_CocMaSatKMD($D$24,$D$16,$D$17,$D$25,$H$12:$M$24,FALSE,FALSE,$D$18,$D$13,$K$30,$H$30,A142,"Cao độ")</f>
        <v/>
      </c>
      <c r="C142" s="87" t="str">
        <f>IF(B142="","",_xll.TimTenLoaiDat(B142,$F$12:$H$24))</f>
        <v/>
      </c>
      <c r="D142" s="82" t="str">
        <f>IF(B142="","",_xll.TimTinhChatDat(B142,$H$12:$I$24))</f>
        <v/>
      </c>
      <c r="E142" s="96" t="str">
        <f>IF(B142="","",_xll.Qb_CocMaSatKMD(B142,$H$12:$M$24,$D$23,$D$25,$H$30,$D$15,$D$26,"GanmaRR"))</f>
        <v/>
      </c>
      <c r="F142" s="41" t="str">
        <f>IFERROR(_xll.TinhGammaqbCMS($D$19,_xll.TimTinhChatDatCotTU(B142,$H$12:$O$23,7),_xll.TimTinhChatDatCotTU(B142,$H$12:$O$23,7),_xll.TimTinhChatDatCotTU(B142,$H$12:$O$23,3),$D$12,_xll.TimTinhChatDatCotTU(B142,$H$12:$O$23,6),$D$20),"")</f>
        <v/>
      </c>
      <c r="G142" s="95" t="str">
        <f>IF(B142="","",_xll.Qb_CocMaSatKMD(B142,$H$12:$M$24,$D$23,$D$25,$H$30,$D$15,$D$26,"qb"))</f>
        <v/>
      </c>
      <c r="H142" s="95" t="str">
        <f t="shared" si="14"/>
        <v/>
      </c>
      <c r="I142" s="96" t="str">
        <f>IF(B142="","",_xll.flu_CocMaSatKMD($D$24,$D$16,$D$17,$D$25,$H$12:$M$24,FALSE,FALSE,$D$18,$D$13,$K$30,$H$30,A142,"GanmaRf"))</f>
        <v/>
      </c>
      <c r="J142" s="96" t="str">
        <f>IF(B142="","",_xll.flu_CocMaSatKMD($D$24,$D$16,$D$17,$D$25,$H$12:$M$24,FALSE,FALSE,$D$18,$D$13,$K$30,$H$30,A142,"Li"))</f>
        <v/>
      </c>
      <c r="K142" s="41" t="str">
        <f>IFERROR(_xll.TinhGammafiCMS($D$19,_xll.TimTinhChatDatCotTU(B142,$H$12:$O$23,7),_xll.TimTinhChatDatCotTU(B142,$H$12:$O$23,7),_xll.TimTinhChatDatCotTU(B142,$H$12:$O$23,3),$D$12,_xll.TimTinhChatDatCotTU(B142,$H$12:$O$23,6),$D$20),"")</f>
        <v/>
      </c>
      <c r="L142" s="95" t="str">
        <f>IF(B142="","",IF(B142&lt;=$I$28,0,_xll.flu_CocMaSatKMD($D$24,$D$16,$D$17,$D$25,$H$12:$M$24,FALSE,FALSE,$D$18,$D$13,$K$30,$H$30,A142,"f")))</f>
        <v/>
      </c>
      <c r="M142" s="95" t="str">
        <f t="shared" si="15"/>
        <v/>
      </c>
      <c r="N142" s="95" t="str">
        <f t="shared" si="12"/>
        <v/>
      </c>
      <c r="O142" s="87" t="str">
        <f t="shared" si="13"/>
        <v/>
      </c>
    </row>
    <row r="143" spans="1:15">
      <c r="A143" s="87">
        <f t="shared" si="9"/>
        <v>102</v>
      </c>
      <c r="B143" s="83" t="str">
        <f>_xll.flu_CocMaSatKMD($D$24,$D$16,$D$17,$D$25,$H$12:$M$24,FALSE,FALSE,$D$18,$D$13,$K$30,$H$30,A143,"Cao độ")</f>
        <v/>
      </c>
      <c r="C143" s="87" t="str">
        <f>IF(B143="","",_xll.TimTenLoaiDat(B143,$F$12:$H$24))</f>
        <v/>
      </c>
      <c r="D143" s="82" t="str">
        <f>IF(B143="","",_xll.TimTinhChatDat(B143,$H$12:$I$24))</f>
        <v/>
      </c>
      <c r="E143" s="96" t="str">
        <f>IF(B143="","",_xll.Qb_CocMaSatKMD(B143,$H$12:$M$24,$D$23,$D$25,$H$30,$D$15,$D$26,"GanmaRR"))</f>
        <v/>
      </c>
      <c r="F143" s="41" t="str">
        <f>IFERROR(_xll.TinhGammaqbCMS($D$19,_xll.TimTinhChatDatCotTU(B143,$H$12:$O$23,7),_xll.TimTinhChatDatCotTU(B143,$H$12:$O$23,7),_xll.TimTinhChatDatCotTU(B143,$H$12:$O$23,3),$D$12,_xll.TimTinhChatDatCotTU(B143,$H$12:$O$23,6),$D$20),"")</f>
        <v/>
      </c>
      <c r="G143" s="95" t="str">
        <f>IF(B143="","",_xll.Qb_CocMaSatKMD(B143,$H$12:$M$24,$D$23,$D$25,$H$30,$D$15,$D$26,"qb"))</f>
        <v/>
      </c>
      <c r="H143" s="95" t="str">
        <f t="shared" si="14"/>
        <v/>
      </c>
      <c r="I143" s="96" t="str">
        <f>IF(B143="","",_xll.flu_CocMaSatKMD($D$24,$D$16,$D$17,$D$25,$H$12:$M$24,FALSE,FALSE,$D$18,$D$13,$K$30,$H$30,A143,"GanmaRf"))</f>
        <v/>
      </c>
      <c r="J143" s="96" t="str">
        <f>IF(B143="","",_xll.flu_CocMaSatKMD($D$24,$D$16,$D$17,$D$25,$H$12:$M$24,FALSE,FALSE,$D$18,$D$13,$K$30,$H$30,A143,"Li"))</f>
        <v/>
      </c>
      <c r="K143" s="41" t="str">
        <f>IFERROR(_xll.TinhGammafiCMS($D$19,_xll.TimTinhChatDatCotTU(B143,$H$12:$O$23,7),_xll.TimTinhChatDatCotTU(B143,$H$12:$O$23,7),_xll.TimTinhChatDatCotTU(B143,$H$12:$O$23,3),$D$12,_xll.TimTinhChatDatCotTU(B143,$H$12:$O$23,6),$D$20),"")</f>
        <v/>
      </c>
      <c r="L143" s="95" t="str">
        <f>IF(B143="","",IF(B143&lt;=$I$28,0,_xll.flu_CocMaSatKMD($D$24,$D$16,$D$17,$D$25,$H$12:$M$24,FALSE,FALSE,$D$18,$D$13,$K$30,$H$30,A143,"f")))</f>
        <v/>
      </c>
      <c r="M143" s="95" t="str">
        <f t="shared" si="15"/>
        <v/>
      </c>
      <c r="N143" s="95" t="str">
        <f t="shared" si="12"/>
        <v/>
      </c>
      <c r="O143" s="87" t="str">
        <f t="shared" si="13"/>
        <v/>
      </c>
    </row>
    <row r="144" spans="1:15">
      <c r="A144" s="87">
        <f t="shared" si="9"/>
        <v>103</v>
      </c>
      <c r="B144" s="83" t="str">
        <f>_xll.flu_CocMaSatKMD($D$24,$D$16,$D$17,$D$25,$H$12:$M$24,FALSE,FALSE,$D$18,$D$13,$K$30,$H$30,A144,"Cao độ")</f>
        <v/>
      </c>
      <c r="C144" s="87" t="str">
        <f>IF(B144="","",_xll.TimTenLoaiDat(B144,$F$12:$H$24))</f>
        <v/>
      </c>
      <c r="D144" s="82" t="str">
        <f>IF(B144="","",_xll.TimTinhChatDat(B144,$H$12:$I$24))</f>
        <v/>
      </c>
      <c r="E144" s="96" t="str">
        <f>IF(B144="","",_xll.Qb_CocMaSatKMD(B144,$H$12:$M$24,$D$23,$D$25,$H$30,$D$15,$D$26,"GanmaRR"))</f>
        <v/>
      </c>
      <c r="F144" s="41" t="str">
        <f>IFERROR(_xll.TinhGammaqbCMS($D$19,_xll.TimTinhChatDatCotTU(B144,$H$12:$O$23,7),_xll.TimTinhChatDatCotTU(B144,$H$12:$O$23,7),_xll.TimTinhChatDatCotTU(B144,$H$12:$O$23,3),$D$12,_xll.TimTinhChatDatCotTU(B144,$H$12:$O$23,6),$D$20),"")</f>
        <v/>
      </c>
      <c r="G144" s="95" t="str">
        <f>IF(B144="","",_xll.Qb_CocMaSatKMD(B144,$H$12:$M$24,$D$23,$D$25,$H$30,$D$15,$D$26,"qb"))</f>
        <v/>
      </c>
      <c r="H144" s="95" t="str">
        <f t="shared" si="14"/>
        <v/>
      </c>
      <c r="I144" s="96" t="str">
        <f>IF(B144="","",_xll.flu_CocMaSatKMD($D$24,$D$16,$D$17,$D$25,$H$12:$M$24,FALSE,FALSE,$D$18,$D$13,$K$30,$H$30,A144,"GanmaRf"))</f>
        <v/>
      </c>
      <c r="J144" s="96" t="str">
        <f>IF(B144="","",_xll.flu_CocMaSatKMD($D$24,$D$16,$D$17,$D$25,$H$12:$M$24,FALSE,FALSE,$D$18,$D$13,$K$30,$H$30,A144,"Li"))</f>
        <v/>
      </c>
      <c r="K144" s="41" t="str">
        <f>IFERROR(_xll.TinhGammafiCMS($D$19,_xll.TimTinhChatDatCotTU(B144,$H$12:$O$23,7),_xll.TimTinhChatDatCotTU(B144,$H$12:$O$23,7),_xll.TimTinhChatDatCotTU(B144,$H$12:$O$23,3),$D$12,_xll.TimTinhChatDatCotTU(B144,$H$12:$O$23,6),$D$20),"")</f>
        <v/>
      </c>
      <c r="L144" s="95" t="str">
        <f>IF(B144="","",IF(B144&lt;=$I$28,0,_xll.flu_CocMaSatKMD($D$24,$D$16,$D$17,$D$25,$H$12:$M$24,FALSE,FALSE,$D$18,$D$13,$K$30,$H$30,A144,"f")))</f>
        <v/>
      </c>
      <c r="M144" s="95" t="str">
        <f t="shared" si="15"/>
        <v/>
      </c>
      <c r="N144" s="95" t="str">
        <f t="shared" si="12"/>
        <v/>
      </c>
      <c r="O144" s="87" t="str">
        <f t="shared" si="13"/>
        <v/>
      </c>
    </row>
    <row r="145" spans="1:15">
      <c r="A145" s="87">
        <f t="shared" si="9"/>
        <v>104</v>
      </c>
      <c r="B145" s="83" t="str">
        <f>_xll.flu_CocMaSatKMD($D$24,$D$16,$D$17,$D$25,$H$12:$M$24,FALSE,FALSE,$D$18,$D$13,$K$30,$H$30,A145,"Cao độ")</f>
        <v/>
      </c>
      <c r="C145" s="87" t="str">
        <f>IF(B145="","",_xll.TimTenLoaiDat(B145,$F$12:$H$24))</f>
        <v/>
      </c>
      <c r="D145" s="82" t="str">
        <f>IF(B145="","",_xll.TimTinhChatDat(B145,$H$12:$I$24))</f>
        <v/>
      </c>
      <c r="E145" s="96" t="str">
        <f>IF(B145="","",_xll.Qb_CocMaSatKMD(B145,$H$12:$M$24,$D$23,$D$25,$H$30,$D$15,$D$26,"GanmaRR"))</f>
        <v/>
      </c>
      <c r="F145" s="41" t="str">
        <f>IFERROR(_xll.TinhGammaqbCMS($D$19,_xll.TimTinhChatDatCotTU(B145,$H$12:$O$23,7),_xll.TimTinhChatDatCotTU(B145,$H$12:$O$23,7),_xll.TimTinhChatDatCotTU(B145,$H$12:$O$23,3),$D$12,_xll.TimTinhChatDatCotTU(B145,$H$12:$O$23,6),$D$20),"")</f>
        <v/>
      </c>
      <c r="G145" s="95" t="str">
        <f>IF(B145="","",_xll.Qb_CocMaSatKMD(B145,$H$12:$M$24,$D$23,$D$25,$H$30,$D$15,$D$26,"qb"))</f>
        <v/>
      </c>
      <c r="H145" s="95" t="str">
        <f t="shared" si="14"/>
        <v/>
      </c>
      <c r="I145" s="96" t="str">
        <f>IF(B145="","",_xll.flu_CocMaSatKMD($D$24,$D$16,$D$17,$D$25,$H$12:$M$24,FALSE,FALSE,$D$18,$D$13,$K$30,$H$30,A145,"GanmaRf"))</f>
        <v/>
      </c>
      <c r="J145" s="96" t="str">
        <f>IF(B145="","",_xll.flu_CocMaSatKMD($D$24,$D$16,$D$17,$D$25,$H$12:$M$24,FALSE,FALSE,$D$18,$D$13,$K$30,$H$30,A145,"Li"))</f>
        <v/>
      </c>
      <c r="K145" s="41" t="str">
        <f>IFERROR(_xll.TinhGammafiCMS($D$19,_xll.TimTinhChatDatCotTU(B145,$H$12:$O$23,7),_xll.TimTinhChatDatCotTU(B145,$H$12:$O$23,7),_xll.TimTinhChatDatCotTU(B145,$H$12:$O$23,3),$D$12,_xll.TimTinhChatDatCotTU(B145,$H$12:$O$23,6),$D$20),"")</f>
        <v/>
      </c>
      <c r="L145" s="95" t="str">
        <f>IF(B145="","",IF(B145&lt;=$I$28,0,_xll.flu_CocMaSatKMD($D$24,$D$16,$D$17,$D$25,$H$12:$M$24,FALSE,FALSE,$D$18,$D$13,$K$30,$H$30,A145,"f")))</f>
        <v/>
      </c>
      <c r="M145" s="95" t="str">
        <f t="shared" si="15"/>
        <v/>
      </c>
      <c r="N145" s="95" t="str">
        <f t="shared" si="12"/>
        <v/>
      </c>
      <c r="O145" s="87" t="str">
        <f t="shared" si="13"/>
        <v/>
      </c>
    </row>
    <row r="146" spans="1:15">
      <c r="A146" s="87">
        <f t="shared" si="9"/>
        <v>105</v>
      </c>
      <c r="B146" s="83" t="str">
        <f>_xll.flu_CocMaSatKMD($D$24,$D$16,$D$17,$D$25,$H$12:$M$24,FALSE,FALSE,$D$18,$D$13,$K$30,$H$30,A146,"Cao độ")</f>
        <v/>
      </c>
      <c r="C146" s="87" t="str">
        <f>IF(B146="","",_xll.TimTenLoaiDat(B146,$F$12:$H$24))</f>
        <v/>
      </c>
      <c r="D146" s="82" t="str">
        <f>IF(B146="","",_xll.TimTinhChatDat(B146,$H$12:$I$24))</f>
        <v/>
      </c>
      <c r="E146" s="96" t="str">
        <f>IF(B146="","",_xll.Qb_CocMaSatKMD(B146,$H$12:$M$24,$D$23,$D$25,$H$30,$D$15,$D$26,"GanmaRR"))</f>
        <v/>
      </c>
      <c r="F146" s="41" t="str">
        <f>IFERROR(_xll.TinhGammaqbCMS($D$19,_xll.TimTinhChatDatCotTU(B146,$H$12:$O$23,7),_xll.TimTinhChatDatCotTU(B146,$H$12:$O$23,7),_xll.TimTinhChatDatCotTU(B146,$H$12:$O$23,3),$D$12,_xll.TimTinhChatDatCotTU(B146,$H$12:$O$23,6),$D$20),"")</f>
        <v/>
      </c>
      <c r="G146" s="95" t="str">
        <f>IF(B146="","",_xll.Qb_CocMaSatKMD(B146,$H$12:$M$24,$D$23,$D$25,$H$30,$D$15,$D$26,"qb"))</f>
        <v/>
      </c>
      <c r="H146" s="95" t="str">
        <f t="shared" si="14"/>
        <v/>
      </c>
      <c r="I146" s="96" t="str">
        <f>IF(B146="","",_xll.flu_CocMaSatKMD($D$24,$D$16,$D$17,$D$25,$H$12:$M$24,FALSE,FALSE,$D$18,$D$13,$K$30,$H$30,A146,"GanmaRf"))</f>
        <v/>
      </c>
      <c r="J146" s="96" t="str">
        <f>IF(B146="","",_xll.flu_CocMaSatKMD($D$24,$D$16,$D$17,$D$25,$H$12:$M$24,FALSE,FALSE,$D$18,$D$13,$K$30,$H$30,A146,"Li"))</f>
        <v/>
      </c>
      <c r="K146" s="41" t="str">
        <f>IFERROR(_xll.TinhGammafiCMS($D$19,_xll.TimTinhChatDatCotTU(B146,$H$12:$O$23,7),_xll.TimTinhChatDatCotTU(B146,$H$12:$O$23,7),_xll.TimTinhChatDatCotTU(B146,$H$12:$O$23,3),$D$12,_xll.TimTinhChatDatCotTU(B146,$H$12:$O$23,6),$D$20),"")</f>
        <v/>
      </c>
      <c r="L146" s="95" t="str">
        <f>IF(B146="","",IF(B146&lt;=$I$28,0,_xll.flu_CocMaSatKMD($D$24,$D$16,$D$17,$D$25,$H$12:$M$24,FALSE,FALSE,$D$18,$D$13,$K$30,$H$30,A146,"f")))</f>
        <v/>
      </c>
      <c r="M146" s="95" t="str">
        <f t="shared" si="15"/>
        <v/>
      </c>
      <c r="N146" s="95" t="str">
        <f t="shared" si="12"/>
        <v/>
      </c>
      <c r="O146" s="87" t="str">
        <f t="shared" si="13"/>
        <v/>
      </c>
    </row>
    <row r="147" spans="1:15">
      <c r="A147" s="87">
        <f t="shared" si="9"/>
        <v>106</v>
      </c>
      <c r="B147" s="83" t="str">
        <f>_xll.flu_CocMaSatKMD($D$24,$D$16,$D$17,$D$25,$H$12:$M$24,FALSE,FALSE,$D$18,$D$13,$K$30,$H$30,A147,"Cao độ")</f>
        <v/>
      </c>
      <c r="C147" s="87" t="str">
        <f>IF(B147="","",_xll.TimTenLoaiDat(B147,$F$12:$H$24))</f>
        <v/>
      </c>
      <c r="D147" s="82" t="str">
        <f>IF(B147="","",_xll.TimTinhChatDat(B147,$H$12:$I$24))</f>
        <v/>
      </c>
      <c r="E147" s="96" t="str">
        <f>IF(B147="","",_xll.Qb_CocMaSatKMD(B147,$H$12:$M$24,$D$23,$D$25,$H$30,$D$15,$D$26,"GanmaRR"))</f>
        <v/>
      </c>
      <c r="F147" s="41" t="str">
        <f>IFERROR(_xll.TinhGammaqbCMS($D$19,_xll.TimTinhChatDatCotTU(B147,$H$12:$O$23,7),_xll.TimTinhChatDatCotTU(B147,$H$12:$O$23,7),_xll.TimTinhChatDatCotTU(B147,$H$12:$O$23,3),$D$12,_xll.TimTinhChatDatCotTU(B147,$H$12:$O$23,6),$D$20),"")</f>
        <v/>
      </c>
      <c r="G147" s="95" t="str">
        <f>IF(B147="","",_xll.Qb_CocMaSatKMD(B147,$H$12:$M$24,$D$23,$D$25,$H$30,$D$15,$D$26,"qb"))</f>
        <v/>
      </c>
      <c r="H147" s="95" t="str">
        <f t="shared" si="14"/>
        <v/>
      </c>
      <c r="I147" s="96" t="str">
        <f>IF(B147="","",_xll.flu_CocMaSatKMD($D$24,$D$16,$D$17,$D$25,$H$12:$M$24,FALSE,FALSE,$D$18,$D$13,$K$30,$H$30,A147,"GanmaRf"))</f>
        <v/>
      </c>
      <c r="J147" s="96" t="str">
        <f>IF(B147="","",_xll.flu_CocMaSatKMD($D$24,$D$16,$D$17,$D$25,$H$12:$M$24,FALSE,FALSE,$D$18,$D$13,$K$30,$H$30,A147,"Li"))</f>
        <v/>
      </c>
      <c r="K147" s="41" t="str">
        <f>IFERROR(_xll.TinhGammafiCMS($D$19,_xll.TimTinhChatDatCotTU(B147,$H$12:$O$23,7),_xll.TimTinhChatDatCotTU(B147,$H$12:$O$23,7),_xll.TimTinhChatDatCotTU(B147,$H$12:$O$23,3),$D$12,_xll.TimTinhChatDatCotTU(B147,$H$12:$O$23,6),$D$20),"")</f>
        <v/>
      </c>
      <c r="L147" s="95" t="str">
        <f>IF(B147="","",IF(B147&lt;=$I$28,0,_xll.flu_CocMaSatKMD($D$24,$D$16,$D$17,$D$25,$H$12:$M$24,FALSE,FALSE,$D$18,$D$13,$K$30,$H$30,A147,"f")))</f>
        <v/>
      </c>
      <c r="M147" s="95" t="str">
        <f t="shared" si="15"/>
        <v/>
      </c>
      <c r="N147" s="95" t="str">
        <f t="shared" si="12"/>
        <v/>
      </c>
      <c r="O147" s="87" t="str">
        <f t="shared" si="13"/>
        <v/>
      </c>
    </row>
    <row r="148" spans="1:15">
      <c r="A148" s="87">
        <f t="shared" si="9"/>
        <v>107</v>
      </c>
      <c r="B148" s="83" t="str">
        <f>_xll.flu_CocMaSatKMD($D$24,$D$16,$D$17,$D$25,$H$12:$M$24,FALSE,FALSE,$D$18,$D$13,$K$30,$H$30,A148,"Cao độ")</f>
        <v/>
      </c>
      <c r="C148" s="87" t="str">
        <f>IF(B148="","",_xll.TimTenLoaiDat(B148,$F$12:$H$24))</f>
        <v/>
      </c>
      <c r="D148" s="82" t="str">
        <f>IF(B148="","",_xll.TimTinhChatDat(B148,$H$12:$I$24))</f>
        <v/>
      </c>
      <c r="E148" s="96" t="str">
        <f>IF(B148="","",_xll.Qb_CocMaSatKMD(B148,$H$12:$M$24,$D$23,$D$25,$H$30,$D$15,$D$26,"GanmaRR"))</f>
        <v/>
      </c>
      <c r="F148" s="41" t="str">
        <f>IFERROR(_xll.TinhGammaqbCMS($D$19,_xll.TimTinhChatDatCotTU(B148,$H$12:$O$23,7),_xll.TimTinhChatDatCotTU(B148,$H$12:$O$23,7),_xll.TimTinhChatDatCotTU(B148,$H$12:$O$23,3),$D$12,_xll.TimTinhChatDatCotTU(B148,$H$12:$O$23,6),$D$20),"")</f>
        <v/>
      </c>
      <c r="G148" s="95" t="str">
        <f>IF(B148="","",_xll.Qb_CocMaSatKMD(B148,$H$12:$M$24,$D$23,$D$25,$H$30,$D$15,$D$26,"qb"))</f>
        <v/>
      </c>
      <c r="H148" s="95" t="str">
        <f t="shared" si="14"/>
        <v/>
      </c>
      <c r="I148" s="96" t="str">
        <f>IF(B148="","",_xll.flu_CocMaSatKMD($D$24,$D$16,$D$17,$D$25,$H$12:$M$24,FALSE,FALSE,$D$18,$D$13,$K$30,$H$30,A148,"GanmaRf"))</f>
        <v/>
      </c>
      <c r="J148" s="96" t="str">
        <f>IF(B148="","",_xll.flu_CocMaSatKMD($D$24,$D$16,$D$17,$D$25,$H$12:$M$24,FALSE,FALSE,$D$18,$D$13,$K$30,$H$30,A148,"Li"))</f>
        <v/>
      </c>
      <c r="K148" s="41" t="str">
        <f>IFERROR(_xll.TinhGammafiCMS($D$19,_xll.TimTinhChatDatCotTU(B148,$H$12:$O$23,7),_xll.TimTinhChatDatCotTU(B148,$H$12:$O$23,7),_xll.TimTinhChatDatCotTU(B148,$H$12:$O$23,3),$D$12,_xll.TimTinhChatDatCotTU(B148,$H$12:$O$23,6),$D$20),"")</f>
        <v/>
      </c>
      <c r="L148" s="95" t="str">
        <f>IF(B148="","",IF(B148&lt;=$I$28,0,_xll.flu_CocMaSatKMD($D$24,$D$16,$D$17,$D$25,$H$12:$M$24,FALSE,FALSE,$D$18,$D$13,$K$30,$H$30,A148,"f")))</f>
        <v/>
      </c>
      <c r="M148" s="95" t="str">
        <f t="shared" si="15"/>
        <v/>
      </c>
      <c r="N148" s="95" t="str">
        <f t="shared" si="12"/>
        <v/>
      </c>
      <c r="O148" s="87" t="str">
        <f t="shared" si="13"/>
        <v/>
      </c>
    </row>
    <row r="149" spans="1:15">
      <c r="A149" s="87">
        <f t="shared" si="9"/>
        <v>108</v>
      </c>
      <c r="B149" s="83" t="str">
        <f>_xll.flu_CocMaSatKMD($D$24,$D$16,$D$17,$D$25,$H$12:$M$24,FALSE,FALSE,$D$18,$D$13,$K$30,$H$30,A149,"Cao độ")</f>
        <v/>
      </c>
      <c r="C149" s="87" t="str">
        <f>IF(B149="","",_xll.TimTenLoaiDat(B149,$F$12:$H$24))</f>
        <v/>
      </c>
      <c r="D149" s="82" t="str">
        <f>IF(B149="","",_xll.TimTinhChatDat(B149,$H$12:$I$24))</f>
        <v/>
      </c>
      <c r="E149" s="96" t="str">
        <f>IF(B149="","",_xll.Qb_CocMaSatKMD(B149,$H$12:$M$24,$D$23,$D$25,$H$30,$D$15,$D$26,"GanmaRR"))</f>
        <v/>
      </c>
      <c r="F149" s="41" t="str">
        <f>IFERROR(_xll.TinhGammaqbCMS($D$19,_xll.TimTinhChatDatCotTU(B149,$H$12:$O$23,7),_xll.TimTinhChatDatCotTU(B149,$H$12:$O$23,7),_xll.TimTinhChatDatCotTU(B149,$H$12:$O$23,3),$D$12,_xll.TimTinhChatDatCotTU(B149,$H$12:$O$23,6),$D$20),"")</f>
        <v/>
      </c>
      <c r="G149" s="95" t="str">
        <f>IF(B149="","",_xll.Qb_CocMaSatKMD(B149,$H$12:$M$24,$D$23,$D$25,$H$30,$D$15,$D$26,"qb"))</f>
        <v/>
      </c>
      <c r="H149" s="95" t="str">
        <f t="shared" si="14"/>
        <v/>
      </c>
      <c r="I149" s="96" t="str">
        <f>IF(B149="","",_xll.flu_CocMaSatKMD($D$24,$D$16,$D$17,$D$25,$H$12:$M$24,FALSE,FALSE,$D$18,$D$13,$K$30,$H$30,A149,"GanmaRf"))</f>
        <v/>
      </c>
      <c r="J149" s="96" t="str">
        <f>IF(B149="","",_xll.flu_CocMaSatKMD($D$24,$D$16,$D$17,$D$25,$H$12:$M$24,FALSE,FALSE,$D$18,$D$13,$K$30,$H$30,A149,"Li"))</f>
        <v/>
      </c>
      <c r="K149" s="41" t="str">
        <f>IFERROR(_xll.TinhGammafiCMS($D$19,_xll.TimTinhChatDatCotTU(B149,$H$12:$O$23,7),_xll.TimTinhChatDatCotTU(B149,$H$12:$O$23,7),_xll.TimTinhChatDatCotTU(B149,$H$12:$O$23,3),$D$12,_xll.TimTinhChatDatCotTU(B149,$H$12:$O$23,6),$D$20),"")</f>
        <v/>
      </c>
      <c r="L149" s="95" t="str">
        <f>IF(B149="","",IF(B149&lt;=$I$28,0,_xll.flu_CocMaSatKMD($D$24,$D$16,$D$17,$D$25,$H$12:$M$24,FALSE,FALSE,$D$18,$D$13,$K$30,$H$30,A149,"f")))</f>
        <v/>
      </c>
      <c r="M149" s="95" t="str">
        <f t="shared" si="15"/>
        <v/>
      </c>
      <c r="N149" s="95" t="str">
        <f t="shared" si="12"/>
        <v/>
      </c>
      <c r="O149" s="87" t="str">
        <f t="shared" si="13"/>
        <v/>
      </c>
    </row>
    <row r="150" spans="1:15">
      <c r="A150" s="87">
        <f t="shared" si="9"/>
        <v>109</v>
      </c>
      <c r="B150" s="83" t="str">
        <f>_xll.flu_CocMaSatKMD($D$24,$D$16,$D$17,$D$25,$H$12:$M$24,FALSE,FALSE,$D$18,$D$13,$K$30,$H$30,A150,"Cao độ")</f>
        <v/>
      </c>
      <c r="C150" s="87" t="str">
        <f>IF(B150="","",_xll.TimTenLoaiDat(B150,$F$12:$H$24))</f>
        <v/>
      </c>
      <c r="D150" s="82" t="str">
        <f>IF(B150="","",_xll.TimTinhChatDat(B150,$H$12:$I$24))</f>
        <v/>
      </c>
      <c r="E150" s="96" t="str">
        <f>IF(B150="","",_xll.Qb_CocMaSatKMD(B150,$H$12:$M$24,$D$23,$D$25,$H$30,$D$15,$D$26,"GanmaRR"))</f>
        <v/>
      </c>
      <c r="F150" s="41" t="str">
        <f>IFERROR(_xll.TinhGammaqbCMS($D$19,_xll.TimTinhChatDatCotTU(B150,$H$12:$O$23,7),_xll.TimTinhChatDatCotTU(B150,$H$12:$O$23,7),_xll.TimTinhChatDatCotTU(B150,$H$12:$O$23,3),$D$12,_xll.TimTinhChatDatCotTU(B150,$H$12:$O$23,6),$D$20),"")</f>
        <v/>
      </c>
      <c r="G150" s="95" t="str">
        <f>IF(B150="","",_xll.Qb_CocMaSatKMD(B150,$H$12:$M$24,$D$23,$D$25,$H$30,$D$15,$D$26,"qb"))</f>
        <v/>
      </c>
      <c r="H150" s="95" t="str">
        <f t="shared" si="14"/>
        <v/>
      </c>
      <c r="I150" s="96" t="str">
        <f>IF(B150="","",_xll.flu_CocMaSatKMD($D$24,$D$16,$D$17,$D$25,$H$12:$M$24,FALSE,FALSE,$D$18,$D$13,$K$30,$H$30,A150,"GanmaRf"))</f>
        <v/>
      </c>
      <c r="J150" s="96" t="str">
        <f>IF(B150="","",_xll.flu_CocMaSatKMD($D$24,$D$16,$D$17,$D$25,$H$12:$M$24,FALSE,FALSE,$D$18,$D$13,$K$30,$H$30,A150,"Li"))</f>
        <v/>
      </c>
      <c r="K150" s="41" t="str">
        <f>IFERROR(_xll.TinhGammafiCMS($D$19,_xll.TimTinhChatDatCotTU(B150,$H$12:$O$23,7),_xll.TimTinhChatDatCotTU(B150,$H$12:$O$23,7),_xll.TimTinhChatDatCotTU(B150,$H$12:$O$23,3),$D$12,_xll.TimTinhChatDatCotTU(B150,$H$12:$O$23,6),$D$20),"")</f>
        <v/>
      </c>
      <c r="L150" s="95" t="str">
        <f>IF(B150="","",IF(B150&lt;=$I$28,0,_xll.flu_CocMaSatKMD($D$24,$D$16,$D$17,$D$25,$H$12:$M$24,FALSE,FALSE,$D$18,$D$13,$K$30,$H$30,A150,"f")))</f>
        <v/>
      </c>
      <c r="M150" s="95" t="str">
        <f t="shared" si="15"/>
        <v/>
      </c>
      <c r="N150" s="95" t="str">
        <f t="shared" si="12"/>
        <v/>
      </c>
      <c r="O150" s="87" t="str">
        <f t="shared" si="13"/>
        <v/>
      </c>
    </row>
  </sheetData>
  <mergeCells count="99">
    <mergeCell ref="O9:O11"/>
    <mergeCell ref="O39:O40"/>
    <mergeCell ref="F36:G37"/>
    <mergeCell ref="F31:M33"/>
    <mergeCell ref="F34:M35"/>
    <mergeCell ref="I9:J11"/>
    <mergeCell ref="L39:L40"/>
    <mergeCell ref="M9:M11"/>
    <mergeCell ref="M39:M40"/>
    <mergeCell ref="N9:N11"/>
    <mergeCell ref="N39:N40"/>
    <mergeCell ref="A36:C36"/>
    <mergeCell ref="I36:K36"/>
    <mergeCell ref="A37:C37"/>
    <mergeCell ref="I37:K37"/>
    <mergeCell ref="A39:A40"/>
    <mergeCell ref="B39:B40"/>
    <mergeCell ref="C39:C40"/>
    <mergeCell ref="D39:D40"/>
    <mergeCell ref="E39:E40"/>
    <mergeCell ref="F39:F40"/>
    <mergeCell ref="H36:H37"/>
    <mergeCell ref="H39:H40"/>
    <mergeCell ref="I39:I40"/>
    <mergeCell ref="J39:J40"/>
    <mergeCell ref="K39:K40"/>
    <mergeCell ref="A31:C31"/>
    <mergeCell ref="A32:C32"/>
    <mergeCell ref="A33:C33"/>
    <mergeCell ref="A34:C34"/>
    <mergeCell ref="A35:C35"/>
    <mergeCell ref="A28:C28"/>
    <mergeCell ref="F28:H28"/>
    <mergeCell ref="J28:L28"/>
    <mergeCell ref="A29:C29"/>
    <mergeCell ref="F30:G30"/>
    <mergeCell ref="A26:C26"/>
    <mergeCell ref="F26:H26"/>
    <mergeCell ref="J26:L26"/>
    <mergeCell ref="A27:C27"/>
    <mergeCell ref="F27:H27"/>
    <mergeCell ref="J27:L27"/>
    <mergeCell ref="A24:C24"/>
    <mergeCell ref="I24:J24"/>
    <mergeCell ref="A25:C25"/>
    <mergeCell ref="F25:H25"/>
    <mergeCell ref="J25:L25"/>
    <mergeCell ref="A21:C21"/>
    <mergeCell ref="I21:J21"/>
    <mergeCell ref="A22:C22"/>
    <mergeCell ref="I22:J22"/>
    <mergeCell ref="A23:C23"/>
    <mergeCell ref="I23:J23"/>
    <mergeCell ref="A18:C18"/>
    <mergeCell ref="I18:J18"/>
    <mergeCell ref="A19:C19"/>
    <mergeCell ref="I19:J19"/>
    <mergeCell ref="A20:C20"/>
    <mergeCell ref="I20:J20"/>
    <mergeCell ref="A15:C15"/>
    <mergeCell ref="I15:J15"/>
    <mergeCell ref="A16:C16"/>
    <mergeCell ref="I16:J16"/>
    <mergeCell ref="A17:C17"/>
    <mergeCell ref="I17:J17"/>
    <mergeCell ref="A12:C12"/>
    <mergeCell ref="I12:J12"/>
    <mergeCell ref="A13:C13"/>
    <mergeCell ref="I13:J13"/>
    <mergeCell ref="A14:C14"/>
    <mergeCell ref="I14:J14"/>
    <mergeCell ref="A7:M7"/>
    <mergeCell ref="A8:M8"/>
    <mergeCell ref="A9:C9"/>
    <mergeCell ref="A10:C10"/>
    <mergeCell ref="A11:C11"/>
    <mergeCell ref="F9:F11"/>
    <mergeCell ref="G9:G11"/>
    <mergeCell ref="H9:H11"/>
    <mergeCell ref="K9:K11"/>
    <mergeCell ref="L9:L11"/>
    <mergeCell ref="A5:C5"/>
    <mergeCell ref="D5:H5"/>
    <mergeCell ref="I5:K5"/>
    <mergeCell ref="L5:O5"/>
    <mergeCell ref="A6:M6"/>
    <mergeCell ref="A3:C3"/>
    <mergeCell ref="D3:H3"/>
    <mergeCell ref="I3:K3"/>
    <mergeCell ref="L3:O3"/>
    <mergeCell ref="A4:C4"/>
    <mergeCell ref="D4:H4"/>
    <mergeCell ref="I4:K4"/>
    <mergeCell ref="L4:O4"/>
    <mergeCell ref="A1:O1"/>
    <mergeCell ref="A2:C2"/>
    <mergeCell ref="D2:H2"/>
    <mergeCell ref="I2:K2"/>
    <mergeCell ref="L2:O2"/>
  </mergeCells>
  <conditionalFormatting sqref="G151:G15150 H41:H150">
    <cfRule type="dataBar" priority="3">
      <dataBar>
        <cfvo type="min"/>
        <cfvo type="max"/>
        <color rgb="FF638EC6"/>
      </dataBar>
      <extLst>
        <ext xmlns:x14="http://schemas.microsoft.com/office/spreadsheetml/2009/9/main" uri="{B025F937-C7B1-47D3-B67F-A62EFF666E3E}">
          <x14:id>{930291CD-CA1A-4C90-8D4C-B2C83EA94559}</x14:id>
        </ext>
      </extLst>
    </cfRule>
  </conditionalFormatting>
  <conditionalFormatting sqref="L151:L15150 N41:N150">
    <cfRule type="dataBar" priority="2">
      <dataBar>
        <cfvo type="min"/>
        <cfvo type="max"/>
        <color rgb="FF63C384"/>
      </dataBar>
      <extLst>
        <ext xmlns:x14="http://schemas.microsoft.com/office/spreadsheetml/2009/9/main" uri="{B025F937-C7B1-47D3-B67F-A62EFF666E3E}">
          <x14:id>{2472B673-54C1-49CC-855B-B5166F01C259}</x14:id>
        </ext>
      </extLst>
    </cfRule>
  </conditionalFormatting>
  <conditionalFormatting sqref="M151:M15150 O41:O150">
    <cfRule type="dataBar" priority="1">
      <dataBar>
        <cfvo type="min"/>
        <cfvo type="max"/>
        <color rgb="FFFF555A"/>
      </dataBar>
      <extLst>
        <ext xmlns:x14="http://schemas.microsoft.com/office/spreadsheetml/2009/9/main" uri="{B025F937-C7B1-47D3-B67F-A62EFF666E3E}">
          <x14:id>{CA288BA8-4B42-4D7B-A67F-03C32CEEF85C}</x14:id>
        </ext>
      </extLst>
    </cfRule>
  </conditionalFormatting>
  <conditionalFormatting sqref="B41:B15040">
    <cfRule type="cellIs" dxfId="1" priority="78" operator="equal">
      <formula>$D$17</formula>
    </cfRule>
    <cfRule type="cellIs" dxfId="0" priority="77" operator="equal">
      <formula>$D$16</formula>
    </cfRule>
  </conditionalFormatting>
  <dataValidations count="11">
    <dataValidation type="list" allowBlank="1" showInputMessage="1" showErrorMessage="1" sqref="D10">
      <formula1>"Cọc khoan nhồi, Cọc khoan thả, Cọc ống, Cọc vít,Cọc đóng ép"</formula1>
    </dataValidation>
    <dataValidation type="list" allowBlank="1" showInputMessage="1" showErrorMessage="1" sqref="D11 E12">
      <formula1>"Cọc Vuông,Cọc Tròn"</formula1>
    </dataValidation>
    <dataValidation type="list" allowBlank="1" showInputMessage="1" showErrorMessage="1" sqref="E11">
      <formula1>"Cọc nhồi, Cọc khoan, Cọc đào thả, Cọc vít,Cọc đóng ép"</formula1>
    </dataValidation>
    <dataValidation type="list" allowBlank="1" showInputMessage="1" showErrorMessage="1" sqref="D12">
      <formula1>"Cọc đóng,Cọc nhồi chiếm chỗ,Cọc khoan"</formula1>
    </dataValidation>
    <dataValidation type="list" allowBlank="1" showInputMessage="1" showErrorMessage="1" sqref="D20">
      <formula1>"Loại 1,Loại 2"</formula1>
    </dataValidation>
    <dataValidation type="list" allowBlank="1" showInputMessage="1" showErrorMessage="1" sqref="M25">
      <formula1>B2.Capdoben</formula1>
    </dataValidation>
    <dataValidation type="list" allowBlank="1" showInputMessage="1" showErrorMessage="1" sqref="D26">
      <formula1>"True,False"</formula1>
    </dataValidation>
    <dataValidation type="list" allowBlank="1" showInputMessage="1" showErrorMessage="1" sqref="D31">
      <formula1>"C1,C2,C3"</formula1>
    </dataValidation>
    <dataValidation type="list" allowBlank="1" showInputMessage="1" showErrorMessage="1" sqref="D33">
      <formula1>"Yes,No"</formula1>
    </dataValidation>
    <dataValidation type="list" allowBlank="1" showInputMessage="1" showErrorMessage="1" sqref="N12:N23">
      <formula1>"A,B,C,D,E"</formula1>
    </dataValidation>
    <dataValidation type="list" allowBlank="1" showInputMessage="1" showErrorMessage="1" sqref="O12:O23">
      <formula1>"Đất sét,Cát Chặt ít ẩm và ẩm,Cát Chặt bão hòa nước,Cát Chặt vừa ít ẩm và ẩm,Cát Chặt vừa bão hòa nước,Đá và Đất Hòn lớn"</formula1>
    </dataValidation>
  </dataValidations>
  <pageMargins left="0.59055118110236204" right="0.39370078740157499" top="0.39370078740157499" bottom="0.39370078740157499" header="0.15748031496063" footer="0.15748031496063"/>
  <pageSetup paperSize="9" scale="59" fitToHeight="0"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930291CD-CA1A-4C90-8D4C-B2C83EA94559}">
            <x14:dataBar minLength="0" maxLength="100" border="1" negativeBarBorderColorSameAsPositive="0">
              <x14:cfvo type="autoMin"/>
              <x14:cfvo type="autoMax"/>
              <x14:borderColor rgb="FF638EC6"/>
              <x14:negativeFillColor rgb="FFFF0000"/>
              <x14:negativeBorderColor rgb="FFFF0000"/>
              <x14:axisColor rgb="FF000000"/>
            </x14:dataBar>
          </x14:cfRule>
          <xm:sqref>G151:G15150 H41:H150</xm:sqref>
        </x14:conditionalFormatting>
        <x14:conditionalFormatting xmlns:xm="http://schemas.microsoft.com/office/excel/2006/main">
          <x14:cfRule type="dataBar" id="{2472B673-54C1-49CC-855B-B5166F01C259}">
            <x14:dataBar minLength="0" maxLength="100" border="1" negativeBarBorderColorSameAsPositive="0">
              <x14:cfvo type="autoMin"/>
              <x14:cfvo type="autoMax"/>
              <x14:borderColor rgb="FF63C384"/>
              <x14:negativeFillColor rgb="FFFF0000"/>
              <x14:negativeBorderColor rgb="FFFF0000"/>
              <x14:axisColor rgb="FF000000"/>
            </x14:dataBar>
          </x14:cfRule>
          <xm:sqref>L151:L15150 N41:N150</xm:sqref>
        </x14:conditionalFormatting>
        <x14:conditionalFormatting xmlns:xm="http://schemas.microsoft.com/office/excel/2006/main">
          <x14:cfRule type="dataBar" id="{CA288BA8-4B42-4D7B-A67F-03C32CEEF85C}">
            <x14:dataBar minLength="0" maxLength="100" border="1" negativeBarBorderColorSameAsPositive="0">
              <x14:cfvo type="autoMin"/>
              <x14:cfvo type="autoMax"/>
              <x14:borderColor rgb="FFFF555A"/>
              <x14:negativeFillColor rgb="FFFF0000"/>
              <x14:negativeBorderColor rgb="FFFF0000"/>
              <x14:axisColor rgb="FF000000"/>
            </x14:dataBar>
          </x14:cfRule>
          <xm:sqref>M151:M15150 O41:O150</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'LT 10304-2025'!$AL$2:$AL$8</xm:f>
          </x14:formula1>
          <xm:sqref>F31</xm:sqref>
        </x14:dataValidation>
        <x14:dataValidation type="list" allowBlank="1" showInputMessage="1" showErrorMessage="1">
          <x14:formula1>
            <xm:f>'LT 10304-2025'!$AH$2:$AH$14</xm:f>
          </x14:formula1>
          <xm:sqref>I12:J24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0000FF"/>
    <pageSetUpPr fitToPage="1"/>
  </sheetPr>
  <dimension ref="A1:T136"/>
  <sheetViews>
    <sheetView view="pageBreakPreview" zoomScale="115" zoomScaleNormal="115" workbookViewId="0">
      <selection activeCell="K13" sqref="K13"/>
    </sheetView>
  </sheetViews>
  <sheetFormatPr defaultColWidth="8.140625" defaultRowHeight="15"/>
  <cols>
    <col min="1" max="1" width="8" style="38" customWidth="1"/>
    <col min="2" max="2" width="8.42578125" style="39" customWidth="1"/>
    <col min="3" max="3" width="8.85546875" style="38" customWidth="1"/>
    <col min="4" max="4" width="22" style="40" customWidth="1"/>
    <col min="5" max="6" width="8.42578125" style="38" customWidth="1"/>
    <col min="7" max="7" width="9.140625" style="38" customWidth="1"/>
    <col min="8" max="8" width="8.42578125" style="38" customWidth="1"/>
    <col min="9" max="9" width="10.85546875" style="39" customWidth="1"/>
    <col min="10" max="10" width="10.42578125" style="38" customWidth="1"/>
    <col min="11" max="11" width="12.42578125" style="38" customWidth="1"/>
    <col min="12" max="12" width="11.28515625" style="38" customWidth="1"/>
    <col min="13" max="13" width="10.140625" style="38" customWidth="1"/>
    <col min="14" max="14" width="8.140625" style="36"/>
    <col min="15" max="15" width="9.42578125" style="42" customWidth="1"/>
    <col min="21" max="16384" width="8.140625" style="43"/>
  </cols>
  <sheetData>
    <row r="1" spans="1:18" ht="30" customHeight="1">
      <c r="A1" s="608" t="s">
        <v>228</v>
      </c>
      <c r="B1" s="609"/>
      <c r="C1" s="609"/>
      <c r="D1" s="609"/>
      <c r="E1" s="609"/>
      <c r="F1" s="609"/>
      <c r="G1" s="609"/>
      <c r="H1" s="609"/>
      <c r="I1" s="609"/>
      <c r="J1" s="609"/>
      <c r="K1" s="609"/>
      <c r="L1" s="609"/>
      <c r="M1" s="609"/>
      <c r="N1" s="609"/>
      <c r="O1" s="609"/>
    </row>
    <row r="2" spans="1:18" ht="15.75" customHeight="1">
      <c r="A2" s="409" t="s">
        <v>253</v>
      </c>
      <c r="B2" s="409"/>
      <c r="C2" s="409"/>
      <c r="D2" s="99" t="s">
        <v>254</v>
      </c>
      <c r="E2" s="100"/>
      <c r="F2" s="100"/>
      <c r="G2" s="100"/>
      <c r="H2" s="535" t="s">
        <v>255</v>
      </c>
      <c r="I2" s="536"/>
      <c r="J2" s="537"/>
      <c r="K2" s="538" t="s">
        <v>256</v>
      </c>
      <c r="L2" s="512"/>
      <c r="M2" s="36"/>
    </row>
    <row r="3" spans="1:18">
      <c r="A3" s="409" t="s">
        <v>257</v>
      </c>
      <c r="B3" s="409"/>
      <c r="C3" s="409"/>
      <c r="D3" s="99" t="s">
        <v>254</v>
      </c>
      <c r="E3" s="100"/>
      <c r="F3" s="100"/>
      <c r="G3" s="100"/>
      <c r="H3" s="535" t="s">
        <v>258</v>
      </c>
      <c r="I3" s="512"/>
      <c r="J3" s="513"/>
      <c r="K3" s="539">
        <f ca="1">TODAY()</f>
        <v>46281</v>
      </c>
      <c r="L3" s="512"/>
      <c r="M3" s="36"/>
    </row>
    <row r="4" spans="1:18">
      <c r="A4" s="409" t="s">
        <v>260</v>
      </c>
      <c r="B4" s="409"/>
      <c r="C4" s="409"/>
      <c r="D4" s="99" t="s">
        <v>254</v>
      </c>
      <c r="E4" s="100"/>
      <c r="F4" s="100"/>
      <c r="G4" s="100"/>
      <c r="H4" s="535" t="s">
        <v>261</v>
      </c>
      <c r="I4" s="512"/>
      <c r="J4" s="513"/>
      <c r="K4" s="538" t="s">
        <v>254</v>
      </c>
      <c r="L4" s="512"/>
      <c r="M4" s="36"/>
    </row>
    <row r="5" spans="1:18">
      <c r="A5" s="409" t="s">
        <v>265</v>
      </c>
      <c r="B5" s="409"/>
      <c r="C5" s="409"/>
      <c r="D5" s="101" t="s">
        <v>976</v>
      </c>
      <c r="E5" s="102"/>
      <c r="F5" s="102"/>
      <c r="G5" s="102"/>
      <c r="H5" s="535" t="s">
        <v>267</v>
      </c>
      <c r="I5" s="512"/>
      <c r="J5" s="513"/>
      <c r="K5" s="538" t="s">
        <v>254</v>
      </c>
      <c r="L5" s="512"/>
      <c r="M5" s="36"/>
    </row>
    <row r="6" spans="1:18" ht="21" customHeight="1">
      <c r="A6" s="610"/>
      <c r="B6" s="611"/>
      <c r="C6" s="611"/>
      <c r="D6" s="611"/>
      <c r="E6" s="611"/>
      <c r="F6" s="611"/>
      <c r="G6" s="611"/>
      <c r="H6" s="611"/>
      <c r="I6" s="611"/>
      <c r="J6" s="611"/>
      <c r="K6" s="611"/>
      <c r="L6" s="611"/>
      <c r="M6" s="36"/>
    </row>
    <row r="7" spans="1:18" ht="15" customHeight="1">
      <c r="A7" s="540" t="s">
        <v>1073</v>
      </c>
      <c r="B7" s="612"/>
      <c r="C7" s="612"/>
      <c r="D7" s="612"/>
      <c r="E7" s="612"/>
      <c r="F7" s="612"/>
      <c r="G7" s="612"/>
      <c r="H7" s="612"/>
      <c r="I7" s="612"/>
      <c r="J7" s="612"/>
      <c r="K7" s="612"/>
      <c r="L7" s="612"/>
      <c r="M7" s="36"/>
    </row>
    <row r="8" spans="1:18" ht="16.5" customHeight="1">
      <c r="A8" s="103"/>
      <c r="B8" s="104"/>
      <c r="C8" s="104"/>
      <c r="D8" s="104"/>
      <c r="E8" s="104"/>
      <c r="F8" s="104"/>
      <c r="G8" s="104"/>
      <c r="H8" s="104"/>
      <c r="I8" s="104"/>
      <c r="J8" s="104"/>
      <c r="K8" s="104"/>
      <c r="L8" s="104"/>
      <c r="M8" s="36"/>
    </row>
    <row r="9" spans="1:18" ht="16.5" customHeight="1">
      <c r="A9" s="434" t="s">
        <v>283</v>
      </c>
      <c r="B9" s="434"/>
      <c r="C9" s="434"/>
      <c r="D9" s="13" t="s">
        <v>946</v>
      </c>
      <c r="E9" s="9"/>
      <c r="F9" s="614" t="s">
        <v>230</v>
      </c>
      <c r="G9" s="613" t="s">
        <v>1043</v>
      </c>
      <c r="H9" s="614" t="s">
        <v>979</v>
      </c>
      <c r="I9" s="614" t="s">
        <v>1044</v>
      </c>
      <c r="J9" s="614"/>
      <c r="K9" s="614" t="s">
        <v>1045</v>
      </c>
      <c r="L9" s="614" t="s">
        <v>1046</v>
      </c>
      <c r="M9" s="614" t="s">
        <v>1047</v>
      </c>
      <c r="N9" s="622" t="s">
        <v>1074</v>
      </c>
      <c r="O9" s="622" t="s">
        <v>1075</v>
      </c>
    </row>
    <row r="10" spans="1:18" ht="16.5" customHeight="1">
      <c r="A10" s="434" t="s">
        <v>980</v>
      </c>
      <c r="B10" s="434"/>
      <c r="C10" s="434"/>
      <c r="D10" s="13" t="s">
        <v>104</v>
      </c>
      <c r="E10" s="47"/>
      <c r="F10" s="614"/>
      <c r="G10" s="613"/>
      <c r="H10" s="614"/>
      <c r="I10" s="614"/>
      <c r="J10" s="614"/>
      <c r="K10" s="614"/>
      <c r="L10" s="614"/>
      <c r="M10" s="614"/>
      <c r="N10" s="622"/>
      <c r="O10" s="622"/>
    </row>
    <row r="11" spans="1:18" ht="13.15" customHeight="1">
      <c r="A11" s="434" t="s">
        <v>981</v>
      </c>
      <c r="B11" s="434"/>
      <c r="C11" s="434"/>
      <c r="D11" s="13" t="s">
        <v>299</v>
      </c>
      <c r="E11" s="48"/>
      <c r="F11" s="614"/>
      <c r="G11" s="613"/>
      <c r="H11" s="614"/>
      <c r="I11" s="614"/>
      <c r="J11" s="614"/>
      <c r="K11" s="614"/>
      <c r="L11" s="614"/>
      <c r="M11" s="614"/>
      <c r="N11" s="622"/>
      <c r="O11" s="622"/>
    </row>
    <row r="12" spans="1:18" ht="15.6" customHeight="1">
      <c r="A12" s="434" t="s">
        <v>298</v>
      </c>
      <c r="B12" s="434"/>
      <c r="C12" s="434"/>
      <c r="D12" s="18">
        <v>1</v>
      </c>
      <c r="E12" s="48"/>
      <c r="F12" s="13" t="s">
        <v>262</v>
      </c>
      <c r="G12" s="13" t="s">
        <v>263</v>
      </c>
      <c r="H12" s="19">
        <v>0</v>
      </c>
      <c r="I12" s="437" t="s">
        <v>940</v>
      </c>
      <c r="J12" s="437"/>
      <c r="K12" s="49"/>
      <c r="L12" s="49"/>
      <c r="M12" s="49"/>
      <c r="N12" s="50">
        <v>0</v>
      </c>
      <c r="O12" s="51">
        <v>8</v>
      </c>
    </row>
    <row r="13" spans="1:18" ht="15.6" customHeight="1">
      <c r="A13" s="545" t="s">
        <v>982</v>
      </c>
      <c r="B13" s="545"/>
      <c r="C13" s="545"/>
      <c r="D13" s="19">
        <v>0</v>
      </c>
      <c r="E13" s="54"/>
      <c r="F13" s="13" t="s">
        <v>268</v>
      </c>
      <c r="G13" s="13" t="s">
        <v>269</v>
      </c>
      <c r="H13" s="19">
        <v>1.5</v>
      </c>
      <c r="I13" s="437" t="s">
        <v>944</v>
      </c>
      <c r="J13" s="437"/>
      <c r="K13" s="49">
        <v>0.3</v>
      </c>
      <c r="L13" s="49">
        <v>0.6</v>
      </c>
      <c r="M13" s="49"/>
      <c r="N13" s="50">
        <v>9.56</v>
      </c>
      <c r="O13" s="51">
        <v>9</v>
      </c>
    </row>
    <row r="14" spans="1:18" ht="15.6" customHeight="1">
      <c r="A14" s="545" t="s">
        <v>983</v>
      </c>
      <c r="B14" s="545"/>
      <c r="C14" s="545"/>
      <c r="D14" s="19">
        <v>0</v>
      </c>
      <c r="E14" s="55"/>
      <c r="F14" s="13" t="s">
        <v>270</v>
      </c>
      <c r="G14" s="13" t="s">
        <v>269</v>
      </c>
      <c r="H14" s="19">
        <v>7</v>
      </c>
      <c r="I14" s="437" t="s">
        <v>944</v>
      </c>
      <c r="J14" s="437"/>
      <c r="K14" s="49">
        <v>0.2</v>
      </c>
      <c r="L14" s="49">
        <v>0.7</v>
      </c>
      <c r="M14" s="49"/>
      <c r="N14" s="50">
        <v>17.170000000000002</v>
      </c>
      <c r="O14" s="51">
        <v>9.3000000000000007</v>
      </c>
      <c r="Q14" t="s">
        <v>1076</v>
      </c>
    </row>
    <row r="15" spans="1:18" ht="15.6" customHeight="1">
      <c r="A15" s="434" t="s">
        <v>307</v>
      </c>
      <c r="B15" s="434"/>
      <c r="C15" s="434"/>
      <c r="D15" s="13">
        <v>15</v>
      </c>
      <c r="E15" s="48"/>
      <c r="F15" s="13" t="s">
        <v>274</v>
      </c>
      <c r="G15" s="13" t="s">
        <v>269</v>
      </c>
      <c r="H15" s="19">
        <v>10.5</v>
      </c>
      <c r="I15" s="437" t="s">
        <v>944</v>
      </c>
      <c r="J15" s="437"/>
      <c r="K15" s="49">
        <v>0.1</v>
      </c>
      <c r="L15" s="49">
        <v>0.8</v>
      </c>
      <c r="M15" s="49"/>
      <c r="N15" s="50">
        <v>9.35</v>
      </c>
      <c r="O15" s="51">
        <v>8</v>
      </c>
    </row>
    <row r="16" spans="1:18">
      <c r="A16" s="434" t="s">
        <v>305</v>
      </c>
      <c r="B16" s="434"/>
      <c r="C16" s="434"/>
      <c r="D16" s="13">
        <v>43.2</v>
      </c>
      <c r="E16" s="56"/>
      <c r="F16" s="13" t="s">
        <v>277</v>
      </c>
      <c r="G16" s="13" t="s">
        <v>278</v>
      </c>
      <c r="H16" s="19">
        <v>12.2</v>
      </c>
      <c r="I16" s="437" t="s">
        <v>933</v>
      </c>
      <c r="J16" s="437"/>
      <c r="K16" s="49"/>
      <c r="L16" s="49"/>
      <c r="M16" s="49"/>
      <c r="N16" s="50">
        <v>9.2200000000000006</v>
      </c>
      <c r="O16" s="51">
        <v>8.6999999999999993</v>
      </c>
      <c r="R16" s="43"/>
    </row>
    <row r="17" spans="1:20" ht="15.6" customHeight="1">
      <c r="A17" s="546" t="s">
        <v>984</v>
      </c>
      <c r="B17" s="547"/>
      <c r="C17" s="548"/>
      <c r="D17" s="57">
        <v>1</v>
      </c>
      <c r="E17" s="56">
        <f>D16</f>
        <v>43.2</v>
      </c>
      <c r="F17" s="13" t="s">
        <v>282</v>
      </c>
      <c r="G17" s="13" t="s">
        <v>278</v>
      </c>
      <c r="H17" s="19">
        <v>27</v>
      </c>
      <c r="I17" s="437" t="s">
        <v>933</v>
      </c>
      <c r="J17" s="437"/>
      <c r="K17" s="49"/>
      <c r="L17" s="49"/>
      <c r="M17" s="49"/>
      <c r="N17" s="50">
        <v>15.5</v>
      </c>
      <c r="O17" s="51">
        <v>9</v>
      </c>
      <c r="R17" s="43"/>
    </row>
    <row r="18" spans="1:20" ht="15.6" customHeight="1">
      <c r="A18" s="434" t="s">
        <v>316</v>
      </c>
      <c r="B18" s="434"/>
      <c r="C18" s="434"/>
      <c r="D18" s="11">
        <f>ABS(D16-D15)</f>
        <v>28.2</v>
      </c>
      <c r="E18" s="58"/>
      <c r="F18" s="13" t="s">
        <v>289</v>
      </c>
      <c r="G18" s="13" t="s">
        <v>1028</v>
      </c>
      <c r="H18" s="19">
        <v>38.200000000000003</v>
      </c>
      <c r="I18" s="437" t="s">
        <v>930</v>
      </c>
      <c r="J18" s="437"/>
      <c r="K18" s="49"/>
      <c r="L18" s="49"/>
      <c r="M18" s="49"/>
      <c r="N18" s="50">
        <v>25.3</v>
      </c>
      <c r="O18" s="51">
        <v>9</v>
      </c>
      <c r="R18" s="43"/>
    </row>
    <row r="19" spans="1:20" ht="15.75">
      <c r="A19" s="434" t="s">
        <v>1048</v>
      </c>
      <c r="B19" s="434"/>
      <c r="C19" s="434"/>
      <c r="D19" s="20">
        <f>IF(D11="Cọc tròn",PI()*(D12^2-D14^2)/4,D12^2)</f>
        <v>0.78539816339744795</v>
      </c>
      <c r="E19" s="58"/>
      <c r="F19" s="13"/>
      <c r="G19" s="13"/>
      <c r="H19" s="19"/>
      <c r="I19" s="437"/>
      <c r="J19" s="437"/>
      <c r="K19" s="49"/>
      <c r="L19" s="49"/>
      <c r="M19" s="49"/>
      <c r="N19" s="50"/>
      <c r="O19" s="51"/>
      <c r="R19" s="43"/>
    </row>
    <row r="20" spans="1:20" ht="15.6" customHeight="1">
      <c r="A20" s="434" t="s">
        <v>1049</v>
      </c>
      <c r="B20" s="434"/>
      <c r="C20" s="434"/>
      <c r="D20" s="20">
        <f>IF(D11="Cọc tròn",PI()*(D12^2-D13^2)/4,D12^2)</f>
        <v>0.78539816339744795</v>
      </c>
      <c r="E20" s="60"/>
      <c r="F20" s="13"/>
      <c r="G20" s="13"/>
      <c r="H20" s="19"/>
      <c r="I20" s="437"/>
      <c r="J20" s="437"/>
      <c r="K20" s="49"/>
      <c r="L20" s="49"/>
      <c r="M20" s="49"/>
      <c r="N20" s="50"/>
      <c r="O20" s="51"/>
      <c r="R20" s="43"/>
      <c r="S20" s="43"/>
      <c r="T20" s="43"/>
    </row>
    <row r="21" spans="1:20">
      <c r="A21" s="434" t="s">
        <v>313</v>
      </c>
      <c r="B21" s="434"/>
      <c r="C21" s="434"/>
      <c r="D21" s="20">
        <f>IF(D11="Cọc tròn",PI()*D12,4*D12)</f>
        <v>3.14159265358979</v>
      </c>
      <c r="E21" s="61"/>
      <c r="F21" s="13"/>
      <c r="G21" s="62"/>
      <c r="H21" s="19"/>
      <c r="I21" s="437"/>
      <c r="J21" s="437"/>
      <c r="K21" s="49"/>
      <c r="L21" s="49"/>
      <c r="M21" s="49"/>
      <c r="N21" s="50"/>
      <c r="O21" s="51"/>
      <c r="R21" s="43"/>
      <c r="S21" s="43"/>
      <c r="T21" s="43"/>
    </row>
    <row r="22" spans="1:20" ht="15.75">
      <c r="A22" s="445" t="s">
        <v>1050</v>
      </c>
      <c r="B22" s="457"/>
      <c r="C22" s="446"/>
      <c r="D22" s="64">
        <v>1</v>
      </c>
      <c r="E22" s="61"/>
      <c r="F22" s="13"/>
      <c r="G22" s="62"/>
      <c r="H22" s="19"/>
      <c r="I22" s="437"/>
      <c r="J22" s="437"/>
      <c r="K22" s="49"/>
      <c r="L22" s="49"/>
      <c r="M22" s="49"/>
      <c r="N22" s="50"/>
      <c r="O22" s="51"/>
      <c r="R22" s="43"/>
      <c r="S22" s="43"/>
      <c r="T22" s="43"/>
    </row>
    <row r="23" spans="1:20" ht="15.75">
      <c r="A23" s="445" t="s">
        <v>1077</v>
      </c>
      <c r="B23" s="457"/>
      <c r="C23" s="446"/>
      <c r="D23" s="64">
        <v>1</v>
      </c>
      <c r="E23" s="61"/>
      <c r="F23" s="13"/>
      <c r="G23" s="62"/>
      <c r="H23" s="19"/>
      <c r="I23" s="437"/>
      <c r="J23" s="437"/>
      <c r="K23" s="49"/>
      <c r="L23" s="49"/>
      <c r="M23" s="49"/>
      <c r="N23" s="50"/>
      <c r="O23" s="51"/>
      <c r="R23" s="43"/>
      <c r="S23" s="43"/>
      <c r="T23" s="43"/>
    </row>
    <row r="24" spans="1:20">
      <c r="A24" s="445" t="s">
        <v>1051</v>
      </c>
      <c r="B24" s="457"/>
      <c r="C24" s="446"/>
      <c r="D24" s="64" t="b">
        <v>0</v>
      </c>
      <c r="E24" s="61"/>
      <c r="F24" s="13"/>
      <c r="G24" s="62"/>
      <c r="H24" s="19"/>
      <c r="I24" s="621"/>
      <c r="J24" s="621"/>
      <c r="K24" s="49"/>
      <c r="L24" s="49"/>
      <c r="M24" s="49"/>
      <c r="N24" s="50"/>
      <c r="O24" s="51"/>
      <c r="R24" s="43"/>
      <c r="S24" s="43"/>
      <c r="T24" s="43"/>
    </row>
    <row r="25" spans="1:20" ht="15.75">
      <c r="A25" s="434" t="s">
        <v>1052</v>
      </c>
      <c r="B25" s="434"/>
      <c r="C25" s="434"/>
      <c r="D25" s="21">
        <f>_xll.Qb_CocMaSatCMD($D$16,$H$12:$O$25,$D$20,$D$22,$H$28,$D$12,$D$24,$D$23,"")</f>
        <v>902.92680533162195</v>
      </c>
      <c r="E25" s="61"/>
      <c r="F25" s="13"/>
      <c r="G25" s="62"/>
      <c r="H25" s="19"/>
      <c r="I25" s="437"/>
      <c r="J25" s="437"/>
      <c r="K25" s="49"/>
      <c r="L25" s="49"/>
      <c r="M25" s="49"/>
      <c r="N25" s="50"/>
      <c r="O25" s="51"/>
      <c r="R25" s="43"/>
      <c r="S25" s="43"/>
      <c r="T25" s="43"/>
    </row>
    <row r="26" spans="1:20" ht="15.75">
      <c r="A26" s="434" t="s">
        <v>1053</v>
      </c>
      <c r="B26" s="434"/>
      <c r="C26" s="434"/>
      <c r="D26" s="21">
        <f>_xll.flu_CocMaSatCMD($D$21,$D$15,$D$16,$D$22,$H$12:$O$25,TRUE,FALSE,$D$17,$D$12,$K$28,$H$28,1,"")</f>
        <v>1540.1482055035401</v>
      </c>
      <c r="E26" s="61"/>
      <c r="F26" s="87"/>
      <c r="G26" s="87"/>
      <c r="H26" s="87"/>
      <c r="I26" s="437"/>
      <c r="J26" s="437"/>
      <c r="K26" s="49"/>
      <c r="L26" s="49"/>
      <c r="M26" s="49"/>
      <c r="N26" s="50"/>
      <c r="O26" s="105"/>
      <c r="R26" s="43"/>
      <c r="S26" s="43"/>
      <c r="T26" s="43"/>
    </row>
    <row r="27" spans="1:20" ht="15.75">
      <c r="A27" s="434" t="s">
        <v>1054</v>
      </c>
      <c r="B27" s="434"/>
      <c r="C27" s="434"/>
      <c r="D27" s="21">
        <f>_xll.flu_CocMaSatCMD($D$21,$D$15,$D$16,$D$22,$H$12:$O$25,FALSE,TRUE,$D$17,$D$12,$K$28,$H$28,1,"")</f>
        <v>6234.8638422561899</v>
      </c>
      <c r="E27" s="61"/>
      <c r="F27" s="72"/>
      <c r="G27" s="72"/>
      <c r="H27" s="72"/>
      <c r="I27" s="72"/>
      <c r="J27" s="72"/>
      <c r="K27" s="72"/>
      <c r="L27" s="66"/>
      <c r="M27" s="66"/>
      <c r="R27" s="43"/>
      <c r="S27" s="43"/>
      <c r="T27" s="43"/>
    </row>
    <row r="28" spans="1:20" ht="15.75" customHeight="1">
      <c r="A28" s="17" t="s">
        <v>990</v>
      </c>
      <c r="B28" s="73">
        <v>0</v>
      </c>
      <c r="C28" s="74">
        <f>+D27+D25</f>
        <v>7137.7906475878099</v>
      </c>
      <c r="D28" s="75">
        <f>$D$25+$D$27-D26</f>
        <v>5597.6424420842804</v>
      </c>
      <c r="E28" s="61"/>
      <c r="F28" s="603" t="s">
        <v>1055</v>
      </c>
      <c r="G28" s="603"/>
      <c r="H28" s="65" t="str">
        <f>VLOOKUP($F$29,'LT 10304-2025'!$AN$2:$AO$11,2,0)</f>
        <v>3b</v>
      </c>
      <c r="I28" s="79" t="s">
        <v>1056</v>
      </c>
      <c r="J28" s="79"/>
      <c r="K28" s="80">
        <v>0</v>
      </c>
      <c r="L28" s="72"/>
      <c r="M28" s="72"/>
      <c r="N28" s="72"/>
      <c r="O28" s="72"/>
      <c r="R28" s="43"/>
      <c r="S28" s="43"/>
      <c r="T28" s="43"/>
    </row>
    <row r="29" spans="1:20" ht="15" customHeight="1">
      <c r="A29" s="549" t="str">
        <f>"Cấp hậu quả của công trình:"</f>
        <v>Cấp hậu quả của công trình:</v>
      </c>
      <c r="B29" s="549"/>
      <c r="C29" s="549"/>
      <c r="D29" s="78" t="s">
        <v>174</v>
      </c>
      <c r="E29" s="61"/>
      <c r="F29" s="597" t="s">
        <v>924</v>
      </c>
      <c r="G29" s="597"/>
      <c r="H29" s="597"/>
      <c r="I29" s="597"/>
      <c r="J29" s="597"/>
      <c r="K29" s="597"/>
      <c r="L29" s="597"/>
      <c r="M29" s="106"/>
      <c r="N29" s="72"/>
      <c r="O29" s="72"/>
      <c r="R29" s="43"/>
      <c r="S29" s="43"/>
      <c r="T29" s="43"/>
    </row>
    <row r="30" spans="1:20">
      <c r="A30" s="550" t="s">
        <v>894</v>
      </c>
      <c r="B30" s="550"/>
      <c r="C30" s="550"/>
      <c r="D30" s="83">
        <f>IF(D29="C1",1,IF(D29="C2",1.15,1.2))</f>
        <v>1.1499999999999999</v>
      </c>
      <c r="E30" s="61"/>
      <c r="F30" s="597"/>
      <c r="G30" s="597"/>
      <c r="H30" s="597"/>
      <c r="I30" s="597"/>
      <c r="J30" s="597"/>
      <c r="K30" s="597"/>
      <c r="L30" s="597"/>
      <c r="M30" s="106"/>
      <c r="N30" s="72"/>
      <c r="O30" s="72"/>
      <c r="R30" s="43"/>
      <c r="S30" s="43"/>
      <c r="T30" s="43"/>
    </row>
    <row r="31" spans="1:20">
      <c r="A31" s="546" t="s">
        <v>992</v>
      </c>
      <c r="B31" s="547"/>
      <c r="C31" s="548"/>
      <c r="D31" s="57" t="s">
        <v>993</v>
      </c>
      <c r="E31" s="61"/>
      <c r="F31" s="598"/>
      <c r="G31" s="598"/>
      <c r="H31" s="598"/>
      <c r="I31" s="598"/>
      <c r="J31" s="598"/>
      <c r="K31" s="598"/>
      <c r="L31" s="598"/>
      <c r="M31" s="72"/>
      <c r="N31" s="72"/>
      <c r="O31" s="72"/>
      <c r="R31" s="43"/>
      <c r="S31" s="43"/>
      <c r="T31" s="43"/>
    </row>
    <row r="32" spans="1:20" ht="15" customHeight="1">
      <c r="A32" s="550" t="s">
        <v>995</v>
      </c>
      <c r="B32" s="550"/>
      <c r="C32" s="550"/>
      <c r="D32" s="75">
        <f>IF(D31="Yes",IF(D11="Cọc tròn",PI()*(D12^2-D14^2)/4,D12^2)*D18*2.5*10*IF($D$29="C1",1.1,IF(D29="C2",1.1,1.1)),0)</f>
        <v>609.07627571472096</v>
      </c>
      <c r="E32" s="61"/>
      <c r="F32" s="615" t="s">
        <v>994</v>
      </c>
      <c r="G32" s="616"/>
      <c r="H32" s="616"/>
      <c r="I32" s="616"/>
      <c r="J32" s="616"/>
      <c r="K32" s="616"/>
      <c r="L32" s="617"/>
      <c r="M32" s="72"/>
      <c r="N32" s="72"/>
      <c r="O32" s="72"/>
    </row>
    <row r="33" spans="1:20">
      <c r="A33" s="550" t="s">
        <v>991</v>
      </c>
      <c r="B33" s="590"/>
      <c r="C33" s="590"/>
      <c r="D33" s="84">
        <v>1.4</v>
      </c>
      <c r="E33" s="61"/>
      <c r="F33" s="618"/>
      <c r="G33" s="619"/>
      <c r="H33" s="619"/>
      <c r="I33" s="619"/>
      <c r="J33" s="619"/>
      <c r="K33" s="619"/>
      <c r="L33" s="620"/>
      <c r="M33" s="72"/>
    </row>
    <row r="34" spans="1:20" ht="15.75">
      <c r="A34" s="550" t="s">
        <v>996</v>
      </c>
      <c r="B34" s="525"/>
      <c r="C34" s="525"/>
      <c r="D34" s="85">
        <f>FLOOR(D28/D33-D32,10)</f>
        <v>3380</v>
      </c>
      <c r="E34" s="61"/>
      <c r="F34" s="552" t="s">
        <v>991</v>
      </c>
      <c r="G34" s="552"/>
      <c r="H34" s="556">
        <v>1.6</v>
      </c>
      <c r="I34" s="550" t="s">
        <v>996</v>
      </c>
      <c r="J34" s="525"/>
      <c r="K34" s="525"/>
      <c r="L34" s="88">
        <f>FLOOR(D28/H34-D32,10)</f>
        <v>2880</v>
      </c>
      <c r="M34" s="72"/>
      <c r="R34" s="43"/>
      <c r="S34" s="43"/>
      <c r="T34" s="43"/>
    </row>
    <row r="35" spans="1:20" ht="15.75">
      <c r="A35" s="550" t="s">
        <v>997</v>
      </c>
      <c r="B35" s="525"/>
      <c r="C35" s="525"/>
      <c r="D35" s="86">
        <f>FLOOR(D28/(D30*D33)-D32*D30,10)</f>
        <v>2770</v>
      </c>
      <c r="E35" s="61"/>
      <c r="F35" s="552"/>
      <c r="G35" s="552"/>
      <c r="H35" s="556"/>
      <c r="I35" s="550" t="s">
        <v>997</v>
      </c>
      <c r="J35" s="525"/>
      <c r="K35" s="525"/>
      <c r="L35" s="89">
        <f>FLOOR(D28/(D30*H34)-D32,10)</f>
        <v>2430</v>
      </c>
      <c r="M35" s="72"/>
      <c r="R35" s="43"/>
      <c r="S35" s="43"/>
      <c r="T35" s="43"/>
    </row>
    <row r="36" spans="1:20" ht="12.75" customHeight="1">
      <c r="A36" s="79"/>
      <c r="B36" s="79"/>
      <c r="C36" s="79"/>
      <c r="D36" s="79"/>
      <c r="E36" s="61"/>
      <c r="F36" s="79"/>
      <c r="G36" s="79"/>
      <c r="H36" s="79"/>
      <c r="I36" s="79"/>
      <c r="J36" s="79"/>
      <c r="K36" s="79"/>
      <c r="L36" s="79"/>
      <c r="M36" s="107"/>
      <c r="R36" s="43"/>
    </row>
    <row r="37" spans="1:20">
      <c r="A37" s="554" t="s">
        <v>394</v>
      </c>
      <c r="B37" s="551" t="s">
        <v>998</v>
      </c>
      <c r="C37" s="555" t="s">
        <v>973</v>
      </c>
      <c r="D37" s="551" t="s">
        <v>999</v>
      </c>
      <c r="E37" s="94" t="s">
        <v>1058</v>
      </c>
      <c r="F37" s="551" t="s">
        <v>1059</v>
      </c>
      <c r="G37" s="551" t="s">
        <v>1060</v>
      </c>
      <c r="H37" s="551" t="s">
        <v>1061</v>
      </c>
      <c r="I37" s="599" t="s">
        <v>1003</v>
      </c>
      <c r="J37" s="551" t="s">
        <v>1078</v>
      </c>
      <c r="K37" s="551" t="s">
        <v>1079</v>
      </c>
      <c r="L37" s="551" t="s">
        <v>1064</v>
      </c>
      <c r="M37" s="42"/>
      <c r="R37" s="43"/>
    </row>
    <row r="38" spans="1:20">
      <c r="A38" s="554"/>
      <c r="B38" s="551"/>
      <c r="C38" s="555"/>
      <c r="D38" s="551"/>
      <c r="E38" s="94" t="s">
        <v>1065</v>
      </c>
      <c r="F38" s="551"/>
      <c r="G38" s="551"/>
      <c r="H38" s="551"/>
      <c r="I38" s="600"/>
      <c r="J38" s="551"/>
      <c r="K38" s="551"/>
      <c r="L38" s="551"/>
      <c r="M38" s="42"/>
      <c r="R38" s="43"/>
    </row>
    <row r="39" spans="1:20">
      <c r="A39" s="87">
        <v>0</v>
      </c>
      <c r="B39" s="83">
        <f>_xll.flu_CocMaSatCMD($D$21,$D$15,$D$16,$D$22,$H$12:$O$26,FALSE,FALSE,$D$17,$D$12,$K$28,$H$28,A39,"Cao độ")</f>
        <v>0</v>
      </c>
      <c r="C39" s="87" t="str">
        <f>IF(B39="","",_xll.TimTenLoaiDat(B39,$F$12:$H$26))</f>
        <v>Lớp 1</v>
      </c>
      <c r="D39" s="82" t="str">
        <f>IF(B39="","",_xll.TimTinhChatDat(B39,$H$12:$I$26))</f>
        <v>Cát chặt vừa - bụi</v>
      </c>
      <c r="E39" s="95">
        <f>IF(B39="","",_xll.Qb_CocMaSatCMD(B39,$H$12:$O$25,$D$20,$D$22,$H$28,$D$12,$D$24,$D$23,"qb"))</f>
        <v>0</v>
      </c>
      <c r="F39" s="95">
        <f t="shared" ref="F39:F70" si="0">IF(B39="","",IFERROR($D$22*$D$23*E39*$D$20,0))</f>
        <v>0</v>
      </c>
      <c r="G39" s="96">
        <f>IF(B39="","",_xll.flu_CocMaSatCMD($D$21,$D$15,$D$16,$D$22,$H$12:$O$25,FALSE,FALSE,$D$17,$D$12,$K$28,$H$28,A39,"GanmaRf"))</f>
        <v>0.6</v>
      </c>
      <c r="H39" s="96">
        <f>IF(B39="","",_xll.flu_CocMaSatCMD($D$21,$D$15,$D$16,$D$22,$H$12:$O$25,FALSE,FALSE,$D$17,$D$12,$K$28,$H$28,A39,"Li"))</f>
        <v>1</v>
      </c>
      <c r="I39" s="95">
        <f>IF(B39="","",_xll.flu_CocMaSatCMD($D$21,$D$15,$D$16,$D$22,$H$12:$O$25,FALSE,FALSE,$D$17,$D$12,$K$28,$H$28,A39,"f"))</f>
        <v>0</v>
      </c>
      <c r="J39" s="95">
        <f>IF(B39="","",_xll.flu_CocMaSatCMD($D$21,$D$15,$D$16,$D$22,$H$12:$O$25,FALSE,FALSE,$D$17,$D$12,$K$28,$H$28,A39,"fludon"))</f>
        <v>0</v>
      </c>
      <c r="K39" s="95">
        <f>IF(B39="","",_xll.flu_CocMaSatCMD($D$21,$D$15,$D$16,$D$22,$H$12:$O$25,FALSE,FALSE,$D$17,$D$12,$K$28,$H$28,A39,"flu"))</f>
        <v>0</v>
      </c>
      <c r="L39" s="87">
        <f t="shared" ref="L39:L70" si="1">IF(B39="",NA(),K39+F39)</f>
        <v>0</v>
      </c>
      <c r="M39" s="42"/>
      <c r="R39" s="43"/>
    </row>
    <row r="40" spans="1:20">
      <c r="A40" s="87">
        <f t="shared" ref="A40:A103" si="2">+A39+1</f>
        <v>1</v>
      </c>
      <c r="B40" s="83">
        <f>_xll.flu_CocMaSatCMD($D$21,$D$15,$D$16,$D$22,$H$12:$O$26,FALSE,FALSE,$D$17,$D$12,$K$28,$H$28,A40,"Cao độ")</f>
        <v>1</v>
      </c>
      <c r="C40" s="87" t="str">
        <f>IF(B40="","",_xll.TimTenLoaiDat(B40,$F$12:$H$26))</f>
        <v>Lớp 1</v>
      </c>
      <c r="D40" s="82" t="str">
        <f>IF(B40="","",_xll.TimTinhChatDat(B40,$H$12:$I$26))</f>
        <v>Cát chặt vừa - bụi</v>
      </c>
      <c r="E40" s="95">
        <f>IF(B40="","",_xll.Qb_CocMaSatCMD(B40,$H$12:$O$25,$D$20,$D$22,$H$28,$D$12,$D$24,$D$23,"qb"))</f>
        <v>0</v>
      </c>
      <c r="F40" s="95">
        <f t="shared" si="0"/>
        <v>0</v>
      </c>
      <c r="G40" s="96">
        <f>IF(B40="","",_xll.flu_CocMaSatCMD($D$21,$D$15,$D$16,$D$22,$H$12:$O$25,FALSE,FALSE,$D$17,$D$12,$K$28,$H$28,A40,"GanmaRf"))</f>
        <v>0.6</v>
      </c>
      <c r="H40" s="96">
        <f>IF(B40="","",_xll.flu_CocMaSatCMD($D$21,$D$15,$D$16,$D$22,$H$12:$O$25,FALSE,FALSE,$D$17,$D$12,$K$28,$H$28,A40,"Li"))</f>
        <v>0.5</v>
      </c>
      <c r="I40" s="95">
        <f>IF(B40="","",_xll.flu_CocMaSatCMD($D$21,$D$15,$D$16,$D$22,$H$12:$O$25,FALSE,FALSE,$D$17,$D$12,$K$28,$H$28,A40,"f"))</f>
        <v>25</v>
      </c>
      <c r="J40" s="95">
        <f>IF(B40="","",_xll.flu_CocMaSatCMD($D$21,$D$15,$D$16,$D$22,$H$12:$O$25,FALSE,FALSE,$D$17,$D$12,$K$28,$H$28,A40,"fludon"))</f>
        <v>23.5619449019235</v>
      </c>
      <c r="K40" s="95">
        <f>IF(B40="","",_xll.flu_CocMaSatCMD($D$21,$D$15,$D$16,$D$22,$H$12:$O$25,FALSE,FALSE,$D$17,$D$12,$K$28,$H$28,A40,"flu"))</f>
        <v>23.5619449019235</v>
      </c>
      <c r="L40" s="87">
        <f t="shared" si="1"/>
        <v>23.5619449019235</v>
      </c>
      <c r="M40" s="42"/>
    </row>
    <row r="41" spans="1:20">
      <c r="A41" s="87">
        <f t="shared" si="2"/>
        <v>2</v>
      </c>
      <c r="B41" s="83">
        <f>_xll.flu_CocMaSatCMD($D$21,$D$15,$D$16,$D$22,$H$12:$O$26,FALSE,FALSE,$D$17,$D$12,$K$28,$H$28,A41,"Cao độ")</f>
        <v>1.5</v>
      </c>
      <c r="C41" s="87" t="str">
        <f>IF(B41="","",_xll.TimTenLoaiDat(B41,$F$12:$H$26))</f>
        <v>Lớp 2</v>
      </c>
      <c r="D41" s="82" t="str">
        <f>IF(B41="","",_xll.TimTinhChatDat(B41,$H$12:$I$26))</f>
        <v>Đất sét</v>
      </c>
      <c r="E41" s="95">
        <f>IF(B41="","",_xll.Qb_CocMaSatCMD(B41,$H$12:$O$25,$D$20,$D$22,$H$28,$D$12,$D$24,$D$23,"qb"))</f>
        <v>0</v>
      </c>
      <c r="F41" s="95">
        <f t="shared" si="0"/>
        <v>0</v>
      </c>
      <c r="G41" s="96">
        <f>IF(B41="","",_xll.flu_CocMaSatCMD($D$21,$D$15,$D$16,$D$22,$H$12:$O$25,FALSE,FALSE,$D$17,$D$12,$K$28,$H$28,A41,"GanmaRf"))</f>
        <v>0.6</v>
      </c>
      <c r="H41" s="96">
        <f>IF(B41="","",_xll.flu_CocMaSatCMD($D$21,$D$15,$D$16,$D$22,$H$12:$O$25,FALSE,FALSE,$D$17,$D$12,$K$28,$H$28,A41,"Li"))</f>
        <v>0.5</v>
      </c>
      <c r="I41" s="95">
        <f>IF(B41="","",_xll.flu_CocMaSatCMD($D$21,$D$15,$D$16,$D$22,$H$12:$O$25,FALSE,FALSE,$D$17,$D$12,$K$28,$H$28,A41,"f"))</f>
        <v>35</v>
      </c>
      <c r="J41" s="95">
        <f>IF(B41="","",_xll.flu_CocMaSatCMD($D$21,$D$15,$D$16,$D$22,$H$12:$O$25,FALSE,FALSE,$D$17,$D$12,$K$28,$H$28,A41,"fludon"))</f>
        <v>32.986722862692801</v>
      </c>
      <c r="K41" s="95">
        <f>IF(B41="","",_xll.flu_CocMaSatCMD($D$21,$D$15,$D$16,$D$22,$H$12:$O$25,FALSE,FALSE,$D$17,$D$12,$K$28,$H$28,A41,"flu"))</f>
        <v>56.548667764616297</v>
      </c>
      <c r="L41" s="87">
        <f t="shared" si="1"/>
        <v>56.548667764616297</v>
      </c>
      <c r="M41" s="42"/>
    </row>
    <row r="42" spans="1:20">
      <c r="A42" s="87">
        <f t="shared" si="2"/>
        <v>3</v>
      </c>
      <c r="B42" s="83">
        <f>_xll.flu_CocMaSatCMD($D$21,$D$15,$D$16,$D$22,$H$12:$O$26,FALSE,FALSE,$D$17,$D$12,$K$28,$H$28,A42,"Cao độ")</f>
        <v>2</v>
      </c>
      <c r="C42" s="87" t="str">
        <f>IF(B42="","",_xll.TimTenLoaiDat(B42,$F$12:$H$26))</f>
        <v>Lớp 2</v>
      </c>
      <c r="D42" s="82" t="str">
        <f>IF(B42="","",_xll.TimTinhChatDat(B42,$H$12:$I$26))</f>
        <v>Đất sét</v>
      </c>
      <c r="E42" s="95">
        <f>IF(B42="","",_xll.Qb_CocMaSatCMD(B42,$H$12:$O$25,$D$20,$D$22,$H$28,$D$12,$D$24,$D$23,"qb"))</f>
        <v>0</v>
      </c>
      <c r="F42" s="95">
        <f t="shared" si="0"/>
        <v>0</v>
      </c>
      <c r="G42" s="96">
        <f>IF(B42="","",_xll.flu_CocMaSatCMD($D$21,$D$15,$D$16,$D$22,$H$12:$O$25,FALSE,FALSE,$D$17,$D$12,$K$28,$H$28,A42,"GanmaRf"))</f>
        <v>0.6</v>
      </c>
      <c r="H42" s="96">
        <f>IF(B42="","",_xll.flu_CocMaSatCMD($D$21,$D$15,$D$16,$D$22,$H$12:$O$25,FALSE,FALSE,$D$17,$D$12,$K$28,$H$28,A42,"Li"))</f>
        <v>1</v>
      </c>
      <c r="I42" s="95">
        <f>IF(B42="","",_xll.flu_CocMaSatCMD($D$21,$D$15,$D$16,$D$22,$H$12:$O$25,FALSE,FALSE,$D$17,$D$12,$K$28,$H$28,A42,"f"))</f>
        <v>35</v>
      </c>
      <c r="J42" s="95">
        <f>IF(B42="","",_xll.flu_CocMaSatCMD($D$21,$D$15,$D$16,$D$22,$H$12:$O$25,FALSE,FALSE,$D$17,$D$12,$K$28,$H$28,A42,"fludon"))</f>
        <v>65.973445725385602</v>
      </c>
      <c r="K42" s="95">
        <f>IF(B42="","",_xll.flu_CocMaSatCMD($D$21,$D$15,$D$16,$D$22,$H$12:$O$25,FALSE,FALSE,$D$17,$D$12,$K$28,$H$28,A42,"flu"))</f>
        <v>122.522113490002</v>
      </c>
      <c r="L42" s="87">
        <f t="shared" si="1"/>
        <v>122.522113490002</v>
      </c>
      <c r="M42" s="42"/>
    </row>
    <row r="43" spans="1:20">
      <c r="A43" s="87">
        <f t="shared" si="2"/>
        <v>4</v>
      </c>
      <c r="B43" s="83">
        <f>_xll.flu_CocMaSatCMD($D$21,$D$15,$D$16,$D$22,$H$12:$O$26,FALSE,FALSE,$D$17,$D$12,$K$28,$H$28,A43,"Cao độ")</f>
        <v>3</v>
      </c>
      <c r="C43" s="87" t="str">
        <f>IF(B43="","",_xll.TimTenLoaiDat(B43,$F$12:$H$26))</f>
        <v>Lớp 2</v>
      </c>
      <c r="D43" s="82" t="str">
        <f>IF(B43="","",_xll.TimTinhChatDat(B43,$H$12:$I$26))</f>
        <v>Đất sét</v>
      </c>
      <c r="E43" s="95" t="str">
        <f>IF(B43="","",_xll.Qb_CocMaSatCMD(B43,$H$12:$O$25,$D$20,$D$22,$H$28,$D$12,$D$24,$D$23,"qb"))</f>
        <v>chiều sâu hạ cọc trong lớp đất làm nền &lt; 2 mét - không đủ / chú thích 1 - 7.2.3.2 - 10304-2025</v>
      </c>
      <c r="F43" s="95">
        <f t="shared" si="0"/>
        <v>0</v>
      </c>
      <c r="G43" s="96">
        <f>IF(B43="","",_xll.flu_CocMaSatCMD($D$21,$D$15,$D$16,$D$22,$H$12:$O$25,FALSE,FALSE,$D$17,$D$12,$K$28,$H$28,A43,"GanmaRf"))</f>
        <v>0.6</v>
      </c>
      <c r="H43" s="96">
        <f>IF(B43="","",_xll.flu_CocMaSatCMD($D$21,$D$15,$D$16,$D$22,$H$12:$O$25,FALSE,FALSE,$D$17,$D$12,$K$28,$H$28,A43,"Li"))</f>
        <v>1</v>
      </c>
      <c r="I43" s="95">
        <f>IF(B43="","",_xll.flu_CocMaSatCMD($D$21,$D$15,$D$16,$D$22,$H$12:$O$25,FALSE,FALSE,$D$17,$D$12,$K$28,$H$28,A43,"f"))</f>
        <v>35</v>
      </c>
      <c r="J43" s="95">
        <f>IF(B43="","",_xll.flu_CocMaSatCMD($D$21,$D$15,$D$16,$D$22,$H$12:$O$25,FALSE,FALSE,$D$17,$D$12,$K$28,$H$28,A43,"fludon"))</f>
        <v>65.973445725385602</v>
      </c>
      <c r="K43" s="95">
        <f>IF(B43="","",_xll.flu_CocMaSatCMD($D$21,$D$15,$D$16,$D$22,$H$12:$O$25,FALSE,FALSE,$D$17,$D$12,$K$28,$H$28,A43,"flu"))</f>
        <v>188.495559215388</v>
      </c>
      <c r="L43" s="87">
        <f t="shared" si="1"/>
        <v>188.495559215388</v>
      </c>
      <c r="M43" s="42"/>
    </row>
    <row r="44" spans="1:20" s="35" customFormat="1">
      <c r="A44" s="87">
        <f t="shared" si="2"/>
        <v>5</v>
      </c>
      <c r="B44" s="83">
        <f>_xll.flu_CocMaSatCMD($D$21,$D$15,$D$16,$D$22,$H$12:$O$26,FALSE,FALSE,$D$17,$D$12,$K$28,$H$28,A44,"Cao độ")</f>
        <v>4</v>
      </c>
      <c r="C44" s="87" t="str">
        <f>IF(B44="","",_xll.TimTenLoaiDat(B44,$F$12:$H$26))</f>
        <v>Lớp 2</v>
      </c>
      <c r="D44" s="82" t="str">
        <f>IF(B44="","",_xll.TimTinhChatDat(B44,$H$12:$I$26))</f>
        <v>Đất sét</v>
      </c>
      <c r="E44" s="95">
        <f>IF(B44="","",_xll.Qb_CocMaSatCMD(B44,$H$12:$O$25,$D$20,$D$22,$H$28,$D$12,$D$24,$D$23,"qb"))</f>
        <v>575</v>
      </c>
      <c r="F44" s="95">
        <f t="shared" si="0"/>
        <v>451.60394395353302</v>
      </c>
      <c r="G44" s="96">
        <f>IF(B44="","",_xll.flu_CocMaSatCMD($D$21,$D$15,$D$16,$D$22,$H$12:$O$25,FALSE,FALSE,$D$17,$D$12,$K$28,$H$28,A44,"GanmaRf"))</f>
        <v>0.6</v>
      </c>
      <c r="H44" s="96">
        <f>IF(B44="","",_xll.flu_CocMaSatCMD($D$21,$D$15,$D$16,$D$22,$H$12:$O$25,FALSE,FALSE,$D$17,$D$12,$K$28,$H$28,A44,"Li"))</f>
        <v>1</v>
      </c>
      <c r="I44" s="95">
        <f>IF(B44="","",_xll.flu_CocMaSatCMD($D$21,$D$15,$D$16,$D$22,$H$12:$O$25,FALSE,FALSE,$D$17,$D$12,$K$28,$H$28,A44,"f"))</f>
        <v>38</v>
      </c>
      <c r="J44" s="95">
        <f>IF(B44="","",_xll.flu_CocMaSatCMD($D$21,$D$15,$D$16,$D$22,$H$12:$O$25,FALSE,FALSE,$D$17,$D$12,$K$28,$H$28,A44,"fludon"))</f>
        <v>71.628312501847304</v>
      </c>
      <c r="K44" s="95">
        <f>IF(B44="","",_xll.flu_CocMaSatCMD($D$21,$D$15,$D$16,$D$22,$H$12:$O$25,FALSE,FALSE,$D$17,$D$12,$K$28,$H$28,A44,"flu"))</f>
        <v>260.12387171723498</v>
      </c>
      <c r="L44" s="87">
        <f t="shared" si="1"/>
        <v>711.727815670768</v>
      </c>
      <c r="M44" s="42"/>
      <c r="N44" s="97"/>
      <c r="O44" s="97"/>
    </row>
    <row r="45" spans="1:20" s="35" customFormat="1">
      <c r="A45" s="87">
        <f t="shared" si="2"/>
        <v>6</v>
      </c>
      <c r="B45" s="83">
        <f>_xll.flu_CocMaSatCMD($D$21,$D$15,$D$16,$D$22,$H$12:$O$26,FALSE,FALSE,$D$17,$D$12,$K$28,$H$28,A45,"Cao độ")</f>
        <v>5</v>
      </c>
      <c r="C45" s="87" t="str">
        <f>IF(B45="","",_xll.TimTenLoaiDat(B45,$F$12:$H$26))</f>
        <v>Lớp 2</v>
      </c>
      <c r="D45" s="82" t="str">
        <f>IF(B45="","",_xll.TimTinhChatDat(B45,$H$12:$I$26))</f>
        <v>Đất sét</v>
      </c>
      <c r="E45" s="95">
        <f>IF(B45="","",_xll.Qb_CocMaSatCMD(B45,$H$12:$O$25,$D$20,$D$22,$H$28,$D$12,$D$24,$D$23,"qb"))</f>
        <v>650</v>
      </c>
      <c r="F45" s="95">
        <f t="shared" si="0"/>
        <v>510.50880620834101</v>
      </c>
      <c r="G45" s="96">
        <f>IF(B45="","",_xll.flu_CocMaSatCMD($D$21,$D$15,$D$16,$D$22,$H$12:$O$25,FALSE,FALSE,$D$17,$D$12,$K$28,$H$28,A45,"GanmaRf"))</f>
        <v>0.6</v>
      </c>
      <c r="H45" s="96">
        <f>IF(B45="","",_xll.flu_CocMaSatCMD($D$21,$D$15,$D$16,$D$22,$H$12:$O$25,FALSE,FALSE,$D$17,$D$12,$K$28,$H$28,A45,"Li"))</f>
        <v>1</v>
      </c>
      <c r="I45" s="95">
        <f>IF(B45="","",_xll.flu_CocMaSatCMD($D$21,$D$15,$D$16,$D$22,$H$12:$O$25,FALSE,FALSE,$D$17,$D$12,$K$28,$H$28,A45,"f"))</f>
        <v>40</v>
      </c>
      <c r="J45" s="95">
        <f>IF(B45="","",_xll.flu_CocMaSatCMD($D$21,$D$15,$D$16,$D$22,$H$12:$O$25,FALSE,FALSE,$D$17,$D$12,$K$28,$H$28,A45,"fludon"))</f>
        <v>75.398223686155006</v>
      </c>
      <c r="K45" s="95">
        <f>IF(B45="","",_xll.flu_CocMaSatCMD($D$21,$D$15,$D$16,$D$22,$H$12:$O$25,FALSE,FALSE,$D$17,$D$12,$K$28,$H$28,A45,"flu"))</f>
        <v>335.52209540338998</v>
      </c>
      <c r="L45" s="87">
        <f t="shared" si="1"/>
        <v>846.030901611731</v>
      </c>
      <c r="M45" s="42"/>
      <c r="N45" s="97"/>
      <c r="O45" s="97"/>
    </row>
    <row r="46" spans="1:20">
      <c r="A46" s="87">
        <f t="shared" si="2"/>
        <v>7</v>
      </c>
      <c r="B46" s="83">
        <f>_xll.flu_CocMaSatCMD($D$21,$D$15,$D$16,$D$22,$H$12:$O$26,FALSE,FALSE,$D$17,$D$12,$K$28,$H$28,A46,"Cao độ")</f>
        <v>6</v>
      </c>
      <c r="C46" s="87" t="str">
        <f>IF(B46="","",_xll.TimTenLoaiDat(B46,$F$12:$H$26))</f>
        <v>Lớp 2</v>
      </c>
      <c r="D46" s="82" t="str">
        <f>IF(B46="","",_xll.TimTinhChatDat(B46,$H$12:$I$26))</f>
        <v>Đất sét</v>
      </c>
      <c r="E46" s="95">
        <f>IF(B46="","",_xll.Qb_CocMaSatCMD(B46,$H$12:$O$25,$D$20,$D$22,$H$28,$D$12,$D$24,$D$23,"qb"))</f>
        <v>700</v>
      </c>
      <c r="F46" s="95">
        <f t="shared" si="0"/>
        <v>549.77871437821398</v>
      </c>
      <c r="G46" s="96">
        <f>IF(B46="","",_xll.flu_CocMaSatCMD($D$21,$D$15,$D$16,$D$22,$H$12:$O$25,FALSE,FALSE,$D$17,$D$12,$K$28,$H$28,A46,"GanmaRf"))</f>
        <v>0.6</v>
      </c>
      <c r="H46" s="96">
        <f>IF(B46="","",_xll.flu_CocMaSatCMD($D$21,$D$15,$D$16,$D$22,$H$12:$O$25,FALSE,FALSE,$D$17,$D$12,$K$28,$H$28,A46,"Li"))</f>
        <v>1</v>
      </c>
      <c r="I46" s="95">
        <f>IF(B46="","",_xll.flu_CocMaSatCMD($D$21,$D$15,$D$16,$D$22,$H$12:$O$25,FALSE,FALSE,$D$17,$D$12,$K$28,$H$28,A46,"f"))</f>
        <v>42</v>
      </c>
      <c r="J46" s="95">
        <f>IF(B46="","",_xll.flu_CocMaSatCMD($D$21,$D$15,$D$16,$D$22,$H$12:$O$25,FALSE,FALSE,$D$17,$D$12,$K$28,$H$28,A46,"fludon"))</f>
        <v>79.168134870462794</v>
      </c>
      <c r="K46" s="95">
        <f>IF(B46="","",_xll.flu_CocMaSatCMD($D$21,$D$15,$D$16,$D$22,$H$12:$O$25,FALSE,FALSE,$D$17,$D$12,$K$28,$H$28,A46,"flu"))</f>
        <v>414.69023027385299</v>
      </c>
      <c r="L46" s="87">
        <f t="shared" si="1"/>
        <v>964.46894465206697</v>
      </c>
      <c r="M46" s="42"/>
    </row>
    <row r="47" spans="1:20">
      <c r="A47" s="87">
        <f t="shared" si="2"/>
        <v>8</v>
      </c>
      <c r="B47" s="83">
        <f>_xll.flu_CocMaSatCMD($D$21,$D$15,$D$16,$D$22,$H$12:$O$26,FALSE,FALSE,$D$17,$D$12,$K$28,$H$28,A47,"Cao độ")</f>
        <v>7</v>
      </c>
      <c r="C47" s="87" t="str">
        <f>IF(B47="","",_xll.TimTenLoaiDat(B47,$F$12:$H$26))</f>
        <v>Lớp 3</v>
      </c>
      <c r="D47" s="82" t="str">
        <f>IF(B47="","",_xll.TimTinhChatDat(B47,$H$12:$I$26))</f>
        <v>Đất sét</v>
      </c>
      <c r="E47" s="95" t="str">
        <f>IF(B47="","",_xll.Qb_CocMaSatCMD(B47,$H$12:$O$25,$D$20,$D$22,$H$28,$D$12,$D$24,$D$23,"qb"))</f>
        <v>chiều sâu hạ cọc trong lớp đất làm nền &lt; 2 mét - không đủ / chú thích 1 - 7.2.3.2 - 10304-2025</v>
      </c>
      <c r="F47" s="95">
        <f t="shared" si="0"/>
        <v>0</v>
      </c>
      <c r="G47" s="96">
        <f>IF(B47="","",_xll.flu_CocMaSatCMD($D$21,$D$15,$D$16,$D$22,$H$12:$O$25,FALSE,FALSE,$D$17,$D$12,$K$28,$H$28,A47,"GanmaRf"))</f>
        <v>0.6</v>
      </c>
      <c r="H47" s="96">
        <f>IF(B47="","",_xll.flu_CocMaSatCMD($D$21,$D$15,$D$16,$D$22,$H$12:$O$25,FALSE,FALSE,$D$17,$D$12,$K$28,$H$28,A47,"Li"))</f>
        <v>1</v>
      </c>
      <c r="I47" s="95">
        <f>IF(B47="","",_xll.flu_CocMaSatCMD($D$21,$D$15,$D$16,$D$22,$H$12:$O$25,FALSE,FALSE,$D$17,$D$12,$K$28,$H$28,A47,"f"))</f>
        <v>60</v>
      </c>
      <c r="J47" s="95">
        <f>IF(B47="","",_xll.flu_CocMaSatCMD($D$21,$D$15,$D$16,$D$22,$H$12:$O$25,FALSE,FALSE,$D$17,$D$12,$K$28,$H$28,A47,"fludon"))</f>
        <v>113.09733552923301</v>
      </c>
      <c r="K47" s="95">
        <f>IF(B47="","",_xll.flu_CocMaSatCMD($D$21,$D$15,$D$16,$D$22,$H$12:$O$25,FALSE,FALSE,$D$17,$D$12,$K$28,$H$28,A47,"flu"))</f>
        <v>527.78756580308504</v>
      </c>
      <c r="L47" s="87">
        <f t="shared" si="1"/>
        <v>527.78756580308504</v>
      </c>
      <c r="M47" s="42"/>
    </row>
    <row r="48" spans="1:20">
      <c r="A48" s="87">
        <f t="shared" si="2"/>
        <v>9</v>
      </c>
      <c r="B48" s="83">
        <f>_xll.flu_CocMaSatCMD($D$21,$D$15,$D$16,$D$22,$H$12:$O$26,FALSE,FALSE,$D$17,$D$12,$K$28,$H$28,A48,"Cao độ")</f>
        <v>8</v>
      </c>
      <c r="C48" s="87" t="str">
        <f>IF(B48="","",_xll.TimTenLoaiDat(B48,$F$12:$H$26))</f>
        <v>Lớp 3</v>
      </c>
      <c r="D48" s="82" t="str">
        <f>IF(B48="","",_xll.TimTinhChatDat(B48,$H$12:$I$26))</f>
        <v>Đất sét</v>
      </c>
      <c r="E48" s="95" t="str">
        <f>IF(B48="","",_xll.Qb_CocMaSatCMD(B48,$H$12:$O$25,$D$20,$D$22,$H$28,$D$12,$D$24,$D$23,"qb"))</f>
        <v>chiều sâu hạ cọc trong lớp đất làm nền &lt; 2 mét - không đủ / chú thích 1 - 7.2.3.2 - 10304-2025</v>
      </c>
      <c r="F48" s="95">
        <f t="shared" si="0"/>
        <v>0</v>
      </c>
      <c r="G48" s="96">
        <f>IF(B48="","",_xll.flu_CocMaSatCMD($D$21,$D$15,$D$16,$D$22,$H$12:$O$25,FALSE,FALSE,$D$17,$D$12,$K$28,$H$28,A48,"GanmaRf"))</f>
        <v>0.6</v>
      </c>
      <c r="H48" s="96">
        <f>IF(B48="","",_xll.flu_CocMaSatCMD($D$21,$D$15,$D$16,$D$22,$H$12:$O$25,FALSE,FALSE,$D$17,$D$12,$K$28,$H$28,A48,"Li"))</f>
        <v>1</v>
      </c>
      <c r="I48" s="95">
        <f>IF(B48="","",_xll.flu_CocMaSatCMD($D$21,$D$15,$D$16,$D$22,$H$12:$O$25,FALSE,FALSE,$D$17,$D$12,$K$28,$H$28,A48,"f"))</f>
        <v>62</v>
      </c>
      <c r="J48" s="95">
        <f>IF(B48="","",_xll.flu_CocMaSatCMD($D$21,$D$15,$D$16,$D$22,$H$12:$O$25,FALSE,FALSE,$D$17,$D$12,$K$28,$H$28,A48,"fludon"))</f>
        <v>116.86724671354</v>
      </c>
      <c r="K48" s="95">
        <f>IF(B48="","",_xll.flu_CocMaSatCMD($D$21,$D$15,$D$16,$D$22,$H$12:$O$25,FALSE,FALSE,$D$17,$D$12,$K$28,$H$28,A48,"flu"))</f>
        <v>644.65481251662595</v>
      </c>
      <c r="L48" s="87">
        <f t="shared" si="1"/>
        <v>644.65481251662595</v>
      </c>
      <c r="M48" s="42"/>
    </row>
    <row r="49" spans="1:13">
      <c r="A49" s="87">
        <f t="shared" si="2"/>
        <v>10</v>
      </c>
      <c r="B49" s="83">
        <f>_xll.flu_CocMaSatCMD($D$21,$D$15,$D$16,$D$22,$H$12:$O$26,FALSE,FALSE,$D$17,$D$12,$K$28,$H$28,A49,"Cao độ")</f>
        <v>9</v>
      </c>
      <c r="C49" s="87" t="str">
        <f>IF(B49="","",_xll.TimTenLoaiDat(B49,$F$12:$H$26))</f>
        <v>Lớp 3</v>
      </c>
      <c r="D49" s="82" t="str">
        <f>IF(B49="","",_xll.TimTinhChatDat(B49,$H$12:$I$26))</f>
        <v>Đất sét</v>
      </c>
      <c r="E49" s="95">
        <f>IF(B49="","",_xll.Qb_CocMaSatCMD(B49,$H$12:$O$25,$D$20,$D$22,$H$28,$D$12,$D$24,$D$23,"qb"))</f>
        <v>983.33333333333303</v>
      </c>
      <c r="F49" s="95">
        <f t="shared" si="0"/>
        <v>772.30819400749101</v>
      </c>
      <c r="G49" s="96">
        <f>IF(B49="","",_xll.flu_CocMaSatCMD($D$21,$D$15,$D$16,$D$22,$H$12:$O$25,FALSE,FALSE,$D$17,$D$12,$K$28,$H$28,A49,"GanmaRf"))</f>
        <v>0.6</v>
      </c>
      <c r="H49" s="96">
        <f>IF(B49="","",_xll.flu_CocMaSatCMD($D$21,$D$15,$D$16,$D$22,$H$12:$O$25,FALSE,FALSE,$D$17,$D$12,$K$28,$H$28,A49,"Li"))</f>
        <v>1</v>
      </c>
      <c r="I49" s="95">
        <f>IF(B49="","",_xll.flu_CocMaSatCMD($D$21,$D$15,$D$16,$D$22,$H$12:$O$25,FALSE,FALSE,$D$17,$D$12,$K$28,$H$28,A49,"f"))</f>
        <v>63.5</v>
      </c>
      <c r="J49" s="95">
        <f>IF(B49="","",_xll.flu_CocMaSatCMD($D$21,$D$15,$D$16,$D$22,$H$12:$O$25,FALSE,FALSE,$D$17,$D$12,$K$28,$H$28,A49,"fludon"))</f>
        <v>119.694680101771</v>
      </c>
      <c r="K49" s="95">
        <f>IF(B49="","",_xll.flu_CocMaSatCMD($D$21,$D$15,$D$16,$D$22,$H$12:$O$25,FALSE,FALSE,$D$17,$D$12,$K$28,$H$28,A49,"flu"))</f>
        <v>764.34949261839699</v>
      </c>
      <c r="L49" s="87">
        <f t="shared" si="1"/>
        <v>1536.6576866258899</v>
      </c>
      <c r="M49" s="42"/>
    </row>
    <row r="50" spans="1:13">
      <c r="A50" s="87">
        <f t="shared" si="2"/>
        <v>11</v>
      </c>
      <c r="B50" s="83">
        <f>_xll.flu_CocMaSatCMD($D$21,$D$15,$D$16,$D$22,$H$12:$O$26,FALSE,FALSE,$D$17,$D$12,$K$28,$H$28,A50,"Cao độ")</f>
        <v>10</v>
      </c>
      <c r="C50" s="87" t="str">
        <f>IF(B50="","",_xll.TimTenLoaiDat(B50,$F$12:$H$26))</f>
        <v>Lớp 3</v>
      </c>
      <c r="D50" s="82" t="str">
        <f>IF(B50="","",_xll.TimTinhChatDat(B50,$H$12:$I$26))</f>
        <v>Đất sét</v>
      </c>
      <c r="E50" s="95">
        <f>IF(B50="","",_xll.Qb_CocMaSatCMD(B50,$H$12:$O$25,$D$20,$D$22,$H$28,$D$12,$D$24,$D$23,"qb"))</f>
        <v>1050</v>
      </c>
      <c r="F50" s="95">
        <f t="shared" si="0"/>
        <v>824.66807156732102</v>
      </c>
      <c r="G50" s="96">
        <f>IF(B50="","",_xll.flu_CocMaSatCMD($D$21,$D$15,$D$16,$D$22,$H$12:$O$25,FALSE,FALSE,$D$17,$D$12,$K$28,$H$28,A50,"GanmaRf"))</f>
        <v>0.6</v>
      </c>
      <c r="H50" s="96">
        <f>IF(B50="","",_xll.flu_CocMaSatCMD($D$21,$D$15,$D$16,$D$22,$H$12:$O$25,FALSE,FALSE,$D$17,$D$12,$K$28,$H$28,A50,"Li"))</f>
        <v>0.5</v>
      </c>
      <c r="I50" s="95">
        <f>IF(B50="","",_xll.flu_CocMaSatCMD($D$21,$D$15,$D$16,$D$22,$H$12:$O$25,FALSE,FALSE,$D$17,$D$12,$K$28,$H$28,A50,"f"))</f>
        <v>65</v>
      </c>
      <c r="J50" s="95">
        <f>IF(B50="","",_xll.flu_CocMaSatCMD($D$21,$D$15,$D$16,$D$22,$H$12:$O$25,FALSE,FALSE,$D$17,$D$12,$K$28,$H$28,A50,"fludon"))</f>
        <v>61.261056745001</v>
      </c>
      <c r="K50" s="95">
        <f>IF(B50="","",_xll.flu_CocMaSatCMD($D$21,$D$15,$D$16,$D$22,$H$12:$O$25,FALSE,FALSE,$D$17,$D$12,$K$28,$H$28,A50,"flu"))</f>
        <v>825.61054936339804</v>
      </c>
      <c r="L50" s="87">
        <f t="shared" si="1"/>
        <v>1650.2786209307201</v>
      </c>
      <c r="M50" s="42"/>
    </row>
    <row r="51" spans="1:13">
      <c r="A51" s="87">
        <f t="shared" si="2"/>
        <v>12</v>
      </c>
      <c r="B51" s="83">
        <f>_xll.flu_CocMaSatCMD($D$21,$D$15,$D$16,$D$22,$H$12:$O$26,FALSE,FALSE,$D$17,$D$12,$K$28,$H$28,A51,"Cao độ")</f>
        <v>10.5</v>
      </c>
      <c r="C51" s="87" t="str">
        <f>IF(B51="","",_xll.TimTenLoaiDat(B51,$F$12:$H$26))</f>
        <v>Lớp 4</v>
      </c>
      <c r="D51" s="82" t="str">
        <f>IF(B51="","",_xll.TimTinhChatDat(B51,$H$12:$I$26))</f>
        <v>Đất sét</v>
      </c>
      <c r="E51" s="95" t="str">
        <f>IF(B51="","",_xll.Qb_CocMaSatCMD(B51,$H$12:$O$25,$D$20,$D$22,$H$28,$D$12,$D$24,$D$23,"qb"))</f>
        <v>chiều sâu hạ cọc trong lớp đất làm nền &lt; 2 mét - không đủ / chú thích 1 - 7.2.3.2 - 10304-2025</v>
      </c>
      <c r="F51" s="95">
        <f t="shared" si="0"/>
        <v>0</v>
      </c>
      <c r="G51" s="96">
        <f>IF(B51="","",_xll.flu_CocMaSatCMD($D$21,$D$15,$D$16,$D$22,$H$12:$O$25,FALSE,FALSE,$D$17,$D$12,$K$28,$H$28,A51,"GanmaRf"))</f>
        <v>0.6</v>
      </c>
      <c r="H51" s="96">
        <f>IF(B51="","",_xll.flu_CocMaSatCMD($D$21,$D$15,$D$16,$D$22,$H$12:$O$25,FALSE,FALSE,$D$17,$D$12,$K$28,$H$28,A51,"Li"))</f>
        <v>0.5</v>
      </c>
      <c r="I51" s="95">
        <f>IF(B51="","",_xll.flu_CocMaSatCMD($D$21,$D$15,$D$16,$D$22,$H$12:$O$25,FALSE,FALSE,$D$17,$D$12,$K$28,$H$28,A51,"f"))</f>
        <v>65.7</v>
      </c>
      <c r="J51" s="95">
        <f>IF(B51="","",_xll.flu_CocMaSatCMD($D$21,$D$15,$D$16,$D$22,$H$12:$O$25,FALSE,FALSE,$D$17,$D$12,$K$28,$H$28,A51,"fludon"))</f>
        <v>61.920791202254797</v>
      </c>
      <c r="K51" s="95">
        <f>IF(B51="","",_xll.flu_CocMaSatCMD($D$21,$D$15,$D$16,$D$22,$H$12:$O$25,FALSE,FALSE,$D$17,$D$12,$K$28,$H$28,A51,"flu"))</f>
        <v>887.53134056565295</v>
      </c>
      <c r="L51" s="87">
        <f t="shared" si="1"/>
        <v>887.53134056565295</v>
      </c>
      <c r="M51" s="42"/>
    </row>
    <row r="52" spans="1:13">
      <c r="A52" s="87">
        <f t="shared" si="2"/>
        <v>13</v>
      </c>
      <c r="B52" s="83">
        <f>_xll.flu_CocMaSatCMD($D$21,$D$15,$D$16,$D$22,$H$12:$O$26,FALSE,FALSE,$D$17,$D$12,$K$28,$H$28,A52,"Cao độ")</f>
        <v>11</v>
      </c>
      <c r="C52" s="87" t="str">
        <f>IF(B52="","",_xll.TimTenLoaiDat(B52,$F$12:$H$26))</f>
        <v>Lớp 4</v>
      </c>
      <c r="D52" s="82" t="str">
        <f>IF(B52="","",_xll.TimTinhChatDat(B52,$H$12:$I$26))</f>
        <v>Đất sét</v>
      </c>
      <c r="E52" s="95" t="str">
        <f>IF(B52="","",_xll.Qb_CocMaSatCMD(B52,$H$12:$O$25,$D$20,$D$22,$H$28,$D$12,$D$24,$D$23,"qb"))</f>
        <v>chiều sâu hạ cọc trong lớp đất làm nền &lt; 2 mét - không đủ / chú thích 1 - 7.2.3.2 - 10304-2025</v>
      </c>
      <c r="F52" s="95">
        <f t="shared" si="0"/>
        <v>0</v>
      </c>
      <c r="G52" s="96">
        <f>IF(B52="","",_xll.flu_CocMaSatCMD($D$21,$D$15,$D$16,$D$22,$H$12:$O$25,FALSE,FALSE,$D$17,$D$12,$K$28,$H$28,A52,"GanmaRf"))</f>
        <v>0.6</v>
      </c>
      <c r="H52" s="96">
        <f>IF(B52="","",_xll.flu_CocMaSatCMD($D$21,$D$15,$D$16,$D$22,$H$12:$O$25,FALSE,FALSE,$D$17,$D$12,$K$28,$H$28,A52,"Li"))</f>
        <v>1</v>
      </c>
      <c r="I52" s="95">
        <f>IF(B52="","",_xll.flu_CocMaSatCMD($D$21,$D$15,$D$16,$D$22,$H$12:$O$25,FALSE,FALSE,$D$17,$D$12,$K$28,$H$28,A52,"f"))</f>
        <v>66.400000000000006</v>
      </c>
      <c r="J52" s="95">
        <f>IF(B52="","",_xll.flu_CocMaSatCMD($D$21,$D$15,$D$16,$D$22,$H$12:$O$25,FALSE,FALSE,$D$17,$D$12,$K$28,$H$28,A52,"fludon"))</f>
        <v>125.16105131901701</v>
      </c>
      <c r="K52" s="95">
        <f>IF(B52="","",_xll.flu_CocMaSatCMD($D$21,$D$15,$D$16,$D$22,$H$12:$O$25,FALSE,FALSE,$D$17,$D$12,$K$28,$H$28,A52,"flu"))</f>
        <v>1012.69239188467</v>
      </c>
      <c r="L52" s="87">
        <f t="shared" si="1"/>
        <v>1012.69239188467</v>
      </c>
      <c r="M52" s="42"/>
    </row>
    <row r="53" spans="1:13">
      <c r="A53" s="87">
        <f t="shared" si="2"/>
        <v>14</v>
      </c>
      <c r="B53" s="83">
        <f>_xll.flu_CocMaSatCMD($D$21,$D$15,$D$16,$D$22,$H$12:$O$26,FALSE,FALSE,$D$17,$D$12,$K$28,$H$28,A53,"Cao độ")</f>
        <v>12</v>
      </c>
      <c r="C53" s="87" t="str">
        <f>IF(B53="","",_xll.TimTenLoaiDat(B53,$F$12:$H$26))</f>
        <v>Lớp 4</v>
      </c>
      <c r="D53" s="82" t="str">
        <f>IF(B53="","",_xll.TimTinhChatDat(B53,$H$12:$I$26))</f>
        <v>Đất sét</v>
      </c>
      <c r="E53" s="95" t="str">
        <f>IF(B53="","",_xll.Qb_CocMaSatCMD(B53,$H$12:$O$25,$D$20,$D$22,$H$28,$D$12,$D$24,$D$23,"qb"))</f>
        <v>chiều sâu hạ cọc trong lớp đất làm nền &lt; 2 mét - không đủ / chú thích 1 - 7.2.3.2 - 10304-2025</v>
      </c>
      <c r="F53" s="95">
        <f t="shared" si="0"/>
        <v>0</v>
      </c>
      <c r="G53" s="96">
        <f>IF(B53="","",_xll.flu_CocMaSatCMD($D$21,$D$15,$D$16,$D$22,$H$12:$O$25,FALSE,FALSE,$D$17,$D$12,$K$28,$H$28,A53,"GanmaRf"))</f>
        <v>0.6</v>
      </c>
      <c r="H53" s="96">
        <f>IF(B53="","",_xll.flu_CocMaSatCMD($D$21,$D$15,$D$16,$D$22,$H$12:$O$25,FALSE,FALSE,$D$17,$D$12,$K$28,$H$28,A53,"Li"))</f>
        <v>0.19999999999999901</v>
      </c>
      <c r="I53" s="95">
        <f>IF(B53="","",_xll.flu_CocMaSatCMD($D$21,$D$15,$D$16,$D$22,$H$12:$O$25,FALSE,FALSE,$D$17,$D$12,$K$28,$H$28,A53,"f"))</f>
        <v>67.8</v>
      </c>
      <c r="J53" s="95">
        <f>IF(B53="","",_xll.flu_CocMaSatCMD($D$21,$D$15,$D$16,$D$22,$H$12:$O$25,FALSE,FALSE,$D$17,$D$12,$K$28,$H$28,A53,"fludon"))</f>
        <v>25.559997829606498</v>
      </c>
      <c r="K53" s="95">
        <f>IF(B53="","",_xll.flu_CocMaSatCMD($D$21,$D$15,$D$16,$D$22,$H$12:$O$25,FALSE,FALSE,$D$17,$D$12,$K$28,$H$28,A53,"flu"))</f>
        <v>1038.2523897142801</v>
      </c>
      <c r="L53" s="87">
        <f t="shared" si="1"/>
        <v>1038.2523897142801</v>
      </c>
      <c r="M53" s="42"/>
    </row>
    <row r="54" spans="1:13">
      <c r="A54" s="87">
        <f t="shared" si="2"/>
        <v>15</v>
      </c>
      <c r="B54" s="83">
        <f>_xll.flu_CocMaSatCMD($D$21,$D$15,$D$16,$D$22,$H$12:$O$26,FALSE,FALSE,$D$17,$D$12,$K$28,$H$28,A54,"Cao độ")</f>
        <v>12.2</v>
      </c>
      <c r="C54" s="87" t="str">
        <f>IF(B54="","",_xll.TimTenLoaiDat(B54,$F$12:$H$26))</f>
        <v>Lớp 5</v>
      </c>
      <c r="D54" s="82" t="str">
        <f>IF(B54="","",_xll.TimTinhChatDat(B54,$H$12:$I$26))</f>
        <v>Cát chặt vừa - thô</v>
      </c>
      <c r="E54" s="95" t="str">
        <f>IF(B54="","",_xll.Qb_CocMaSatCMD(B54,$H$12:$O$25,$D$20,$D$22,$H$28,$D$12,$D$24,$D$23,"qb"))</f>
        <v>chiều sâu hạ cọc trong lớp đất làm nền &lt; 2 mét - không đủ / chú thích 1 - 7.2.3.2 - 10304-2025</v>
      </c>
      <c r="F54" s="95">
        <f t="shared" si="0"/>
        <v>0</v>
      </c>
      <c r="G54" s="96">
        <f>IF(B54="","",_xll.flu_CocMaSatCMD($D$21,$D$15,$D$16,$D$22,$H$12:$O$25,FALSE,FALSE,$D$17,$D$12,$K$28,$H$28,A54,"GanmaRf"))</f>
        <v>0.6</v>
      </c>
      <c r="H54" s="96">
        <f>IF(B54="","",_xll.flu_CocMaSatCMD($D$21,$D$15,$D$16,$D$22,$H$12:$O$25,FALSE,FALSE,$D$17,$D$12,$K$28,$H$28,A54,"Li"))</f>
        <v>0.80000000000000104</v>
      </c>
      <c r="I54" s="95">
        <f>IF(B54="","",_xll.flu_CocMaSatCMD($D$21,$D$15,$D$16,$D$22,$H$12:$O$25,FALSE,FALSE,$D$17,$D$12,$K$28,$H$28,A54,"f"))</f>
        <v>68.08</v>
      </c>
      <c r="J54" s="95">
        <f>IF(B54="","",_xll.flu_CocMaSatCMD($D$21,$D$15,$D$16,$D$22,$H$12:$O$25,FALSE,FALSE,$D$17,$D$12,$K$28,$H$28,A54,"fludon"))</f>
        <v>102.66222137106899</v>
      </c>
      <c r="K54" s="95">
        <f>IF(B54="","",_xll.flu_CocMaSatCMD($D$21,$D$15,$D$16,$D$22,$H$12:$O$25,FALSE,FALSE,$D$17,$D$12,$K$28,$H$28,A54,"flu"))</f>
        <v>1140.9146110853501</v>
      </c>
      <c r="L54" s="87">
        <f t="shared" si="1"/>
        <v>1140.9146110853501</v>
      </c>
      <c r="M54" s="42"/>
    </row>
    <row r="55" spans="1:13">
      <c r="A55" s="87">
        <f t="shared" si="2"/>
        <v>16</v>
      </c>
      <c r="B55" s="83">
        <f>_xll.flu_CocMaSatCMD($D$21,$D$15,$D$16,$D$22,$H$12:$O$26,FALSE,FALSE,$D$17,$D$12,$K$28,$H$28,A55,"Cao độ")</f>
        <v>13</v>
      </c>
      <c r="C55" s="87" t="str">
        <f>IF(B55="","",_xll.TimTenLoaiDat(B55,$F$12:$H$26))</f>
        <v>Lớp 5</v>
      </c>
      <c r="D55" s="82" t="str">
        <f>IF(B55="","",_xll.TimTinhChatDat(B55,$H$12:$I$26))</f>
        <v>Cát chặt vừa - thô</v>
      </c>
      <c r="E55" s="95" t="str">
        <f>IF(B55="","",_xll.Qb_CocMaSatCMD(B55,$H$12:$O$25,$D$20,$D$22,$H$28,$D$12,$D$24,$D$23,"qb"))</f>
        <v>chiều sâu hạ cọc trong lớp đất làm nền &lt; 2 mét - không đủ / chú thích 1 - 7.2.3.2 - 10304-2025</v>
      </c>
      <c r="F55" s="95">
        <f t="shared" si="0"/>
        <v>0</v>
      </c>
      <c r="G55" s="96">
        <f>IF(B55="","",_xll.flu_CocMaSatCMD($D$21,$D$15,$D$16,$D$22,$H$12:$O$25,FALSE,FALSE,$D$17,$D$12,$K$28,$H$28,A55,"GanmaRf"))</f>
        <v>0.6</v>
      </c>
      <c r="H55" s="96">
        <f>IF(B55="","",_xll.flu_CocMaSatCMD($D$21,$D$15,$D$16,$D$22,$H$12:$O$25,FALSE,FALSE,$D$17,$D$12,$K$28,$H$28,A55,"Li"))</f>
        <v>1</v>
      </c>
      <c r="I55" s="95">
        <f>IF(B55="","",_xll.flu_CocMaSatCMD($D$21,$D$15,$D$16,$D$22,$H$12:$O$25,FALSE,FALSE,$D$17,$D$12,$K$28,$H$28,A55,"f"))</f>
        <v>69.2</v>
      </c>
      <c r="J55" s="95">
        <f>IF(B55="","",_xll.flu_CocMaSatCMD($D$21,$D$15,$D$16,$D$22,$H$12:$O$25,FALSE,FALSE,$D$17,$D$12,$K$28,$H$28,A55,"fludon"))</f>
        <v>130.438926977048</v>
      </c>
      <c r="K55" s="95">
        <f>IF(B55="","",_xll.flu_CocMaSatCMD($D$21,$D$15,$D$16,$D$22,$H$12:$O$25,FALSE,FALSE,$D$17,$D$12,$K$28,$H$28,A55,"flu"))</f>
        <v>1271.35353806239</v>
      </c>
      <c r="L55" s="87">
        <f t="shared" si="1"/>
        <v>1271.35353806239</v>
      </c>
      <c r="M55" s="42"/>
    </row>
    <row r="56" spans="1:13">
      <c r="A56" s="87">
        <f t="shared" si="2"/>
        <v>17</v>
      </c>
      <c r="B56" s="83">
        <f>_xll.flu_CocMaSatCMD($D$21,$D$15,$D$16,$D$22,$H$12:$O$26,FALSE,FALSE,$D$17,$D$12,$K$28,$H$28,A56,"Cao độ")</f>
        <v>14</v>
      </c>
      <c r="C56" s="87" t="str">
        <f>IF(B56="","",_xll.TimTenLoaiDat(B56,$F$12:$H$26))</f>
        <v>Lớp 5</v>
      </c>
      <c r="D56" s="82" t="str">
        <f>IF(B56="","",_xll.TimTinhChatDat(B56,$H$12:$I$26))</f>
        <v>Cát chặt vừa - thô</v>
      </c>
      <c r="E56" s="95" t="str">
        <f>IF(B56="","",_xll.Qb_CocMaSatCMD(B56,$H$12:$O$25,$D$20,$D$22,$H$28,$D$12,$D$24,$D$23,"qb"))</f>
        <v>chiều sâu hạ cọc trong lớp đất làm nền &lt; 2 mét - không đủ / chú thích 1 - 7.2.3.2 - 10304-2025</v>
      </c>
      <c r="F56" s="95">
        <f t="shared" si="0"/>
        <v>0</v>
      </c>
      <c r="G56" s="96">
        <f>IF(B56="","",_xll.flu_CocMaSatCMD($D$21,$D$15,$D$16,$D$22,$H$12:$O$25,FALSE,FALSE,$D$17,$D$12,$K$28,$H$28,A56,"GanmaRf"))</f>
        <v>0.6</v>
      </c>
      <c r="H56" s="96">
        <f>IF(B56="","",_xll.flu_CocMaSatCMD($D$21,$D$15,$D$16,$D$22,$H$12:$O$25,FALSE,FALSE,$D$17,$D$12,$K$28,$H$28,A56,"Li"))</f>
        <v>1</v>
      </c>
      <c r="I56" s="95">
        <f>IF(B56="","",_xll.flu_CocMaSatCMD($D$21,$D$15,$D$16,$D$22,$H$12:$O$25,FALSE,FALSE,$D$17,$D$12,$K$28,$H$28,A56,"f"))</f>
        <v>70.599999999999994</v>
      </c>
      <c r="J56" s="95">
        <f>IF(B56="","",_xll.flu_CocMaSatCMD($D$21,$D$15,$D$16,$D$22,$H$12:$O$25,FALSE,FALSE,$D$17,$D$12,$K$28,$H$28,A56,"fludon"))</f>
        <v>133.07786480606401</v>
      </c>
      <c r="K56" s="95">
        <f>IF(B56="","",_xll.flu_CocMaSatCMD($D$21,$D$15,$D$16,$D$22,$H$12:$O$25,FALSE,FALSE,$D$17,$D$12,$K$28,$H$28,A56,"flu"))</f>
        <v>1404.4314028684601</v>
      </c>
      <c r="L56" s="87">
        <f t="shared" si="1"/>
        <v>1404.4314028684601</v>
      </c>
      <c r="M56" s="42"/>
    </row>
    <row r="57" spans="1:13">
      <c r="A57" s="87">
        <f t="shared" si="2"/>
        <v>18</v>
      </c>
      <c r="B57" s="83">
        <f>_xll.flu_CocMaSatCMD($D$21,$D$15,$D$16,$D$22,$H$12:$O$26,FALSE,FALSE,$D$17,$D$12,$K$28,$H$28,A57,"Cao độ")</f>
        <v>15</v>
      </c>
      <c r="C57" s="87" t="str">
        <f>IF(B57="","",_xll.TimTenLoaiDat(B57,$F$12:$H$26))</f>
        <v>Lớp 5</v>
      </c>
      <c r="D57" s="82" t="str">
        <f>IF(B57="","",_xll.TimTinhChatDat(B57,$H$12:$I$26))</f>
        <v>Cát chặt vừa - thô</v>
      </c>
      <c r="E57" s="95">
        <f>IF(B57="","",_xll.Qb_CocMaSatCMD(B57,$H$12:$O$25,$D$20,$D$22,$H$28,$D$12,$D$24,$D$23,"qb"))</f>
        <v>0</v>
      </c>
      <c r="F57" s="95">
        <f t="shared" si="0"/>
        <v>0</v>
      </c>
      <c r="G57" s="96">
        <f>IF(B57="","",_xll.flu_CocMaSatCMD($D$21,$D$15,$D$16,$D$22,$H$12:$O$25,FALSE,FALSE,$D$17,$D$12,$K$28,$H$28,A57,"GanmaRf"))</f>
        <v>0.6</v>
      </c>
      <c r="H57" s="96">
        <f>IF(B57="","",_xll.flu_CocMaSatCMD($D$21,$D$15,$D$16,$D$22,$H$12:$O$25,FALSE,FALSE,$D$17,$D$12,$K$28,$H$28,A57,"Li"))</f>
        <v>1</v>
      </c>
      <c r="I57" s="95">
        <f>IF(B57="","",_xll.flu_CocMaSatCMD($D$21,$D$15,$D$16,$D$22,$H$12:$O$25,FALSE,FALSE,$D$17,$D$12,$K$28,$H$28,A57,"f"))</f>
        <v>72</v>
      </c>
      <c r="J57" s="95">
        <f>IF(B57="","",_xll.flu_CocMaSatCMD($D$21,$D$15,$D$16,$D$22,$H$12:$O$25,FALSE,FALSE,$D$17,$D$12,$K$28,$H$28,A57,"fludon"))</f>
        <v>135.71680263507901</v>
      </c>
      <c r="K57" s="95">
        <f>IF(B57="","",_xll.flu_CocMaSatCMD($D$21,$D$15,$D$16,$D$22,$H$12:$O$25,FALSE,FALSE,$D$17,$D$12,$K$28,$H$28,A57,"flu"))</f>
        <v>1540.1482055035401</v>
      </c>
      <c r="L57" s="87">
        <f t="shared" si="1"/>
        <v>1540.1482055035401</v>
      </c>
      <c r="M57" s="42"/>
    </row>
    <row r="58" spans="1:13">
      <c r="A58" s="87">
        <f t="shared" si="2"/>
        <v>19</v>
      </c>
      <c r="B58" s="83">
        <f>_xll.flu_CocMaSatCMD($D$21,$D$15,$D$16,$D$22,$H$12:$O$26,FALSE,FALSE,$D$17,$D$12,$K$28,$H$28,A58,"Cao độ")</f>
        <v>16</v>
      </c>
      <c r="C58" s="87" t="str">
        <f>IF(B58="","",_xll.TimTenLoaiDat(B58,$F$12:$H$26))</f>
        <v>Lớp 5</v>
      </c>
      <c r="D58" s="82" t="str">
        <f>IF(B58="","",_xll.TimTinhChatDat(B58,$H$12:$I$26))</f>
        <v>Cát chặt vừa - thô</v>
      </c>
      <c r="E58" s="95">
        <f>IF(B58="","",_xll.Qb_CocMaSatCMD(B58,$H$12:$O$25,$D$20,$D$22,$H$28,$D$12,$D$24,$D$23,"qb"))</f>
        <v>0</v>
      </c>
      <c r="F58" s="95">
        <f t="shared" si="0"/>
        <v>0</v>
      </c>
      <c r="G58" s="96">
        <f>IF(B58="","",_xll.flu_CocMaSatCMD($D$21,$D$15,$D$16,$D$22,$H$12:$O$25,FALSE,FALSE,$D$17,$D$12,$K$28,$H$28,A58,"GanmaRf"))</f>
        <v>0.6</v>
      </c>
      <c r="H58" s="96">
        <f>IF(B58="","",_xll.flu_CocMaSatCMD($D$21,$D$15,$D$16,$D$22,$H$12:$O$25,FALSE,FALSE,$D$17,$D$12,$K$28,$H$28,A58,"Li"))</f>
        <v>1</v>
      </c>
      <c r="I58" s="95">
        <f>IF(B58="","",_xll.flu_CocMaSatCMD($D$21,$D$15,$D$16,$D$22,$H$12:$O$25,FALSE,FALSE,$D$17,$D$12,$K$28,$H$28,A58,"f"))</f>
        <v>73.400000000000006</v>
      </c>
      <c r="J58" s="95">
        <f>IF(B58="","",_xll.flu_CocMaSatCMD($D$21,$D$15,$D$16,$D$22,$H$12:$O$25,FALSE,FALSE,$D$17,$D$12,$K$28,$H$28,A58,"fludon"))</f>
        <v>138.35574046409499</v>
      </c>
      <c r="K58" s="95">
        <f>IF(B58="","",_xll.flu_CocMaSatCMD($D$21,$D$15,$D$16,$D$22,$H$12:$O$25,FALSE,FALSE,$D$17,$D$12,$K$28,$H$28,A58,"flu"))</f>
        <v>1678.50394596763</v>
      </c>
      <c r="L58" s="87">
        <f t="shared" si="1"/>
        <v>1678.50394596763</v>
      </c>
      <c r="M58" s="42"/>
    </row>
    <row r="59" spans="1:13">
      <c r="A59" s="87">
        <f t="shared" si="2"/>
        <v>20</v>
      </c>
      <c r="B59" s="83">
        <f>_xll.flu_CocMaSatCMD($D$21,$D$15,$D$16,$D$22,$H$12:$O$26,FALSE,FALSE,$D$17,$D$12,$K$28,$H$28,A59,"Cao độ")</f>
        <v>17</v>
      </c>
      <c r="C59" s="87" t="str">
        <f>IF(B59="","",_xll.TimTenLoaiDat(B59,$F$12:$H$26))</f>
        <v>Lớp 5</v>
      </c>
      <c r="D59" s="82" t="str">
        <f>IF(B59="","",_xll.TimTinhChatDat(B59,$H$12:$I$26))</f>
        <v>Cát chặt vừa - thô</v>
      </c>
      <c r="E59" s="95">
        <f>IF(B59="","",_xll.Qb_CocMaSatCMD(B59,$H$12:$O$25,$D$20,$D$22,$H$28,$D$12,$D$24,$D$23,"qb"))</f>
        <v>0</v>
      </c>
      <c r="F59" s="95">
        <f t="shared" si="0"/>
        <v>0</v>
      </c>
      <c r="G59" s="96">
        <f>IF(B59="","",_xll.flu_CocMaSatCMD($D$21,$D$15,$D$16,$D$22,$H$12:$O$25,FALSE,FALSE,$D$17,$D$12,$K$28,$H$28,A59,"GanmaRf"))</f>
        <v>0.6</v>
      </c>
      <c r="H59" s="96">
        <f>IF(B59="","",_xll.flu_CocMaSatCMD($D$21,$D$15,$D$16,$D$22,$H$12:$O$25,FALSE,FALSE,$D$17,$D$12,$K$28,$H$28,A59,"Li"))</f>
        <v>1</v>
      </c>
      <c r="I59" s="95">
        <f>IF(B59="","",_xll.flu_CocMaSatCMD($D$21,$D$15,$D$16,$D$22,$H$12:$O$25,FALSE,FALSE,$D$17,$D$12,$K$28,$H$28,A59,"f"))</f>
        <v>74.8</v>
      </c>
      <c r="J59" s="95">
        <f>IF(B59="","",_xll.flu_CocMaSatCMD($D$21,$D$15,$D$16,$D$22,$H$12:$O$25,FALSE,FALSE,$D$17,$D$12,$K$28,$H$28,A59,"fludon"))</f>
        <v>140.99467829311001</v>
      </c>
      <c r="K59" s="95">
        <f>IF(B59="","",_xll.flu_CocMaSatCMD($D$21,$D$15,$D$16,$D$22,$H$12:$O$25,FALSE,FALSE,$D$17,$D$12,$K$28,$H$28,A59,"flu"))</f>
        <v>1819.4986242607399</v>
      </c>
      <c r="L59" s="87">
        <f t="shared" si="1"/>
        <v>1819.4986242607399</v>
      </c>
      <c r="M59" s="42"/>
    </row>
    <row r="60" spans="1:13">
      <c r="A60" s="87">
        <f t="shared" si="2"/>
        <v>21</v>
      </c>
      <c r="B60" s="83">
        <f>_xll.flu_CocMaSatCMD($D$21,$D$15,$D$16,$D$22,$H$12:$O$26,FALSE,FALSE,$D$17,$D$12,$K$28,$H$28,A60,"Cao độ")</f>
        <v>18</v>
      </c>
      <c r="C60" s="87" t="str">
        <f>IF(B60="","",_xll.TimTenLoaiDat(B60,$F$12:$H$26))</f>
        <v>Lớp 5</v>
      </c>
      <c r="D60" s="82" t="str">
        <f>IF(B60="","",_xll.TimTinhChatDat(B60,$H$12:$I$26))</f>
        <v>Cát chặt vừa - thô</v>
      </c>
      <c r="E60" s="95">
        <f>IF(B60="","",_xll.Qb_CocMaSatCMD(B60,$H$12:$O$25,$D$20,$D$22,$H$28,$D$12,$D$24,$D$23,"qb"))</f>
        <v>0</v>
      </c>
      <c r="F60" s="95">
        <f t="shared" si="0"/>
        <v>0</v>
      </c>
      <c r="G60" s="96">
        <f>IF(B60="","",_xll.flu_CocMaSatCMD($D$21,$D$15,$D$16,$D$22,$H$12:$O$25,FALSE,FALSE,$D$17,$D$12,$K$28,$H$28,A60,"GanmaRf"))</f>
        <v>0.6</v>
      </c>
      <c r="H60" s="96">
        <f>IF(B60="","",_xll.flu_CocMaSatCMD($D$21,$D$15,$D$16,$D$22,$H$12:$O$25,FALSE,FALSE,$D$17,$D$12,$K$28,$H$28,A60,"Li"))</f>
        <v>1</v>
      </c>
      <c r="I60" s="95">
        <f>IF(B60="","",_xll.flu_CocMaSatCMD($D$21,$D$15,$D$16,$D$22,$H$12:$O$25,FALSE,FALSE,$D$17,$D$12,$K$28,$H$28,A60,"f"))</f>
        <v>76.2</v>
      </c>
      <c r="J60" s="95">
        <f>IF(B60="","",_xll.flu_CocMaSatCMD($D$21,$D$15,$D$16,$D$22,$H$12:$O$25,FALSE,FALSE,$D$17,$D$12,$K$28,$H$28,A60,"fludon"))</f>
        <v>143.63361612212501</v>
      </c>
      <c r="K60" s="95">
        <f>IF(B60="","",_xll.flu_CocMaSatCMD($D$21,$D$15,$D$16,$D$22,$H$12:$O$25,FALSE,FALSE,$D$17,$D$12,$K$28,$H$28,A60,"flu"))</f>
        <v>1963.1322403828699</v>
      </c>
      <c r="L60" s="87">
        <f t="shared" si="1"/>
        <v>1963.1322403828699</v>
      </c>
      <c r="M60" s="42"/>
    </row>
    <row r="61" spans="1:13">
      <c r="A61" s="87">
        <f t="shared" si="2"/>
        <v>22</v>
      </c>
      <c r="B61" s="83">
        <f>_xll.flu_CocMaSatCMD($D$21,$D$15,$D$16,$D$22,$H$12:$O$26,FALSE,FALSE,$D$17,$D$12,$K$28,$H$28,A61,"Cao độ")</f>
        <v>19</v>
      </c>
      <c r="C61" s="87" t="str">
        <f>IF(B61="","",_xll.TimTenLoaiDat(B61,$F$12:$H$26))</f>
        <v>Lớp 5</v>
      </c>
      <c r="D61" s="82" t="str">
        <f>IF(B61="","",_xll.TimTinhChatDat(B61,$H$12:$I$26))</f>
        <v>Cát chặt vừa - thô</v>
      </c>
      <c r="E61" s="95">
        <f>IF(B61="","",_xll.Qb_CocMaSatCMD(B61,$H$12:$O$25,$D$20,$D$22,$H$28,$D$12,$D$24,$D$23,"qb"))</f>
        <v>0</v>
      </c>
      <c r="F61" s="95">
        <f t="shared" si="0"/>
        <v>0</v>
      </c>
      <c r="G61" s="96">
        <f>IF(B61="","",_xll.flu_CocMaSatCMD($D$21,$D$15,$D$16,$D$22,$H$12:$O$25,FALSE,FALSE,$D$17,$D$12,$K$28,$H$28,A61,"GanmaRf"))</f>
        <v>0.6</v>
      </c>
      <c r="H61" s="96">
        <f>IF(B61="","",_xll.flu_CocMaSatCMD($D$21,$D$15,$D$16,$D$22,$H$12:$O$25,FALSE,FALSE,$D$17,$D$12,$K$28,$H$28,A61,"Li"))</f>
        <v>1</v>
      </c>
      <c r="I61" s="95">
        <f>IF(B61="","",_xll.flu_CocMaSatCMD($D$21,$D$15,$D$16,$D$22,$H$12:$O$25,FALSE,FALSE,$D$17,$D$12,$K$28,$H$28,A61,"f"))</f>
        <v>77.599999999999994</v>
      </c>
      <c r="J61" s="95">
        <f>IF(B61="","",_xll.flu_CocMaSatCMD($D$21,$D$15,$D$16,$D$22,$H$12:$O$25,FALSE,FALSE,$D$17,$D$12,$K$28,$H$28,A61,"fludon"))</f>
        <v>146.27255395114099</v>
      </c>
      <c r="K61" s="95">
        <f>IF(B61="","",_xll.flu_CocMaSatCMD($D$21,$D$15,$D$16,$D$22,$H$12:$O$25,FALSE,FALSE,$D$17,$D$12,$K$28,$H$28,A61,"flu"))</f>
        <v>2109.4047943340101</v>
      </c>
      <c r="L61" s="87">
        <f t="shared" si="1"/>
        <v>2109.4047943340101</v>
      </c>
      <c r="M61" s="42"/>
    </row>
    <row r="62" spans="1:13">
      <c r="A62" s="87">
        <f t="shared" si="2"/>
        <v>23</v>
      </c>
      <c r="B62" s="83">
        <f>_xll.flu_CocMaSatCMD($D$21,$D$15,$D$16,$D$22,$H$12:$O$26,FALSE,FALSE,$D$17,$D$12,$K$28,$H$28,A62,"Cao độ")</f>
        <v>20</v>
      </c>
      <c r="C62" s="87" t="str">
        <f>IF(B62="","",_xll.TimTenLoaiDat(B62,$F$12:$H$26))</f>
        <v>Lớp 5</v>
      </c>
      <c r="D62" s="82" t="str">
        <f>IF(B62="","",_xll.TimTinhChatDat(B62,$H$12:$I$26))</f>
        <v>Cát chặt vừa - thô</v>
      </c>
      <c r="E62" s="95">
        <f>IF(B62="","",_xll.Qb_CocMaSatCMD(B62,$H$12:$O$25,$D$20,$D$22,$H$28,$D$12,$D$24,$D$23,"qb"))</f>
        <v>0</v>
      </c>
      <c r="F62" s="95">
        <f t="shared" si="0"/>
        <v>0</v>
      </c>
      <c r="G62" s="96">
        <f>IF(B62="","",_xll.flu_CocMaSatCMD($D$21,$D$15,$D$16,$D$22,$H$12:$O$25,FALSE,FALSE,$D$17,$D$12,$K$28,$H$28,A62,"GanmaRf"))</f>
        <v>0.6</v>
      </c>
      <c r="H62" s="96">
        <f>IF(B62="","",_xll.flu_CocMaSatCMD($D$21,$D$15,$D$16,$D$22,$H$12:$O$25,FALSE,FALSE,$D$17,$D$12,$K$28,$H$28,A62,"Li"))</f>
        <v>1</v>
      </c>
      <c r="I62" s="95">
        <f>IF(B62="","",_xll.flu_CocMaSatCMD($D$21,$D$15,$D$16,$D$22,$H$12:$O$25,FALSE,FALSE,$D$17,$D$12,$K$28,$H$28,A62,"f"))</f>
        <v>79</v>
      </c>
      <c r="J62" s="95">
        <f>IF(B62="","",_xll.flu_CocMaSatCMD($D$21,$D$15,$D$16,$D$22,$H$12:$O$25,FALSE,FALSE,$D$17,$D$12,$K$28,$H$28,A62,"fludon"))</f>
        <v>148.91149178015601</v>
      </c>
      <c r="K62" s="95">
        <f>IF(B62="","",_xll.flu_CocMaSatCMD($D$21,$D$15,$D$16,$D$22,$H$12:$O$25,FALSE,FALSE,$D$17,$D$12,$K$28,$H$28,A62,"flu"))</f>
        <v>2258.31628611416</v>
      </c>
      <c r="L62" s="87">
        <f t="shared" si="1"/>
        <v>2258.31628611416</v>
      </c>
      <c r="M62" s="42"/>
    </row>
    <row r="63" spans="1:13">
      <c r="A63" s="87">
        <f t="shared" si="2"/>
        <v>24</v>
      </c>
      <c r="B63" s="83">
        <f>_xll.flu_CocMaSatCMD($D$21,$D$15,$D$16,$D$22,$H$12:$O$26,FALSE,FALSE,$D$17,$D$12,$K$28,$H$28,A63,"Cao độ")</f>
        <v>21</v>
      </c>
      <c r="C63" s="87" t="str">
        <f>IF(B63="","",_xll.TimTenLoaiDat(B63,$F$12:$H$26))</f>
        <v>Lớp 5</v>
      </c>
      <c r="D63" s="82" t="str">
        <f>IF(B63="","",_xll.TimTinhChatDat(B63,$H$12:$I$26))</f>
        <v>Cát chặt vừa - thô</v>
      </c>
      <c r="E63" s="95">
        <f>IF(B63="","",_xll.Qb_CocMaSatCMD(B63,$H$12:$O$25,$D$20,$D$22,$H$28,$D$12,$D$24,$D$23,"qb"))</f>
        <v>0</v>
      </c>
      <c r="F63" s="95">
        <f t="shared" si="0"/>
        <v>0</v>
      </c>
      <c r="G63" s="96">
        <f>IF(B63="","",_xll.flu_CocMaSatCMD($D$21,$D$15,$D$16,$D$22,$H$12:$O$25,FALSE,FALSE,$D$17,$D$12,$K$28,$H$28,A63,"GanmaRf"))</f>
        <v>0.6</v>
      </c>
      <c r="H63" s="96">
        <f>IF(B63="","",_xll.flu_CocMaSatCMD($D$21,$D$15,$D$16,$D$22,$H$12:$O$25,FALSE,FALSE,$D$17,$D$12,$K$28,$H$28,A63,"Li"))</f>
        <v>1</v>
      </c>
      <c r="I63" s="95">
        <f>IF(B63="","",_xll.flu_CocMaSatCMD($D$21,$D$15,$D$16,$D$22,$H$12:$O$25,FALSE,FALSE,$D$17,$D$12,$K$28,$H$28,A63,"f"))</f>
        <v>80.400000000000006</v>
      </c>
      <c r="J63" s="95">
        <f>IF(B63="","",_xll.flu_CocMaSatCMD($D$21,$D$15,$D$16,$D$22,$H$12:$O$25,FALSE,FALSE,$D$17,$D$12,$K$28,$H$28,A63,"fludon"))</f>
        <v>151.550429609172</v>
      </c>
      <c r="K63" s="95">
        <f>IF(B63="","",_xll.flu_CocMaSatCMD($D$21,$D$15,$D$16,$D$22,$H$12:$O$25,FALSE,FALSE,$D$17,$D$12,$K$28,$H$28,A63,"flu"))</f>
        <v>2409.8667157233299</v>
      </c>
      <c r="L63" s="87">
        <f t="shared" si="1"/>
        <v>2409.8667157233299</v>
      </c>
      <c r="M63" s="42"/>
    </row>
    <row r="64" spans="1:13">
      <c r="A64" s="87">
        <f t="shared" si="2"/>
        <v>25</v>
      </c>
      <c r="B64" s="83">
        <f>_xll.flu_CocMaSatCMD($D$21,$D$15,$D$16,$D$22,$H$12:$O$26,FALSE,FALSE,$D$17,$D$12,$K$28,$H$28,A64,"Cao độ")</f>
        <v>22</v>
      </c>
      <c r="C64" s="87" t="str">
        <f>IF(B64="","",_xll.TimTenLoaiDat(B64,$F$12:$H$26))</f>
        <v>Lớp 5</v>
      </c>
      <c r="D64" s="82" t="str">
        <f>IF(B64="","",_xll.TimTinhChatDat(B64,$H$12:$I$26))</f>
        <v>Cát chặt vừa - thô</v>
      </c>
      <c r="E64" s="95">
        <f>IF(B64="","",_xll.Qb_CocMaSatCMD(B64,$H$12:$O$25,$D$20,$D$22,$H$28,$D$12,$D$24,$D$23,"qb"))</f>
        <v>0</v>
      </c>
      <c r="F64" s="95">
        <f t="shared" si="0"/>
        <v>0</v>
      </c>
      <c r="G64" s="96">
        <f>IF(B64="","",_xll.flu_CocMaSatCMD($D$21,$D$15,$D$16,$D$22,$H$12:$O$25,FALSE,FALSE,$D$17,$D$12,$K$28,$H$28,A64,"GanmaRf"))</f>
        <v>0.6</v>
      </c>
      <c r="H64" s="96">
        <f>IF(B64="","",_xll.flu_CocMaSatCMD($D$21,$D$15,$D$16,$D$22,$H$12:$O$25,FALSE,FALSE,$D$17,$D$12,$K$28,$H$28,A64,"Li"))</f>
        <v>1</v>
      </c>
      <c r="I64" s="95">
        <f>IF(B64="","",_xll.flu_CocMaSatCMD($D$21,$D$15,$D$16,$D$22,$H$12:$O$25,FALSE,FALSE,$D$17,$D$12,$K$28,$H$28,A64,"f"))</f>
        <v>81.8</v>
      </c>
      <c r="J64" s="95">
        <f>IF(B64="","",_xll.flu_CocMaSatCMD($D$21,$D$15,$D$16,$D$22,$H$12:$O$25,FALSE,FALSE,$D$17,$D$12,$K$28,$H$28,A64,"fludon"))</f>
        <v>154.18936743818699</v>
      </c>
      <c r="K64" s="95">
        <f>IF(B64="","",_xll.flu_CocMaSatCMD($D$21,$D$15,$D$16,$D$22,$H$12:$O$25,FALSE,FALSE,$D$17,$D$12,$K$28,$H$28,A64,"flu"))</f>
        <v>2564.0560831615198</v>
      </c>
      <c r="L64" s="87">
        <f t="shared" si="1"/>
        <v>2564.0560831615198</v>
      </c>
      <c r="M64" s="42"/>
    </row>
    <row r="65" spans="1:13">
      <c r="A65" s="87">
        <f t="shared" si="2"/>
        <v>26</v>
      </c>
      <c r="B65" s="83">
        <f>_xll.flu_CocMaSatCMD($D$21,$D$15,$D$16,$D$22,$H$12:$O$26,FALSE,FALSE,$D$17,$D$12,$K$28,$H$28,A65,"Cao độ")</f>
        <v>23</v>
      </c>
      <c r="C65" s="87" t="str">
        <f>IF(B65="","",_xll.TimTenLoaiDat(B65,$F$12:$H$26))</f>
        <v>Lớp 5</v>
      </c>
      <c r="D65" s="82" t="str">
        <f>IF(B65="","",_xll.TimTinhChatDat(B65,$H$12:$I$26))</f>
        <v>Cát chặt vừa - thô</v>
      </c>
      <c r="E65" s="95">
        <f>IF(B65="","",_xll.Qb_CocMaSatCMD(B65,$H$12:$O$25,$D$20,$D$22,$H$28,$D$12,$D$24,$D$23,"qb"))</f>
        <v>0</v>
      </c>
      <c r="F65" s="95">
        <f t="shared" si="0"/>
        <v>0</v>
      </c>
      <c r="G65" s="96">
        <f>IF(B65="","",_xll.flu_CocMaSatCMD($D$21,$D$15,$D$16,$D$22,$H$12:$O$25,FALSE,FALSE,$D$17,$D$12,$K$28,$H$28,A65,"GanmaRf"))</f>
        <v>0.6</v>
      </c>
      <c r="H65" s="96">
        <f>IF(B65="","",_xll.flu_CocMaSatCMD($D$21,$D$15,$D$16,$D$22,$H$12:$O$25,FALSE,FALSE,$D$17,$D$12,$K$28,$H$28,A65,"Li"))</f>
        <v>1</v>
      </c>
      <c r="I65" s="95">
        <f>IF(B65="","",_xll.flu_CocMaSatCMD($D$21,$D$15,$D$16,$D$22,$H$12:$O$25,FALSE,FALSE,$D$17,$D$12,$K$28,$H$28,A65,"f"))</f>
        <v>83.2</v>
      </c>
      <c r="J65" s="95">
        <f>IF(B65="","",_xll.flu_CocMaSatCMD($D$21,$D$15,$D$16,$D$22,$H$12:$O$25,FALSE,FALSE,$D$17,$D$12,$K$28,$H$28,A65,"fludon"))</f>
        <v>156.82830526720201</v>
      </c>
      <c r="K65" s="95">
        <f>IF(B65="","",_xll.flu_CocMaSatCMD($D$21,$D$15,$D$16,$D$22,$H$12:$O$25,FALSE,FALSE,$D$17,$D$12,$K$28,$H$28,A65,"flu"))</f>
        <v>2720.8843884287198</v>
      </c>
      <c r="L65" s="87">
        <f t="shared" si="1"/>
        <v>2720.8843884287198</v>
      </c>
      <c r="M65" s="42"/>
    </row>
    <row r="66" spans="1:13">
      <c r="A66" s="87">
        <f t="shared" si="2"/>
        <v>27</v>
      </c>
      <c r="B66" s="83">
        <f>_xll.flu_CocMaSatCMD($D$21,$D$15,$D$16,$D$22,$H$12:$O$26,FALSE,FALSE,$D$17,$D$12,$K$28,$H$28,A66,"Cao độ")</f>
        <v>24</v>
      </c>
      <c r="C66" s="87" t="str">
        <f>IF(B66="","",_xll.TimTenLoaiDat(B66,$F$12:$H$26))</f>
        <v>Lớp 5</v>
      </c>
      <c r="D66" s="82" t="str">
        <f>IF(B66="","",_xll.TimTinhChatDat(B66,$H$12:$I$26))</f>
        <v>Cát chặt vừa - thô</v>
      </c>
      <c r="E66" s="95">
        <f>IF(B66="","",_xll.Qb_CocMaSatCMD(B66,$H$12:$O$25,$D$20,$D$22,$H$28,$D$12,$D$24,$D$23,"qb"))</f>
        <v>0</v>
      </c>
      <c r="F66" s="95">
        <f t="shared" si="0"/>
        <v>0</v>
      </c>
      <c r="G66" s="96">
        <f>IF(B66="","",_xll.flu_CocMaSatCMD($D$21,$D$15,$D$16,$D$22,$H$12:$O$25,FALSE,FALSE,$D$17,$D$12,$K$28,$H$28,A66,"GanmaRf"))</f>
        <v>0.6</v>
      </c>
      <c r="H66" s="96">
        <f>IF(B66="","",_xll.flu_CocMaSatCMD($D$21,$D$15,$D$16,$D$22,$H$12:$O$25,FALSE,FALSE,$D$17,$D$12,$K$28,$H$28,A66,"Li"))</f>
        <v>1</v>
      </c>
      <c r="I66" s="95">
        <f>IF(B66="","",_xll.flu_CocMaSatCMD($D$21,$D$15,$D$16,$D$22,$H$12:$O$25,FALSE,FALSE,$D$17,$D$12,$K$28,$H$28,A66,"f"))</f>
        <v>84.6</v>
      </c>
      <c r="J66" s="95">
        <f>IF(B66="","",_xll.flu_CocMaSatCMD($D$21,$D$15,$D$16,$D$22,$H$12:$O$25,FALSE,FALSE,$D$17,$D$12,$K$28,$H$28,A66,"fludon"))</f>
        <v>159.467243096218</v>
      </c>
      <c r="K66" s="95">
        <f>IF(B66="","",_xll.flu_CocMaSatCMD($D$21,$D$15,$D$16,$D$22,$H$12:$O$25,FALSE,FALSE,$D$17,$D$12,$K$28,$H$28,A66,"flu"))</f>
        <v>2880.3516315249399</v>
      </c>
      <c r="L66" s="87">
        <f t="shared" si="1"/>
        <v>2880.3516315249399</v>
      </c>
      <c r="M66" s="42"/>
    </row>
    <row r="67" spans="1:13">
      <c r="A67" s="87">
        <f t="shared" si="2"/>
        <v>28</v>
      </c>
      <c r="B67" s="83">
        <f>_xll.flu_CocMaSatCMD($D$21,$D$15,$D$16,$D$22,$H$12:$O$26,FALSE,FALSE,$D$17,$D$12,$K$28,$H$28,A67,"Cao độ")</f>
        <v>25</v>
      </c>
      <c r="C67" s="87" t="str">
        <f>IF(B67="","",_xll.TimTenLoaiDat(B67,$F$12:$H$26))</f>
        <v>Lớp 5</v>
      </c>
      <c r="D67" s="82" t="str">
        <f>IF(B67="","",_xll.TimTinhChatDat(B67,$H$12:$I$26))</f>
        <v>Cát chặt vừa - thô</v>
      </c>
      <c r="E67" s="95">
        <f>IF(B67="","",_xll.Qb_CocMaSatCMD(B67,$H$12:$O$25,$D$20,$D$22,$H$28,$D$12,$D$24,$D$23,"qb"))</f>
        <v>0</v>
      </c>
      <c r="F67" s="95">
        <f t="shared" si="0"/>
        <v>0</v>
      </c>
      <c r="G67" s="96">
        <f>IF(B67="","",_xll.flu_CocMaSatCMD($D$21,$D$15,$D$16,$D$22,$H$12:$O$25,FALSE,FALSE,$D$17,$D$12,$K$28,$H$28,A67,"GanmaRf"))</f>
        <v>0.6</v>
      </c>
      <c r="H67" s="96">
        <f>IF(B67="","",_xll.flu_CocMaSatCMD($D$21,$D$15,$D$16,$D$22,$H$12:$O$25,FALSE,FALSE,$D$17,$D$12,$K$28,$H$28,A67,"Li"))</f>
        <v>1</v>
      </c>
      <c r="I67" s="95">
        <f>IF(B67="","",_xll.flu_CocMaSatCMD($D$21,$D$15,$D$16,$D$22,$H$12:$O$25,FALSE,FALSE,$D$17,$D$12,$K$28,$H$28,A67,"f"))</f>
        <v>86</v>
      </c>
      <c r="J67" s="95">
        <f>IF(B67="","",_xll.flu_CocMaSatCMD($D$21,$D$15,$D$16,$D$22,$H$12:$O$25,FALSE,FALSE,$D$17,$D$12,$K$28,$H$28,A67,"fludon"))</f>
        <v>162.10618092523299</v>
      </c>
      <c r="K67" s="95">
        <f>IF(B67="","",_xll.flu_CocMaSatCMD($D$21,$D$15,$D$16,$D$22,$H$12:$O$25,FALSE,FALSE,$D$17,$D$12,$K$28,$H$28,A67,"flu"))</f>
        <v>3042.45781245018</v>
      </c>
      <c r="L67" s="87">
        <f t="shared" si="1"/>
        <v>3042.45781245018</v>
      </c>
      <c r="M67" s="42"/>
    </row>
    <row r="68" spans="1:13">
      <c r="A68" s="87">
        <f t="shared" si="2"/>
        <v>29</v>
      </c>
      <c r="B68" s="83">
        <f>_xll.flu_CocMaSatCMD($D$21,$D$15,$D$16,$D$22,$H$12:$O$26,FALSE,FALSE,$D$17,$D$12,$K$28,$H$28,A68,"Cao độ")</f>
        <v>26</v>
      </c>
      <c r="C68" s="87" t="str">
        <f>IF(B68="","",_xll.TimTenLoaiDat(B68,$F$12:$H$26))</f>
        <v>Lớp 5</v>
      </c>
      <c r="D68" s="82" t="str">
        <f>IF(B68="","",_xll.TimTinhChatDat(B68,$H$12:$I$26))</f>
        <v>Cát chặt vừa - thô</v>
      </c>
      <c r="E68" s="95">
        <f>IF(B68="","",_xll.Qb_CocMaSatCMD(B68,$H$12:$O$25,$D$20,$D$22,$H$28,$D$12,$D$24,$D$23,"qb"))</f>
        <v>0</v>
      </c>
      <c r="F68" s="95">
        <f t="shared" si="0"/>
        <v>0</v>
      </c>
      <c r="G68" s="96">
        <f>IF(B68="","",_xll.flu_CocMaSatCMD($D$21,$D$15,$D$16,$D$22,$H$12:$O$25,FALSE,FALSE,$D$17,$D$12,$K$28,$H$28,A68,"GanmaRf"))</f>
        <v>0.6</v>
      </c>
      <c r="H68" s="96">
        <f>IF(B68="","",_xll.flu_CocMaSatCMD($D$21,$D$15,$D$16,$D$22,$H$12:$O$25,FALSE,FALSE,$D$17,$D$12,$K$28,$H$28,A68,"Li"))</f>
        <v>1</v>
      </c>
      <c r="I68" s="95">
        <f>IF(B68="","",_xll.flu_CocMaSatCMD($D$21,$D$15,$D$16,$D$22,$H$12:$O$25,FALSE,FALSE,$D$17,$D$12,$K$28,$H$28,A68,"f"))</f>
        <v>87.4</v>
      </c>
      <c r="J68" s="95">
        <f>IF(B68="","",_xll.flu_CocMaSatCMD($D$21,$D$15,$D$16,$D$22,$H$12:$O$25,FALSE,FALSE,$D$17,$D$12,$K$28,$H$28,A68,"fludon"))</f>
        <v>164.74511875424901</v>
      </c>
      <c r="K68" s="95">
        <f>IF(B68="","",_xll.flu_CocMaSatCMD($D$21,$D$15,$D$16,$D$22,$H$12:$O$25,FALSE,FALSE,$D$17,$D$12,$K$28,$H$28,A68,"flu"))</f>
        <v>3207.2029312044201</v>
      </c>
      <c r="L68" s="87">
        <f t="shared" si="1"/>
        <v>3207.2029312044201</v>
      </c>
      <c r="M68" s="42"/>
    </row>
    <row r="69" spans="1:13">
      <c r="A69" s="87">
        <f t="shared" si="2"/>
        <v>30</v>
      </c>
      <c r="B69" s="83">
        <f>_xll.flu_CocMaSatCMD($D$21,$D$15,$D$16,$D$22,$H$12:$O$26,FALSE,FALSE,$D$17,$D$12,$K$28,$H$28,A69,"Cao độ")</f>
        <v>27</v>
      </c>
      <c r="C69" s="87" t="str">
        <f>IF(B69="","",_xll.TimTenLoaiDat(B69,$F$12:$H$26))</f>
        <v>Lớp 6</v>
      </c>
      <c r="D69" s="82" t="str">
        <f>IF(B69="","",_xll.TimTinhChatDat(B69,$H$12:$I$26))</f>
        <v>Cát chặt vừa - thô</v>
      </c>
      <c r="E69" s="95" t="str">
        <f>IF(B69="","",_xll.Qb_CocMaSatCMD(B69,$H$12:$O$25,$D$20,$D$22,$H$28,$D$12,$D$24,$D$23,"qb"))</f>
        <v>chiều sâu hạ cọc trong lớp đất làm nền &lt; 2 mét - không đủ / chú thích 1 - 7.2.3.2 - 10304-2025</v>
      </c>
      <c r="F69" s="95">
        <f t="shared" si="0"/>
        <v>0</v>
      </c>
      <c r="G69" s="96">
        <f>IF(B69="","",_xll.flu_CocMaSatCMD($D$21,$D$15,$D$16,$D$22,$H$12:$O$25,FALSE,FALSE,$D$17,$D$12,$K$28,$H$28,A69,"GanmaRf"))</f>
        <v>0.6</v>
      </c>
      <c r="H69" s="96">
        <f>IF(B69="","",_xll.flu_CocMaSatCMD($D$21,$D$15,$D$16,$D$22,$H$12:$O$25,FALSE,FALSE,$D$17,$D$12,$K$28,$H$28,A69,"Li"))</f>
        <v>1</v>
      </c>
      <c r="I69" s="95">
        <f>IF(B69="","",_xll.flu_CocMaSatCMD($D$21,$D$15,$D$16,$D$22,$H$12:$O$25,FALSE,FALSE,$D$17,$D$12,$K$28,$H$28,A69,"f"))</f>
        <v>88.8</v>
      </c>
      <c r="J69" s="95">
        <f>IF(B69="","",_xll.flu_CocMaSatCMD($D$21,$D$15,$D$16,$D$22,$H$12:$O$25,FALSE,FALSE,$D$17,$D$12,$K$28,$H$28,A69,"fludon"))</f>
        <v>167.384056583264</v>
      </c>
      <c r="K69" s="95">
        <f>IF(B69="","",_xll.flu_CocMaSatCMD($D$21,$D$15,$D$16,$D$22,$H$12:$O$25,FALSE,FALSE,$D$17,$D$12,$K$28,$H$28,A69,"flu"))</f>
        <v>3374.5869877876898</v>
      </c>
      <c r="L69" s="87">
        <f t="shared" si="1"/>
        <v>3374.5869877876898</v>
      </c>
      <c r="M69" s="42"/>
    </row>
    <row r="70" spans="1:13">
      <c r="A70" s="87">
        <f t="shared" si="2"/>
        <v>31</v>
      </c>
      <c r="B70" s="83">
        <f>_xll.flu_CocMaSatCMD($D$21,$D$15,$D$16,$D$22,$H$12:$O$26,FALSE,FALSE,$D$17,$D$12,$K$28,$H$28,A70,"Cao độ")</f>
        <v>28</v>
      </c>
      <c r="C70" s="87" t="str">
        <f>IF(B70="","",_xll.TimTenLoaiDat(B70,$F$12:$H$26))</f>
        <v>Lớp 6</v>
      </c>
      <c r="D70" s="82" t="str">
        <f>IF(B70="","",_xll.TimTinhChatDat(B70,$H$12:$I$26))</f>
        <v>Cát chặt vừa - thô</v>
      </c>
      <c r="E70" s="95" t="str">
        <f>IF(B70="","",_xll.Qb_CocMaSatCMD(B70,$H$12:$O$25,$D$20,$D$22,$H$28,$D$12,$D$24,$D$23,"qb"))</f>
        <v>chiều sâu hạ cọc trong lớp đất làm nền &lt; 2 mét - không đủ / chú thích 1 - 7.2.3.2 - 10304-2025</v>
      </c>
      <c r="F70" s="95">
        <f t="shared" si="0"/>
        <v>0</v>
      </c>
      <c r="G70" s="96">
        <f>IF(B70="","",_xll.flu_CocMaSatCMD($D$21,$D$15,$D$16,$D$22,$H$12:$O$25,FALSE,FALSE,$D$17,$D$12,$K$28,$H$28,A70,"GanmaRf"))</f>
        <v>0.6</v>
      </c>
      <c r="H70" s="96">
        <f>IF(B70="","",_xll.flu_CocMaSatCMD($D$21,$D$15,$D$16,$D$22,$H$12:$O$25,FALSE,FALSE,$D$17,$D$12,$K$28,$H$28,A70,"Li"))</f>
        <v>1</v>
      </c>
      <c r="I70" s="95">
        <f>IF(B70="","",_xll.flu_CocMaSatCMD($D$21,$D$15,$D$16,$D$22,$H$12:$O$25,FALSE,FALSE,$D$17,$D$12,$K$28,$H$28,A70,"f"))</f>
        <v>90.2</v>
      </c>
      <c r="J70" s="95">
        <f>IF(B70="","",_xll.flu_CocMaSatCMD($D$21,$D$15,$D$16,$D$22,$H$12:$O$25,FALSE,FALSE,$D$17,$D$12,$K$28,$H$28,A70,"fludon"))</f>
        <v>170.02299441228001</v>
      </c>
      <c r="K70" s="95">
        <f>IF(B70="","",_xll.flu_CocMaSatCMD($D$21,$D$15,$D$16,$D$22,$H$12:$O$25,FALSE,FALSE,$D$17,$D$12,$K$28,$H$28,A70,"flu"))</f>
        <v>3544.6099821999701</v>
      </c>
      <c r="L70" s="87">
        <f t="shared" si="1"/>
        <v>3544.6099821999701</v>
      </c>
      <c r="M70" s="42"/>
    </row>
    <row r="71" spans="1:13">
      <c r="A71" s="87">
        <f t="shared" si="2"/>
        <v>32</v>
      </c>
      <c r="B71" s="83">
        <f>_xll.flu_CocMaSatCMD($D$21,$D$15,$D$16,$D$22,$H$12:$O$26,FALSE,FALSE,$D$17,$D$12,$K$28,$H$28,A71,"Cao độ")</f>
        <v>29</v>
      </c>
      <c r="C71" s="87" t="str">
        <f>IF(B71="","",_xll.TimTenLoaiDat(B71,$F$12:$H$26))</f>
        <v>Lớp 6</v>
      </c>
      <c r="D71" s="82" t="str">
        <f>IF(B71="","",_xll.TimTinhChatDat(B71,$H$12:$I$26))</f>
        <v>Cát chặt vừa - thô</v>
      </c>
      <c r="E71" s="95">
        <f>IF(B71="","",_xll.Qb_CocMaSatCMD(B71,$H$12:$O$25,$D$20,$D$22,$H$28,$D$12,$D$24,$D$23,"qb"))</f>
        <v>0</v>
      </c>
      <c r="F71" s="95">
        <f t="shared" ref="F71:F102" si="3">IF(B71="","",IFERROR($D$22*$D$23*E71*$D$20,0))</f>
        <v>0</v>
      </c>
      <c r="G71" s="96">
        <f>IF(B71="","",_xll.flu_CocMaSatCMD($D$21,$D$15,$D$16,$D$22,$H$12:$O$25,FALSE,FALSE,$D$17,$D$12,$K$28,$H$28,A71,"GanmaRf"))</f>
        <v>0.6</v>
      </c>
      <c r="H71" s="96">
        <f>IF(B71="","",_xll.flu_CocMaSatCMD($D$21,$D$15,$D$16,$D$22,$H$12:$O$25,FALSE,FALSE,$D$17,$D$12,$K$28,$H$28,A71,"Li"))</f>
        <v>1</v>
      </c>
      <c r="I71" s="95">
        <f>IF(B71="","",_xll.flu_CocMaSatCMD($D$21,$D$15,$D$16,$D$22,$H$12:$O$25,FALSE,FALSE,$D$17,$D$12,$K$28,$H$28,A71,"f"))</f>
        <v>91.6</v>
      </c>
      <c r="J71" s="95">
        <f>IF(B71="","",_xll.flu_CocMaSatCMD($D$21,$D$15,$D$16,$D$22,$H$12:$O$25,FALSE,FALSE,$D$17,$D$12,$K$28,$H$28,A71,"fludon"))</f>
        <v>172.66193224129501</v>
      </c>
      <c r="K71" s="95">
        <f>IF(B71="","",_xll.flu_CocMaSatCMD($D$21,$D$15,$D$16,$D$22,$H$12:$O$25,FALSE,FALSE,$D$17,$D$12,$K$28,$H$28,A71,"flu"))</f>
        <v>3717.2719144412599</v>
      </c>
      <c r="L71" s="87">
        <f t="shared" ref="L71:L102" si="4">IF(B71="",NA(),K71+F71)</f>
        <v>3717.2719144412599</v>
      </c>
      <c r="M71" s="42"/>
    </row>
    <row r="72" spans="1:13">
      <c r="A72" s="87">
        <f t="shared" si="2"/>
        <v>33</v>
      </c>
      <c r="B72" s="83">
        <f>_xll.flu_CocMaSatCMD($D$21,$D$15,$D$16,$D$22,$H$12:$O$26,FALSE,FALSE,$D$17,$D$12,$K$28,$H$28,A72,"Cao độ")</f>
        <v>30</v>
      </c>
      <c r="C72" s="87" t="str">
        <f>IF(B72="","",_xll.TimTenLoaiDat(B72,$F$12:$H$26))</f>
        <v>Lớp 6</v>
      </c>
      <c r="D72" s="82" t="str">
        <f>IF(B72="","",_xll.TimTinhChatDat(B72,$H$12:$I$26))</f>
        <v>Cát chặt vừa - thô</v>
      </c>
      <c r="E72" s="95">
        <f>IF(B72="","",_xll.Qb_CocMaSatCMD(B72,$H$12:$O$25,$D$20,$D$22,$H$28,$D$12,$D$24,$D$23,"qb"))</f>
        <v>0</v>
      </c>
      <c r="F72" s="95">
        <f t="shared" si="3"/>
        <v>0</v>
      </c>
      <c r="G72" s="96">
        <f>IF(B72="","",_xll.flu_CocMaSatCMD($D$21,$D$15,$D$16,$D$22,$H$12:$O$25,FALSE,FALSE,$D$17,$D$12,$K$28,$H$28,A72,"GanmaRf"))</f>
        <v>0.6</v>
      </c>
      <c r="H72" s="96">
        <f>IF(B72="","",_xll.flu_CocMaSatCMD($D$21,$D$15,$D$16,$D$22,$H$12:$O$25,FALSE,FALSE,$D$17,$D$12,$K$28,$H$28,A72,"Li"))</f>
        <v>1</v>
      </c>
      <c r="I72" s="95">
        <f>IF(B72="","",_xll.flu_CocMaSatCMD($D$21,$D$15,$D$16,$D$22,$H$12:$O$25,FALSE,FALSE,$D$17,$D$12,$K$28,$H$28,A72,"f"))</f>
        <v>93</v>
      </c>
      <c r="J72" s="95">
        <f>IF(B72="","",_xll.flu_CocMaSatCMD($D$21,$D$15,$D$16,$D$22,$H$12:$O$25,FALSE,FALSE,$D$17,$D$12,$K$28,$H$28,A72,"fludon"))</f>
        <v>175.30087007031</v>
      </c>
      <c r="K72" s="95">
        <f>IF(B72="","",_xll.flu_CocMaSatCMD($D$21,$D$15,$D$16,$D$22,$H$12:$O$25,FALSE,FALSE,$D$17,$D$12,$K$28,$H$28,A72,"flu"))</f>
        <v>3892.5727845115698</v>
      </c>
      <c r="L72" s="87">
        <f t="shared" si="4"/>
        <v>3892.5727845115698</v>
      </c>
      <c r="M72" s="42"/>
    </row>
    <row r="73" spans="1:13">
      <c r="A73" s="87">
        <f t="shared" si="2"/>
        <v>34</v>
      </c>
      <c r="B73" s="83">
        <f>_xll.flu_CocMaSatCMD($D$21,$D$15,$D$16,$D$22,$H$12:$O$26,FALSE,FALSE,$D$17,$D$12,$K$28,$H$28,A73,"Cao độ")</f>
        <v>31</v>
      </c>
      <c r="C73" s="87" t="str">
        <f>IF(B73="","",_xll.TimTenLoaiDat(B73,$F$12:$H$26))</f>
        <v>Lớp 6</v>
      </c>
      <c r="D73" s="82" t="str">
        <f>IF(B73="","",_xll.TimTinhChatDat(B73,$H$12:$I$26))</f>
        <v>Cát chặt vừa - thô</v>
      </c>
      <c r="E73" s="95">
        <f>IF(B73="","",_xll.Qb_CocMaSatCMD(B73,$H$12:$O$25,$D$20,$D$22,$H$28,$D$12,$D$24,$D$23,"qb"))</f>
        <v>0</v>
      </c>
      <c r="F73" s="95">
        <f t="shared" si="3"/>
        <v>0</v>
      </c>
      <c r="G73" s="96">
        <f>IF(B73="","",_xll.flu_CocMaSatCMD($D$21,$D$15,$D$16,$D$22,$H$12:$O$25,FALSE,FALSE,$D$17,$D$12,$K$28,$H$28,A73,"GanmaRf"))</f>
        <v>0.6</v>
      </c>
      <c r="H73" s="96">
        <f>IF(B73="","",_xll.flu_CocMaSatCMD($D$21,$D$15,$D$16,$D$22,$H$12:$O$25,FALSE,FALSE,$D$17,$D$12,$K$28,$H$28,A73,"Li"))</f>
        <v>1</v>
      </c>
      <c r="I73" s="95">
        <f>IF(B73="","",_xll.flu_CocMaSatCMD($D$21,$D$15,$D$16,$D$22,$H$12:$O$25,FALSE,FALSE,$D$17,$D$12,$K$28,$H$28,A73,"f"))</f>
        <v>94.4</v>
      </c>
      <c r="J73" s="95">
        <f>IF(B73="","",_xll.flu_CocMaSatCMD($D$21,$D$15,$D$16,$D$22,$H$12:$O$25,FALSE,FALSE,$D$17,$D$12,$K$28,$H$28,A73,"fludon"))</f>
        <v>177.93980789932601</v>
      </c>
      <c r="K73" s="95">
        <f>IF(B73="","",_xll.flu_CocMaSatCMD($D$21,$D$15,$D$16,$D$22,$H$12:$O$25,FALSE,FALSE,$D$17,$D$12,$K$28,$H$28,A73,"flu"))</f>
        <v>4070.5125924109002</v>
      </c>
      <c r="L73" s="87">
        <f t="shared" si="4"/>
        <v>4070.5125924109002</v>
      </c>
      <c r="M73" s="42"/>
    </row>
    <row r="74" spans="1:13">
      <c r="A74" s="87">
        <f t="shared" si="2"/>
        <v>35</v>
      </c>
      <c r="B74" s="83">
        <f>_xll.flu_CocMaSatCMD($D$21,$D$15,$D$16,$D$22,$H$12:$O$26,FALSE,FALSE,$D$17,$D$12,$K$28,$H$28,A74,"Cao độ")</f>
        <v>32</v>
      </c>
      <c r="C74" s="87" t="str">
        <f>IF(B74="","",_xll.TimTenLoaiDat(B74,$F$12:$H$26))</f>
        <v>Lớp 6</v>
      </c>
      <c r="D74" s="82" t="str">
        <f>IF(B74="","",_xll.TimTinhChatDat(B74,$H$12:$I$26))</f>
        <v>Cát chặt vừa - thô</v>
      </c>
      <c r="E74" s="95">
        <f>IF(B74="","",_xll.Qb_CocMaSatCMD(B74,$H$12:$O$25,$D$20,$D$22,$H$28,$D$12,$D$24,$D$23,"qb"))</f>
        <v>0</v>
      </c>
      <c r="F74" s="95">
        <f t="shared" si="3"/>
        <v>0</v>
      </c>
      <c r="G74" s="96">
        <f>IF(B74="","",_xll.flu_CocMaSatCMD($D$21,$D$15,$D$16,$D$22,$H$12:$O$25,FALSE,FALSE,$D$17,$D$12,$K$28,$H$28,A74,"GanmaRf"))</f>
        <v>0.6</v>
      </c>
      <c r="H74" s="96">
        <f>IF(B74="","",_xll.flu_CocMaSatCMD($D$21,$D$15,$D$16,$D$22,$H$12:$O$25,FALSE,FALSE,$D$17,$D$12,$K$28,$H$28,A74,"Li"))</f>
        <v>1</v>
      </c>
      <c r="I74" s="95">
        <f>IF(B74="","",_xll.flu_CocMaSatCMD($D$21,$D$15,$D$16,$D$22,$H$12:$O$25,FALSE,FALSE,$D$17,$D$12,$K$28,$H$28,A74,"f"))</f>
        <v>95.8</v>
      </c>
      <c r="J74" s="95">
        <f>IF(B74="","",_xll.flu_CocMaSatCMD($D$21,$D$15,$D$16,$D$22,$H$12:$O$25,FALSE,FALSE,$D$17,$D$12,$K$28,$H$28,A74,"fludon"))</f>
        <v>180.578745728341</v>
      </c>
      <c r="K74" s="95">
        <f>IF(B74="","",_xll.flu_CocMaSatCMD($D$21,$D$15,$D$16,$D$22,$H$12:$O$25,FALSE,FALSE,$D$17,$D$12,$K$28,$H$28,A74,"flu"))</f>
        <v>4251.0913381392402</v>
      </c>
      <c r="L74" s="87">
        <f t="shared" si="4"/>
        <v>4251.0913381392402</v>
      </c>
      <c r="M74" s="42"/>
    </row>
    <row r="75" spans="1:13">
      <c r="A75" s="87">
        <f t="shared" si="2"/>
        <v>36</v>
      </c>
      <c r="B75" s="83">
        <f>_xll.flu_CocMaSatCMD($D$21,$D$15,$D$16,$D$22,$H$12:$O$26,FALSE,FALSE,$D$17,$D$12,$K$28,$H$28,A75,"Cao độ")</f>
        <v>33</v>
      </c>
      <c r="C75" s="87" t="str">
        <f>IF(B75="","",_xll.TimTenLoaiDat(B75,$F$12:$H$26))</f>
        <v>Lớp 6</v>
      </c>
      <c r="D75" s="82" t="str">
        <f>IF(B75="","",_xll.TimTinhChatDat(B75,$H$12:$I$26))</f>
        <v>Cát chặt vừa - thô</v>
      </c>
      <c r="E75" s="95">
        <f>IF(B75="","",_xll.Qb_CocMaSatCMD(B75,$H$12:$O$25,$D$20,$D$22,$H$28,$D$12,$D$24,$D$23,"qb"))</f>
        <v>0</v>
      </c>
      <c r="F75" s="95">
        <f t="shared" si="3"/>
        <v>0</v>
      </c>
      <c r="G75" s="96">
        <f>IF(B75="","",_xll.flu_CocMaSatCMD($D$21,$D$15,$D$16,$D$22,$H$12:$O$25,FALSE,FALSE,$D$17,$D$12,$K$28,$H$28,A75,"GanmaRf"))</f>
        <v>0.6</v>
      </c>
      <c r="H75" s="96">
        <f>IF(B75="","",_xll.flu_CocMaSatCMD($D$21,$D$15,$D$16,$D$22,$H$12:$O$25,FALSE,FALSE,$D$17,$D$12,$K$28,$H$28,A75,"Li"))</f>
        <v>1</v>
      </c>
      <c r="I75" s="95">
        <f>IF(B75="","",_xll.flu_CocMaSatCMD($D$21,$D$15,$D$16,$D$22,$H$12:$O$25,FALSE,FALSE,$D$17,$D$12,$K$28,$H$28,A75,"f"))</f>
        <v>97.2</v>
      </c>
      <c r="J75" s="95">
        <f>IF(B75="","",_xll.flu_CocMaSatCMD($D$21,$D$15,$D$16,$D$22,$H$12:$O$25,FALSE,FALSE,$D$17,$D$12,$K$28,$H$28,A75,"fludon"))</f>
        <v>183.21768355735699</v>
      </c>
      <c r="K75" s="95">
        <f>IF(B75="","",_xll.flu_CocMaSatCMD($D$21,$D$15,$D$16,$D$22,$H$12:$O$25,FALSE,FALSE,$D$17,$D$12,$K$28,$H$28,A75,"flu"))</f>
        <v>4434.3090216966002</v>
      </c>
      <c r="L75" s="87">
        <f t="shared" si="4"/>
        <v>4434.3090216966002</v>
      </c>
      <c r="M75" s="42"/>
    </row>
    <row r="76" spans="1:13">
      <c r="A76" s="87">
        <f t="shared" si="2"/>
        <v>37</v>
      </c>
      <c r="B76" s="83">
        <f>_xll.flu_CocMaSatCMD($D$21,$D$15,$D$16,$D$22,$H$12:$O$26,FALSE,FALSE,$D$17,$D$12,$K$28,$H$28,A76,"Cao độ")</f>
        <v>34</v>
      </c>
      <c r="C76" s="87" t="str">
        <f>IF(B76="","",_xll.TimTenLoaiDat(B76,$F$12:$H$26))</f>
        <v>Lớp 6</v>
      </c>
      <c r="D76" s="82" t="str">
        <f>IF(B76="","",_xll.TimTinhChatDat(B76,$H$12:$I$26))</f>
        <v>Cát chặt vừa - thô</v>
      </c>
      <c r="E76" s="95">
        <f>IF(B76="","",_xll.Qb_CocMaSatCMD(B76,$H$12:$O$25,$D$20,$D$22,$H$28,$D$12,$D$24,$D$23,"qb"))</f>
        <v>0</v>
      </c>
      <c r="F76" s="95">
        <f t="shared" si="3"/>
        <v>0</v>
      </c>
      <c r="G76" s="96">
        <f>IF(B76="","",_xll.flu_CocMaSatCMD($D$21,$D$15,$D$16,$D$22,$H$12:$O$25,FALSE,FALSE,$D$17,$D$12,$K$28,$H$28,A76,"GanmaRf"))</f>
        <v>0.6</v>
      </c>
      <c r="H76" s="96">
        <f>IF(B76="","",_xll.flu_CocMaSatCMD($D$21,$D$15,$D$16,$D$22,$H$12:$O$25,FALSE,FALSE,$D$17,$D$12,$K$28,$H$28,A76,"Li"))</f>
        <v>1</v>
      </c>
      <c r="I76" s="95">
        <f>IF(B76="","",_xll.flu_CocMaSatCMD($D$21,$D$15,$D$16,$D$22,$H$12:$O$25,FALSE,FALSE,$D$17,$D$12,$K$28,$H$28,A76,"f"))</f>
        <v>98.6</v>
      </c>
      <c r="J76" s="95">
        <f>IF(B76="","",_xll.flu_CocMaSatCMD($D$21,$D$15,$D$16,$D$22,$H$12:$O$25,FALSE,FALSE,$D$17,$D$12,$K$28,$H$28,A76,"fludon"))</f>
        <v>185.85662138637201</v>
      </c>
      <c r="K76" s="95">
        <f>IF(B76="","",_xll.flu_CocMaSatCMD($D$21,$D$15,$D$16,$D$22,$H$12:$O$25,FALSE,FALSE,$D$17,$D$12,$K$28,$H$28,A76,"flu"))</f>
        <v>4620.1656430829698</v>
      </c>
      <c r="L76" s="87">
        <f t="shared" si="4"/>
        <v>4620.1656430829698</v>
      </c>
      <c r="M76" s="42"/>
    </row>
    <row r="77" spans="1:13">
      <c r="A77" s="87">
        <f t="shared" si="2"/>
        <v>38</v>
      </c>
      <c r="B77" s="83">
        <f>_xll.flu_CocMaSatCMD($D$21,$D$15,$D$16,$D$22,$H$12:$O$26,FALSE,FALSE,$D$17,$D$12,$K$28,$H$28,A77,"Cao độ")</f>
        <v>35</v>
      </c>
      <c r="C77" s="87" t="str">
        <f>IF(B77="","",_xll.TimTenLoaiDat(B77,$F$12:$H$26))</f>
        <v>Lớp 6</v>
      </c>
      <c r="D77" s="82" t="str">
        <f>IF(B77="","",_xll.TimTinhChatDat(B77,$H$12:$I$26))</f>
        <v>Cát chặt vừa - thô</v>
      </c>
      <c r="E77" s="95">
        <f>IF(B77="","",_xll.Qb_CocMaSatCMD(B77,$H$12:$O$25,$D$20,$D$22,$H$28,$D$12,$D$24,$D$23,"qb"))</f>
        <v>0</v>
      </c>
      <c r="F77" s="95">
        <f t="shared" si="3"/>
        <v>0</v>
      </c>
      <c r="G77" s="96">
        <f>IF(B77="","",_xll.flu_CocMaSatCMD($D$21,$D$15,$D$16,$D$22,$H$12:$O$25,FALSE,FALSE,$D$17,$D$12,$K$28,$H$28,A77,"GanmaRf"))</f>
        <v>0.6</v>
      </c>
      <c r="H77" s="96">
        <f>IF(B77="","",_xll.flu_CocMaSatCMD($D$21,$D$15,$D$16,$D$22,$H$12:$O$25,FALSE,FALSE,$D$17,$D$12,$K$28,$H$28,A77,"Li"))</f>
        <v>1</v>
      </c>
      <c r="I77" s="95">
        <f>IF(B77="","",_xll.flu_CocMaSatCMD($D$21,$D$15,$D$16,$D$22,$H$12:$O$25,FALSE,FALSE,$D$17,$D$12,$K$28,$H$28,A77,"f"))</f>
        <v>100</v>
      </c>
      <c r="J77" s="95">
        <f>IF(B77="","",_xll.flu_CocMaSatCMD($D$21,$D$15,$D$16,$D$22,$H$12:$O$25,FALSE,FALSE,$D$17,$D$12,$K$28,$H$28,A77,"fludon"))</f>
        <v>188.495559215388</v>
      </c>
      <c r="K77" s="95">
        <f>IF(B77="","",_xll.flu_CocMaSatCMD($D$21,$D$15,$D$16,$D$22,$H$12:$O$25,FALSE,FALSE,$D$17,$D$12,$K$28,$H$28,A77,"flu"))</f>
        <v>4808.66120229836</v>
      </c>
      <c r="L77" s="87">
        <f t="shared" si="4"/>
        <v>4808.66120229836</v>
      </c>
      <c r="M77" s="42"/>
    </row>
    <row r="78" spans="1:13">
      <c r="A78" s="87">
        <f t="shared" si="2"/>
        <v>39</v>
      </c>
      <c r="B78" s="83">
        <f>_xll.flu_CocMaSatCMD($D$21,$D$15,$D$16,$D$22,$H$12:$O$26,FALSE,FALSE,$D$17,$D$12,$K$28,$H$28,A78,"Cao độ")</f>
        <v>36</v>
      </c>
      <c r="C78" s="87" t="str">
        <f>IF(B78="","",_xll.TimTenLoaiDat(B78,$F$12:$H$26))</f>
        <v>Lớp 6</v>
      </c>
      <c r="D78" s="82" t="str">
        <f>IF(B78="","",_xll.TimTinhChatDat(B78,$H$12:$I$26))</f>
        <v>Cát chặt vừa - thô</v>
      </c>
      <c r="E78" s="95">
        <f>IF(B78="","",_xll.Qb_CocMaSatCMD(B78,$H$12:$O$25,$D$20,$D$22,$H$28,$D$12,$D$24,$D$23,"qb"))</f>
        <v>0</v>
      </c>
      <c r="F78" s="95">
        <f t="shared" si="3"/>
        <v>0</v>
      </c>
      <c r="G78" s="96">
        <f>IF(B78="","",_xll.flu_CocMaSatCMD($D$21,$D$15,$D$16,$D$22,$H$12:$O$25,FALSE,FALSE,$D$17,$D$12,$K$28,$H$28,A78,"GanmaRf"))</f>
        <v>0.6</v>
      </c>
      <c r="H78" s="96">
        <f>IF(B78="","",_xll.flu_CocMaSatCMD($D$21,$D$15,$D$16,$D$22,$H$12:$O$25,FALSE,FALSE,$D$17,$D$12,$K$28,$H$28,A78,"Li"))</f>
        <v>1</v>
      </c>
      <c r="I78" s="95">
        <f>IF(B78="","",_xll.flu_CocMaSatCMD($D$21,$D$15,$D$16,$D$22,$H$12:$O$25,FALSE,FALSE,$D$17,$D$12,$K$28,$H$28,A78,"f"))</f>
        <v>101.4</v>
      </c>
      <c r="J78" s="95">
        <f>IF(B78="","",_xll.flu_CocMaSatCMD($D$21,$D$15,$D$16,$D$22,$H$12:$O$25,FALSE,FALSE,$D$17,$D$12,$K$28,$H$28,A78,"fludon"))</f>
        <v>191.13449704440299</v>
      </c>
      <c r="K78" s="95">
        <f>IF(B78="","",_xll.flu_CocMaSatCMD($D$21,$D$15,$D$16,$D$22,$H$12:$O$25,FALSE,FALSE,$D$17,$D$12,$K$28,$H$28,A78,"flu"))</f>
        <v>4999.7956993427597</v>
      </c>
      <c r="L78" s="87">
        <f t="shared" si="4"/>
        <v>4999.7956993427597</v>
      </c>
      <c r="M78" s="42"/>
    </row>
    <row r="79" spans="1:13">
      <c r="A79" s="87">
        <f t="shared" si="2"/>
        <v>40</v>
      </c>
      <c r="B79" s="83">
        <f>_xll.flu_CocMaSatCMD($D$21,$D$15,$D$16,$D$22,$H$12:$O$26,FALSE,FALSE,$D$17,$D$12,$K$28,$H$28,A79,"Cao độ")</f>
        <v>37</v>
      </c>
      <c r="C79" s="87" t="str">
        <f>IF(B79="","",_xll.TimTenLoaiDat(B79,$F$12:$H$26))</f>
        <v>Lớp 6</v>
      </c>
      <c r="D79" s="82" t="str">
        <f>IF(B79="","",_xll.TimTinhChatDat(B79,$H$12:$I$26))</f>
        <v>Cát chặt vừa - thô</v>
      </c>
      <c r="E79" s="95">
        <f>IF(B79="","",_xll.Qb_CocMaSatCMD(B79,$H$12:$O$25,$D$20,$D$22,$H$28,$D$12,$D$24,$D$23,"qb"))</f>
        <v>0</v>
      </c>
      <c r="F79" s="95">
        <f t="shared" si="3"/>
        <v>0</v>
      </c>
      <c r="G79" s="96">
        <f>IF(B79="","",_xll.flu_CocMaSatCMD($D$21,$D$15,$D$16,$D$22,$H$12:$O$25,FALSE,FALSE,$D$17,$D$12,$K$28,$H$28,A79,"GanmaRf"))</f>
        <v>0.6</v>
      </c>
      <c r="H79" s="96">
        <f>IF(B79="","",_xll.flu_CocMaSatCMD($D$21,$D$15,$D$16,$D$22,$H$12:$O$25,FALSE,FALSE,$D$17,$D$12,$K$28,$H$28,A79,"Li"))</f>
        <v>1</v>
      </c>
      <c r="I79" s="95">
        <f>IF(B79="","",_xll.flu_CocMaSatCMD($D$21,$D$15,$D$16,$D$22,$H$12:$O$25,FALSE,FALSE,$D$17,$D$12,$K$28,$H$28,A79,"f"))</f>
        <v>102.8</v>
      </c>
      <c r="J79" s="95">
        <f>IF(B79="","",_xll.flu_CocMaSatCMD($D$21,$D$15,$D$16,$D$22,$H$12:$O$25,FALSE,FALSE,$D$17,$D$12,$K$28,$H$28,A79,"fludon"))</f>
        <v>193.77343487341801</v>
      </c>
      <c r="K79" s="95">
        <f>IF(B79="","",_xll.flu_CocMaSatCMD($D$21,$D$15,$D$16,$D$22,$H$12:$O$25,FALSE,FALSE,$D$17,$D$12,$K$28,$H$28,A79,"flu"))</f>
        <v>5193.5691342161799</v>
      </c>
      <c r="L79" s="87">
        <f t="shared" si="4"/>
        <v>5193.5691342161799</v>
      </c>
      <c r="M79" s="42"/>
    </row>
    <row r="80" spans="1:13">
      <c r="A80" s="87">
        <f t="shared" si="2"/>
        <v>41</v>
      </c>
      <c r="B80" s="83">
        <f>_xll.flu_CocMaSatCMD($D$21,$D$15,$D$16,$D$22,$H$12:$O$26,FALSE,FALSE,$D$17,$D$12,$K$28,$H$28,A80,"Cao độ")</f>
        <v>38</v>
      </c>
      <c r="C80" s="87" t="str">
        <f>IF(B80="","",_xll.TimTenLoaiDat(B80,$F$12:$H$26))</f>
        <v>Lớp 6</v>
      </c>
      <c r="D80" s="82" t="str">
        <f>IF(B80="","",_xll.TimTinhChatDat(B80,$H$12:$I$26))</f>
        <v>Cát chặt vừa - thô</v>
      </c>
      <c r="E80" s="95">
        <f>IF(B80="","",_xll.Qb_CocMaSatCMD(B80,$H$12:$O$25,$D$20,$D$22,$H$28,$D$12,$D$24,$D$23,"qb"))</f>
        <v>0</v>
      </c>
      <c r="F80" s="95">
        <f t="shared" si="3"/>
        <v>0</v>
      </c>
      <c r="G80" s="96">
        <f>IF(B80="","",_xll.flu_CocMaSatCMD($D$21,$D$15,$D$16,$D$22,$H$12:$O$25,FALSE,FALSE,$D$17,$D$12,$K$28,$H$28,A80,"GanmaRf"))</f>
        <v>0.6</v>
      </c>
      <c r="H80" s="96">
        <f>IF(B80="","",_xll.flu_CocMaSatCMD($D$21,$D$15,$D$16,$D$22,$H$12:$O$25,FALSE,FALSE,$D$17,$D$12,$K$28,$H$28,A80,"Li"))</f>
        <v>0.20000000000000301</v>
      </c>
      <c r="I80" s="95">
        <f>IF(B80="","",_xll.flu_CocMaSatCMD($D$21,$D$15,$D$16,$D$22,$H$12:$O$25,FALSE,FALSE,$D$17,$D$12,$K$28,$H$28,A80,"f"))</f>
        <v>104.2</v>
      </c>
      <c r="J80" s="95">
        <f>IF(B80="","",_xll.flu_CocMaSatCMD($D$21,$D$15,$D$16,$D$22,$H$12:$O$25,FALSE,FALSE,$D$17,$D$12,$K$28,$H$28,A80,"fludon"))</f>
        <v>39.2824745404873</v>
      </c>
      <c r="K80" s="95">
        <f>IF(B80="","",_xll.flu_CocMaSatCMD($D$21,$D$15,$D$16,$D$22,$H$12:$O$25,FALSE,FALSE,$D$17,$D$12,$K$28,$H$28,A80,"flu"))</f>
        <v>5232.8516087566704</v>
      </c>
      <c r="L80" s="87">
        <f t="shared" si="4"/>
        <v>5232.8516087566704</v>
      </c>
      <c r="M80" s="42"/>
    </row>
    <row r="81" spans="1:13">
      <c r="A81" s="87">
        <f t="shared" si="2"/>
        <v>42</v>
      </c>
      <c r="B81" s="83">
        <f>_xll.flu_CocMaSatCMD($D$21,$D$15,$D$16,$D$22,$H$12:$O$26,FALSE,FALSE,$D$17,$D$12,$K$28,$H$28,A81,"Cao độ")</f>
        <v>38.200000000000003</v>
      </c>
      <c r="C81" s="87" t="str">
        <f>IF(B81="","",_xll.TimTenLoaiDat(B81,$F$12:$H$26))</f>
        <v>Lớp 7</v>
      </c>
      <c r="D81" s="82" t="str">
        <f>IF(B81="","",_xll.TimTinhChatDat(B81,$H$12:$I$26))</f>
        <v>Cát chặt vừa - lẫn sỏi sạn</v>
      </c>
      <c r="E81" s="95" t="str">
        <f>IF(B81="","",_xll.Qb_CocMaSatCMD(B81,$H$12:$O$25,$D$20,$D$22,$H$28,$D$12,$D$24,$D$23,"qb"))</f>
        <v>chiều sâu hạ cọc trong lớp đất làm nền &lt; 2 mét - không đủ / chú thích 1 - 7.2.3.2 - 10304-2025</v>
      </c>
      <c r="F81" s="95">
        <f t="shared" si="3"/>
        <v>0</v>
      </c>
      <c r="G81" s="96">
        <f>IF(B81="","",_xll.flu_CocMaSatCMD($D$21,$D$15,$D$16,$D$22,$H$12:$O$25,FALSE,FALSE,$D$17,$D$12,$K$28,$H$28,A81,"GanmaRf"))</f>
        <v>0.6</v>
      </c>
      <c r="H81" s="96">
        <f>IF(B81="","",_xll.flu_CocMaSatCMD($D$21,$D$15,$D$16,$D$22,$H$12:$O$25,FALSE,FALSE,$D$17,$D$12,$K$28,$H$28,A81,"Li"))</f>
        <v>0.79999999999999705</v>
      </c>
      <c r="I81" s="95">
        <f>IF(B81="","",_xll.flu_CocMaSatCMD($D$21,$D$15,$D$16,$D$22,$H$12:$O$25,FALSE,FALSE,$D$17,$D$12,$K$28,$H$28,A81,"f"))</f>
        <v>104.48</v>
      </c>
      <c r="J81" s="95">
        <f>IF(B81="","",_xll.flu_CocMaSatCMD($D$21,$D$15,$D$16,$D$22,$H$12:$O$25,FALSE,FALSE,$D$17,$D$12,$K$28,$H$28,A81,"fludon"))</f>
        <v>157.552128214589</v>
      </c>
      <c r="K81" s="95">
        <f>IF(B81="","",_xll.flu_CocMaSatCMD($D$21,$D$15,$D$16,$D$22,$H$12:$O$25,FALSE,FALSE,$D$17,$D$12,$K$28,$H$28,A81,"flu"))</f>
        <v>5390.4037369712596</v>
      </c>
      <c r="L81" s="87">
        <f t="shared" si="4"/>
        <v>5390.4037369712596</v>
      </c>
      <c r="M81" s="42"/>
    </row>
    <row r="82" spans="1:13">
      <c r="A82" s="87">
        <f t="shared" si="2"/>
        <v>43</v>
      </c>
      <c r="B82" s="83">
        <f>_xll.flu_CocMaSatCMD($D$21,$D$15,$D$16,$D$22,$H$12:$O$26,FALSE,FALSE,$D$17,$D$12,$K$28,$H$28,A82,"Cao độ")</f>
        <v>39</v>
      </c>
      <c r="C82" s="87" t="str">
        <f>IF(B82="","",_xll.TimTenLoaiDat(B82,$F$12:$H$26))</f>
        <v>Lớp 7</v>
      </c>
      <c r="D82" s="82" t="str">
        <f>IF(B82="","",_xll.TimTinhChatDat(B82,$H$12:$I$26))</f>
        <v>Cát chặt vừa - lẫn sỏi sạn</v>
      </c>
      <c r="E82" s="95" t="str">
        <f>IF(B82="","",_xll.Qb_CocMaSatCMD(B82,$H$12:$O$25,$D$20,$D$22,$H$28,$D$12,$D$24,$D$23,"qb"))</f>
        <v>chiều sâu hạ cọc trong lớp đất làm nền &lt; 2 mét - không đủ / chú thích 1 - 7.2.3.2 - 10304-2025</v>
      </c>
      <c r="F82" s="95">
        <f t="shared" si="3"/>
        <v>0</v>
      </c>
      <c r="G82" s="96">
        <f>IF(B82="","",_xll.flu_CocMaSatCMD($D$21,$D$15,$D$16,$D$22,$H$12:$O$25,FALSE,FALSE,$D$17,$D$12,$K$28,$H$28,A82,"GanmaRf"))</f>
        <v>0.6</v>
      </c>
      <c r="H82" s="96">
        <f>IF(B82="","",_xll.flu_CocMaSatCMD($D$21,$D$15,$D$16,$D$22,$H$12:$O$25,FALSE,FALSE,$D$17,$D$12,$K$28,$H$28,A82,"Li"))</f>
        <v>1</v>
      </c>
      <c r="I82" s="95">
        <f>IF(B82="","",_xll.flu_CocMaSatCMD($D$21,$D$15,$D$16,$D$22,$H$12:$O$25,FALSE,FALSE,$D$17,$D$12,$K$28,$H$28,A82,"f"))</f>
        <v>105.6</v>
      </c>
      <c r="J82" s="95">
        <f>IF(B82="","",_xll.flu_CocMaSatCMD($D$21,$D$15,$D$16,$D$22,$H$12:$O$25,FALSE,FALSE,$D$17,$D$12,$K$28,$H$28,A82,"fludon"))</f>
        <v>199.05131053144899</v>
      </c>
      <c r="K82" s="95">
        <f>IF(B82="","",_xll.flu_CocMaSatCMD($D$21,$D$15,$D$16,$D$22,$H$12:$O$25,FALSE,FALSE,$D$17,$D$12,$K$28,$H$28,A82,"flu"))</f>
        <v>5589.4550475026999</v>
      </c>
      <c r="L82" s="87">
        <f t="shared" si="4"/>
        <v>5589.4550475026999</v>
      </c>
      <c r="M82" s="42"/>
    </row>
    <row r="83" spans="1:13">
      <c r="A83" s="87">
        <f t="shared" si="2"/>
        <v>44</v>
      </c>
      <c r="B83" s="83">
        <f>_xll.flu_CocMaSatCMD($D$21,$D$15,$D$16,$D$22,$H$12:$O$26,FALSE,FALSE,$D$17,$D$12,$K$28,$H$28,A83,"Cao độ")</f>
        <v>40</v>
      </c>
      <c r="C83" s="87" t="str">
        <f>IF(B83="","",_xll.TimTenLoaiDat(B83,$F$12:$H$26))</f>
        <v>Lớp 7</v>
      </c>
      <c r="D83" s="82" t="str">
        <f>IF(B83="","",_xll.TimTinhChatDat(B83,$H$12:$I$26))</f>
        <v>Cát chặt vừa - lẫn sỏi sạn</v>
      </c>
      <c r="E83" s="95" t="str">
        <f>IF(B83="","",_xll.Qb_CocMaSatCMD(B83,$H$12:$O$25,$D$20,$D$22,$H$28,$D$12,$D$24,$D$23,"qb"))</f>
        <v>chiều sâu hạ cọc trong lớp đất làm nền &lt; 2 mét - không đủ / chú thích 1 - 7.2.3.2 - 10304-2025</v>
      </c>
      <c r="F83" s="95">
        <f t="shared" si="3"/>
        <v>0</v>
      </c>
      <c r="G83" s="96">
        <f>IF(B83="","",_xll.flu_CocMaSatCMD($D$21,$D$15,$D$16,$D$22,$H$12:$O$25,FALSE,FALSE,$D$17,$D$12,$K$28,$H$28,A83,"GanmaRf"))</f>
        <v>0.6</v>
      </c>
      <c r="H83" s="96">
        <f>IF(B83="","",_xll.flu_CocMaSatCMD($D$21,$D$15,$D$16,$D$22,$H$12:$O$25,FALSE,FALSE,$D$17,$D$12,$K$28,$H$28,A83,"Li"))</f>
        <v>1</v>
      </c>
      <c r="I83" s="95">
        <f>IF(B83="","",_xll.flu_CocMaSatCMD($D$21,$D$15,$D$16,$D$22,$H$12:$O$25,FALSE,FALSE,$D$17,$D$12,$K$28,$H$28,A83,"f"))</f>
        <v>107</v>
      </c>
      <c r="J83" s="95">
        <f>IF(B83="","",_xll.flu_CocMaSatCMD($D$21,$D$15,$D$16,$D$22,$H$12:$O$25,FALSE,FALSE,$D$17,$D$12,$K$28,$H$28,A83,"fludon"))</f>
        <v>201.69024836046501</v>
      </c>
      <c r="K83" s="95">
        <f>IF(B83="","",_xll.flu_CocMaSatCMD($D$21,$D$15,$D$16,$D$22,$H$12:$O$25,FALSE,FALSE,$D$17,$D$12,$K$28,$H$28,A83,"flu"))</f>
        <v>5791.1452958631698</v>
      </c>
      <c r="L83" s="87">
        <f t="shared" si="4"/>
        <v>5791.1452958631698</v>
      </c>
      <c r="M83" s="42"/>
    </row>
    <row r="84" spans="1:13">
      <c r="A84" s="87">
        <f t="shared" si="2"/>
        <v>45</v>
      </c>
      <c r="B84" s="83">
        <f>_xll.flu_CocMaSatCMD($D$21,$D$15,$D$16,$D$22,$H$12:$O$26,FALSE,FALSE,$D$17,$D$12,$K$28,$H$28,A84,"Cao độ")</f>
        <v>41</v>
      </c>
      <c r="C84" s="87" t="str">
        <f>IF(B84="","",_xll.TimTenLoaiDat(B84,$F$12:$H$26))</f>
        <v>Lớp 7</v>
      </c>
      <c r="D84" s="82" t="str">
        <f>IF(B84="","",_xll.TimTinhChatDat(B84,$H$12:$I$26))</f>
        <v>Cát chặt vừa - lẫn sỏi sạn</v>
      </c>
      <c r="E84" s="95">
        <f>IF(B84="","",_xll.Qb_CocMaSatCMD(B84,$H$12:$O$25,$D$20,$D$22,$H$28,$D$12,$D$24,$D$23,"qb"))</f>
        <v>1091.49445913555</v>
      </c>
      <c r="F84" s="95">
        <f t="shared" si="3"/>
        <v>857.25774356354998</v>
      </c>
      <c r="G84" s="96">
        <f>IF(B84="","",_xll.flu_CocMaSatCMD($D$21,$D$15,$D$16,$D$22,$H$12:$O$25,FALSE,FALSE,$D$17,$D$12,$K$28,$H$28,A84,"GanmaRf"))</f>
        <v>0.6</v>
      </c>
      <c r="H84" s="96">
        <f>IF(B84="","",_xll.flu_CocMaSatCMD($D$21,$D$15,$D$16,$D$22,$H$12:$O$25,FALSE,FALSE,$D$17,$D$12,$K$28,$H$28,A84,"Li"))</f>
        <v>1</v>
      </c>
      <c r="I84" s="95">
        <f>IF(B84="","",_xll.flu_CocMaSatCMD($D$21,$D$15,$D$16,$D$22,$H$12:$O$25,FALSE,FALSE,$D$17,$D$12,$K$28,$H$28,A84,"f"))</f>
        <v>107</v>
      </c>
      <c r="J84" s="95">
        <f>IF(B84="","",_xll.flu_CocMaSatCMD($D$21,$D$15,$D$16,$D$22,$H$12:$O$25,FALSE,FALSE,$D$17,$D$12,$K$28,$H$28,A84,"fludon"))</f>
        <v>201.69024836046501</v>
      </c>
      <c r="K84" s="95">
        <f>IF(B84="","",_xll.flu_CocMaSatCMD($D$21,$D$15,$D$16,$D$22,$H$12:$O$25,FALSE,FALSE,$D$17,$D$12,$K$28,$H$28,A84,"flu"))</f>
        <v>5992.8355442236298</v>
      </c>
      <c r="L84" s="87">
        <f t="shared" si="4"/>
        <v>6850.0932877871801</v>
      </c>
      <c r="M84" s="42"/>
    </row>
    <row r="85" spans="1:13">
      <c r="A85" s="87">
        <f t="shared" si="2"/>
        <v>46</v>
      </c>
      <c r="B85" s="83">
        <f>_xll.flu_CocMaSatCMD($D$21,$D$15,$D$16,$D$22,$H$12:$O$26,FALSE,FALSE,$D$17,$D$12,$K$28,$H$28,A85,"Cao độ")</f>
        <v>42</v>
      </c>
      <c r="C85" s="87" t="str">
        <f>IF(B85="","",_xll.TimTenLoaiDat(B85,$F$12:$H$26))</f>
        <v>Lớp 7</v>
      </c>
      <c r="D85" s="82" t="str">
        <f>IF(B85="","",_xll.TimTinhChatDat(B85,$H$12:$I$26))</f>
        <v>Cát chặt vừa - lẫn sỏi sạn</v>
      </c>
      <c r="E85" s="95">
        <f>IF(B85="","",_xll.Qb_CocMaSatCMD(B85,$H$12:$O$25,$D$20,$D$22,$H$28,$D$12,$D$24,$D$23,"qb"))</f>
        <v>1117.92521159648</v>
      </c>
      <c r="F85" s="95">
        <f t="shared" si="3"/>
        <v>878.01640800358302</v>
      </c>
      <c r="G85" s="96">
        <f>IF(B85="","",_xll.flu_CocMaSatCMD($D$21,$D$15,$D$16,$D$22,$H$12:$O$25,FALSE,FALSE,$D$17,$D$12,$K$28,$H$28,A85,"GanmaRf"))</f>
        <v>0.6</v>
      </c>
      <c r="H85" s="96">
        <f>IF(B85="","",_xll.flu_CocMaSatCMD($D$21,$D$15,$D$16,$D$22,$H$12:$O$25,FALSE,FALSE,$D$17,$D$12,$K$28,$H$28,A85,"Li"))</f>
        <v>1</v>
      </c>
      <c r="I85" s="95">
        <f>IF(B85="","",_xll.flu_CocMaSatCMD($D$21,$D$15,$D$16,$D$22,$H$12:$O$25,FALSE,FALSE,$D$17,$D$12,$K$28,$H$28,A85,"f"))</f>
        <v>107</v>
      </c>
      <c r="J85" s="95">
        <f>IF(B85="","",_xll.flu_CocMaSatCMD($D$21,$D$15,$D$16,$D$22,$H$12:$O$25,FALSE,FALSE,$D$17,$D$12,$K$28,$H$28,A85,"fludon"))</f>
        <v>201.69024836046501</v>
      </c>
      <c r="K85" s="95">
        <f>IF(B85="","",_xll.flu_CocMaSatCMD($D$21,$D$15,$D$16,$D$22,$H$12:$O$25,FALSE,FALSE,$D$17,$D$12,$K$28,$H$28,A85,"flu"))</f>
        <v>6194.5257925840997</v>
      </c>
      <c r="L85" s="87">
        <f t="shared" si="4"/>
        <v>7072.5422005876799</v>
      </c>
      <c r="M85" s="42"/>
    </row>
    <row r="86" spans="1:13">
      <c r="A86" s="87">
        <f t="shared" si="2"/>
        <v>47</v>
      </c>
      <c r="B86" s="83">
        <f>_xll.flu_CocMaSatCMD($D$21,$D$15,$D$16,$D$22,$H$12:$O$26,FALSE,FALSE,$D$17,$D$12,$K$28,$H$28,A86,"Cao độ")</f>
        <v>43</v>
      </c>
      <c r="C86" s="87" t="str">
        <f>IF(B86="","",_xll.TimTenLoaiDat(B86,$F$12:$H$26))</f>
        <v>Lớp 7</v>
      </c>
      <c r="D86" s="82" t="str">
        <f>IF(B86="","",_xll.TimTinhChatDat(B86,$H$12:$I$26))</f>
        <v>Cát chặt vừa - lẫn sỏi sạn</v>
      </c>
      <c r="E86" s="95">
        <f>IF(B86="","",_xll.Qb_CocMaSatCMD(B86,$H$12:$O$25,$D$20,$D$22,$H$28,$D$12,$D$24,$D$23,"qb"))</f>
        <v>1144.3559640574199</v>
      </c>
      <c r="F86" s="95">
        <f t="shared" si="3"/>
        <v>898.77507244361595</v>
      </c>
      <c r="G86" s="96">
        <f>IF(B86="","",_xll.flu_CocMaSatCMD($D$21,$D$15,$D$16,$D$22,$H$12:$O$25,FALSE,FALSE,$D$17,$D$12,$K$28,$H$28,A86,"GanmaRf"))</f>
        <v>0.6</v>
      </c>
      <c r="H86" s="96">
        <f>IF(B86="","",_xll.flu_CocMaSatCMD($D$21,$D$15,$D$16,$D$22,$H$12:$O$25,FALSE,FALSE,$D$17,$D$12,$K$28,$H$28,A86,"Li"))</f>
        <v>0.20000000000000301</v>
      </c>
      <c r="I86" s="95">
        <f>IF(B86="","",_xll.flu_CocMaSatCMD($D$21,$D$15,$D$16,$D$22,$H$12:$O$25,FALSE,FALSE,$D$17,$D$12,$K$28,$H$28,A86,"f"))</f>
        <v>107</v>
      </c>
      <c r="J86" s="95">
        <f>IF(B86="","",_xll.flu_CocMaSatCMD($D$21,$D$15,$D$16,$D$22,$H$12:$O$25,FALSE,FALSE,$D$17,$D$12,$K$28,$H$28,A86,"fludon"))</f>
        <v>40.338049672093497</v>
      </c>
      <c r="K86" s="95">
        <f>IF(B86="","",_xll.flu_CocMaSatCMD($D$21,$D$15,$D$16,$D$22,$H$12:$O$25,FALSE,FALSE,$D$17,$D$12,$K$28,$H$28,A86,"flu"))</f>
        <v>6234.8638422561899</v>
      </c>
      <c r="L86" s="87">
        <f t="shared" si="4"/>
        <v>7133.6389146998099</v>
      </c>
      <c r="M86" s="42"/>
    </row>
    <row r="87" spans="1:13">
      <c r="A87" s="87">
        <f t="shared" si="2"/>
        <v>48</v>
      </c>
      <c r="B87" s="83">
        <f>_xll.flu_CocMaSatCMD($D$21,$D$15,$D$16,$D$22,$H$12:$O$26,FALSE,FALSE,$D$17,$D$12,$K$28,$H$28,A87,"Cao độ")</f>
        <v>43.2</v>
      </c>
      <c r="C87" s="87" t="str">
        <f>IF(B87="","",_xll.TimTenLoaiDat(B87,$F$12:$H$26))</f>
        <v>Lớp 7</v>
      </c>
      <c r="D87" s="82" t="str">
        <f>IF(B87="","",_xll.TimTinhChatDat(B87,$H$12:$I$26))</f>
        <v>Cát chặt vừa - lẫn sỏi sạn</v>
      </c>
      <c r="E87" s="95">
        <f>IF(B87="","",_xll.Qb_CocMaSatCMD(B87,$H$12:$O$25,$D$20,$D$22,$H$28,$D$12,$D$24,$D$23,"qb"))</f>
        <v>1149.6421145496099</v>
      </c>
      <c r="F87" s="95">
        <f t="shared" si="3"/>
        <v>902.92680533162195</v>
      </c>
      <c r="G87" s="96">
        <f>IF(B87="","",_xll.flu_CocMaSatCMD($D$21,$D$15,$D$16,$D$22,$H$12:$O$25,FALSE,FALSE,$D$17,$D$12,$K$28,$H$28,A87,"GanmaRf"))</f>
        <v>0.6</v>
      </c>
      <c r="H87" s="96">
        <f>IF(B87="","",_xll.flu_CocMaSatCMD($D$21,$D$15,$D$16,$D$22,$H$12:$O$25,FALSE,FALSE,$D$17,$D$12,$K$28,$H$28,A87,"Li"))</f>
        <v>0</v>
      </c>
      <c r="I87" s="95">
        <f>IF(B87="","",_xll.flu_CocMaSatCMD($D$21,$D$15,$D$16,$D$22,$H$12:$O$25,FALSE,FALSE,$D$17,$D$12,$K$28,$H$28,A87,"f"))</f>
        <v>107</v>
      </c>
      <c r="J87" s="95">
        <f>IF(B87="","",_xll.flu_CocMaSatCMD($D$21,$D$15,$D$16,$D$22,$H$12:$O$25,FALSE,FALSE,$D$17,$D$12,$K$28,$H$28,A87,"fludon"))</f>
        <v>0</v>
      </c>
      <c r="K87" s="95">
        <f>IF(B87="","",_xll.flu_CocMaSatCMD($D$21,$D$15,$D$16,$D$22,$H$12:$O$25,FALSE,FALSE,$D$17,$D$12,$K$28,$H$28,A87,"flu"))</f>
        <v>6234.8638422561899</v>
      </c>
      <c r="L87" s="87">
        <f t="shared" si="4"/>
        <v>7137.7906475878099</v>
      </c>
      <c r="M87" s="42"/>
    </row>
    <row r="88" spans="1:13">
      <c r="A88" s="87">
        <f t="shared" si="2"/>
        <v>49</v>
      </c>
      <c r="B88" s="83">
        <f>_xll.flu_CocMaSatCMD($D$21,$D$15,$D$16,$D$22,$H$12:$O$26,FALSE,FALSE,$D$17,$D$12,$K$28,$H$28,A88,"Cao độ")</f>
        <v>44</v>
      </c>
      <c r="C88" s="87" t="str">
        <f>IF(B88="","",_xll.TimTenLoaiDat(B88,$F$12:$H$26))</f>
        <v>Lớp 7</v>
      </c>
      <c r="D88" s="82" t="str">
        <f>IF(B88="","",_xll.TimTinhChatDat(B88,$H$12:$I$26))</f>
        <v>Cát chặt vừa - lẫn sỏi sạn</v>
      </c>
      <c r="E88" s="95">
        <f>IF(B88="","",_xll.Qb_CocMaSatCMD(B88,$H$12:$O$25,$D$20,$D$22,$H$28,$D$12,$D$24,$D$23,"qb"))</f>
        <v>1170.78671651836</v>
      </c>
      <c r="F88" s="95">
        <f t="shared" si="3"/>
        <v>919.533736883649</v>
      </c>
      <c r="G88" s="96">
        <f>IF(B88="","",_xll.flu_CocMaSatCMD($D$21,$D$15,$D$16,$D$22,$H$12:$O$25,FALSE,FALSE,$D$17,$D$12,$K$28,$H$28,A88,"GanmaRf"))</f>
        <v>0.6</v>
      </c>
      <c r="H88" s="96">
        <f>IF(B88="","",_xll.flu_CocMaSatCMD($D$21,$D$15,$D$16,$D$22,$H$12:$O$25,FALSE,FALSE,$D$17,$D$12,$K$28,$H$28,A88,"Li"))</f>
        <v>1</v>
      </c>
      <c r="I88" s="95">
        <f>IF(B88="","",_xll.flu_CocMaSatCMD($D$21,$D$15,$D$16,$D$22,$H$12:$O$25,FALSE,FALSE,$D$17,$D$12,$K$28,$H$28,A88,"f"))</f>
        <v>107</v>
      </c>
      <c r="J88" s="95">
        <f>IF(B88="","",_xll.flu_CocMaSatCMD($D$21,$D$15,$D$16,$D$22,$H$12:$O$25,FALSE,FALSE,$D$17,$D$12,$K$28,$H$28,A88,"fludon"))</f>
        <v>201.69024836046501</v>
      </c>
      <c r="K88" s="95">
        <f>IF(B88="","",_xll.flu_CocMaSatCMD($D$21,$D$15,$D$16,$D$22,$H$12:$O$25,FALSE,FALSE,$D$17,$D$12,$K$28,$H$28,A88,"flu"))</f>
        <v>6436.5540906166598</v>
      </c>
      <c r="L88" s="87">
        <f t="shared" si="4"/>
        <v>7356.0878275003097</v>
      </c>
      <c r="M88" s="42"/>
    </row>
    <row r="89" spans="1:13">
      <c r="A89" s="87">
        <f t="shared" si="2"/>
        <v>50</v>
      </c>
      <c r="B89" s="83">
        <f>_xll.flu_CocMaSatCMD($D$21,$D$15,$D$16,$D$22,$H$12:$O$26,FALSE,FALSE,$D$17,$D$12,$K$28,$H$28,A89,"Cao độ")</f>
        <v>45</v>
      </c>
      <c r="C89" s="87" t="str">
        <f>IF(B89="","",_xll.TimTenLoaiDat(B89,$F$12:$H$26))</f>
        <v>Lớp 7</v>
      </c>
      <c r="D89" s="82" t="str">
        <f>IF(B89="","",_xll.TimTinhChatDat(B89,$H$12:$I$26))</f>
        <v>Cát chặt vừa - lẫn sỏi sạn</v>
      </c>
      <c r="E89" s="95">
        <f>IF(B89="","",_xll.Qb_CocMaSatCMD(B89,$H$12:$O$25,$D$20,$D$22,$H$28,$D$12,$D$24,$D$23,"qb"))</f>
        <v>1197.2174689793001</v>
      </c>
      <c r="F89" s="95">
        <f t="shared" si="3"/>
        <v>940.29240132368102</v>
      </c>
      <c r="G89" s="96">
        <f>IF(B89="","",_xll.flu_CocMaSatCMD($D$21,$D$15,$D$16,$D$22,$H$12:$O$25,FALSE,FALSE,$D$17,$D$12,$K$28,$H$28,A89,"GanmaRf"))</f>
        <v>0.6</v>
      </c>
      <c r="H89" s="96">
        <f>IF(B89="","",_xll.flu_CocMaSatCMD($D$21,$D$15,$D$16,$D$22,$H$12:$O$25,FALSE,FALSE,$D$17,$D$12,$K$28,$H$28,A89,"Li"))</f>
        <v>0</v>
      </c>
      <c r="I89" s="95">
        <f>IF(B89="","",_xll.flu_CocMaSatCMD($D$21,$D$15,$D$16,$D$22,$H$12:$O$25,FALSE,FALSE,$D$17,$D$12,$K$28,$H$28,A89,"f"))</f>
        <v>107</v>
      </c>
      <c r="J89" s="95">
        <f>IF(B89="","",_xll.flu_CocMaSatCMD($D$21,$D$15,$D$16,$D$22,$H$12:$O$25,FALSE,FALSE,$D$17,$D$12,$K$28,$H$28,A89,"fludon"))</f>
        <v>0</v>
      </c>
      <c r="K89" s="95">
        <f>IF(B89="","",_xll.flu_CocMaSatCMD($D$21,$D$15,$D$16,$D$22,$H$12:$O$25,FALSE,FALSE,$D$17,$D$12,$K$28,$H$28,A89,"flu"))</f>
        <v>6436.5540906166598</v>
      </c>
      <c r="L89" s="87">
        <f t="shared" si="4"/>
        <v>7376.8464919403395</v>
      </c>
      <c r="M89" s="42"/>
    </row>
    <row r="90" spans="1:13">
      <c r="A90" s="87">
        <f t="shared" si="2"/>
        <v>51</v>
      </c>
      <c r="B90" s="83" t="str">
        <f>_xll.flu_CocMaSatCMD($D$21,$D$15,$D$16,$D$22,$H$12:$O$26,FALSE,FALSE,$D$17,$D$12,$K$28,$H$28,A90,"Cao độ")</f>
        <v/>
      </c>
      <c r="C90" s="87" t="str">
        <f>IF(B90="","",_xll.TimTenLoaiDat(B90,$F$12:$H$26))</f>
        <v/>
      </c>
      <c r="D90" s="82" t="str">
        <f>IF(B90="","",_xll.TimTinhChatDat(B90,$H$12:$I$26))</f>
        <v/>
      </c>
      <c r="E90" s="95" t="str">
        <f>IF(B90="","",_xll.Qb_CocMaSatCMD(B90,$H$12:$O$25,$D$20,$D$22,$H$28,$D$12,$D$24,$D$23,"qb"))</f>
        <v/>
      </c>
      <c r="F90" s="95" t="str">
        <f t="shared" si="3"/>
        <v/>
      </c>
      <c r="G90" s="96" t="str">
        <f>IF(B90="","",_xll.flu_CocMaSatCMD($D$21,$D$15,$D$16,$D$22,$H$12:$O$25,FALSE,FALSE,$D$17,$D$12,$K$28,$H$28,A90,"GanmaRf"))</f>
        <v/>
      </c>
      <c r="H90" s="96" t="str">
        <f>IF(B90="","",_xll.flu_CocMaSatCMD($D$21,$D$15,$D$16,$D$22,$H$12:$O$25,FALSE,FALSE,$D$17,$D$12,$K$28,$H$28,A90,"Li"))</f>
        <v/>
      </c>
      <c r="I90" s="95" t="str">
        <f>IF(B90="","",_xll.flu_CocMaSatCMD($D$21,$D$15,$D$16,$D$22,$H$12:$O$25,FALSE,FALSE,$D$17,$D$12,$K$28,$H$28,A90,"f"))</f>
        <v/>
      </c>
      <c r="J90" s="95" t="str">
        <f>IF(B90="","",_xll.flu_CocMaSatCMD($D$21,$D$15,$D$16,$D$22,$H$12:$O$25,FALSE,FALSE,$D$17,$D$12,$K$28,$H$28,A90,"fludon"))</f>
        <v/>
      </c>
      <c r="K90" s="95" t="str">
        <f>IF(B90="","",_xll.flu_CocMaSatCMD($D$21,$D$15,$D$16,$D$22,$H$12:$O$25,FALSE,FALSE,$D$17,$D$12,$K$28,$H$28,A90,"flu"))</f>
        <v/>
      </c>
      <c r="L90" s="87" t="e">
        <f t="shared" si="4"/>
        <v>#N/A</v>
      </c>
      <c r="M90" s="42"/>
    </row>
    <row r="91" spans="1:13">
      <c r="A91" s="87">
        <f t="shared" si="2"/>
        <v>52</v>
      </c>
      <c r="B91" s="83" t="str">
        <f>_xll.flu_CocMaSatCMD($D$21,$D$15,$D$16,$D$22,$H$12:$O$26,FALSE,FALSE,$D$17,$D$12,$K$28,$H$28,A91,"Cao độ")</f>
        <v/>
      </c>
      <c r="C91" s="87" t="str">
        <f>IF(B91="","",_xll.TimTenLoaiDat(B91,$F$12:$H$26))</f>
        <v/>
      </c>
      <c r="D91" s="82" t="str">
        <f>IF(B91="","",_xll.TimTinhChatDat(B91,$H$12:$I$26))</f>
        <v/>
      </c>
      <c r="E91" s="95" t="str">
        <f>IF(B91="","",_xll.Qb_CocMaSatCMD(B91,$H$12:$O$25,$D$20,$D$22,$H$28,$D$12,$D$24,$D$23,"qb"))</f>
        <v/>
      </c>
      <c r="F91" s="95" t="str">
        <f t="shared" si="3"/>
        <v/>
      </c>
      <c r="G91" s="96" t="str">
        <f>IF(B91="","",_xll.flu_CocMaSatCMD($D$21,$D$15,$D$16,$D$22,$H$12:$O$25,FALSE,FALSE,$D$17,$D$12,$K$28,$H$28,A91,"GanmaRf"))</f>
        <v/>
      </c>
      <c r="H91" s="96" t="str">
        <f>IF(B91="","",_xll.flu_CocMaSatCMD($D$21,$D$15,$D$16,$D$22,$H$12:$O$25,FALSE,FALSE,$D$17,$D$12,$K$28,$H$28,A91,"Li"))</f>
        <v/>
      </c>
      <c r="I91" s="95" t="str">
        <f>IF(B91="","",_xll.flu_CocMaSatCMD($D$21,$D$15,$D$16,$D$22,$H$12:$O$25,FALSE,FALSE,$D$17,$D$12,$K$28,$H$28,A91,"f"))</f>
        <v/>
      </c>
      <c r="J91" s="95" t="str">
        <f>IF(B91="","",_xll.flu_CocMaSatCMD($D$21,$D$15,$D$16,$D$22,$H$12:$O$25,FALSE,FALSE,$D$17,$D$12,$K$28,$H$28,A91,"fludon"))</f>
        <v/>
      </c>
      <c r="K91" s="95" t="str">
        <f>IF(B91="","",_xll.flu_CocMaSatCMD($D$21,$D$15,$D$16,$D$22,$H$12:$O$25,FALSE,FALSE,$D$17,$D$12,$K$28,$H$28,A91,"flu"))</f>
        <v/>
      </c>
      <c r="L91" s="87" t="e">
        <f t="shared" si="4"/>
        <v>#N/A</v>
      </c>
      <c r="M91" s="42"/>
    </row>
    <row r="92" spans="1:13">
      <c r="A92" s="87">
        <f t="shared" si="2"/>
        <v>53</v>
      </c>
      <c r="B92" s="83" t="str">
        <f>_xll.flu_CocMaSatCMD($D$21,$D$15,$D$16,$D$22,$H$12:$O$26,FALSE,FALSE,$D$17,$D$12,$K$28,$H$28,A92,"Cao độ")</f>
        <v/>
      </c>
      <c r="C92" s="87" t="str">
        <f>IF(B92="","",_xll.TimTenLoaiDat(B92,$F$12:$H$26))</f>
        <v/>
      </c>
      <c r="D92" s="82" t="str">
        <f>IF(B92="","",_xll.TimTinhChatDat(B92,$H$12:$I$26))</f>
        <v/>
      </c>
      <c r="E92" s="95" t="str">
        <f>IF(B92="","",_xll.Qb_CocMaSatCMD(B92,$H$12:$O$25,$D$20,$D$22,$H$28,$D$12,$D$24,$D$23,"qb"))</f>
        <v/>
      </c>
      <c r="F92" s="95" t="str">
        <f t="shared" si="3"/>
        <v/>
      </c>
      <c r="G92" s="96" t="str">
        <f>IF(B92="","",_xll.flu_CocMaSatCMD($D$21,$D$15,$D$16,$D$22,$H$12:$O$25,FALSE,FALSE,$D$17,$D$12,$K$28,$H$28,A92,"GanmaRf"))</f>
        <v/>
      </c>
      <c r="H92" s="96" t="str">
        <f>IF(B92="","",_xll.flu_CocMaSatCMD($D$21,$D$15,$D$16,$D$22,$H$12:$O$25,FALSE,FALSE,$D$17,$D$12,$K$28,$H$28,A92,"Li"))</f>
        <v/>
      </c>
      <c r="I92" s="95" t="str">
        <f>IF(B92="","",_xll.flu_CocMaSatCMD($D$21,$D$15,$D$16,$D$22,$H$12:$O$25,FALSE,FALSE,$D$17,$D$12,$K$28,$H$28,A92,"f"))</f>
        <v/>
      </c>
      <c r="J92" s="95" t="str">
        <f>IF(B92="","",_xll.flu_CocMaSatCMD($D$21,$D$15,$D$16,$D$22,$H$12:$O$25,FALSE,FALSE,$D$17,$D$12,$K$28,$H$28,A92,"fludon"))</f>
        <v/>
      </c>
      <c r="K92" s="95" t="str">
        <f>IF(B92="","",_xll.flu_CocMaSatCMD($D$21,$D$15,$D$16,$D$22,$H$12:$O$25,FALSE,FALSE,$D$17,$D$12,$K$28,$H$28,A92,"flu"))</f>
        <v/>
      </c>
      <c r="L92" s="87" t="e">
        <f t="shared" si="4"/>
        <v>#N/A</v>
      </c>
      <c r="M92" s="42"/>
    </row>
    <row r="93" spans="1:13">
      <c r="A93" s="87">
        <f t="shared" si="2"/>
        <v>54</v>
      </c>
      <c r="B93" s="83" t="str">
        <f>_xll.flu_CocMaSatCMD($D$21,$D$15,$D$16,$D$22,$H$12:$O$26,FALSE,FALSE,$D$17,$D$12,$K$28,$H$28,A93,"Cao độ")</f>
        <v/>
      </c>
      <c r="C93" s="87" t="str">
        <f>IF(B93="","",_xll.TimTenLoaiDat(B93,$F$12:$H$26))</f>
        <v/>
      </c>
      <c r="D93" s="82" t="str">
        <f>IF(B93="","",_xll.TimTinhChatDat(B93,$H$12:$I$26))</f>
        <v/>
      </c>
      <c r="E93" s="95" t="str">
        <f>IF(B93="","",_xll.Qb_CocMaSatCMD(B93,$H$12:$O$25,$D$20,$D$22,$H$28,$D$12,$D$24,$D$23,"qb"))</f>
        <v/>
      </c>
      <c r="F93" s="95" t="str">
        <f t="shared" si="3"/>
        <v/>
      </c>
      <c r="G93" s="96" t="str">
        <f>IF(B93="","",_xll.flu_CocMaSatCMD($D$21,$D$15,$D$16,$D$22,$H$12:$O$25,FALSE,FALSE,$D$17,$D$12,$K$28,$H$28,A93,"GanmaRf"))</f>
        <v/>
      </c>
      <c r="H93" s="96" t="str">
        <f>IF(B93="","",_xll.flu_CocMaSatCMD($D$21,$D$15,$D$16,$D$22,$H$12:$O$25,FALSE,FALSE,$D$17,$D$12,$K$28,$H$28,A93,"Li"))</f>
        <v/>
      </c>
      <c r="I93" s="95" t="str">
        <f>IF(B93="","",_xll.flu_CocMaSatCMD($D$21,$D$15,$D$16,$D$22,$H$12:$O$25,FALSE,FALSE,$D$17,$D$12,$K$28,$H$28,A93,"f"))</f>
        <v/>
      </c>
      <c r="J93" s="95" t="str">
        <f>IF(B93="","",_xll.flu_CocMaSatCMD($D$21,$D$15,$D$16,$D$22,$H$12:$O$25,FALSE,FALSE,$D$17,$D$12,$K$28,$H$28,A93,"fludon"))</f>
        <v/>
      </c>
      <c r="K93" s="95" t="str">
        <f>IF(B93="","",_xll.flu_CocMaSatCMD($D$21,$D$15,$D$16,$D$22,$H$12:$O$25,FALSE,FALSE,$D$17,$D$12,$K$28,$H$28,A93,"flu"))</f>
        <v/>
      </c>
      <c r="L93" s="87" t="e">
        <f t="shared" si="4"/>
        <v>#N/A</v>
      </c>
      <c r="M93" s="42"/>
    </row>
    <row r="94" spans="1:13">
      <c r="A94" s="87">
        <f t="shared" si="2"/>
        <v>55</v>
      </c>
      <c r="B94" s="83" t="str">
        <f>_xll.flu_CocMaSatCMD($D$21,$D$15,$D$16,$D$22,$H$12:$O$26,FALSE,FALSE,$D$17,$D$12,$K$28,$H$28,A94,"Cao độ")</f>
        <v/>
      </c>
      <c r="C94" s="87" t="str">
        <f>IF(B94="","",_xll.TimTenLoaiDat(B94,$F$12:$H$26))</f>
        <v/>
      </c>
      <c r="D94" s="82" t="str">
        <f>IF(B94="","",_xll.TimTinhChatDat(B94,$H$12:$I$26))</f>
        <v/>
      </c>
      <c r="E94" s="95" t="str">
        <f>IF(B94="","",_xll.Qb_CocMaSatCMD(B94,$H$12:$O$25,$D$20,$D$22,$H$28,$D$12,$D$24,$D$23,"qb"))</f>
        <v/>
      </c>
      <c r="F94" s="95" t="str">
        <f t="shared" si="3"/>
        <v/>
      </c>
      <c r="G94" s="96" t="str">
        <f>IF(B94="","",_xll.flu_CocMaSatCMD($D$21,$D$15,$D$16,$D$22,$H$12:$O$25,FALSE,FALSE,$D$17,$D$12,$K$28,$H$28,A94,"GanmaRf"))</f>
        <v/>
      </c>
      <c r="H94" s="96" t="str">
        <f>IF(B94="","",_xll.flu_CocMaSatCMD($D$21,$D$15,$D$16,$D$22,$H$12:$O$25,FALSE,FALSE,$D$17,$D$12,$K$28,$H$28,A94,"Li"))</f>
        <v/>
      </c>
      <c r="I94" s="95" t="str">
        <f>IF(B94="","",_xll.flu_CocMaSatCMD($D$21,$D$15,$D$16,$D$22,$H$12:$O$25,FALSE,FALSE,$D$17,$D$12,$K$28,$H$28,A94,"f"))</f>
        <v/>
      </c>
      <c r="J94" s="95" t="str">
        <f>IF(B94="","",_xll.flu_CocMaSatCMD($D$21,$D$15,$D$16,$D$22,$H$12:$O$25,FALSE,FALSE,$D$17,$D$12,$K$28,$H$28,A94,"fludon"))</f>
        <v/>
      </c>
      <c r="K94" s="95" t="str">
        <f>IF(B94="","",_xll.flu_CocMaSatCMD($D$21,$D$15,$D$16,$D$22,$H$12:$O$25,FALSE,FALSE,$D$17,$D$12,$K$28,$H$28,A94,"flu"))</f>
        <v/>
      </c>
      <c r="L94" s="87" t="e">
        <f t="shared" si="4"/>
        <v>#N/A</v>
      </c>
      <c r="M94" s="42"/>
    </row>
    <row r="95" spans="1:13">
      <c r="A95" s="87">
        <f t="shared" si="2"/>
        <v>56</v>
      </c>
      <c r="B95" s="83" t="str">
        <f>_xll.flu_CocMaSatCMD($D$21,$D$15,$D$16,$D$22,$H$12:$O$26,FALSE,FALSE,$D$17,$D$12,$K$28,$H$28,A95,"Cao độ")</f>
        <v/>
      </c>
      <c r="C95" s="87" t="str">
        <f>IF(B95="","",_xll.TimTenLoaiDat(B95,$F$12:$H$26))</f>
        <v/>
      </c>
      <c r="D95" s="82" t="str">
        <f>IF(B95="","",_xll.TimTinhChatDat(B95,$H$12:$I$26))</f>
        <v/>
      </c>
      <c r="E95" s="95" t="str">
        <f>IF(B95="","",_xll.Qb_CocMaSatCMD(B95,$H$12:$O$25,$D$20,$D$22,$H$28,$D$12,$D$24,$D$23,"qb"))</f>
        <v/>
      </c>
      <c r="F95" s="95" t="str">
        <f t="shared" si="3"/>
        <v/>
      </c>
      <c r="G95" s="96" t="str">
        <f>IF(B95="","",_xll.flu_CocMaSatCMD($D$21,$D$15,$D$16,$D$22,$H$12:$O$25,FALSE,FALSE,$D$17,$D$12,$K$28,$H$28,A95,"GanmaRf"))</f>
        <v/>
      </c>
      <c r="H95" s="96" t="str">
        <f>IF(B95="","",_xll.flu_CocMaSatCMD($D$21,$D$15,$D$16,$D$22,$H$12:$O$25,FALSE,FALSE,$D$17,$D$12,$K$28,$H$28,A95,"Li"))</f>
        <v/>
      </c>
      <c r="I95" s="95" t="str">
        <f>IF(B95="","",_xll.flu_CocMaSatCMD($D$21,$D$15,$D$16,$D$22,$H$12:$O$25,FALSE,FALSE,$D$17,$D$12,$K$28,$H$28,A95,"f"))</f>
        <v/>
      </c>
      <c r="J95" s="95" t="str">
        <f>IF(B95="","",_xll.flu_CocMaSatCMD($D$21,$D$15,$D$16,$D$22,$H$12:$O$25,FALSE,FALSE,$D$17,$D$12,$K$28,$H$28,A95,"fludon"))</f>
        <v/>
      </c>
      <c r="K95" s="95" t="str">
        <f>IF(B95="","",_xll.flu_CocMaSatCMD($D$21,$D$15,$D$16,$D$22,$H$12:$O$25,FALSE,FALSE,$D$17,$D$12,$K$28,$H$28,A95,"flu"))</f>
        <v/>
      </c>
      <c r="L95" s="87" t="e">
        <f t="shared" si="4"/>
        <v>#N/A</v>
      </c>
      <c r="M95" s="42"/>
    </row>
    <row r="96" spans="1:13">
      <c r="A96" s="87">
        <f t="shared" si="2"/>
        <v>57</v>
      </c>
      <c r="B96" s="83" t="str">
        <f>_xll.flu_CocMaSatCMD($D$21,$D$15,$D$16,$D$22,$H$12:$O$26,FALSE,FALSE,$D$17,$D$12,$K$28,$H$28,A96,"Cao độ")</f>
        <v/>
      </c>
      <c r="C96" s="87" t="str">
        <f>IF(B96="","",_xll.TimTenLoaiDat(B96,$F$12:$H$26))</f>
        <v/>
      </c>
      <c r="D96" s="82" t="str">
        <f>IF(B96="","",_xll.TimTinhChatDat(B96,$H$12:$I$26))</f>
        <v/>
      </c>
      <c r="E96" s="95" t="str">
        <f>IF(B96="","",_xll.Qb_CocMaSatCMD(B96,$H$12:$O$25,$D$20,$D$22,$H$28,$D$12,$D$24,$D$23,"qb"))</f>
        <v/>
      </c>
      <c r="F96" s="95" t="str">
        <f t="shared" si="3"/>
        <v/>
      </c>
      <c r="G96" s="96" t="str">
        <f>IF(B96="","",_xll.flu_CocMaSatCMD($D$21,$D$15,$D$16,$D$22,$H$12:$O$25,FALSE,FALSE,$D$17,$D$12,$K$28,$H$28,A96,"GanmaRf"))</f>
        <v/>
      </c>
      <c r="H96" s="96" t="str">
        <f>IF(B96="","",_xll.flu_CocMaSatCMD($D$21,$D$15,$D$16,$D$22,$H$12:$O$25,FALSE,FALSE,$D$17,$D$12,$K$28,$H$28,A96,"Li"))</f>
        <v/>
      </c>
      <c r="I96" s="95" t="str">
        <f>IF(B96="","",_xll.flu_CocMaSatCMD($D$21,$D$15,$D$16,$D$22,$H$12:$O$25,FALSE,FALSE,$D$17,$D$12,$K$28,$H$28,A96,"f"))</f>
        <v/>
      </c>
      <c r="J96" s="95" t="str">
        <f>IF(B96="","",_xll.flu_CocMaSatCMD($D$21,$D$15,$D$16,$D$22,$H$12:$O$25,FALSE,FALSE,$D$17,$D$12,$K$28,$H$28,A96,"fludon"))</f>
        <v/>
      </c>
      <c r="K96" s="95" t="str">
        <f>IF(B96="","",_xll.flu_CocMaSatCMD($D$21,$D$15,$D$16,$D$22,$H$12:$O$25,FALSE,FALSE,$D$17,$D$12,$K$28,$H$28,A96,"flu"))</f>
        <v/>
      </c>
      <c r="L96" s="87" t="e">
        <f t="shared" si="4"/>
        <v>#N/A</v>
      </c>
      <c r="M96" s="42"/>
    </row>
    <row r="97" spans="1:13">
      <c r="A97" s="87">
        <f t="shared" si="2"/>
        <v>58</v>
      </c>
      <c r="B97" s="83" t="str">
        <f>_xll.flu_CocMaSatCMD($D$21,$D$15,$D$16,$D$22,$H$12:$O$26,FALSE,FALSE,$D$17,$D$12,$K$28,$H$28,A97,"Cao độ")</f>
        <v/>
      </c>
      <c r="C97" s="87" t="str">
        <f>IF(B97="","",_xll.TimTenLoaiDat(B97,$F$12:$H$26))</f>
        <v/>
      </c>
      <c r="D97" s="82" t="str">
        <f>IF(B97="","",_xll.TimTinhChatDat(B97,$H$12:$I$26))</f>
        <v/>
      </c>
      <c r="E97" s="95" t="str">
        <f>IF(B97="","",_xll.Qb_CocMaSatCMD(B97,$H$12:$O$25,$D$20,$D$22,$H$28,$D$12,$D$24,$D$23,"qb"))</f>
        <v/>
      </c>
      <c r="F97" s="95" t="str">
        <f t="shared" si="3"/>
        <v/>
      </c>
      <c r="G97" s="96" t="str">
        <f>IF(B97="","",_xll.flu_CocMaSatCMD($D$21,$D$15,$D$16,$D$22,$H$12:$O$25,FALSE,FALSE,$D$17,$D$12,$K$28,$H$28,A97,"GanmaRf"))</f>
        <v/>
      </c>
      <c r="H97" s="96" t="str">
        <f>IF(B97="","",_xll.flu_CocMaSatCMD($D$21,$D$15,$D$16,$D$22,$H$12:$O$25,FALSE,FALSE,$D$17,$D$12,$K$28,$H$28,A97,"Li"))</f>
        <v/>
      </c>
      <c r="I97" s="95" t="str">
        <f>IF(B97="","",_xll.flu_CocMaSatCMD($D$21,$D$15,$D$16,$D$22,$H$12:$O$25,FALSE,FALSE,$D$17,$D$12,$K$28,$H$28,A97,"f"))</f>
        <v/>
      </c>
      <c r="J97" s="95" t="str">
        <f>IF(B97="","",_xll.flu_CocMaSatCMD($D$21,$D$15,$D$16,$D$22,$H$12:$O$25,FALSE,FALSE,$D$17,$D$12,$K$28,$H$28,A97,"fludon"))</f>
        <v/>
      </c>
      <c r="K97" s="95" t="str">
        <f>IF(B97="","",_xll.flu_CocMaSatCMD($D$21,$D$15,$D$16,$D$22,$H$12:$O$25,FALSE,FALSE,$D$17,$D$12,$K$28,$H$28,A97,"flu"))</f>
        <v/>
      </c>
      <c r="L97" s="87" t="e">
        <f t="shared" si="4"/>
        <v>#N/A</v>
      </c>
      <c r="M97" s="42"/>
    </row>
    <row r="98" spans="1:13">
      <c r="A98" s="87">
        <f t="shared" si="2"/>
        <v>59</v>
      </c>
      <c r="B98" s="83" t="str">
        <f>_xll.flu_CocMaSatCMD($D$21,$D$15,$D$16,$D$22,$H$12:$O$26,FALSE,FALSE,$D$17,$D$12,$K$28,$H$28,A98,"Cao độ")</f>
        <v/>
      </c>
      <c r="C98" s="87" t="str">
        <f>IF(B98="","",_xll.TimTenLoaiDat(B98,$F$12:$H$26))</f>
        <v/>
      </c>
      <c r="D98" s="82" t="str">
        <f>IF(B98="","",_xll.TimTinhChatDat(B98,$H$12:$I$26))</f>
        <v/>
      </c>
      <c r="E98" s="95" t="str">
        <f>IF(B98="","",_xll.Qb_CocMaSatCMD(B98,$H$12:$O$25,$D$20,$D$22,$H$28,$D$12,$D$24,$D$23,"qb"))</f>
        <v/>
      </c>
      <c r="F98" s="95" t="str">
        <f t="shared" si="3"/>
        <v/>
      </c>
      <c r="G98" s="96" t="str">
        <f>IF(B98="","",_xll.flu_CocMaSatCMD($D$21,$D$15,$D$16,$D$22,$H$12:$O$25,FALSE,FALSE,$D$17,$D$12,$K$28,$H$28,A98,"GanmaRf"))</f>
        <v/>
      </c>
      <c r="H98" s="96" t="str">
        <f>IF(B98="","",_xll.flu_CocMaSatCMD($D$21,$D$15,$D$16,$D$22,$H$12:$O$25,FALSE,FALSE,$D$17,$D$12,$K$28,$H$28,A98,"Li"))</f>
        <v/>
      </c>
      <c r="I98" s="95" t="str">
        <f>IF(B98="","",_xll.flu_CocMaSatCMD($D$21,$D$15,$D$16,$D$22,$H$12:$O$25,FALSE,FALSE,$D$17,$D$12,$K$28,$H$28,A98,"f"))</f>
        <v/>
      </c>
      <c r="J98" s="95" t="str">
        <f>IF(B98="","",_xll.flu_CocMaSatCMD($D$21,$D$15,$D$16,$D$22,$H$12:$O$25,FALSE,FALSE,$D$17,$D$12,$K$28,$H$28,A98,"fludon"))</f>
        <v/>
      </c>
      <c r="K98" s="95" t="str">
        <f>IF(B98="","",_xll.flu_CocMaSatCMD($D$21,$D$15,$D$16,$D$22,$H$12:$O$25,FALSE,FALSE,$D$17,$D$12,$K$28,$H$28,A98,"flu"))</f>
        <v/>
      </c>
      <c r="L98" s="87" t="e">
        <f t="shared" si="4"/>
        <v>#N/A</v>
      </c>
      <c r="M98" s="42"/>
    </row>
    <row r="99" spans="1:13">
      <c r="A99" s="87">
        <f t="shared" si="2"/>
        <v>60</v>
      </c>
      <c r="B99" s="83" t="str">
        <f>_xll.flu_CocMaSatCMD($D$21,$D$15,$D$16,$D$22,$H$12:$O$26,FALSE,FALSE,$D$17,$D$12,$K$28,$H$28,A99,"Cao độ")</f>
        <v/>
      </c>
      <c r="C99" s="87" t="str">
        <f>IF(B99="","",_xll.TimTenLoaiDat(B99,$F$12:$H$26))</f>
        <v/>
      </c>
      <c r="D99" s="82" t="str">
        <f>IF(B99="","",_xll.TimTinhChatDat(B99,$H$12:$I$26))</f>
        <v/>
      </c>
      <c r="E99" s="95" t="str">
        <f>IF(B99="","",_xll.Qb_CocMaSatCMD(B99,$H$12:$O$25,$D$20,$D$22,$H$28,$D$12,$D$24,$D$23,"qb"))</f>
        <v/>
      </c>
      <c r="F99" s="95" t="str">
        <f t="shared" si="3"/>
        <v/>
      </c>
      <c r="G99" s="96" t="str">
        <f>IF(B99="","",_xll.flu_CocMaSatCMD($D$21,$D$15,$D$16,$D$22,$H$12:$O$25,FALSE,FALSE,$D$17,$D$12,$K$28,$H$28,A99,"GanmaRf"))</f>
        <v/>
      </c>
      <c r="H99" s="96" t="str">
        <f>IF(B99="","",_xll.flu_CocMaSatCMD($D$21,$D$15,$D$16,$D$22,$H$12:$O$25,FALSE,FALSE,$D$17,$D$12,$K$28,$H$28,A99,"Li"))</f>
        <v/>
      </c>
      <c r="I99" s="95" t="str">
        <f>IF(B99="","",_xll.flu_CocMaSatCMD($D$21,$D$15,$D$16,$D$22,$H$12:$O$25,FALSE,FALSE,$D$17,$D$12,$K$28,$H$28,A99,"f"))</f>
        <v/>
      </c>
      <c r="J99" s="95" t="str">
        <f>IF(B99="","",_xll.flu_CocMaSatCMD($D$21,$D$15,$D$16,$D$22,$H$12:$O$25,FALSE,FALSE,$D$17,$D$12,$K$28,$H$28,A99,"fludon"))</f>
        <v/>
      </c>
      <c r="K99" s="95" t="str">
        <f>IF(B99="","",_xll.flu_CocMaSatCMD($D$21,$D$15,$D$16,$D$22,$H$12:$O$25,FALSE,FALSE,$D$17,$D$12,$K$28,$H$28,A99,"flu"))</f>
        <v/>
      </c>
      <c r="L99" s="87" t="e">
        <f t="shared" si="4"/>
        <v>#N/A</v>
      </c>
      <c r="M99" s="42"/>
    </row>
    <row r="100" spans="1:13">
      <c r="A100" s="87">
        <f t="shared" si="2"/>
        <v>61</v>
      </c>
      <c r="B100" s="83" t="str">
        <f>_xll.flu_CocMaSatCMD($D$21,$D$15,$D$16,$D$22,$H$12:$O$26,FALSE,FALSE,$D$17,$D$12,$K$28,$H$28,A100,"Cao độ")</f>
        <v/>
      </c>
      <c r="C100" s="87" t="str">
        <f>IF(B100="","",_xll.TimTenLoaiDat(B100,$F$12:$H$26))</f>
        <v/>
      </c>
      <c r="D100" s="82" t="str">
        <f>IF(B100="","",_xll.TimTinhChatDat(B100,$H$12:$I$26))</f>
        <v/>
      </c>
      <c r="E100" s="95" t="str">
        <f>IF(B100="","",_xll.Qb_CocMaSatCMD(B100,$H$12:$O$25,$D$20,$D$22,$H$28,$D$12,$D$24,$D$23,"qb"))</f>
        <v/>
      </c>
      <c r="F100" s="95" t="str">
        <f t="shared" si="3"/>
        <v/>
      </c>
      <c r="G100" s="96" t="str">
        <f>IF(B100="","",_xll.flu_CocMaSatCMD($D$21,$D$15,$D$16,$D$22,$H$12:$O$25,FALSE,FALSE,$D$17,$D$12,$K$28,$H$28,A100,"GanmaRf"))</f>
        <v/>
      </c>
      <c r="H100" s="96" t="str">
        <f>IF(B100="","",_xll.flu_CocMaSatCMD($D$21,$D$15,$D$16,$D$22,$H$12:$O$25,FALSE,FALSE,$D$17,$D$12,$K$28,$H$28,A100,"Li"))</f>
        <v/>
      </c>
      <c r="I100" s="95" t="str">
        <f>IF(B100="","",_xll.flu_CocMaSatCMD($D$21,$D$15,$D$16,$D$22,$H$12:$O$25,FALSE,FALSE,$D$17,$D$12,$K$28,$H$28,A100,"f"))</f>
        <v/>
      </c>
      <c r="J100" s="95" t="str">
        <f>IF(B100="","",_xll.flu_CocMaSatCMD($D$21,$D$15,$D$16,$D$22,$H$12:$O$25,FALSE,FALSE,$D$17,$D$12,$K$28,$H$28,A100,"fludon"))</f>
        <v/>
      </c>
      <c r="K100" s="95" t="str">
        <f>IF(B100="","",_xll.flu_CocMaSatCMD($D$21,$D$15,$D$16,$D$22,$H$12:$O$25,FALSE,FALSE,$D$17,$D$12,$K$28,$H$28,A100,"flu"))</f>
        <v/>
      </c>
      <c r="L100" s="87" t="e">
        <f t="shared" si="4"/>
        <v>#N/A</v>
      </c>
      <c r="M100" s="42"/>
    </row>
    <row r="101" spans="1:13">
      <c r="A101" s="87">
        <f t="shared" si="2"/>
        <v>62</v>
      </c>
      <c r="B101" s="83" t="str">
        <f>_xll.flu_CocMaSatCMD($D$21,$D$15,$D$16,$D$22,$H$12:$O$26,FALSE,FALSE,$D$17,$D$12,$K$28,$H$28,A101,"Cao độ")</f>
        <v/>
      </c>
      <c r="C101" s="87" t="str">
        <f>IF(B101="","",_xll.TimTenLoaiDat(B101,$F$12:$H$26))</f>
        <v/>
      </c>
      <c r="D101" s="82" t="str">
        <f>IF(B101="","",_xll.TimTinhChatDat(B101,$H$12:$I$26))</f>
        <v/>
      </c>
      <c r="E101" s="95" t="str">
        <f>IF(B101="","",_xll.Qb_CocMaSatCMD(B101,$H$12:$O$25,$D$20,$D$22,$H$28,$D$12,$D$24,$D$23,"qb"))</f>
        <v/>
      </c>
      <c r="F101" s="95" t="str">
        <f t="shared" si="3"/>
        <v/>
      </c>
      <c r="G101" s="96" t="str">
        <f>IF(B101="","",_xll.flu_CocMaSatCMD($D$21,$D$15,$D$16,$D$22,$H$12:$O$25,FALSE,FALSE,$D$17,$D$12,$K$28,$H$28,A101,"GanmaRf"))</f>
        <v/>
      </c>
      <c r="H101" s="96" t="str">
        <f>IF(B101="","",_xll.flu_CocMaSatCMD($D$21,$D$15,$D$16,$D$22,$H$12:$O$25,FALSE,FALSE,$D$17,$D$12,$K$28,$H$28,A101,"Li"))</f>
        <v/>
      </c>
      <c r="I101" s="95" t="str">
        <f>IF(B101="","",_xll.flu_CocMaSatCMD($D$21,$D$15,$D$16,$D$22,$H$12:$O$25,FALSE,FALSE,$D$17,$D$12,$K$28,$H$28,A101,"f"))</f>
        <v/>
      </c>
      <c r="J101" s="95" t="str">
        <f>IF(B101="","",_xll.flu_CocMaSatCMD($D$21,$D$15,$D$16,$D$22,$H$12:$O$25,FALSE,FALSE,$D$17,$D$12,$K$28,$H$28,A101,"fludon"))</f>
        <v/>
      </c>
      <c r="K101" s="95" t="str">
        <f>IF(B101="","",_xll.flu_CocMaSatCMD($D$21,$D$15,$D$16,$D$22,$H$12:$O$25,FALSE,FALSE,$D$17,$D$12,$K$28,$H$28,A101,"flu"))</f>
        <v/>
      </c>
      <c r="L101" s="87" t="e">
        <f t="shared" si="4"/>
        <v>#N/A</v>
      </c>
      <c r="M101" s="42"/>
    </row>
    <row r="102" spans="1:13">
      <c r="A102" s="87">
        <f t="shared" si="2"/>
        <v>63</v>
      </c>
      <c r="B102" s="83" t="str">
        <f>_xll.flu_CocMaSatCMD($D$21,$D$15,$D$16,$D$22,$H$12:$O$26,FALSE,FALSE,$D$17,$D$12,$K$28,$H$28,A102,"Cao độ")</f>
        <v/>
      </c>
      <c r="C102" s="87" t="str">
        <f>IF(B102="","",_xll.TimTenLoaiDat(B102,$F$12:$H$26))</f>
        <v/>
      </c>
      <c r="D102" s="82" t="str">
        <f>IF(B102="","",_xll.TimTinhChatDat(B102,$H$12:$I$26))</f>
        <v/>
      </c>
      <c r="E102" s="95" t="str">
        <f>IF(B102="","",_xll.Qb_CocMaSatCMD(B102,$H$12:$O$25,$D$20,$D$22,$H$28,$D$12,$D$24,$D$23,"qb"))</f>
        <v/>
      </c>
      <c r="F102" s="95" t="str">
        <f t="shared" si="3"/>
        <v/>
      </c>
      <c r="G102" s="96" t="str">
        <f>IF(B102="","",_xll.flu_CocMaSatCMD($D$21,$D$15,$D$16,$D$22,$H$12:$O$25,FALSE,FALSE,$D$17,$D$12,$K$28,$H$28,A102,"GanmaRf"))</f>
        <v/>
      </c>
      <c r="H102" s="96" t="str">
        <f>IF(B102="","",_xll.flu_CocMaSatCMD($D$21,$D$15,$D$16,$D$22,$H$12:$O$25,FALSE,FALSE,$D$17,$D$12,$K$28,$H$28,A102,"Li"))</f>
        <v/>
      </c>
      <c r="I102" s="95" t="str">
        <f>IF(B102="","",_xll.flu_CocMaSatCMD($D$21,$D$15,$D$16,$D$22,$H$12:$O$25,FALSE,FALSE,$D$17,$D$12,$K$28,$H$28,A102,"f"))</f>
        <v/>
      </c>
      <c r="J102" s="95" t="str">
        <f>IF(B102="","",_xll.flu_CocMaSatCMD($D$21,$D$15,$D$16,$D$22,$H$12:$O$25,FALSE,FALSE,$D$17,$D$12,$K$28,$H$28,A102,"fludon"))</f>
        <v/>
      </c>
      <c r="K102" s="95" t="str">
        <f>IF(B102="","",_xll.flu_CocMaSatCMD($D$21,$D$15,$D$16,$D$22,$H$12:$O$25,FALSE,FALSE,$D$17,$D$12,$K$28,$H$28,A102,"flu"))</f>
        <v/>
      </c>
      <c r="L102" s="87" t="e">
        <f t="shared" si="4"/>
        <v>#N/A</v>
      </c>
      <c r="M102" s="42"/>
    </row>
    <row r="103" spans="1:13">
      <c r="A103" s="87">
        <f t="shared" si="2"/>
        <v>64</v>
      </c>
      <c r="B103" s="83" t="str">
        <f>_xll.flu_CocMaSatCMD($D$21,$D$15,$D$16,$D$22,$H$12:$O$26,FALSE,FALSE,$D$17,$D$12,$K$28,$H$28,A103,"Cao độ")</f>
        <v/>
      </c>
      <c r="C103" s="87" t="str">
        <f>IF(B103="","",_xll.TimTenLoaiDat(B103,$F$12:$H$26))</f>
        <v/>
      </c>
      <c r="D103" s="82" t="str">
        <f>IF(B103="","",_xll.TimTinhChatDat(B103,$H$12:$I$26))</f>
        <v/>
      </c>
      <c r="E103" s="95" t="str">
        <f>IF(B103="","",_xll.Qb_CocMaSatCMD(B103,$H$12:$O$25,$D$20,$D$22,$H$28,$D$12,$D$24,$D$23,"qb"))</f>
        <v/>
      </c>
      <c r="F103" s="95" t="str">
        <f t="shared" ref="F103:F108" si="5">IF(B103="","",IFERROR($D$22*$D$23*E103*$D$20,0))</f>
        <v/>
      </c>
      <c r="G103" s="96" t="str">
        <f>IF(B103="","",_xll.flu_CocMaSatCMD($D$21,$D$15,$D$16,$D$22,$H$12:$O$25,FALSE,FALSE,$D$17,$D$12,$K$28,$H$28,A103,"GanmaRf"))</f>
        <v/>
      </c>
      <c r="H103" s="96" t="str">
        <f>IF(B103="","",_xll.flu_CocMaSatCMD($D$21,$D$15,$D$16,$D$22,$H$12:$O$25,FALSE,FALSE,$D$17,$D$12,$K$28,$H$28,A103,"Li"))</f>
        <v/>
      </c>
      <c r="I103" s="95" t="str">
        <f>IF(B103="","",_xll.flu_CocMaSatCMD($D$21,$D$15,$D$16,$D$22,$H$12:$O$25,FALSE,FALSE,$D$17,$D$12,$K$28,$H$28,A103,"f"))</f>
        <v/>
      </c>
      <c r="J103" s="95" t="str">
        <f>IF(B103="","",_xll.flu_CocMaSatCMD($D$21,$D$15,$D$16,$D$22,$H$12:$O$25,FALSE,FALSE,$D$17,$D$12,$K$28,$H$28,A103,"fludon"))</f>
        <v/>
      </c>
      <c r="K103" s="95" t="str">
        <f>IF(B103="","",_xll.flu_CocMaSatCMD($D$21,$D$15,$D$16,$D$22,$H$12:$O$25,FALSE,FALSE,$D$17,$D$12,$K$28,$H$28,A103,"flu"))</f>
        <v/>
      </c>
      <c r="L103" s="87" t="e">
        <f t="shared" ref="L103:L108" si="6">IF(B103="",NA(),K103+F103)</f>
        <v>#N/A</v>
      </c>
      <c r="M103" s="42"/>
    </row>
    <row r="104" spans="1:13">
      <c r="A104" s="87">
        <f t="shared" ref="A104:A108" si="7">+A103+1</f>
        <v>65</v>
      </c>
      <c r="B104" s="83" t="str">
        <f>_xll.flu_CocMaSatCMD($D$21,$D$15,$D$16,$D$22,$H$12:$O$26,FALSE,FALSE,$D$17,$D$12,$K$28,$H$28,A104,"Cao độ")</f>
        <v/>
      </c>
      <c r="C104" s="87" t="str">
        <f>IF(B104="","",_xll.TimTenLoaiDat(B104,$F$12:$H$26))</f>
        <v/>
      </c>
      <c r="D104" s="82" t="str">
        <f>IF(B104="","",_xll.TimTinhChatDat(B104,$H$12:$I$26))</f>
        <v/>
      </c>
      <c r="E104" s="95" t="str">
        <f>IF(B104="","",_xll.Qb_CocMaSatCMD(B104,$H$12:$O$25,$D$20,$D$22,$H$28,$D$12,$D$24,$D$23,"qb"))</f>
        <v/>
      </c>
      <c r="F104" s="95" t="str">
        <f t="shared" si="5"/>
        <v/>
      </c>
      <c r="G104" s="96" t="str">
        <f>IF(B104="","",_xll.flu_CocMaSatCMD($D$21,$D$15,$D$16,$D$22,$H$12:$O$25,FALSE,FALSE,$D$17,$D$12,$K$28,$H$28,A104,"GanmaRf"))</f>
        <v/>
      </c>
      <c r="H104" s="96" t="str">
        <f>IF(B104="","",_xll.flu_CocMaSatCMD($D$21,$D$15,$D$16,$D$22,$H$12:$O$25,FALSE,FALSE,$D$17,$D$12,$K$28,$H$28,A104,"Li"))</f>
        <v/>
      </c>
      <c r="I104" s="95" t="str">
        <f>IF(B104="","",_xll.flu_CocMaSatCMD($D$21,$D$15,$D$16,$D$22,$H$12:$O$25,FALSE,FALSE,$D$17,$D$12,$K$28,$H$28,A104,"f"))</f>
        <v/>
      </c>
      <c r="J104" s="95" t="str">
        <f>IF(B104="","",_xll.flu_CocMaSatCMD($D$21,$D$15,$D$16,$D$22,$H$12:$O$25,FALSE,FALSE,$D$17,$D$12,$K$28,$H$28,A104,"fludon"))</f>
        <v/>
      </c>
      <c r="K104" s="95" t="str">
        <f>IF(B104="","",_xll.flu_CocMaSatCMD($D$21,$D$15,$D$16,$D$22,$H$12:$O$25,FALSE,FALSE,$D$17,$D$12,$K$28,$H$28,A104,"flu"))</f>
        <v/>
      </c>
      <c r="L104" s="87" t="e">
        <f t="shared" si="6"/>
        <v>#N/A</v>
      </c>
      <c r="M104" s="42"/>
    </row>
    <row r="105" spans="1:13">
      <c r="A105" s="87">
        <f t="shared" si="7"/>
        <v>66</v>
      </c>
      <c r="B105" s="83" t="str">
        <f>_xll.flu_CocMaSatCMD($D$21,$D$15,$D$16,$D$22,$H$12:$O$26,FALSE,FALSE,$D$17,$D$12,$K$28,$H$28,A105,"Cao độ")</f>
        <v/>
      </c>
      <c r="C105" s="87" t="str">
        <f>IF(B105="","",_xll.TimTenLoaiDat(B105,$F$12:$H$26))</f>
        <v/>
      </c>
      <c r="D105" s="82" t="str">
        <f>IF(B105="","",_xll.TimTinhChatDat(B105,$H$12:$I$26))</f>
        <v/>
      </c>
      <c r="E105" s="95" t="str">
        <f>IF(B105="","",_xll.Qb_CocMaSatCMD(B105,$H$12:$O$25,$D$20,$D$22,$H$28,$D$12,$D$24,$D$23,"qb"))</f>
        <v/>
      </c>
      <c r="F105" s="95" t="str">
        <f t="shared" si="5"/>
        <v/>
      </c>
      <c r="G105" s="96" t="str">
        <f>IF(B105="","",_xll.flu_CocMaSatCMD($D$21,$D$15,$D$16,$D$22,$H$12:$O$25,FALSE,FALSE,$D$17,$D$12,$K$28,$H$28,A105,"GanmaRf"))</f>
        <v/>
      </c>
      <c r="H105" s="96" t="str">
        <f>IF(B105="","",_xll.flu_CocMaSatCMD($D$21,$D$15,$D$16,$D$22,$H$12:$O$25,FALSE,FALSE,$D$17,$D$12,$K$28,$H$28,A105,"Li"))</f>
        <v/>
      </c>
      <c r="I105" s="95" t="str">
        <f>IF(B105="","",_xll.flu_CocMaSatCMD($D$21,$D$15,$D$16,$D$22,$H$12:$O$25,FALSE,FALSE,$D$17,$D$12,$K$28,$H$28,A105,"f"))</f>
        <v/>
      </c>
      <c r="J105" s="95" t="str">
        <f>IF(B105="","",_xll.flu_CocMaSatCMD($D$21,$D$15,$D$16,$D$22,$H$12:$O$25,FALSE,FALSE,$D$17,$D$12,$K$28,$H$28,A105,"fludon"))</f>
        <v/>
      </c>
      <c r="K105" s="95" t="str">
        <f>IF(B105="","",_xll.flu_CocMaSatCMD($D$21,$D$15,$D$16,$D$22,$H$12:$O$25,FALSE,FALSE,$D$17,$D$12,$K$28,$H$28,A105,"flu"))</f>
        <v/>
      </c>
      <c r="L105" s="87" t="e">
        <f t="shared" si="6"/>
        <v>#N/A</v>
      </c>
      <c r="M105" s="42"/>
    </row>
    <row r="106" spans="1:13">
      <c r="A106" s="87">
        <f t="shared" si="7"/>
        <v>67</v>
      </c>
      <c r="B106" s="83" t="str">
        <f>_xll.flu_CocMaSatCMD($D$21,$D$15,$D$16,$D$22,$H$12:$O$26,FALSE,FALSE,$D$17,$D$12,$K$28,$H$28,A106,"Cao độ")</f>
        <v/>
      </c>
      <c r="C106" s="87" t="str">
        <f>IF(B106="","",_xll.TimTenLoaiDat(B106,$F$12:$H$26))</f>
        <v/>
      </c>
      <c r="D106" s="82" t="str">
        <f>IF(B106="","",_xll.TimTinhChatDat(B106,$H$12:$I$26))</f>
        <v/>
      </c>
      <c r="E106" s="95" t="str">
        <f>IF(B106="","",_xll.Qb_CocMaSatCMD(B106,$H$12:$O$25,$D$20,$D$22,$H$28,$D$12,$D$24,$D$23,"qb"))</f>
        <v/>
      </c>
      <c r="F106" s="95" t="str">
        <f t="shared" si="5"/>
        <v/>
      </c>
      <c r="G106" s="96" t="str">
        <f>IF(B106="","",_xll.flu_CocMaSatCMD($D$21,$D$15,$D$16,$D$22,$H$12:$O$25,FALSE,FALSE,$D$17,$D$12,$K$28,$H$28,A106,"GanmaRf"))</f>
        <v/>
      </c>
      <c r="H106" s="96" t="str">
        <f>IF(B106="","",_xll.flu_CocMaSatCMD($D$21,$D$15,$D$16,$D$22,$H$12:$O$25,FALSE,FALSE,$D$17,$D$12,$K$28,$H$28,A106,"Li"))</f>
        <v/>
      </c>
      <c r="I106" s="95" t="str">
        <f>IF(B106="","",_xll.flu_CocMaSatCMD($D$21,$D$15,$D$16,$D$22,$H$12:$O$25,FALSE,FALSE,$D$17,$D$12,$K$28,$H$28,A106,"f"))</f>
        <v/>
      </c>
      <c r="J106" s="95" t="str">
        <f>IF(B106="","",_xll.flu_CocMaSatCMD($D$21,$D$15,$D$16,$D$22,$H$12:$O$25,FALSE,FALSE,$D$17,$D$12,$K$28,$H$28,A106,"fludon"))</f>
        <v/>
      </c>
      <c r="K106" s="95" t="str">
        <f>IF(B106="","",_xll.flu_CocMaSatCMD($D$21,$D$15,$D$16,$D$22,$H$12:$O$25,FALSE,FALSE,$D$17,$D$12,$K$28,$H$28,A106,"flu"))</f>
        <v/>
      </c>
      <c r="L106" s="87" t="e">
        <f t="shared" si="6"/>
        <v>#N/A</v>
      </c>
      <c r="M106" s="42"/>
    </row>
    <row r="107" spans="1:13">
      <c r="A107" s="87">
        <f t="shared" si="7"/>
        <v>68</v>
      </c>
      <c r="B107" s="83" t="str">
        <f>_xll.flu_CocMaSatCMD($D$21,$D$15,$D$16,$D$22,$H$12:$O$26,FALSE,FALSE,$D$17,$D$12,$K$28,$H$28,A107,"Cao độ")</f>
        <v/>
      </c>
      <c r="C107" s="87" t="str">
        <f>IF(B107="","",_xll.TimTenLoaiDat(B107,$F$12:$H$26))</f>
        <v/>
      </c>
      <c r="D107" s="82" t="str">
        <f>IF(B107="","",_xll.TimTinhChatDat(B107,$H$12:$I$26))</f>
        <v/>
      </c>
      <c r="E107" s="95" t="str">
        <f>IF(B107="","",_xll.Qb_CocMaSatCMD(B107,$H$12:$O$25,$D$20,$D$22,$H$28,$D$12,$D$24,$D$23,"qb"))</f>
        <v/>
      </c>
      <c r="F107" s="95" t="str">
        <f t="shared" si="5"/>
        <v/>
      </c>
      <c r="G107" s="96" t="str">
        <f>IF(B107="","",_xll.flu_CocMaSatCMD($D$21,$D$15,$D$16,$D$22,$H$12:$O$25,FALSE,FALSE,$D$17,$D$12,$K$28,$H$28,A107,"GanmaRf"))</f>
        <v/>
      </c>
      <c r="H107" s="96" t="str">
        <f>IF(B107="","",_xll.flu_CocMaSatCMD($D$21,$D$15,$D$16,$D$22,$H$12:$O$25,FALSE,FALSE,$D$17,$D$12,$K$28,$H$28,A107,"Li"))</f>
        <v/>
      </c>
      <c r="I107" s="95" t="str">
        <f>IF(B107="","",_xll.flu_CocMaSatCMD($D$21,$D$15,$D$16,$D$22,$H$12:$O$25,FALSE,FALSE,$D$17,$D$12,$K$28,$H$28,A107,"f"))</f>
        <v/>
      </c>
      <c r="J107" s="95" t="str">
        <f>IF(B107="","",_xll.flu_CocMaSatCMD($D$21,$D$15,$D$16,$D$22,$H$12:$O$25,FALSE,FALSE,$D$17,$D$12,$K$28,$H$28,A107,"fludon"))</f>
        <v/>
      </c>
      <c r="K107" s="95" t="str">
        <f>IF(B107="","",_xll.flu_CocMaSatCMD($D$21,$D$15,$D$16,$D$22,$H$12:$O$25,FALSE,FALSE,$D$17,$D$12,$K$28,$H$28,A107,"flu"))</f>
        <v/>
      </c>
      <c r="L107" s="87" t="e">
        <f t="shared" si="6"/>
        <v>#N/A</v>
      </c>
      <c r="M107" s="42"/>
    </row>
    <row r="108" spans="1:13">
      <c r="A108" s="87">
        <f t="shared" si="7"/>
        <v>69</v>
      </c>
      <c r="B108" s="83" t="str">
        <f>_xll.flu_CocMaSatCMD($D$21,$D$15,$D$16,$D$22,$H$12:$O$26,FALSE,FALSE,$D$17,$D$12,$K$28,$H$28,A108,"Cao độ")</f>
        <v/>
      </c>
      <c r="C108" s="87" t="str">
        <f>IF(B108="","",_xll.TimTenLoaiDat(B108,$F$12:$H$26))</f>
        <v/>
      </c>
      <c r="D108" s="82" t="str">
        <f>IF(B108="","",_xll.TimTinhChatDat(B108,$H$12:$I$26))</f>
        <v/>
      </c>
      <c r="E108" s="95" t="str">
        <f>IF(B108="","",_xll.Qb_CocMaSatCMD(B108,$H$12:$O$25,$D$20,$D$22,$H$28,$D$12,$D$24,$D$23,"qb"))</f>
        <v/>
      </c>
      <c r="F108" s="95" t="str">
        <f t="shared" si="5"/>
        <v/>
      </c>
      <c r="G108" s="96" t="str">
        <f>IF(B108="","",_xll.flu_CocMaSatCMD($D$21,$D$15,$D$16,$D$22,$H$12:$O$25,FALSE,FALSE,$D$17,$D$12,$K$28,$H$28,A108,"GanmaRf"))</f>
        <v/>
      </c>
      <c r="H108" s="96" t="str">
        <f>IF(B108="","",_xll.flu_CocMaSatCMD($D$21,$D$15,$D$16,$D$22,$H$12:$O$25,FALSE,FALSE,$D$17,$D$12,$K$28,$H$28,A108,"Li"))</f>
        <v/>
      </c>
      <c r="I108" s="95" t="str">
        <f>IF(B108="","",_xll.flu_CocMaSatCMD($D$21,$D$15,$D$16,$D$22,$H$12:$O$25,FALSE,FALSE,$D$17,$D$12,$K$28,$H$28,A108,"f"))</f>
        <v/>
      </c>
      <c r="J108" s="95" t="str">
        <f>IF(B108="","",_xll.flu_CocMaSatCMD($D$21,$D$15,$D$16,$D$22,$H$12:$O$25,FALSE,FALSE,$D$17,$D$12,$K$28,$H$28,A108,"fludon"))</f>
        <v/>
      </c>
      <c r="K108" s="95" t="str">
        <f>IF(B108="","",_xll.flu_CocMaSatCMD($D$21,$D$15,$D$16,$D$22,$H$12:$O$25,FALSE,FALSE,$D$17,$D$12,$K$28,$H$28,A108,"flu"))</f>
        <v/>
      </c>
      <c r="L108" s="87" t="e">
        <f t="shared" si="6"/>
        <v>#N/A</v>
      </c>
      <c r="M108" s="42"/>
    </row>
    <row r="109" spans="1:13">
      <c r="A109" s="87"/>
      <c r="B109" s="83"/>
      <c r="C109" s="87"/>
      <c r="D109" s="82"/>
      <c r="E109" s="95"/>
      <c r="F109" s="95"/>
      <c r="G109" s="95"/>
      <c r="H109" s="95"/>
      <c r="I109" s="96"/>
      <c r="J109" s="95"/>
      <c r="K109" s="95"/>
      <c r="L109" s="95"/>
      <c r="M109" s="42"/>
    </row>
    <row r="110" spans="1:13">
      <c r="A110" s="87"/>
      <c r="B110" s="83"/>
      <c r="C110" s="87"/>
      <c r="D110" s="82"/>
      <c r="E110" s="95"/>
      <c r="F110" s="95"/>
      <c r="G110" s="95"/>
      <c r="H110" s="95"/>
      <c r="I110" s="96"/>
      <c r="J110" s="95"/>
      <c r="K110" s="95"/>
      <c r="L110" s="95"/>
      <c r="M110" s="42"/>
    </row>
    <row r="111" spans="1:13">
      <c r="A111" s="87"/>
      <c r="B111" s="83"/>
      <c r="C111" s="87"/>
      <c r="D111" s="82"/>
      <c r="E111" s="95"/>
      <c r="F111" s="95"/>
      <c r="G111" s="95"/>
      <c r="H111" s="95"/>
      <c r="I111" s="96"/>
      <c r="J111" s="95"/>
      <c r="K111" s="95"/>
      <c r="L111" s="95"/>
      <c r="M111" s="42"/>
    </row>
    <row r="112" spans="1:13">
      <c r="A112" s="87"/>
      <c r="B112" s="83"/>
      <c r="C112" s="87"/>
      <c r="D112" s="82"/>
      <c r="E112" s="95"/>
      <c r="F112" s="95"/>
      <c r="G112" s="95"/>
      <c r="H112" s="95"/>
      <c r="I112" s="96"/>
      <c r="J112" s="95"/>
      <c r="K112" s="95"/>
      <c r="L112" s="95"/>
      <c r="M112" s="42"/>
    </row>
    <row r="113" spans="1:15" customFormat="1">
      <c r="A113" s="87"/>
      <c r="B113" s="83"/>
      <c r="C113" s="87"/>
      <c r="D113" s="82"/>
      <c r="E113" s="95"/>
      <c r="F113" s="95"/>
      <c r="G113" s="95"/>
      <c r="H113" s="95"/>
      <c r="I113" s="96"/>
      <c r="J113" s="95"/>
      <c r="K113" s="95"/>
      <c r="L113" s="95"/>
      <c r="M113" s="42"/>
      <c r="N113" s="36"/>
      <c r="O113" s="42"/>
    </row>
    <row r="114" spans="1:15" customFormat="1">
      <c r="A114" s="87"/>
      <c r="B114" s="83"/>
      <c r="C114" s="87"/>
      <c r="D114" s="82"/>
      <c r="E114" s="95"/>
      <c r="F114" s="95"/>
      <c r="G114" s="95"/>
      <c r="H114" s="95"/>
      <c r="I114" s="96"/>
      <c r="J114" s="95"/>
      <c r="K114" s="95"/>
      <c r="L114" s="95"/>
      <c r="M114" s="42"/>
      <c r="N114" s="36"/>
      <c r="O114" s="42"/>
    </row>
    <row r="115" spans="1:15" customFormat="1">
      <c r="A115" s="87"/>
      <c r="B115" s="83"/>
      <c r="C115" s="87"/>
      <c r="D115" s="82"/>
      <c r="E115" s="95"/>
      <c r="F115" s="95"/>
      <c r="G115" s="95"/>
      <c r="H115" s="95"/>
      <c r="I115" s="96"/>
      <c r="J115" s="95"/>
      <c r="K115" s="95"/>
      <c r="L115" s="95"/>
      <c r="M115" s="42"/>
      <c r="N115" s="36"/>
      <c r="O115" s="42"/>
    </row>
    <row r="116" spans="1:15" customFormat="1">
      <c r="A116" s="87"/>
      <c r="B116" s="83"/>
      <c r="C116" s="87"/>
      <c r="D116" s="82"/>
      <c r="E116" s="95"/>
      <c r="F116" s="95"/>
      <c r="G116" s="95"/>
      <c r="H116" s="95"/>
      <c r="I116" s="96"/>
      <c r="J116" s="95"/>
      <c r="K116" s="95"/>
      <c r="L116" s="95"/>
      <c r="M116" s="42"/>
      <c r="N116" s="36"/>
      <c r="O116" s="42"/>
    </row>
    <row r="117" spans="1:15" customFormat="1">
      <c r="A117" s="87"/>
      <c r="B117" s="83"/>
      <c r="C117" s="87"/>
      <c r="D117" s="82"/>
      <c r="E117" s="95"/>
      <c r="F117" s="95"/>
      <c r="G117" s="95"/>
      <c r="H117" s="95"/>
      <c r="I117" s="96"/>
      <c r="J117" s="95"/>
      <c r="K117" s="95"/>
      <c r="L117" s="95"/>
      <c r="M117" s="42"/>
      <c r="N117" s="36"/>
      <c r="O117" s="42"/>
    </row>
    <row r="118" spans="1:15" s="37" customFormat="1">
      <c r="A118" s="87"/>
      <c r="B118" s="83"/>
      <c r="C118" s="87"/>
      <c r="D118" s="82"/>
      <c r="E118" s="95"/>
      <c r="F118" s="95"/>
      <c r="G118" s="95"/>
      <c r="H118" s="95"/>
      <c r="I118" s="96"/>
      <c r="J118" s="95"/>
      <c r="K118" s="95"/>
      <c r="L118" s="95"/>
      <c r="M118" s="42"/>
      <c r="N118" s="36"/>
      <c r="O118" s="10"/>
    </row>
    <row r="119" spans="1:15" s="37" customFormat="1">
      <c r="A119" s="87"/>
      <c r="B119" s="83"/>
      <c r="C119" s="87"/>
      <c r="D119" s="82"/>
      <c r="E119" s="95"/>
      <c r="F119" s="95"/>
      <c r="G119" s="95"/>
      <c r="H119" s="95"/>
      <c r="I119" s="96"/>
      <c r="J119" s="95"/>
      <c r="K119" s="95"/>
      <c r="L119" s="95"/>
      <c r="M119" s="42"/>
      <c r="N119" s="36"/>
      <c r="O119" s="10"/>
    </row>
    <row r="120" spans="1:15" s="37" customFormat="1">
      <c r="A120" s="87"/>
      <c r="B120" s="83"/>
      <c r="C120" s="87"/>
      <c r="D120" s="82"/>
      <c r="E120" s="95"/>
      <c r="F120" s="95"/>
      <c r="G120" s="95"/>
      <c r="H120" s="95"/>
      <c r="I120" s="96"/>
      <c r="J120" s="95"/>
      <c r="K120" s="95"/>
      <c r="L120" s="95"/>
      <c r="M120" s="42"/>
      <c r="N120" s="36"/>
      <c r="O120" s="10"/>
    </row>
    <row r="121" spans="1:15" s="37" customFormat="1">
      <c r="A121" s="87"/>
      <c r="B121" s="83"/>
      <c r="C121" s="87"/>
      <c r="D121" s="82"/>
      <c r="E121" s="95"/>
      <c r="F121" s="95"/>
      <c r="G121" s="95"/>
      <c r="H121" s="95"/>
      <c r="I121" s="96"/>
      <c r="J121" s="95"/>
      <c r="K121" s="95"/>
      <c r="L121" s="95"/>
      <c r="M121" s="42"/>
      <c r="N121" s="36"/>
      <c r="O121" s="10"/>
    </row>
    <row r="122" spans="1:15" s="37" customFormat="1">
      <c r="A122" s="87"/>
      <c r="B122" s="83"/>
      <c r="C122" s="87"/>
      <c r="D122" s="82"/>
      <c r="E122" s="95"/>
      <c r="F122" s="95"/>
      <c r="G122" s="95"/>
      <c r="H122" s="95"/>
      <c r="I122" s="96"/>
      <c r="J122" s="95"/>
      <c r="K122" s="95"/>
      <c r="L122" s="95"/>
      <c r="M122" s="42"/>
      <c r="N122" s="36"/>
      <c r="O122" s="10"/>
    </row>
    <row r="123" spans="1:15" s="37" customFormat="1">
      <c r="A123" s="87"/>
      <c r="B123" s="83"/>
      <c r="C123" s="87"/>
      <c r="D123" s="82"/>
      <c r="E123" s="95"/>
      <c r="F123" s="95"/>
      <c r="G123" s="95"/>
      <c r="H123" s="95"/>
      <c r="I123" s="96"/>
      <c r="J123" s="95"/>
      <c r="K123" s="95"/>
      <c r="L123" s="95"/>
      <c r="M123" s="42"/>
      <c r="N123" s="36"/>
      <c r="O123" s="10"/>
    </row>
    <row r="124" spans="1:15" s="37" customFormat="1">
      <c r="A124" s="87"/>
      <c r="B124" s="83"/>
      <c r="C124" s="87"/>
      <c r="D124" s="82"/>
      <c r="E124" s="95"/>
      <c r="F124" s="95"/>
      <c r="G124" s="95"/>
      <c r="H124" s="95"/>
      <c r="I124" s="96"/>
      <c r="J124" s="95"/>
      <c r="K124" s="95"/>
      <c r="L124" s="95"/>
      <c r="M124" s="42"/>
      <c r="N124" s="36"/>
      <c r="O124" s="10"/>
    </row>
    <row r="125" spans="1:15" s="37" customFormat="1">
      <c r="A125" s="87"/>
      <c r="B125" s="83"/>
      <c r="C125" s="87"/>
      <c r="D125" s="82"/>
      <c r="E125" s="95"/>
      <c r="F125" s="95"/>
      <c r="G125" s="95"/>
      <c r="H125" s="95"/>
      <c r="I125" s="96"/>
      <c r="J125" s="95"/>
      <c r="K125" s="95"/>
      <c r="L125" s="95"/>
      <c r="M125" s="42"/>
      <c r="N125" s="36"/>
      <c r="O125" s="10"/>
    </row>
    <row r="126" spans="1:15" s="37" customFormat="1">
      <c r="A126" s="87"/>
      <c r="B126" s="83"/>
      <c r="C126" s="87"/>
      <c r="D126" s="82"/>
      <c r="E126" s="95"/>
      <c r="F126" s="95"/>
      <c r="G126" s="95"/>
      <c r="H126" s="95"/>
      <c r="I126" s="96"/>
      <c r="J126" s="95"/>
      <c r="K126" s="95"/>
      <c r="L126" s="95"/>
      <c r="M126" s="42"/>
      <c r="N126" s="36"/>
      <c r="O126" s="10"/>
    </row>
    <row r="127" spans="1:15" s="37" customFormat="1">
      <c r="A127" s="87"/>
      <c r="B127" s="83"/>
      <c r="C127" s="87"/>
      <c r="D127" s="82"/>
      <c r="E127" s="95"/>
      <c r="F127" s="95"/>
      <c r="G127" s="95"/>
      <c r="H127" s="95"/>
      <c r="I127" s="96"/>
      <c r="J127" s="95"/>
      <c r="K127" s="95"/>
      <c r="L127" s="95"/>
      <c r="M127" s="42"/>
      <c r="N127" s="36"/>
      <c r="O127" s="10"/>
    </row>
    <row r="128" spans="1:15" s="37" customFormat="1">
      <c r="A128" s="87"/>
      <c r="B128" s="83"/>
      <c r="C128" s="87"/>
      <c r="D128" s="82"/>
      <c r="E128" s="95"/>
      <c r="F128" s="95"/>
      <c r="G128" s="95"/>
      <c r="H128" s="95"/>
      <c r="I128" s="96"/>
      <c r="J128" s="95"/>
      <c r="K128" s="95"/>
      <c r="L128" s="95"/>
      <c r="M128" s="42"/>
      <c r="N128" s="36"/>
      <c r="O128" s="10"/>
    </row>
    <row r="129" spans="1:15" s="37" customFormat="1">
      <c r="A129" s="87"/>
      <c r="B129" s="83"/>
      <c r="C129" s="87"/>
      <c r="D129" s="82"/>
      <c r="E129" s="95"/>
      <c r="F129" s="95"/>
      <c r="G129" s="95"/>
      <c r="H129" s="95"/>
      <c r="I129" s="96"/>
      <c r="J129" s="95"/>
      <c r="K129" s="95"/>
      <c r="L129" s="95"/>
      <c r="M129" s="42"/>
      <c r="N129" s="36"/>
      <c r="O129" s="10"/>
    </row>
    <row r="130" spans="1:15" s="37" customFormat="1">
      <c r="A130" s="87"/>
      <c r="B130" s="83"/>
      <c r="C130" s="87"/>
      <c r="D130" s="82"/>
      <c r="E130" s="95"/>
      <c r="F130" s="95"/>
      <c r="G130" s="95"/>
      <c r="H130" s="95"/>
      <c r="I130" s="96"/>
      <c r="J130" s="95"/>
      <c r="K130" s="95"/>
      <c r="L130" s="95"/>
      <c r="M130" s="42"/>
      <c r="N130" s="36"/>
      <c r="O130" s="10"/>
    </row>
    <row r="131" spans="1:15" s="37" customFormat="1">
      <c r="A131" s="87"/>
      <c r="B131" s="83"/>
      <c r="C131" s="87"/>
      <c r="D131" s="82"/>
      <c r="E131" s="95"/>
      <c r="F131" s="95"/>
      <c r="G131" s="95"/>
      <c r="H131" s="95"/>
      <c r="I131" s="96"/>
      <c r="J131" s="95"/>
      <c r="K131" s="95"/>
      <c r="L131" s="95"/>
      <c r="M131" s="42"/>
      <c r="N131" s="36"/>
      <c r="O131" s="10"/>
    </row>
    <row r="132" spans="1:15" s="37" customFormat="1">
      <c r="A132" s="87"/>
      <c r="B132" s="83"/>
      <c r="C132" s="87"/>
      <c r="D132" s="82"/>
      <c r="E132" s="95"/>
      <c r="F132" s="95"/>
      <c r="G132" s="95"/>
      <c r="H132" s="95"/>
      <c r="I132" s="96"/>
      <c r="J132" s="95"/>
      <c r="K132" s="95"/>
      <c r="L132" s="95"/>
      <c r="M132" s="42"/>
      <c r="N132" s="36"/>
      <c r="O132" s="10"/>
    </row>
    <row r="133" spans="1:15" s="37" customFormat="1">
      <c r="A133" s="87"/>
      <c r="B133" s="83"/>
      <c r="C133" s="87"/>
      <c r="D133" s="82"/>
      <c r="E133" s="95"/>
      <c r="F133" s="95"/>
      <c r="G133" s="95"/>
      <c r="H133" s="95"/>
      <c r="I133" s="96"/>
      <c r="J133" s="95"/>
      <c r="K133" s="95"/>
      <c r="L133" s="95"/>
      <c r="M133" s="42"/>
      <c r="N133" s="36"/>
      <c r="O133" s="10"/>
    </row>
    <row r="134" spans="1:15">
      <c r="M134" s="42"/>
    </row>
    <row r="135" spans="1:15">
      <c r="M135" s="42"/>
    </row>
    <row r="136" spans="1:15">
      <c r="M136" s="42"/>
    </row>
  </sheetData>
  <mergeCells count="83">
    <mergeCell ref="M9:M11"/>
    <mergeCell ref="N9:N11"/>
    <mergeCell ref="O9:O11"/>
    <mergeCell ref="F29:L31"/>
    <mergeCell ref="I9:J11"/>
    <mergeCell ref="J37:J38"/>
    <mergeCell ref="K9:K11"/>
    <mergeCell ref="K37:K38"/>
    <mergeCell ref="L9:L11"/>
    <mergeCell ref="L37:L38"/>
    <mergeCell ref="F32:L33"/>
    <mergeCell ref="G37:G38"/>
    <mergeCell ref="H9:H11"/>
    <mergeCell ref="H34:H35"/>
    <mergeCell ref="H37:H38"/>
    <mergeCell ref="I37:I38"/>
    <mergeCell ref="F34:G35"/>
    <mergeCell ref="I34:K34"/>
    <mergeCell ref="I35:K35"/>
    <mergeCell ref="I24:J24"/>
    <mergeCell ref="A37:A38"/>
    <mergeCell ref="B37:B38"/>
    <mergeCell ref="C37:C38"/>
    <mergeCell ref="D37:D38"/>
    <mergeCell ref="F9:F11"/>
    <mergeCell ref="F37:F38"/>
    <mergeCell ref="A32:C32"/>
    <mergeCell ref="A33:C33"/>
    <mergeCell ref="A34:C34"/>
    <mergeCell ref="A35:C35"/>
    <mergeCell ref="A27:C27"/>
    <mergeCell ref="F28:G28"/>
    <mergeCell ref="A29:C29"/>
    <mergeCell ref="A30:C30"/>
    <mergeCell ref="A31:C31"/>
    <mergeCell ref="A24:C24"/>
    <mergeCell ref="A25:C25"/>
    <mergeCell ref="I25:J25"/>
    <mergeCell ref="A26:C26"/>
    <mergeCell ref="I26:J26"/>
    <mergeCell ref="A21:C21"/>
    <mergeCell ref="I21:J21"/>
    <mergeCell ref="A22:C22"/>
    <mergeCell ref="I22:J22"/>
    <mergeCell ref="A23:C23"/>
    <mergeCell ref="I23:J23"/>
    <mergeCell ref="A18:C18"/>
    <mergeCell ref="I18:J18"/>
    <mergeCell ref="A19:C19"/>
    <mergeCell ref="I19:J19"/>
    <mergeCell ref="A20:C20"/>
    <mergeCell ref="I20:J20"/>
    <mergeCell ref="A15:C15"/>
    <mergeCell ref="I15:J15"/>
    <mergeCell ref="A16:C16"/>
    <mergeCell ref="I16:J16"/>
    <mergeCell ref="A17:C17"/>
    <mergeCell ref="I17:J17"/>
    <mergeCell ref="A12:C12"/>
    <mergeCell ref="I12:J12"/>
    <mergeCell ref="A13:C13"/>
    <mergeCell ref="I13:J13"/>
    <mergeCell ref="A14:C14"/>
    <mergeCell ref="I14:J14"/>
    <mergeCell ref="A6:L6"/>
    <mergeCell ref="A7:L7"/>
    <mergeCell ref="A9:C9"/>
    <mergeCell ref="A10:C10"/>
    <mergeCell ref="A11:C11"/>
    <mergeCell ref="G9:G11"/>
    <mergeCell ref="A4:C4"/>
    <mergeCell ref="H4:J4"/>
    <mergeCell ref="K4:L4"/>
    <mergeCell ref="A5:C5"/>
    <mergeCell ref="H5:J5"/>
    <mergeCell ref="K5:L5"/>
    <mergeCell ref="A1:O1"/>
    <mergeCell ref="A2:C2"/>
    <mergeCell ref="H2:J2"/>
    <mergeCell ref="K2:L2"/>
    <mergeCell ref="A3:C3"/>
    <mergeCell ref="H3:J3"/>
    <mergeCell ref="K3:L3"/>
  </mergeCells>
  <conditionalFormatting sqref="F39:F108">
    <cfRule type="dataBar" priority="3">
      <dataBar>
        <cfvo type="min"/>
        <cfvo type="max"/>
        <color rgb="FF638EC6"/>
      </dataBar>
      <extLst>
        <ext xmlns:x14="http://schemas.microsoft.com/office/spreadsheetml/2009/9/main" uri="{B025F937-C7B1-47D3-B67F-A62EFF666E3E}">
          <x14:id>{0B126892-4329-4778-8E73-246A8B0CA9BF}</x14:id>
        </ext>
      </extLst>
    </cfRule>
  </conditionalFormatting>
  <conditionalFormatting sqref="K39:K108">
    <cfRule type="dataBar" priority="2">
      <dataBar>
        <cfvo type="min"/>
        <cfvo type="max"/>
        <color rgb="FF63C384"/>
      </dataBar>
      <extLst>
        <ext xmlns:x14="http://schemas.microsoft.com/office/spreadsheetml/2009/9/main" uri="{B025F937-C7B1-47D3-B67F-A62EFF666E3E}">
          <x14:id>{7406E086-FFBC-4EF1-A568-E97011D42476}</x14:id>
        </ext>
      </extLst>
    </cfRule>
  </conditionalFormatting>
  <conditionalFormatting sqref="L39:L108">
    <cfRule type="dataBar" priority="1">
      <dataBar>
        <cfvo type="min"/>
        <cfvo type="max"/>
        <color rgb="FFFF555A"/>
      </dataBar>
      <extLst>
        <ext xmlns:x14="http://schemas.microsoft.com/office/spreadsheetml/2009/9/main" uri="{B025F937-C7B1-47D3-B67F-A62EFF666E3E}">
          <x14:id>{D1922DFA-BC77-4009-949A-2E14C03F9796}</x14:id>
        </ext>
      </extLst>
    </cfRule>
  </conditionalFormatting>
  <dataValidations count="6">
    <dataValidation type="list" allowBlank="1" showInputMessage="1" showErrorMessage="1" sqref="D10">
      <formula1>"Cọc khoan nhồi, Cọc khoan thả, Cọc ống, Cọc vít,Cọc đóng ép"</formula1>
    </dataValidation>
    <dataValidation type="list" allowBlank="1" showInputMessage="1" showErrorMessage="1" sqref="D11 E12">
      <formula1>"Cọc Vuông,Cọc Tròn"</formula1>
    </dataValidation>
    <dataValidation type="list" allowBlank="1" showInputMessage="1" showErrorMessage="1" sqref="E11">
      <formula1>"Cọc nhồi, Cọc khoan, Cọc đào thả, Cọc vít,Cọc đóng ép"</formula1>
    </dataValidation>
    <dataValidation type="list" allowBlank="1" showInputMessage="1" showErrorMessage="1" sqref="D24">
      <formula1>"True,False"</formula1>
    </dataValidation>
    <dataValidation type="list" allowBlank="1" showInputMessage="1" showErrorMessage="1" sqref="D29">
      <formula1>"C1,C2,C3"</formula1>
    </dataValidation>
    <dataValidation type="list" allowBlank="1" showInputMessage="1" showErrorMessage="1" sqref="D31">
      <formula1>"Yes,No"</formula1>
    </dataValidation>
  </dataValidations>
  <pageMargins left="0.59055118110236204" right="0.39370078740157499" top="0.39370078740157499" bottom="0.39370078740157499" header="0.15748031496063" footer="0.15748031496063"/>
  <pageSetup paperSize="9" scale="73" fitToHeight="0"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0B126892-4329-4778-8E73-246A8B0CA9BF}">
            <x14:dataBar minLength="0" maxLength="100" border="1" negativeBarBorderColorSameAsPositive="0">
              <x14:cfvo type="autoMin"/>
              <x14:cfvo type="autoMax"/>
              <x14:borderColor rgb="FF638EC6"/>
              <x14:negativeFillColor rgb="FFFF0000"/>
              <x14:negativeBorderColor rgb="FFFF0000"/>
              <x14:axisColor rgb="FF000000"/>
            </x14:dataBar>
          </x14:cfRule>
          <xm:sqref>F39:F108</xm:sqref>
        </x14:conditionalFormatting>
        <x14:conditionalFormatting xmlns:xm="http://schemas.microsoft.com/office/excel/2006/main">
          <x14:cfRule type="dataBar" id="{7406E086-FFBC-4EF1-A568-E97011D42476}">
            <x14:dataBar minLength="0" maxLength="100" border="1" negativeBarBorderColorSameAsPositive="0">
              <x14:cfvo type="autoMin"/>
              <x14:cfvo type="autoMax"/>
              <x14:borderColor rgb="FF63C384"/>
              <x14:negativeFillColor rgb="FFFF0000"/>
              <x14:negativeBorderColor rgb="FFFF0000"/>
              <x14:axisColor rgb="FF000000"/>
            </x14:dataBar>
          </x14:cfRule>
          <xm:sqref>K39:K108</xm:sqref>
        </x14:conditionalFormatting>
        <x14:conditionalFormatting xmlns:xm="http://schemas.microsoft.com/office/excel/2006/main">
          <x14:cfRule type="dataBar" id="{D1922DFA-BC77-4009-949A-2E14C03F9796}">
            <x14:dataBar minLength="0" maxLength="100" border="1" negativeBarBorderColorSameAsPositive="0">
              <x14:cfvo type="autoMin"/>
              <x14:cfvo type="autoMax"/>
              <x14:borderColor rgb="FFFF555A"/>
              <x14:negativeFillColor rgb="FFFF0000"/>
              <x14:negativeBorderColor rgb="FFFF0000"/>
              <x14:axisColor rgb="FF000000"/>
            </x14:dataBar>
          </x14:cfRule>
          <xm:sqref>L39:L108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'LT 10304-2025'!$AH$2:$AH$14</xm:f>
          </x14:formula1>
          <xm:sqref>I24 I12:J23 I25:J26</xm:sqref>
        </x14:dataValidation>
        <x14:dataValidation type="list" allowBlank="1" showInputMessage="1" showErrorMessage="1">
          <x14:formula1>
            <xm:f>'LT 10304-2025'!$AN$2:$AN$11</xm:f>
          </x14:formula1>
          <xm:sqref>F29</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FFC000"/>
    <pageSetUpPr fitToPage="1"/>
  </sheetPr>
  <dimension ref="A1:T150"/>
  <sheetViews>
    <sheetView view="pageBreakPreview" topLeftCell="A46" zoomScale="115" zoomScaleNormal="115" workbookViewId="0">
      <selection activeCell="F73" sqref="F73"/>
    </sheetView>
  </sheetViews>
  <sheetFormatPr defaultColWidth="8.140625" defaultRowHeight="15"/>
  <cols>
    <col min="1" max="1" width="8" style="38" customWidth="1"/>
    <col min="2" max="2" width="8.42578125" style="39" customWidth="1"/>
    <col min="3" max="3" width="10.5703125" style="38" customWidth="1"/>
    <col min="4" max="4" width="19.28515625" style="40" customWidth="1"/>
    <col min="5" max="5" width="8.42578125" style="41" customWidth="1"/>
    <col min="6" max="6" width="8.42578125" style="38" customWidth="1"/>
    <col min="7" max="7" width="9.140625" style="38" customWidth="1"/>
    <col min="8" max="8" width="8.42578125" style="38" customWidth="1"/>
    <col min="9" max="9" width="10.85546875" style="39" customWidth="1"/>
    <col min="10" max="10" width="7.42578125" style="41" customWidth="1"/>
    <col min="11" max="11" width="12.42578125" style="38" customWidth="1"/>
    <col min="12" max="12" width="11.28515625" style="38" customWidth="1"/>
    <col min="13" max="13" width="11.5703125" style="38" customWidth="1"/>
    <col min="14" max="14" width="8.140625" style="36"/>
    <col min="15" max="15" width="9.42578125" style="42" customWidth="1"/>
    <col min="21" max="16384" width="8.140625" style="43"/>
  </cols>
  <sheetData>
    <row r="1" spans="1:20" customFormat="1" ht="30" customHeight="1">
      <c r="A1" s="408" t="s">
        <v>228</v>
      </c>
      <c r="B1" s="408"/>
      <c r="C1" s="408"/>
      <c r="D1" s="408"/>
      <c r="E1" s="408"/>
      <c r="F1" s="408"/>
      <c r="G1" s="408"/>
      <c r="H1" s="408"/>
      <c r="I1" s="408"/>
      <c r="J1" s="408"/>
      <c r="K1" s="408"/>
      <c r="L1" s="408"/>
      <c r="M1" s="408"/>
      <c r="N1" s="408"/>
      <c r="O1" s="44"/>
    </row>
    <row r="2" spans="1:20" customFormat="1" ht="15.75" customHeight="1">
      <c r="A2" s="409" t="s">
        <v>253</v>
      </c>
      <c r="B2" s="409"/>
      <c r="C2" s="409"/>
      <c r="D2" s="623" t="s">
        <v>254</v>
      </c>
      <c r="E2" s="624"/>
      <c r="F2" s="624"/>
      <c r="G2" s="625"/>
      <c r="H2" s="411" t="s">
        <v>255</v>
      </c>
      <c r="I2" s="411"/>
      <c r="J2" s="411"/>
      <c r="K2" s="409" t="s">
        <v>256</v>
      </c>
      <c r="L2" s="409"/>
      <c r="M2" s="409"/>
      <c r="N2" s="409"/>
      <c r="O2" s="42"/>
    </row>
    <row r="3" spans="1:20" customFormat="1">
      <c r="A3" s="409" t="s">
        <v>257</v>
      </c>
      <c r="B3" s="409"/>
      <c r="C3" s="409"/>
      <c r="D3" s="623" t="s">
        <v>254</v>
      </c>
      <c r="E3" s="512"/>
      <c r="F3" s="512"/>
      <c r="G3" s="513"/>
      <c r="H3" s="411" t="s">
        <v>258</v>
      </c>
      <c r="I3" s="525"/>
      <c r="J3" s="525"/>
      <c r="K3" s="412">
        <f ca="1">TODAY()</f>
        <v>46281</v>
      </c>
      <c r="L3" s="525"/>
      <c r="M3" s="525"/>
      <c r="N3" s="525"/>
      <c r="O3" s="42"/>
    </row>
    <row r="4" spans="1:20" customFormat="1">
      <c r="A4" s="409" t="s">
        <v>260</v>
      </c>
      <c r="B4" s="409"/>
      <c r="C4" s="409"/>
      <c r="D4" s="623" t="s">
        <v>254</v>
      </c>
      <c r="E4" s="512"/>
      <c r="F4" s="512"/>
      <c r="G4" s="513"/>
      <c r="H4" s="411" t="s">
        <v>261</v>
      </c>
      <c r="I4" s="525"/>
      <c r="J4" s="525"/>
      <c r="K4" s="409" t="s">
        <v>254</v>
      </c>
      <c r="L4" s="525"/>
      <c r="M4" s="525"/>
      <c r="N4" s="525"/>
      <c r="O4" s="42"/>
    </row>
    <row r="5" spans="1:20" customFormat="1">
      <c r="A5" s="409" t="s">
        <v>265</v>
      </c>
      <c r="B5" s="409"/>
      <c r="C5" s="409"/>
      <c r="D5" s="626" t="s">
        <v>976</v>
      </c>
      <c r="E5" s="512"/>
      <c r="F5" s="512"/>
      <c r="G5" s="513"/>
      <c r="H5" s="411" t="s">
        <v>267</v>
      </c>
      <c r="I5" s="525"/>
      <c r="J5" s="525"/>
      <c r="K5" s="409" t="s">
        <v>254</v>
      </c>
      <c r="L5" s="525"/>
      <c r="M5" s="525"/>
      <c r="N5" s="525"/>
      <c r="O5" s="42"/>
    </row>
    <row r="6" spans="1:20" customFormat="1" ht="21" customHeight="1">
      <c r="A6" s="604"/>
      <c r="B6" s="605"/>
      <c r="C6" s="605"/>
      <c r="D6" s="605"/>
      <c r="E6" s="605"/>
      <c r="F6" s="605"/>
      <c r="G6" s="605"/>
      <c r="H6" s="605"/>
      <c r="I6" s="605"/>
      <c r="J6" s="605"/>
      <c r="K6" s="605"/>
      <c r="L6" s="605"/>
      <c r="M6" s="36"/>
      <c r="N6" s="36"/>
      <c r="O6" s="42"/>
    </row>
    <row r="7" spans="1:20" customFormat="1" ht="15" customHeight="1">
      <c r="A7" s="627" t="s">
        <v>1073</v>
      </c>
      <c r="B7" s="627"/>
      <c r="C7" s="627"/>
      <c r="D7" s="627"/>
      <c r="E7" s="627"/>
      <c r="F7" s="627"/>
      <c r="G7" s="627"/>
      <c r="H7" s="627"/>
      <c r="I7" s="627"/>
      <c r="J7" s="627"/>
      <c r="K7" s="627"/>
      <c r="L7" s="627"/>
      <c r="M7" s="627"/>
      <c r="N7" s="627"/>
      <c r="O7" s="42"/>
    </row>
    <row r="8" spans="1:20" customFormat="1" ht="16.5" customHeight="1">
      <c r="A8" s="45"/>
      <c r="B8" s="46"/>
      <c r="C8" s="46"/>
      <c r="D8" s="46"/>
      <c r="E8" s="46"/>
      <c r="F8" s="46"/>
      <c r="G8" s="46"/>
      <c r="H8" s="46"/>
      <c r="I8" s="46"/>
      <c r="J8" s="46"/>
      <c r="K8" s="46"/>
      <c r="L8" s="46"/>
      <c r="M8" s="36"/>
      <c r="N8" s="36"/>
      <c r="O8" s="42"/>
    </row>
    <row r="9" spans="1:20" customFormat="1" ht="16.5" customHeight="1">
      <c r="A9" s="434" t="s">
        <v>283</v>
      </c>
      <c r="B9" s="434"/>
      <c r="C9" s="434"/>
      <c r="D9" s="13" t="s">
        <v>946</v>
      </c>
      <c r="E9" s="9"/>
      <c r="F9" s="614" t="s">
        <v>230</v>
      </c>
      <c r="G9" s="613" t="s">
        <v>1043</v>
      </c>
      <c r="H9" s="614" t="s">
        <v>979</v>
      </c>
      <c r="I9" s="614" t="s">
        <v>1044</v>
      </c>
      <c r="J9" s="614"/>
      <c r="K9" s="614" t="s">
        <v>1045</v>
      </c>
      <c r="L9" s="614" t="s">
        <v>1046</v>
      </c>
      <c r="M9" s="614" t="s">
        <v>1047</v>
      </c>
      <c r="N9" s="622" t="s">
        <v>1074</v>
      </c>
      <c r="O9" s="622" t="s">
        <v>1075</v>
      </c>
      <c r="P9" s="589" t="s">
        <v>1066</v>
      </c>
      <c r="Q9" s="589" t="s">
        <v>1067</v>
      </c>
    </row>
    <row r="10" spans="1:20" customFormat="1" ht="16.5" customHeight="1">
      <c r="A10" s="434" t="s">
        <v>980</v>
      </c>
      <c r="B10" s="434"/>
      <c r="C10" s="434"/>
      <c r="D10" s="13" t="s">
        <v>104</v>
      </c>
      <c r="E10" s="47"/>
      <c r="F10" s="614"/>
      <c r="G10" s="613"/>
      <c r="H10" s="614"/>
      <c r="I10" s="614"/>
      <c r="J10" s="614"/>
      <c r="K10" s="614"/>
      <c r="L10" s="614"/>
      <c r="M10" s="614"/>
      <c r="N10" s="622"/>
      <c r="O10" s="622"/>
      <c r="P10" s="589"/>
      <c r="Q10" s="589"/>
    </row>
    <row r="11" spans="1:20" customFormat="1" ht="13.15" customHeight="1">
      <c r="A11" s="434" t="s">
        <v>981</v>
      </c>
      <c r="B11" s="434"/>
      <c r="C11" s="434"/>
      <c r="D11" s="13" t="s">
        <v>299</v>
      </c>
      <c r="E11" s="48"/>
      <c r="F11" s="614"/>
      <c r="G11" s="613"/>
      <c r="H11" s="614"/>
      <c r="I11" s="614"/>
      <c r="J11" s="614"/>
      <c r="K11" s="614"/>
      <c r="L11" s="614"/>
      <c r="M11" s="614"/>
      <c r="N11" s="622"/>
      <c r="O11" s="622"/>
      <c r="P11" s="589"/>
      <c r="Q11" s="589"/>
    </row>
    <row r="12" spans="1:20" customFormat="1" ht="15.6" customHeight="1">
      <c r="A12" s="546" t="s">
        <v>1011</v>
      </c>
      <c r="B12" s="547"/>
      <c r="C12" s="548"/>
      <c r="D12" s="13" t="s">
        <v>1068</v>
      </c>
      <c r="E12" s="48"/>
      <c r="F12" s="13" t="s">
        <v>262</v>
      </c>
      <c r="G12" s="13" t="s">
        <v>263</v>
      </c>
      <c r="H12" s="19">
        <v>0</v>
      </c>
      <c r="I12" s="437" t="s">
        <v>940</v>
      </c>
      <c r="J12" s="437"/>
      <c r="K12" s="49"/>
      <c r="L12" s="49"/>
      <c r="M12" s="49"/>
      <c r="N12" s="50">
        <v>0</v>
      </c>
      <c r="O12" s="51">
        <v>8</v>
      </c>
      <c r="P12" s="52" t="s">
        <v>264</v>
      </c>
      <c r="Q12" s="53" t="s">
        <v>1069</v>
      </c>
    </row>
    <row r="13" spans="1:20" customFormat="1" ht="15.6" customHeight="1">
      <c r="A13" s="434" t="s">
        <v>298</v>
      </c>
      <c r="B13" s="434"/>
      <c r="C13" s="434"/>
      <c r="D13" s="18">
        <v>1</v>
      </c>
      <c r="E13" s="54"/>
      <c r="F13" s="13" t="s">
        <v>268</v>
      </c>
      <c r="G13" s="13" t="s">
        <v>269</v>
      </c>
      <c r="H13" s="19">
        <v>1.5</v>
      </c>
      <c r="I13" s="437" t="s">
        <v>944</v>
      </c>
      <c r="J13" s="437"/>
      <c r="K13" s="49">
        <v>0.3</v>
      </c>
      <c r="L13" s="49">
        <v>0.6</v>
      </c>
      <c r="M13" s="49"/>
      <c r="N13" s="50">
        <v>9.56</v>
      </c>
      <c r="O13" s="51">
        <v>9</v>
      </c>
      <c r="P13" s="52" t="s">
        <v>264</v>
      </c>
      <c r="Q13" s="53" t="s">
        <v>944</v>
      </c>
    </row>
    <row r="14" spans="1:20" customFormat="1" ht="15.6" customHeight="1">
      <c r="A14" s="545" t="s">
        <v>982</v>
      </c>
      <c r="B14" s="545"/>
      <c r="C14" s="545"/>
      <c r="D14" s="19">
        <v>0</v>
      </c>
      <c r="E14" s="55"/>
      <c r="F14" s="13" t="s">
        <v>270</v>
      </c>
      <c r="G14" s="13" t="s">
        <v>269</v>
      </c>
      <c r="H14" s="19">
        <v>7</v>
      </c>
      <c r="I14" s="437" t="s">
        <v>944</v>
      </c>
      <c r="J14" s="437"/>
      <c r="K14" s="49">
        <v>0.2</v>
      </c>
      <c r="L14" s="49">
        <v>0.7</v>
      </c>
      <c r="M14" s="49"/>
      <c r="N14" s="50">
        <v>17.170000000000002</v>
      </c>
      <c r="O14" s="51">
        <v>9.3000000000000007</v>
      </c>
      <c r="P14" s="52" t="s">
        <v>264</v>
      </c>
      <c r="Q14" s="53" t="s">
        <v>944</v>
      </c>
      <c r="T14" t="s">
        <v>1076</v>
      </c>
    </row>
    <row r="15" spans="1:20" customFormat="1" ht="15.6" customHeight="1">
      <c r="A15" s="545" t="s">
        <v>983</v>
      </c>
      <c r="B15" s="545"/>
      <c r="C15" s="545"/>
      <c r="D15" s="19">
        <v>0</v>
      </c>
      <c r="E15" s="48"/>
      <c r="F15" s="13" t="s">
        <v>274</v>
      </c>
      <c r="G15" s="13" t="s">
        <v>269</v>
      </c>
      <c r="H15" s="19">
        <v>10.5</v>
      </c>
      <c r="I15" s="437" t="s">
        <v>944</v>
      </c>
      <c r="J15" s="437"/>
      <c r="K15" s="49">
        <v>0.1</v>
      </c>
      <c r="L15" s="49">
        <v>0.8</v>
      </c>
      <c r="M15" s="49"/>
      <c r="N15" s="50">
        <v>9.35</v>
      </c>
      <c r="O15" s="51">
        <v>8</v>
      </c>
      <c r="P15" s="52" t="s">
        <v>264</v>
      </c>
      <c r="Q15" s="53" t="s">
        <v>944</v>
      </c>
    </row>
    <row r="16" spans="1:20" customFormat="1">
      <c r="A16" s="434" t="s">
        <v>307</v>
      </c>
      <c r="B16" s="434"/>
      <c r="C16" s="434"/>
      <c r="D16" s="13">
        <v>15</v>
      </c>
      <c r="E16" s="56"/>
      <c r="F16" s="13" t="s">
        <v>277</v>
      </c>
      <c r="G16" s="13" t="s">
        <v>278</v>
      </c>
      <c r="H16" s="19">
        <v>12.2</v>
      </c>
      <c r="I16" s="437" t="s">
        <v>933</v>
      </c>
      <c r="J16" s="437"/>
      <c r="K16" s="49"/>
      <c r="L16" s="49"/>
      <c r="M16" s="49"/>
      <c r="N16" s="50">
        <v>9.2200000000000006</v>
      </c>
      <c r="O16" s="51">
        <v>8.6999999999999993</v>
      </c>
      <c r="P16" s="52" t="s">
        <v>264</v>
      </c>
      <c r="Q16" s="53" t="s">
        <v>1070</v>
      </c>
      <c r="R16" s="43"/>
    </row>
    <row r="17" spans="1:20" ht="15.6" customHeight="1">
      <c r="A17" s="434" t="s">
        <v>305</v>
      </c>
      <c r="B17" s="434"/>
      <c r="C17" s="434"/>
      <c r="D17" s="13">
        <v>43.2</v>
      </c>
      <c r="E17" s="56">
        <f>D17</f>
        <v>43.2</v>
      </c>
      <c r="F17" s="13" t="s">
        <v>282</v>
      </c>
      <c r="G17" s="13" t="s">
        <v>278</v>
      </c>
      <c r="H17" s="19">
        <v>27</v>
      </c>
      <c r="I17" s="437" t="s">
        <v>933</v>
      </c>
      <c r="J17" s="437"/>
      <c r="K17" s="49"/>
      <c r="L17" s="49"/>
      <c r="M17" s="49"/>
      <c r="N17" s="50">
        <v>15.5</v>
      </c>
      <c r="O17" s="51">
        <v>9</v>
      </c>
      <c r="P17" s="52" t="s">
        <v>264</v>
      </c>
      <c r="Q17" s="53" t="s">
        <v>1070</v>
      </c>
      <c r="R17" s="43"/>
    </row>
    <row r="18" spans="1:20" ht="15.6" customHeight="1">
      <c r="A18" s="546" t="s">
        <v>984</v>
      </c>
      <c r="B18" s="547"/>
      <c r="C18" s="548"/>
      <c r="D18" s="57">
        <v>1</v>
      </c>
      <c r="E18" s="58"/>
      <c r="F18" s="13" t="s">
        <v>289</v>
      </c>
      <c r="G18" s="13" t="s">
        <v>1028</v>
      </c>
      <c r="H18" s="19">
        <v>38.200000000000003</v>
      </c>
      <c r="I18" s="437" t="s">
        <v>930</v>
      </c>
      <c r="J18" s="437"/>
      <c r="K18" s="49"/>
      <c r="L18" s="49"/>
      <c r="M18" s="49"/>
      <c r="N18" s="50">
        <v>25.3</v>
      </c>
      <c r="O18" s="51">
        <v>9</v>
      </c>
      <c r="P18" s="52" t="s">
        <v>264</v>
      </c>
      <c r="Q18" s="53" t="s">
        <v>1069</v>
      </c>
      <c r="R18" s="43"/>
    </row>
    <row r="19" spans="1:20" ht="15.75">
      <c r="A19" s="546" t="s">
        <v>1013</v>
      </c>
      <c r="B19" s="547"/>
      <c r="C19" s="548"/>
      <c r="D19" s="59">
        <v>8.48E-2</v>
      </c>
      <c r="E19" s="58"/>
      <c r="F19" s="13"/>
      <c r="G19" s="13"/>
      <c r="H19" s="19"/>
      <c r="I19" s="437"/>
      <c r="J19" s="437"/>
      <c r="K19" s="49"/>
      <c r="L19" s="49"/>
      <c r="M19" s="49"/>
      <c r="N19" s="50"/>
      <c r="O19" s="51"/>
      <c r="P19" s="52"/>
      <c r="Q19" s="53"/>
      <c r="R19" s="43"/>
    </row>
    <row r="20" spans="1:20" ht="15.6" customHeight="1">
      <c r="A20" s="546" t="s">
        <v>1014</v>
      </c>
      <c r="B20" s="547"/>
      <c r="C20" s="548"/>
      <c r="D20" s="57" t="s">
        <v>1015</v>
      </c>
      <c r="E20" s="60"/>
      <c r="F20" s="13"/>
      <c r="G20" s="13"/>
      <c r="H20" s="19"/>
      <c r="I20" s="437"/>
      <c r="J20" s="437"/>
      <c r="K20" s="49"/>
      <c r="L20" s="49"/>
      <c r="M20" s="49"/>
      <c r="N20" s="50"/>
      <c r="O20" s="51"/>
      <c r="P20" s="52"/>
      <c r="Q20" s="53"/>
      <c r="R20" s="43"/>
      <c r="S20" s="43"/>
      <c r="T20" s="43"/>
    </row>
    <row r="21" spans="1:20">
      <c r="A21" s="434" t="s">
        <v>316</v>
      </c>
      <c r="B21" s="434"/>
      <c r="C21" s="434"/>
      <c r="D21" s="11">
        <f>ABS(D17-D16)</f>
        <v>28.2</v>
      </c>
      <c r="E21" s="61"/>
      <c r="F21" s="13"/>
      <c r="G21" s="62"/>
      <c r="H21" s="19"/>
      <c r="I21" s="437"/>
      <c r="J21" s="437"/>
      <c r="K21" s="49"/>
      <c r="L21" s="49"/>
      <c r="M21" s="49"/>
      <c r="N21" s="50"/>
      <c r="O21" s="51"/>
      <c r="P21" s="52"/>
      <c r="Q21" s="53"/>
      <c r="R21" s="43"/>
      <c r="S21" s="43"/>
      <c r="T21" s="43"/>
    </row>
    <row r="22" spans="1:20" ht="15.75">
      <c r="A22" s="434" t="s">
        <v>1048</v>
      </c>
      <c r="B22" s="434"/>
      <c r="C22" s="434"/>
      <c r="D22" s="20">
        <f>IF(D11="Cọc tròn",PI()*(D13^2-D15^2)/4,D13^2)</f>
        <v>0.78539816339744795</v>
      </c>
      <c r="E22" s="61"/>
      <c r="F22" s="13"/>
      <c r="G22" s="62"/>
      <c r="H22" s="19"/>
      <c r="I22" s="437"/>
      <c r="J22" s="437"/>
      <c r="K22" s="49"/>
      <c r="L22" s="49"/>
      <c r="M22" s="49"/>
      <c r="N22" s="50"/>
      <c r="O22" s="51"/>
      <c r="P22" s="52"/>
      <c r="Q22" s="53"/>
      <c r="R22" s="43"/>
      <c r="S22" s="43"/>
      <c r="T22" s="43"/>
    </row>
    <row r="23" spans="1:20" ht="15.75">
      <c r="A23" s="434" t="s">
        <v>1049</v>
      </c>
      <c r="B23" s="434"/>
      <c r="C23" s="434"/>
      <c r="D23" s="20">
        <f>IF(D11="Cọc tròn",PI()*(D13^2-D14^2)/4,D13^2)</f>
        <v>0.78539816339744795</v>
      </c>
      <c r="E23" s="61"/>
      <c r="F23" s="13"/>
      <c r="G23" s="62"/>
      <c r="H23" s="19"/>
      <c r="I23" s="437"/>
      <c r="J23" s="437"/>
      <c r="K23" s="49"/>
      <c r="L23" s="49"/>
      <c r="M23" s="49"/>
      <c r="N23" s="50"/>
      <c r="O23" s="51"/>
      <c r="P23" s="52"/>
      <c r="Q23" s="53"/>
      <c r="R23" s="43"/>
      <c r="S23" s="43"/>
      <c r="T23" s="43"/>
    </row>
    <row r="24" spans="1:20">
      <c r="A24" s="434" t="s">
        <v>313</v>
      </c>
      <c r="B24" s="434"/>
      <c r="C24" s="434"/>
      <c r="D24" s="20">
        <f>IF(D11="Cọc tròn",PI()*D13,4*D13)</f>
        <v>3.14159265358979</v>
      </c>
      <c r="E24" s="61"/>
      <c r="F24" s="13"/>
      <c r="G24" s="62"/>
      <c r="H24" s="19"/>
      <c r="I24" s="621"/>
      <c r="J24" s="621"/>
      <c r="K24" s="49"/>
      <c r="L24" s="49"/>
      <c r="M24" s="49"/>
      <c r="N24" s="50"/>
      <c r="O24" s="51"/>
      <c r="P24" s="52"/>
      <c r="Q24" s="63"/>
      <c r="R24" s="43"/>
      <c r="S24" s="43"/>
      <c r="T24" s="43"/>
    </row>
    <row r="25" spans="1:20" ht="15.75">
      <c r="A25" s="445" t="s">
        <v>1050</v>
      </c>
      <c r="B25" s="457"/>
      <c r="C25" s="446"/>
      <c r="D25" s="64">
        <v>1</v>
      </c>
      <c r="E25" s="61"/>
      <c r="F25" s="13"/>
      <c r="G25" s="62"/>
      <c r="H25" s="19"/>
      <c r="I25" s="437"/>
      <c r="J25" s="437"/>
      <c r="K25" s="49"/>
      <c r="L25" s="49"/>
      <c r="M25" s="49"/>
      <c r="N25" s="50"/>
      <c r="O25" s="51"/>
      <c r="P25" s="52"/>
      <c r="Q25" s="63"/>
      <c r="R25" s="43"/>
      <c r="S25" s="43"/>
      <c r="T25" s="43"/>
    </row>
    <row r="26" spans="1:20" ht="15.75">
      <c r="A26" s="445" t="s">
        <v>1077</v>
      </c>
      <c r="B26" s="457"/>
      <c r="C26" s="446"/>
      <c r="D26" s="64">
        <v>1</v>
      </c>
      <c r="E26" s="61"/>
      <c r="F26" s="65"/>
      <c r="G26" s="65"/>
      <c r="H26" s="65"/>
      <c r="I26" s="606"/>
      <c r="J26" s="606"/>
      <c r="K26" s="66"/>
      <c r="L26" s="66"/>
      <c r="M26" s="66"/>
      <c r="N26" s="33"/>
      <c r="O26" s="67"/>
      <c r="R26" s="43"/>
      <c r="S26" s="43"/>
      <c r="T26" s="43"/>
    </row>
    <row r="27" spans="1:20" ht="15.75">
      <c r="A27" s="445" t="s">
        <v>1051</v>
      </c>
      <c r="B27" s="457"/>
      <c r="C27" s="446"/>
      <c r="D27" s="64" t="b">
        <v>0</v>
      </c>
      <c r="E27" s="61"/>
      <c r="F27" s="563" t="s">
        <v>1016</v>
      </c>
      <c r="G27" s="563"/>
      <c r="H27" s="563"/>
      <c r="I27" s="69">
        <f>IF($D$13&gt;=0.8,$D$13+1,1.5*$D$13+0.5)</f>
        <v>2</v>
      </c>
      <c r="J27" s="563" t="s">
        <v>1017</v>
      </c>
      <c r="K27" s="563"/>
      <c r="L27" s="563"/>
      <c r="M27" s="70">
        <v>30</v>
      </c>
      <c r="R27" s="43"/>
      <c r="S27" s="43"/>
      <c r="T27" s="43"/>
    </row>
    <row r="28" spans="1:20" ht="15.75" customHeight="1">
      <c r="A28" s="434" t="s">
        <v>1052</v>
      </c>
      <c r="B28" s="434"/>
      <c r="C28" s="434"/>
      <c r="D28" s="21">
        <f>VLOOKUP($D$17,$B$43:$N$150,6,0)</f>
        <v>889.85242519042004</v>
      </c>
      <c r="E28" s="61"/>
      <c r="F28" s="563" t="s">
        <v>1018</v>
      </c>
      <c r="G28" s="563"/>
      <c r="H28" s="563"/>
      <c r="I28" s="71">
        <v>10000</v>
      </c>
      <c r="J28" s="563" t="s">
        <v>1019</v>
      </c>
      <c r="K28" s="563"/>
      <c r="L28" s="563"/>
      <c r="M28" s="68">
        <f>VLOOKUP(M27,B2.Betongcoc,5)*1000</f>
        <v>32500000</v>
      </c>
      <c r="N28" s="72"/>
      <c r="O28" s="72"/>
      <c r="R28" s="43"/>
      <c r="S28" s="43"/>
      <c r="T28" s="43"/>
    </row>
    <row r="29" spans="1:20" ht="15" customHeight="1">
      <c r="A29" s="434" t="s">
        <v>1053</v>
      </c>
      <c r="B29" s="434"/>
      <c r="C29" s="434"/>
      <c r="D29" s="21">
        <f>VLOOKUP($D$16,$B$43:$N$150,12,0)</f>
        <v>899.73290858656401</v>
      </c>
      <c r="E29" s="61"/>
      <c r="F29" s="563" t="s">
        <v>1020</v>
      </c>
      <c r="G29" s="563"/>
      <c r="H29" s="563"/>
      <c r="I29" s="68">
        <f>($I$28*$I$27/$M$28/$M$29)^(1/5)</f>
        <v>0.41651950845242902</v>
      </c>
      <c r="J29" s="563" t="s">
        <v>1021</v>
      </c>
      <c r="K29" s="563"/>
      <c r="L29" s="563"/>
      <c r="M29" s="68">
        <f>IF(D11="Cọc Tròn",PI()*(D13^4-D15^4)/64,D13^4/12)</f>
        <v>4.9087385212340497E-2</v>
      </c>
      <c r="N29" s="72"/>
      <c r="O29" s="72"/>
      <c r="R29" s="43"/>
      <c r="S29" s="43"/>
      <c r="T29" s="43"/>
    </row>
    <row r="30" spans="1:20" ht="15.75">
      <c r="A30" s="434" t="s">
        <v>1054</v>
      </c>
      <c r="B30" s="434"/>
      <c r="C30" s="434"/>
      <c r="D30" s="21">
        <f>VLOOKUP($D$17,$B$43:$N$150,12,0)</f>
        <v>5291.7332810814096</v>
      </c>
      <c r="E30" s="61"/>
      <c r="F30" s="563" t="s">
        <v>1022</v>
      </c>
      <c r="G30" s="563"/>
      <c r="H30" s="563"/>
      <c r="I30" s="71">
        <f>3/I29</f>
        <v>7.2025437923578801</v>
      </c>
      <c r="J30" s="563"/>
      <c r="K30" s="563"/>
      <c r="L30" s="563"/>
      <c r="M30" s="68"/>
      <c r="N30" s="72"/>
      <c r="O30" s="72"/>
    </row>
    <row r="31" spans="1:20" ht="15.75">
      <c r="A31" s="17" t="s">
        <v>990</v>
      </c>
      <c r="B31" s="73">
        <v>0</v>
      </c>
      <c r="C31" s="74">
        <f>+D30+D28</f>
        <v>6181.5857062718296</v>
      </c>
      <c r="D31" s="75">
        <f>$D$28+$D$30-D29</f>
        <v>5281.8527976852602</v>
      </c>
      <c r="E31" s="61"/>
      <c r="F31" s="65"/>
      <c r="G31" s="65"/>
      <c r="H31" s="65"/>
      <c r="I31" s="76"/>
      <c r="J31" s="77"/>
      <c r="K31" s="65"/>
      <c r="L31" s="65"/>
      <c r="M31" s="65"/>
      <c r="N31" s="72"/>
      <c r="O31" s="72"/>
    </row>
    <row r="32" spans="1:20" ht="15" customHeight="1">
      <c r="A32" s="549" t="str">
        <f>"Cấp hậu quả của công trình:"</f>
        <v>Cấp hậu quả của công trình:</v>
      </c>
      <c r="B32" s="549"/>
      <c r="C32" s="549"/>
      <c r="D32" s="78" t="s">
        <v>174</v>
      </c>
      <c r="E32" s="61"/>
      <c r="F32" s="603" t="s">
        <v>1055</v>
      </c>
      <c r="G32" s="603"/>
      <c r="H32" s="65" t="str">
        <f>VLOOKUP($F$33,'LT 10304-2025'!$AN$2:$AO$11,2,0)</f>
        <v>3b</v>
      </c>
      <c r="I32" s="79" t="s">
        <v>1056</v>
      </c>
      <c r="J32" s="79"/>
      <c r="K32" s="80">
        <v>0</v>
      </c>
      <c r="L32" s="72"/>
      <c r="M32" s="81"/>
      <c r="N32" s="72"/>
      <c r="O32" s="72"/>
    </row>
    <row r="33" spans="1:15">
      <c r="A33" s="550" t="s">
        <v>894</v>
      </c>
      <c r="B33" s="550"/>
      <c r="C33" s="550"/>
      <c r="D33" s="83">
        <f>IF(D32="C1",1,IF(D32="C2",1.15,1.2))</f>
        <v>1.1499999999999999</v>
      </c>
      <c r="E33" s="61"/>
      <c r="F33" s="597" t="s">
        <v>924</v>
      </c>
      <c r="G33" s="597"/>
      <c r="H33" s="597"/>
      <c r="I33" s="597"/>
      <c r="J33" s="597"/>
      <c r="K33" s="597"/>
      <c r="L33" s="597"/>
      <c r="M33" s="72"/>
    </row>
    <row r="34" spans="1:15">
      <c r="A34" s="546" t="s">
        <v>992</v>
      </c>
      <c r="B34" s="547"/>
      <c r="C34" s="548"/>
      <c r="D34" s="57" t="s">
        <v>993</v>
      </c>
      <c r="E34" s="61"/>
      <c r="F34" s="597"/>
      <c r="G34" s="597"/>
      <c r="H34" s="597"/>
      <c r="I34" s="597"/>
      <c r="J34" s="597"/>
      <c r="K34" s="597"/>
      <c r="L34" s="597"/>
      <c r="M34" s="72"/>
    </row>
    <row r="35" spans="1:15">
      <c r="A35" s="550" t="s">
        <v>995</v>
      </c>
      <c r="B35" s="550"/>
      <c r="C35" s="550"/>
      <c r="D35" s="75">
        <f>IF(D34="Yes",IF(D11="Cọc tròn",PI()*(D13^2-D15^2)/4,D13^2)*D21*2.5*10*IF($D$32="C1",1.1,IF(D32="C2",1.1,1.1)),0)</f>
        <v>609.07627571472096</v>
      </c>
      <c r="E35" s="61"/>
      <c r="F35" s="598"/>
      <c r="G35" s="598"/>
      <c r="H35" s="598"/>
      <c r="I35" s="598"/>
      <c r="J35" s="598"/>
      <c r="K35" s="598"/>
      <c r="L35" s="598"/>
      <c r="M35" s="72"/>
      <c r="O35" s="43"/>
    </row>
    <row r="36" spans="1:15">
      <c r="A36" s="550" t="s">
        <v>991</v>
      </c>
      <c r="B36" s="590"/>
      <c r="C36" s="590"/>
      <c r="D36" s="84">
        <v>1.4</v>
      </c>
      <c r="E36" s="61"/>
      <c r="F36" s="615" t="s">
        <v>994</v>
      </c>
      <c r="G36" s="616"/>
      <c r="H36" s="616"/>
      <c r="I36" s="616"/>
      <c r="J36" s="616"/>
      <c r="K36" s="616"/>
      <c r="L36" s="617"/>
      <c r="M36" s="72"/>
      <c r="O36" s="43"/>
    </row>
    <row r="37" spans="1:15" ht="15.75">
      <c r="A37" s="550" t="s">
        <v>996</v>
      </c>
      <c r="B37" s="525"/>
      <c r="C37" s="525"/>
      <c r="D37" s="85">
        <f>FLOOR(D31/D36-D35,10)</f>
        <v>3160</v>
      </c>
      <c r="E37" s="61"/>
      <c r="F37" s="618"/>
      <c r="G37" s="619"/>
      <c r="H37" s="619"/>
      <c r="I37" s="619"/>
      <c r="J37" s="619"/>
      <c r="K37" s="619"/>
      <c r="L37" s="620"/>
      <c r="M37" s="72"/>
      <c r="O37" s="43"/>
    </row>
    <row r="38" spans="1:15" ht="15.75">
      <c r="A38" s="550" t="s">
        <v>997</v>
      </c>
      <c r="B38" s="525"/>
      <c r="C38" s="525"/>
      <c r="D38" s="86">
        <f>FLOOR(D31/(D33*D36)-D35*D33,10)</f>
        <v>2580</v>
      </c>
      <c r="E38" s="61"/>
      <c r="F38" s="552" t="s">
        <v>991</v>
      </c>
      <c r="G38" s="552"/>
      <c r="H38" s="556">
        <v>1.6</v>
      </c>
      <c r="I38" s="550" t="s">
        <v>996</v>
      </c>
      <c r="J38" s="525"/>
      <c r="K38" s="525"/>
      <c r="L38" s="88">
        <f>FLOOR(D31/H38-D35,10)</f>
        <v>2690</v>
      </c>
      <c r="M38" s="72"/>
    </row>
    <row r="39" spans="1:15" ht="15.75">
      <c r="A39" s="65"/>
      <c r="B39" s="76"/>
      <c r="C39" s="65"/>
      <c r="D39" s="79"/>
      <c r="E39" s="61"/>
      <c r="F39" s="552"/>
      <c r="G39" s="552"/>
      <c r="H39" s="556"/>
      <c r="I39" s="550" t="s">
        <v>997</v>
      </c>
      <c r="J39" s="525"/>
      <c r="K39" s="525"/>
      <c r="L39" s="89">
        <f>FLOOR(D31/(D33*H38)-D35,10)</f>
        <v>2260</v>
      </c>
      <c r="M39" s="72"/>
    </row>
    <row r="40" spans="1:15">
      <c r="A40" s="79"/>
      <c r="B40" s="90"/>
      <c r="C40" s="90"/>
      <c r="D40" s="91"/>
      <c r="E40" s="61"/>
      <c r="F40" s="65"/>
      <c r="G40" s="65"/>
      <c r="H40" s="92"/>
      <c r="I40" s="79"/>
      <c r="J40" s="90"/>
      <c r="K40" s="90"/>
      <c r="L40" s="93"/>
      <c r="M40" s="72"/>
    </row>
    <row r="41" spans="1:15" ht="15" customHeight="1">
      <c r="A41" s="554" t="s">
        <v>394</v>
      </c>
      <c r="B41" s="551" t="s">
        <v>998</v>
      </c>
      <c r="C41" s="555" t="s">
        <v>973</v>
      </c>
      <c r="D41" s="551" t="s">
        <v>999</v>
      </c>
      <c r="E41" s="551" t="s">
        <v>1024</v>
      </c>
      <c r="F41" s="94" t="s">
        <v>1058</v>
      </c>
      <c r="G41" s="551" t="s">
        <v>1071</v>
      </c>
      <c r="H41" s="551" t="s">
        <v>1060</v>
      </c>
      <c r="I41" s="551" t="s">
        <v>1061</v>
      </c>
      <c r="J41" s="551" t="s">
        <v>1025</v>
      </c>
      <c r="K41" s="599" t="s">
        <v>1003</v>
      </c>
      <c r="L41" s="628" t="s">
        <v>1072</v>
      </c>
      <c r="M41" s="551" t="s">
        <v>1079</v>
      </c>
      <c r="N41" s="551" t="s">
        <v>1064</v>
      </c>
    </row>
    <row r="42" spans="1:15" ht="18.75" customHeight="1">
      <c r="A42" s="554"/>
      <c r="B42" s="551"/>
      <c r="C42" s="555"/>
      <c r="D42" s="551"/>
      <c r="E42" s="551"/>
      <c r="F42" s="94" t="s">
        <v>1065</v>
      </c>
      <c r="G42" s="551"/>
      <c r="H42" s="551"/>
      <c r="I42" s="551"/>
      <c r="J42" s="551"/>
      <c r="K42" s="600"/>
      <c r="L42" s="628"/>
      <c r="M42" s="551"/>
      <c r="N42" s="551"/>
    </row>
    <row r="43" spans="1:15">
      <c r="A43" s="87">
        <v>0</v>
      </c>
      <c r="B43" s="83">
        <f>_xll.flu_CocMaSatCMD($D$24,$D$16,$D$17,$D$25,$H$12:$O$26,FALSE,FALSE,$D$18,$D$13,$K$32,$H$32,A43,"Cao độ")</f>
        <v>0</v>
      </c>
      <c r="C43" s="87" t="str">
        <f>IF(B43="","",_xll.TimTenLoaiDat(B43,$F$12:$H$26))</f>
        <v>Lớp 1</v>
      </c>
      <c r="D43" s="82" t="str">
        <f>IF(B43="","",_xll.TimTinhChatDat(B43,$H$12:$I$26))</f>
        <v>Cát chặt vừa - bụi</v>
      </c>
      <c r="E43" s="41">
        <f>IFERROR(_xll.TinhGammaqbCMS($D$19,_xll.TimTinhChatDatCotTU(B43,$H$12:$Q$25,9),_xll.TimTinhChatDatCotTU(B43,$H$12:$Q$25,9),_xll.TimTinhChatDatCotTU(B43,$H$12:$Q$25,3),$D$12,_xll.TimTinhChatDatCotTU(B43,$H$12:$Q$25,8),$D$20),"")</f>
        <v>0.98551999999999995</v>
      </c>
      <c r="F43" s="82">
        <f>IF(B43="","",_xll.Qb_CocMaSatCMD(B43,$H$12:$O$25,$D$23,$D$25,$H$32,$D$13,$D$27,$D$26,"qb"))</f>
        <v>0</v>
      </c>
      <c r="G43" s="95">
        <f t="shared" ref="G43:G74" si="0">IF(B43="","",IFERROR($D$25*$D$26*F43*$D$23*E43,0))</f>
        <v>0</v>
      </c>
      <c r="H43" s="96">
        <f>IF(B43="","",_xll.flu_CocMaSatCMD($D$24,$D$16,$D$17,$D$25,$H$12:$O$25,FALSE,FALSE,$D$18,$D$13,$K$32,$H$32,A43,"GanmaRf"))</f>
        <v>0.6</v>
      </c>
      <c r="I43" s="96">
        <f>IF(B43="","",_xll.flu_CocMaSatCMD($D$24,$D$16,$D$17,$D$25,$H$12:$O$25,FALSE,FALSE,$D$18,$D$13,$K$32,$H$32,A43,"Li"))</f>
        <v>1</v>
      </c>
      <c r="J43" s="41">
        <f>IFERROR(_xll.TinhGammafiCMS($D$19,_xll.TimTinhChatDatCotTU(B43,$H$12:$Q$25,9),_xll.TimTinhChatDatCotTU(B43,$H$12:$Q$25,9),_xll.TimTinhChatDatCotTU(B43,$H$12:$Q$25,3),$D$12,_xll.TimTinhChatDatCotTU(B43,$H$12:$Q$25,8),$D$20),"")</f>
        <v>0.93552000000000002</v>
      </c>
      <c r="K43" s="95">
        <f>IF(B43="","",IF(B43&lt;=$I$30,0,_xll.flu_CocMaSatCMD($D$24,$D$16,$D$17,$D$25,$H$12:$O$25,FALSE,FALSE,$D$18,$D$13,$K$32,$H$32,A43,"f")))</f>
        <v>0</v>
      </c>
      <c r="L43" s="95">
        <f t="shared" ref="L43:L74" si="1">IF(B43="","",J43*$D$25*H43*K43*I43*$D$24)</f>
        <v>0</v>
      </c>
      <c r="M43" s="95">
        <f>IF(B43="","",_xll.flu_CocMaSatCMD($D$24,$D$16,$D$17,$D$25,$H$12:$O$25,FALSE,FALSE,$D$18,$D$13,$K$32,$H$32,A43,"flu"))</f>
        <v>0</v>
      </c>
      <c r="N43" s="87">
        <f>IFERROR(M43+G43,"")</f>
        <v>0</v>
      </c>
    </row>
    <row r="44" spans="1:15">
      <c r="A44" s="87">
        <f t="shared" ref="A44:A107" si="2">+A43+1</f>
        <v>1</v>
      </c>
      <c r="B44" s="83">
        <f>_xll.flu_CocMaSatCMD($D$24,$D$16,$D$17,$D$25,$H$12:$O$26,FALSE,FALSE,$D$18,$D$13,$K$32,$H$32,A44,"Cao độ")</f>
        <v>1</v>
      </c>
      <c r="C44" s="87" t="str">
        <f>IF(B44="","",_xll.TimTenLoaiDat(B44,$F$12:$H$26))</f>
        <v>Lớp 1</v>
      </c>
      <c r="D44" s="82" t="str">
        <f>IF(B44="","",_xll.TimTinhChatDat(B44,$H$12:$I$26))</f>
        <v>Cát chặt vừa - bụi</v>
      </c>
      <c r="E44" s="41">
        <f>IFERROR(_xll.TinhGammaqbCMS($D$19,_xll.TimTinhChatDatCotTU(B44,$H$12:$Q$25,9),_xll.TimTinhChatDatCotTU(B44,$H$12:$Q$25,9),_xll.TimTinhChatDatCotTU(B44,$H$12:$Q$25,3),$D$12,_xll.TimTinhChatDatCotTU(B44,$H$12:$Q$25,8),$D$20),"")</f>
        <v>0.98551999999999995</v>
      </c>
      <c r="F44" s="82">
        <f>IF(B44="","",_xll.Qb_CocMaSatCMD(B44,$H$12:$O$25,$D$23,$D$25,$H$32,$D$13,$D$27,$D$26,"qb"))</f>
        <v>0</v>
      </c>
      <c r="G44" s="95">
        <f t="shared" si="0"/>
        <v>0</v>
      </c>
      <c r="H44" s="96">
        <f>IF(B44="","",_xll.flu_CocMaSatCMD($D$24,$D$16,$D$17,$D$25,$H$12:$O$25,FALSE,FALSE,$D$18,$D$13,$K$32,$H$32,A44,"GanmaRf"))</f>
        <v>0.6</v>
      </c>
      <c r="I44" s="96">
        <f>IF(B44="","",_xll.flu_CocMaSatCMD($D$24,$D$16,$D$17,$D$25,$H$12:$O$25,FALSE,FALSE,$D$18,$D$13,$K$32,$H$32,A44,"Li"))</f>
        <v>0.5</v>
      </c>
      <c r="J44" s="41">
        <f>IFERROR(_xll.TinhGammafiCMS($D$19,_xll.TimTinhChatDatCotTU(B44,$H$12:$Q$25,9),_xll.TimTinhChatDatCotTU(B44,$H$12:$Q$25,9),_xll.TimTinhChatDatCotTU(B44,$H$12:$Q$25,3),$D$12,_xll.TimTinhChatDatCotTU(B44,$H$12:$Q$25,8),$D$20),"")</f>
        <v>0.93552000000000002</v>
      </c>
      <c r="K44" s="95">
        <f>IF(B44="","",IF(B44&lt;=$I$30,0,_xll.flu_CocMaSatCMD($D$24,$D$16,$D$17,$D$25,$H$12:$O$25,FALSE,FALSE,$D$18,$D$13,$K$32,$H$32,A44,"f")))</f>
        <v>0</v>
      </c>
      <c r="L44" s="95">
        <f t="shared" si="1"/>
        <v>0</v>
      </c>
      <c r="M44" s="95">
        <f>IF(B44="","",L44+M43)</f>
        <v>0</v>
      </c>
      <c r="N44" s="87">
        <f t="shared" ref="N44:N107" si="3">IFERROR(M44+G44,"")</f>
        <v>0</v>
      </c>
    </row>
    <row r="45" spans="1:15">
      <c r="A45" s="87">
        <f t="shared" si="2"/>
        <v>2</v>
      </c>
      <c r="B45" s="83">
        <f>_xll.flu_CocMaSatCMD($D$24,$D$16,$D$17,$D$25,$H$12:$O$26,FALSE,FALSE,$D$18,$D$13,$K$32,$H$32,A45,"Cao độ")</f>
        <v>1.5</v>
      </c>
      <c r="C45" s="87" t="str">
        <f>IF(B45="","",_xll.TimTenLoaiDat(B45,$F$12:$H$26))</f>
        <v>Lớp 2</v>
      </c>
      <c r="D45" s="82" t="str">
        <f>IF(B45="","",_xll.TimTinhChatDat(B45,$H$12:$I$26))</f>
        <v>Đất sét</v>
      </c>
      <c r="E45" s="41">
        <f>IFERROR(_xll.TinhGammaqbCMS($D$19,_xll.TimTinhChatDatCotTU(B45,$H$12:$Q$25,9),_xll.TimTinhChatDatCotTU(B45,$H$12:$Q$25,9),_xll.TimTinhChatDatCotTU(B45,$H$12:$Q$25,3),$D$12,_xll.TimTinhChatDatCotTU(B45,$H$12:$Q$25,8),$D$20),"")</f>
        <v>0.94276000000000004</v>
      </c>
      <c r="F45" s="82">
        <f>IF(B45="","",_xll.Qb_CocMaSatCMD(B45,$H$12:$O$25,$D$23,$D$25,$H$32,$D$13,$D$27,$D$26,"qb"))</f>
        <v>0</v>
      </c>
      <c r="G45" s="95">
        <f t="shared" si="0"/>
        <v>0</v>
      </c>
      <c r="H45" s="96">
        <f>IF(B45="","",_xll.flu_CocMaSatCMD($D$24,$D$16,$D$17,$D$25,$H$12:$O$25,FALSE,FALSE,$D$18,$D$13,$K$32,$H$32,A45,"GanmaRf"))</f>
        <v>0.6</v>
      </c>
      <c r="I45" s="96">
        <f>IF(B45="","",_xll.flu_CocMaSatCMD($D$24,$D$16,$D$17,$D$25,$H$12:$O$25,FALSE,FALSE,$D$18,$D$13,$K$32,$H$32,A45,"Li"))</f>
        <v>0.5</v>
      </c>
      <c r="J45" s="41">
        <f>IFERROR(_xll.TinhGammafiCMS($D$19,_xll.TimTinhChatDatCotTU(B45,$H$12:$Q$25,9),_xll.TimTinhChatDatCotTU(B45,$H$12:$Q$25,9),_xll.TimTinhChatDatCotTU(B45,$H$12:$Q$25,3),$D$12,_xll.TimTinhChatDatCotTU(B45,$H$12:$Q$25,8),$D$20),"")</f>
        <v>0.84275999999999995</v>
      </c>
      <c r="K45" s="95">
        <f>IF(B45="","",IF(B45&lt;=$I$30,0,_xll.flu_CocMaSatCMD($D$24,$D$16,$D$17,$D$25,$H$12:$O$25,FALSE,FALSE,$D$18,$D$13,$K$32,$H$32,A45,"f")))</f>
        <v>0</v>
      </c>
      <c r="L45" s="95">
        <f t="shared" si="1"/>
        <v>0</v>
      </c>
      <c r="M45" s="95">
        <f t="shared" ref="M45:M108" si="4">IF(B45="","",L45+M44)</f>
        <v>0</v>
      </c>
      <c r="N45" s="87">
        <f t="shared" si="3"/>
        <v>0</v>
      </c>
    </row>
    <row r="46" spans="1:15">
      <c r="A46" s="87">
        <f t="shared" si="2"/>
        <v>3</v>
      </c>
      <c r="B46" s="83">
        <f>_xll.flu_CocMaSatCMD($D$24,$D$16,$D$17,$D$25,$H$12:$O$26,FALSE,FALSE,$D$18,$D$13,$K$32,$H$32,A46,"Cao độ")</f>
        <v>2</v>
      </c>
      <c r="C46" s="87" t="str">
        <f>IF(B46="","",_xll.TimTenLoaiDat(B46,$F$12:$H$26))</f>
        <v>Lớp 2</v>
      </c>
      <c r="D46" s="82" t="str">
        <f>IF(B46="","",_xll.TimTinhChatDat(B46,$H$12:$I$26))</f>
        <v>Đất sét</v>
      </c>
      <c r="E46" s="41">
        <f>IFERROR(_xll.TinhGammaqbCMS($D$19,_xll.TimTinhChatDatCotTU(B46,$H$12:$Q$25,9),_xll.TimTinhChatDatCotTU(B46,$H$12:$Q$25,9),_xll.TimTinhChatDatCotTU(B46,$H$12:$Q$25,3),$D$12,_xll.TimTinhChatDatCotTU(B46,$H$12:$Q$25,8),$D$20),"")</f>
        <v>0.94276000000000004</v>
      </c>
      <c r="F46" s="82">
        <f>IF(B46="","",_xll.Qb_CocMaSatCMD(B46,$H$12:$O$25,$D$23,$D$25,$H$32,$D$13,$D$27,$D$26,"qb"))</f>
        <v>0</v>
      </c>
      <c r="G46" s="95">
        <f t="shared" si="0"/>
        <v>0</v>
      </c>
      <c r="H46" s="96">
        <f>IF(B46="","",_xll.flu_CocMaSatCMD($D$24,$D$16,$D$17,$D$25,$H$12:$O$25,FALSE,FALSE,$D$18,$D$13,$K$32,$H$32,A46,"GanmaRf"))</f>
        <v>0.6</v>
      </c>
      <c r="I46" s="96">
        <f>IF(B46="","",_xll.flu_CocMaSatCMD($D$24,$D$16,$D$17,$D$25,$H$12:$O$25,FALSE,FALSE,$D$18,$D$13,$K$32,$H$32,A46,"Li"))</f>
        <v>1</v>
      </c>
      <c r="J46" s="41">
        <f>IFERROR(_xll.TinhGammafiCMS($D$19,_xll.TimTinhChatDatCotTU(B46,$H$12:$Q$25,9),_xll.TimTinhChatDatCotTU(B46,$H$12:$Q$25,9),_xll.TimTinhChatDatCotTU(B46,$H$12:$Q$25,3),$D$12,_xll.TimTinhChatDatCotTU(B46,$H$12:$Q$25,8),$D$20),"")</f>
        <v>0.84275999999999995</v>
      </c>
      <c r="K46" s="95">
        <f>IF(B46="","",IF(B46&lt;=$I$30,0,_xll.flu_CocMaSatCMD($D$24,$D$16,$D$17,$D$25,$H$12:$O$25,FALSE,FALSE,$D$18,$D$13,$K$32,$H$32,A46,"f")))</f>
        <v>0</v>
      </c>
      <c r="L46" s="95">
        <f t="shared" si="1"/>
        <v>0</v>
      </c>
      <c r="M46" s="95">
        <f t="shared" si="4"/>
        <v>0</v>
      </c>
      <c r="N46" s="87">
        <f t="shared" si="3"/>
        <v>0</v>
      </c>
    </row>
    <row r="47" spans="1:15">
      <c r="A47" s="87">
        <f t="shared" si="2"/>
        <v>4</v>
      </c>
      <c r="B47" s="83">
        <f>_xll.flu_CocMaSatCMD($D$24,$D$16,$D$17,$D$25,$H$12:$O$26,FALSE,FALSE,$D$18,$D$13,$K$32,$H$32,A47,"Cao độ")</f>
        <v>3</v>
      </c>
      <c r="C47" s="87" t="str">
        <f>IF(B47="","",_xll.TimTenLoaiDat(B47,$F$12:$H$26))</f>
        <v>Lớp 2</v>
      </c>
      <c r="D47" s="82" t="str">
        <f>IF(B47="","",_xll.TimTinhChatDat(B47,$H$12:$I$26))</f>
        <v>Đất sét</v>
      </c>
      <c r="E47" s="41">
        <f>IFERROR(_xll.TinhGammaqbCMS($D$19,_xll.TimTinhChatDatCotTU(B47,$H$12:$Q$25,9),_xll.TimTinhChatDatCotTU(B47,$H$12:$Q$25,9),_xll.TimTinhChatDatCotTU(B47,$H$12:$Q$25,3),$D$12,_xll.TimTinhChatDatCotTU(B47,$H$12:$Q$25,8),$D$20),"")</f>
        <v>0.94276000000000004</v>
      </c>
      <c r="F47" s="82" t="str">
        <f>IF(B47="","",_xll.Qb_CocMaSatCMD(B47,$H$12:$O$25,$D$23,$D$25,$H$32,$D$13,$D$27,$D$26,"qb"))</f>
        <v>chiều sâu hạ cọc trong lớp đất làm nền &lt; 2 mét - không đủ / chú thích 1 - 7.2.3.2 - 10304-2025</v>
      </c>
      <c r="G47" s="95">
        <f t="shared" si="0"/>
        <v>0</v>
      </c>
      <c r="H47" s="96">
        <f>IF(B47="","",_xll.flu_CocMaSatCMD($D$24,$D$16,$D$17,$D$25,$H$12:$O$25,FALSE,FALSE,$D$18,$D$13,$K$32,$H$32,A47,"GanmaRf"))</f>
        <v>0.6</v>
      </c>
      <c r="I47" s="96">
        <f>IF(B47="","",_xll.flu_CocMaSatCMD($D$24,$D$16,$D$17,$D$25,$H$12:$O$25,FALSE,FALSE,$D$18,$D$13,$K$32,$H$32,A47,"Li"))</f>
        <v>1</v>
      </c>
      <c r="J47" s="41">
        <f>IFERROR(_xll.TinhGammafiCMS($D$19,_xll.TimTinhChatDatCotTU(B47,$H$12:$Q$25,9),_xll.TimTinhChatDatCotTU(B47,$H$12:$Q$25,9),_xll.TimTinhChatDatCotTU(B47,$H$12:$Q$25,3),$D$12,_xll.TimTinhChatDatCotTU(B47,$H$12:$Q$25,8),$D$20),"")</f>
        <v>0.84275999999999995</v>
      </c>
      <c r="K47" s="95">
        <f>IF(B47="","",IF(B47&lt;=$I$30,0,_xll.flu_CocMaSatCMD($D$24,$D$16,$D$17,$D$25,$H$12:$O$25,FALSE,FALSE,$D$18,$D$13,$K$32,$H$32,A47,"f")))</f>
        <v>0</v>
      </c>
      <c r="L47" s="95">
        <f t="shared" si="1"/>
        <v>0</v>
      </c>
      <c r="M47" s="95">
        <f t="shared" si="4"/>
        <v>0</v>
      </c>
      <c r="N47" s="87">
        <f t="shared" si="3"/>
        <v>0</v>
      </c>
    </row>
    <row r="48" spans="1:15" s="35" customFormat="1" ht="12.75">
      <c r="A48" s="87">
        <f t="shared" si="2"/>
        <v>5</v>
      </c>
      <c r="B48" s="83">
        <f>_xll.flu_CocMaSatCMD($D$24,$D$16,$D$17,$D$25,$H$12:$O$26,FALSE,FALSE,$D$18,$D$13,$K$32,$H$32,A48,"Cao độ")</f>
        <v>4</v>
      </c>
      <c r="C48" s="87" t="str">
        <f>IF(B48="","",_xll.TimTenLoaiDat(B48,$F$12:$H$26))</f>
        <v>Lớp 2</v>
      </c>
      <c r="D48" s="82" t="str">
        <f>IF(B48="","",_xll.TimTinhChatDat(B48,$H$12:$I$26))</f>
        <v>Đất sét</v>
      </c>
      <c r="E48" s="41">
        <f>IFERROR(_xll.TinhGammaqbCMS($D$19,_xll.TimTinhChatDatCotTU(B48,$H$12:$Q$25,9),_xll.TimTinhChatDatCotTU(B48,$H$12:$Q$25,9),_xll.TimTinhChatDatCotTU(B48,$H$12:$Q$25,3),$D$12,_xll.TimTinhChatDatCotTU(B48,$H$12:$Q$25,8),$D$20),"")</f>
        <v>0.94276000000000004</v>
      </c>
      <c r="F48" s="82">
        <f>IF(B48="","",_xll.Qb_CocMaSatCMD(B48,$H$12:$O$25,$D$23,$D$25,$H$32,$D$13,$D$27,$D$26,"qb"))</f>
        <v>575</v>
      </c>
      <c r="G48" s="95">
        <f t="shared" si="0"/>
        <v>425.75413420163198</v>
      </c>
      <c r="H48" s="96">
        <f>IF(B48="","",_xll.flu_CocMaSatCMD($D$24,$D$16,$D$17,$D$25,$H$12:$O$25,FALSE,FALSE,$D$18,$D$13,$K$32,$H$32,A48,"GanmaRf"))</f>
        <v>0.6</v>
      </c>
      <c r="I48" s="96">
        <f>IF(B48="","",_xll.flu_CocMaSatCMD($D$24,$D$16,$D$17,$D$25,$H$12:$O$25,FALSE,FALSE,$D$18,$D$13,$K$32,$H$32,A48,"Li"))</f>
        <v>1</v>
      </c>
      <c r="J48" s="41">
        <f>IFERROR(_xll.TinhGammafiCMS($D$19,_xll.TimTinhChatDatCotTU(B48,$H$12:$Q$25,9),_xll.TimTinhChatDatCotTU(B48,$H$12:$Q$25,9),_xll.TimTinhChatDatCotTU(B48,$H$12:$Q$25,3),$D$12,_xll.TimTinhChatDatCotTU(B48,$H$12:$Q$25,8),$D$20),"")</f>
        <v>0.84275999999999995</v>
      </c>
      <c r="K48" s="95">
        <f>IF(B48="","",IF(B48&lt;=$I$30,0,_xll.flu_CocMaSatCMD($D$24,$D$16,$D$17,$D$25,$H$12:$O$25,FALSE,FALSE,$D$18,$D$13,$K$32,$H$32,A48,"f")))</f>
        <v>0</v>
      </c>
      <c r="L48" s="95">
        <f t="shared" si="1"/>
        <v>0</v>
      </c>
      <c r="M48" s="95">
        <f t="shared" si="4"/>
        <v>0</v>
      </c>
      <c r="N48" s="87">
        <f t="shared" si="3"/>
        <v>425.75413420163198</v>
      </c>
      <c r="O48" s="97"/>
    </row>
    <row r="49" spans="1:20" s="35" customFormat="1" ht="12.75">
      <c r="A49" s="87">
        <f t="shared" si="2"/>
        <v>6</v>
      </c>
      <c r="B49" s="83">
        <f>_xll.flu_CocMaSatCMD($D$24,$D$16,$D$17,$D$25,$H$12:$O$26,FALSE,FALSE,$D$18,$D$13,$K$32,$H$32,A49,"Cao độ")</f>
        <v>5</v>
      </c>
      <c r="C49" s="87" t="str">
        <f>IF(B49="","",_xll.TimTenLoaiDat(B49,$F$12:$H$26))</f>
        <v>Lớp 2</v>
      </c>
      <c r="D49" s="82" t="str">
        <f>IF(B49="","",_xll.TimTinhChatDat(B49,$H$12:$I$26))</f>
        <v>Đất sét</v>
      </c>
      <c r="E49" s="41">
        <f>IFERROR(_xll.TinhGammaqbCMS($D$19,_xll.TimTinhChatDatCotTU(B49,$H$12:$Q$25,9),_xll.TimTinhChatDatCotTU(B49,$H$12:$Q$25,9),_xll.TimTinhChatDatCotTU(B49,$H$12:$Q$25,3),$D$12,_xll.TimTinhChatDatCotTU(B49,$H$12:$Q$25,8),$D$20),"")</f>
        <v>0.94276000000000004</v>
      </c>
      <c r="F49" s="82">
        <f>IF(B49="","",_xll.Qb_CocMaSatCMD(B49,$H$12:$O$25,$D$23,$D$25,$H$32,$D$13,$D$27,$D$26,"qb"))</f>
        <v>650</v>
      </c>
      <c r="G49" s="95">
        <f t="shared" si="0"/>
        <v>481.287282140976</v>
      </c>
      <c r="H49" s="96">
        <f>IF(B49="","",_xll.flu_CocMaSatCMD($D$24,$D$16,$D$17,$D$25,$H$12:$O$25,FALSE,FALSE,$D$18,$D$13,$K$32,$H$32,A49,"GanmaRf"))</f>
        <v>0.6</v>
      </c>
      <c r="I49" s="96">
        <f>IF(B49="","",_xll.flu_CocMaSatCMD($D$24,$D$16,$D$17,$D$25,$H$12:$O$25,FALSE,FALSE,$D$18,$D$13,$K$32,$H$32,A49,"Li"))</f>
        <v>1</v>
      </c>
      <c r="J49" s="41">
        <f>IFERROR(_xll.TinhGammafiCMS($D$19,_xll.TimTinhChatDatCotTU(B49,$H$12:$Q$25,9),_xll.TimTinhChatDatCotTU(B49,$H$12:$Q$25,9),_xll.TimTinhChatDatCotTU(B49,$H$12:$Q$25,3),$D$12,_xll.TimTinhChatDatCotTU(B49,$H$12:$Q$25,8),$D$20),"")</f>
        <v>0.84275999999999995</v>
      </c>
      <c r="K49" s="95">
        <f>IF(B49="","",IF(B49&lt;=$I$30,0,_xll.flu_CocMaSatCMD($D$24,$D$16,$D$17,$D$25,$H$12:$O$25,FALSE,FALSE,$D$18,$D$13,$K$32,$H$32,A49,"f")))</f>
        <v>0</v>
      </c>
      <c r="L49" s="95">
        <f t="shared" si="1"/>
        <v>0</v>
      </c>
      <c r="M49" s="95">
        <f t="shared" si="4"/>
        <v>0</v>
      </c>
      <c r="N49" s="87">
        <f t="shared" si="3"/>
        <v>481.287282140976</v>
      </c>
      <c r="O49" s="97"/>
    </row>
    <row r="50" spans="1:20">
      <c r="A50" s="87">
        <f t="shared" si="2"/>
        <v>7</v>
      </c>
      <c r="B50" s="83">
        <f>_xll.flu_CocMaSatCMD($D$24,$D$16,$D$17,$D$25,$H$12:$O$26,FALSE,FALSE,$D$18,$D$13,$K$32,$H$32,A50,"Cao độ")</f>
        <v>6</v>
      </c>
      <c r="C50" s="87" t="str">
        <f>IF(B50="","",_xll.TimTenLoaiDat(B50,$F$12:$H$26))</f>
        <v>Lớp 2</v>
      </c>
      <c r="D50" s="82" t="str">
        <f>IF(B50="","",_xll.TimTinhChatDat(B50,$H$12:$I$26))</f>
        <v>Đất sét</v>
      </c>
      <c r="E50" s="41">
        <f>IFERROR(_xll.TinhGammaqbCMS($D$19,_xll.TimTinhChatDatCotTU(B50,$H$12:$Q$25,9),_xll.TimTinhChatDatCotTU(B50,$H$12:$Q$25,9),_xll.TimTinhChatDatCotTU(B50,$H$12:$Q$25,3),$D$12,_xll.TimTinhChatDatCotTU(B50,$H$12:$Q$25,8),$D$20),"")</f>
        <v>0.94276000000000004</v>
      </c>
      <c r="F50" s="82">
        <f>IF(B50="","",_xll.Qb_CocMaSatCMD(B50,$H$12:$O$25,$D$23,$D$25,$H$32,$D$13,$D$27,$D$26,"qb"))</f>
        <v>700</v>
      </c>
      <c r="G50" s="95">
        <f t="shared" si="0"/>
        <v>518.30938076720497</v>
      </c>
      <c r="H50" s="96">
        <f>IF(B50="","",_xll.flu_CocMaSatCMD($D$24,$D$16,$D$17,$D$25,$H$12:$O$25,FALSE,FALSE,$D$18,$D$13,$K$32,$H$32,A50,"GanmaRf"))</f>
        <v>0.6</v>
      </c>
      <c r="I50" s="96">
        <f>IF(B50="","",_xll.flu_CocMaSatCMD($D$24,$D$16,$D$17,$D$25,$H$12:$O$25,FALSE,FALSE,$D$18,$D$13,$K$32,$H$32,A50,"Li"))</f>
        <v>1</v>
      </c>
      <c r="J50" s="41">
        <f>IFERROR(_xll.TinhGammafiCMS($D$19,_xll.TimTinhChatDatCotTU(B50,$H$12:$Q$25,9),_xll.TimTinhChatDatCotTU(B50,$H$12:$Q$25,9),_xll.TimTinhChatDatCotTU(B50,$H$12:$Q$25,3),$D$12,_xll.TimTinhChatDatCotTU(B50,$H$12:$Q$25,8),$D$20),"")</f>
        <v>0.84275999999999995</v>
      </c>
      <c r="K50" s="95">
        <f>IF(B50="","",IF(B50&lt;=$I$30,0,_xll.flu_CocMaSatCMD($D$24,$D$16,$D$17,$D$25,$H$12:$O$25,FALSE,FALSE,$D$18,$D$13,$K$32,$H$32,A50,"f")))</f>
        <v>0</v>
      </c>
      <c r="L50" s="95">
        <f t="shared" si="1"/>
        <v>0</v>
      </c>
      <c r="M50" s="95">
        <f t="shared" si="4"/>
        <v>0</v>
      </c>
      <c r="N50" s="87">
        <f t="shared" si="3"/>
        <v>518.30938076720497</v>
      </c>
    </row>
    <row r="51" spans="1:20">
      <c r="A51" s="87">
        <f t="shared" si="2"/>
        <v>8</v>
      </c>
      <c r="B51" s="83">
        <f>_xll.flu_CocMaSatCMD($D$24,$D$16,$D$17,$D$25,$H$12:$O$26,FALSE,FALSE,$D$18,$D$13,$K$32,$H$32,A51,"Cao độ")</f>
        <v>7</v>
      </c>
      <c r="C51" s="87" t="str">
        <f>IF(B51="","",_xll.TimTenLoaiDat(B51,$F$12:$H$26))</f>
        <v>Lớp 3</v>
      </c>
      <c r="D51" s="82" t="str">
        <f>IF(B51="","",_xll.TimTinhChatDat(B51,$H$12:$I$26))</f>
        <v>Đất sét</v>
      </c>
      <c r="E51" s="41">
        <f>IFERROR(_xll.TinhGammaqbCMS($D$19,_xll.TimTinhChatDatCotTU(B51,$H$12:$Q$25,9),_xll.TimTinhChatDatCotTU(B51,$H$12:$Q$25,9),_xll.TimTinhChatDatCotTU(B51,$H$12:$Q$25,3),$D$12,_xll.TimTinhChatDatCotTU(B51,$H$12:$Q$25,8),$D$20),"")</f>
        <v>0.94276000000000004</v>
      </c>
      <c r="F51" s="82" t="str">
        <f>IF(B51="","",_xll.Qb_CocMaSatCMD(B51,$H$12:$O$25,$D$23,$D$25,$H$32,$D$13,$D$27,$D$26,"qb"))</f>
        <v>chiều sâu hạ cọc trong lớp đất làm nền &lt; 2 mét - không đủ / chú thích 1 - 7.2.3.2 - 10304-2025</v>
      </c>
      <c r="G51" s="95">
        <f t="shared" si="0"/>
        <v>0</v>
      </c>
      <c r="H51" s="96">
        <f>IF(B51="","",_xll.flu_CocMaSatCMD($D$24,$D$16,$D$17,$D$25,$H$12:$O$25,FALSE,FALSE,$D$18,$D$13,$K$32,$H$32,A51,"GanmaRf"))</f>
        <v>0.6</v>
      </c>
      <c r="I51" s="96">
        <f>IF(B51="","",_xll.flu_CocMaSatCMD($D$24,$D$16,$D$17,$D$25,$H$12:$O$25,FALSE,FALSE,$D$18,$D$13,$K$32,$H$32,A51,"Li"))</f>
        <v>1</v>
      </c>
      <c r="J51" s="41">
        <f>IFERROR(_xll.TinhGammafiCMS($D$19,_xll.TimTinhChatDatCotTU(B51,$H$12:$Q$25,9),_xll.TimTinhChatDatCotTU(B51,$H$12:$Q$25,9),_xll.TimTinhChatDatCotTU(B51,$H$12:$Q$25,3),$D$12,_xll.TimTinhChatDatCotTU(B51,$H$12:$Q$25,8),$D$20),"")</f>
        <v>0.84275999999999995</v>
      </c>
      <c r="K51" s="95">
        <f>IF(B51="","",IF(B51&lt;=$I$30,0,_xll.flu_CocMaSatCMD($D$24,$D$16,$D$17,$D$25,$H$12:$O$25,FALSE,FALSE,$D$18,$D$13,$K$32,$H$32,A51,"f")))</f>
        <v>0</v>
      </c>
      <c r="L51" s="95">
        <f t="shared" si="1"/>
        <v>0</v>
      </c>
      <c r="M51" s="95">
        <f t="shared" si="4"/>
        <v>0</v>
      </c>
      <c r="N51" s="87">
        <f t="shared" si="3"/>
        <v>0</v>
      </c>
    </row>
    <row r="52" spans="1:20">
      <c r="A52" s="87">
        <f t="shared" si="2"/>
        <v>9</v>
      </c>
      <c r="B52" s="83">
        <f>_xll.flu_CocMaSatCMD($D$24,$D$16,$D$17,$D$25,$H$12:$O$26,FALSE,FALSE,$D$18,$D$13,$K$32,$H$32,A52,"Cao độ")</f>
        <v>8</v>
      </c>
      <c r="C52" s="87" t="str">
        <f>IF(B52="","",_xll.TimTenLoaiDat(B52,$F$12:$H$26))</f>
        <v>Lớp 3</v>
      </c>
      <c r="D52" s="82" t="str">
        <f>IF(B52="","",_xll.TimTinhChatDat(B52,$H$12:$I$26))</f>
        <v>Đất sét</v>
      </c>
      <c r="E52" s="41">
        <f>IFERROR(_xll.TinhGammaqbCMS($D$19,_xll.TimTinhChatDatCotTU(B52,$H$12:$Q$25,9),_xll.TimTinhChatDatCotTU(B52,$H$12:$Q$25,9),_xll.TimTinhChatDatCotTU(B52,$H$12:$Q$25,3),$D$12,_xll.TimTinhChatDatCotTU(B52,$H$12:$Q$25,8),$D$20),"")</f>
        <v>0.94276000000000004</v>
      </c>
      <c r="F52" s="82" t="str">
        <f>IF(B52="","",_xll.Qb_CocMaSatCMD(B52,$H$12:$O$25,$D$23,$D$25,$H$32,$D$13,$D$27,$D$26,"qb"))</f>
        <v>chiều sâu hạ cọc trong lớp đất làm nền &lt; 2 mét - không đủ / chú thích 1 - 7.2.3.2 - 10304-2025</v>
      </c>
      <c r="G52" s="95">
        <f t="shared" si="0"/>
        <v>0</v>
      </c>
      <c r="H52" s="96">
        <f>IF(B52="","",_xll.flu_CocMaSatCMD($D$24,$D$16,$D$17,$D$25,$H$12:$O$25,FALSE,FALSE,$D$18,$D$13,$K$32,$H$32,A52,"GanmaRf"))</f>
        <v>0.6</v>
      </c>
      <c r="I52" s="96">
        <f>IF(B52="","",_xll.flu_CocMaSatCMD($D$24,$D$16,$D$17,$D$25,$H$12:$O$25,FALSE,FALSE,$D$18,$D$13,$K$32,$H$32,A52,"Li"))</f>
        <v>1</v>
      </c>
      <c r="J52" s="41">
        <f>IFERROR(_xll.TinhGammafiCMS($D$19,_xll.TimTinhChatDatCotTU(B52,$H$12:$Q$25,9),_xll.TimTinhChatDatCotTU(B52,$H$12:$Q$25,9),_xll.TimTinhChatDatCotTU(B52,$H$12:$Q$25,3),$D$12,_xll.TimTinhChatDatCotTU(B52,$H$12:$Q$25,8),$D$20),"")</f>
        <v>0.84275999999999995</v>
      </c>
      <c r="K52" s="95">
        <f>IF(B52="","",IF(B52&lt;=$I$30,0,_xll.flu_CocMaSatCMD($D$24,$D$16,$D$17,$D$25,$H$12:$O$25,FALSE,FALSE,$D$18,$D$13,$K$32,$H$32,A52,"f")))</f>
        <v>62</v>
      </c>
      <c r="L52" s="95">
        <f t="shared" si="1"/>
        <v>98.491040840303199</v>
      </c>
      <c r="M52" s="95">
        <f t="shared" si="4"/>
        <v>98.491040840303199</v>
      </c>
      <c r="N52" s="87">
        <f t="shared" si="3"/>
        <v>98.491040840303199</v>
      </c>
    </row>
    <row r="53" spans="1:20" s="36" customFormat="1">
      <c r="A53" s="87">
        <f t="shared" si="2"/>
        <v>10</v>
      </c>
      <c r="B53" s="83">
        <f>_xll.flu_CocMaSatCMD($D$24,$D$16,$D$17,$D$25,$H$12:$O$26,FALSE,FALSE,$D$18,$D$13,$K$32,$H$32,A53,"Cao độ")</f>
        <v>9</v>
      </c>
      <c r="C53" s="87" t="str">
        <f>IF(B53="","",_xll.TimTenLoaiDat(B53,$F$12:$H$26))</f>
        <v>Lớp 3</v>
      </c>
      <c r="D53" s="82" t="str">
        <f>IF(B53="","",_xll.TimTinhChatDat(B53,$H$12:$I$26))</f>
        <v>Đất sét</v>
      </c>
      <c r="E53" s="41">
        <f>IFERROR(_xll.TinhGammaqbCMS($D$19,_xll.TimTinhChatDatCotTU(B53,$H$12:$Q$25,9),_xll.TimTinhChatDatCotTU(B53,$H$12:$Q$25,9),_xll.TimTinhChatDatCotTU(B53,$H$12:$Q$25,3),$D$12,_xll.TimTinhChatDatCotTU(B53,$H$12:$Q$25,8),$D$20),"")</f>
        <v>0.94276000000000004</v>
      </c>
      <c r="F53" s="82">
        <f>IF(B53="","",_xll.Qb_CocMaSatCMD(B53,$H$12:$O$25,$D$23,$D$25,$H$32,$D$13,$D$27,$D$26,"qb"))</f>
        <v>983.33333333333303</v>
      </c>
      <c r="G53" s="95">
        <f t="shared" si="0"/>
        <v>728.101272982502</v>
      </c>
      <c r="H53" s="96">
        <f>IF(B53="","",_xll.flu_CocMaSatCMD($D$24,$D$16,$D$17,$D$25,$H$12:$O$25,FALSE,FALSE,$D$18,$D$13,$K$32,$H$32,A53,"GanmaRf"))</f>
        <v>0.6</v>
      </c>
      <c r="I53" s="96">
        <f>IF(B53="","",_xll.flu_CocMaSatCMD($D$24,$D$16,$D$17,$D$25,$H$12:$O$25,FALSE,FALSE,$D$18,$D$13,$K$32,$H$32,A53,"Li"))</f>
        <v>1</v>
      </c>
      <c r="J53" s="41">
        <f>IFERROR(_xll.TinhGammafiCMS($D$19,_xll.TimTinhChatDatCotTU(B53,$H$12:$Q$25,9),_xll.TimTinhChatDatCotTU(B53,$H$12:$Q$25,9),_xll.TimTinhChatDatCotTU(B53,$H$12:$Q$25,3),$D$12,_xll.TimTinhChatDatCotTU(B53,$H$12:$Q$25,8),$D$20),"")</f>
        <v>0.84275999999999995</v>
      </c>
      <c r="K53" s="95">
        <f>IF(B53="","",IF(B53&lt;=$I$30,0,_xll.flu_CocMaSatCMD($D$24,$D$16,$D$17,$D$25,$H$12:$O$25,FALSE,FALSE,$D$18,$D$13,$K$32,$H$32,A53,"f")))</f>
        <v>63.5</v>
      </c>
      <c r="L53" s="95">
        <f t="shared" si="1"/>
        <v>100.873888602569</v>
      </c>
      <c r="M53" s="95">
        <f t="shared" si="4"/>
        <v>199.36492944287201</v>
      </c>
      <c r="N53" s="87">
        <f t="shared" si="3"/>
        <v>927.46620242537404</v>
      </c>
      <c r="O53" s="42"/>
      <c r="P53"/>
      <c r="Q53"/>
    </row>
    <row r="54" spans="1:20" s="36" customFormat="1">
      <c r="A54" s="87">
        <f t="shared" si="2"/>
        <v>11</v>
      </c>
      <c r="B54" s="83">
        <f>_xll.flu_CocMaSatCMD($D$24,$D$16,$D$17,$D$25,$H$12:$O$26,FALSE,FALSE,$D$18,$D$13,$K$32,$H$32,A54,"Cao độ")</f>
        <v>10</v>
      </c>
      <c r="C54" s="87" t="str">
        <f>IF(B54="","",_xll.TimTenLoaiDat(B54,$F$12:$H$26))</f>
        <v>Lớp 3</v>
      </c>
      <c r="D54" s="82" t="str">
        <f>IF(B54="","",_xll.TimTinhChatDat(B54,$H$12:$I$26))</f>
        <v>Đất sét</v>
      </c>
      <c r="E54" s="41">
        <f>IFERROR(_xll.TinhGammaqbCMS($D$19,_xll.TimTinhChatDatCotTU(B54,$H$12:$Q$25,9),_xll.TimTinhChatDatCotTU(B54,$H$12:$Q$25,9),_xll.TimTinhChatDatCotTU(B54,$H$12:$Q$25,3),$D$12,_xll.TimTinhChatDatCotTU(B54,$H$12:$Q$25,8),$D$20),"")</f>
        <v>0.94276000000000004</v>
      </c>
      <c r="F54" s="82">
        <f>IF(B54="","",_xll.Qb_CocMaSatCMD(B54,$H$12:$O$25,$D$23,$D$25,$H$32,$D$13,$D$27,$D$26,"qb"))</f>
        <v>1050</v>
      </c>
      <c r="G54" s="95">
        <f t="shared" si="0"/>
        <v>777.46407115080694</v>
      </c>
      <c r="H54" s="96">
        <f>IF(B54="","",_xll.flu_CocMaSatCMD($D$24,$D$16,$D$17,$D$25,$H$12:$O$25,FALSE,FALSE,$D$18,$D$13,$K$32,$H$32,A54,"GanmaRf"))</f>
        <v>0.6</v>
      </c>
      <c r="I54" s="96">
        <f>IF(B54="","",_xll.flu_CocMaSatCMD($D$24,$D$16,$D$17,$D$25,$H$12:$O$25,FALSE,FALSE,$D$18,$D$13,$K$32,$H$32,A54,"Li"))</f>
        <v>0.5</v>
      </c>
      <c r="J54" s="41">
        <f>IFERROR(_xll.TinhGammafiCMS($D$19,_xll.TimTinhChatDatCotTU(B54,$H$12:$Q$25,9),_xll.TimTinhChatDatCotTU(B54,$H$12:$Q$25,9),_xll.TimTinhChatDatCotTU(B54,$H$12:$Q$25,3),$D$12,_xll.TimTinhChatDatCotTU(B54,$H$12:$Q$25,8),$D$20),"")</f>
        <v>0.84275999999999995</v>
      </c>
      <c r="K54" s="95">
        <f>IF(B54="","",IF(B54&lt;=$I$30,0,_xll.flu_CocMaSatCMD($D$24,$D$16,$D$17,$D$25,$H$12:$O$25,FALSE,FALSE,$D$18,$D$13,$K$32,$H$32,A54,"f")))</f>
        <v>65</v>
      </c>
      <c r="L54" s="95">
        <f t="shared" si="1"/>
        <v>51.628368182416999</v>
      </c>
      <c r="M54" s="95">
        <f t="shared" si="4"/>
        <v>250.99329762528899</v>
      </c>
      <c r="N54" s="87">
        <f t="shared" si="3"/>
        <v>1028.4573687761001</v>
      </c>
      <c r="O54" s="42"/>
      <c r="P54"/>
      <c r="Q54"/>
    </row>
    <row r="55" spans="1:20" s="36" customFormat="1">
      <c r="A55" s="87">
        <f t="shared" si="2"/>
        <v>12</v>
      </c>
      <c r="B55" s="83">
        <f>_xll.flu_CocMaSatCMD($D$24,$D$16,$D$17,$D$25,$H$12:$O$26,FALSE,FALSE,$D$18,$D$13,$K$32,$H$32,A55,"Cao độ")</f>
        <v>10.5</v>
      </c>
      <c r="C55" s="87" t="str">
        <f>IF(B55="","",_xll.TimTenLoaiDat(B55,$F$12:$H$26))</f>
        <v>Lớp 4</v>
      </c>
      <c r="D55" s="82" t="str">
        <f>IF(B55="","",_xll.TimTinhChatDat(B55,$H$12:$I$26))</f>
        <v>Đất sét</v>
      </c>
      <c r="E55" s="41">
        <f>IFERROR(_xll.TinhGammaqbCMS($D$19,_xll.TimTinhChatDatCotTU(B55,$H$12:$Q$25,9),_xll.TimTinhChatDatCotTU(B55,$H$12:$Q$25,9),_xll.TimTinhChatDatCotTU(B55,$H$12:$Q$25,3),$D$12,_xll.TimTinhChatDatCotTU(B55,$H$12:$Q$25,8),$D$20),"")</f>
        <v>0.94276000000000004</v>
      </c>
      <c r="F55" s="82" t="str">
        <f>IF(B55="","",_xll.Qb_CocMaSatCMD(B55,$H$12:$O$25,$D$23,$D$25,$H$32,$D$13,$D$27,$D$26,"qb"))</f>
        <v>chiều sâu hạ cọc trong lớp đất làm nền &lt; 2 mét - không đủ / chú thích 1 - 7.2.3.2 - 10304-2025</v>
      </c>
      <c r="G55" s="95">
        <f t="shared" si="0"/>
        <v>0</v>
      </c>
      <c r="H55" s="96">
        <f>IF(B55="","",_xll.flu_CocMaSatCMD($D$24,$D$16,$D$17,$D$25,$H$12:$O$25,FALSE,FALSE,$D$18,$D$13,$K$32,$H$32,A55,"GanmaRf"))</f>
        <v>0.6</v>
      </c>
      <c r="I55" s="96">
        <f>IF(B55="","",_xll.flu_CocMaSatCMD($D$24,$D$16,$D$17,$D$25,$H$12:$O$25,FALSE,FALSE,$D$18,$D$13,$K$32,$H$32,A55,"Li"))</f>
        <v>0.5</v>
      </c>
      <c r="J55" s="41">
        <f>IFERROR(_xll.TinhGammafiCMS($D$19,_xll.TimTinhChatDatCotTU(B55,$H$12:$Q$25,9),_xll.TimTinhChatDatCotTU(B55,$H$12:$Q$25,9),_xll.TimTinhChatDatCotTU(B55,$H$12:$Q$25,3),$D$12,_xll.TimTinhChatDatCotTU(B55,$H$12:$Q$25,8),$D$20),"")</f>
        <v>0.84275999999999995</v>
      </c>
      <c r="K55" s="95">
        <f>IF(B55="","",IF(B55&lt;=$I$30,0,_xll.flu_CocMaSatCMD($D$24,$D$16,$D$17,$D$25,$H$12:$O$25,FALSE,FALSE,$D$18,$D$13,$K$32,$H$32,A55,"f")))</f>
        <v>65.7</v>
      </c>
      <c r="L55" s="95">
        <f t="shared" si="1"/>
        <v>52.184365993612303</v>
      </c>
      <c r="M55" s="95">
        <f t="shared" si="4"/>
        <v>303.17766361890102</v>
      </c>
      <c r="N55" s="87">
        <f t="shared" si="3"/>
        <v>303.17766361890102</v>
      </c>
      <c r="O55" s="42"/>
      <c r="P55"/>
      <c r="Q55"/>
      <c r="R55"/>
      <c r="S55"/>
      <c r="T55"/>
    </row>
    <row r="56" spans="1:20" s="36" customFormat="1">
      <c r="A56" s="87">
        <f t="shared" si="2"/>
        <v>13</v>
      </c>
      <c r="B56" s="83">
        <f>_xll.flu_CocMaSatCMD($D$24,$D$16,$D$17,$D$25,$H$12:$O$26,FALSE,FALSE,$D$18,$D$13,$K$32,$H$32,A56,"Cao độ")</f>
        <v>11</v>
      </c>
      <c r="C56" s="87" t="str">
        <f>IF(B56="","",_xll.TimTenLoaiDat(B56,$F$12:$H$26))</f>
        <v>Lớp 4</v>
      </c>
      <c r="D56" s="82" t="str">
        <f>IF(B56="","",_xll.TimTinhChatDat(B56,$H$12:$I$26))</f>
        <v>Đất sét</v>
      </c>
      <c r="E56" s="41">
        <f>IFERROR(_xll.TinhGammaqbCMS($D$19,_xll.TimTinhChatDatCotTU(B56,$H$12:$Q$25,9),_xll.TimTinhChatDatCotTU(B56,$H$12:$Q$25,9),_xll.TimTinhChatDatCotTU(B56,$H$12:$Q$25,3),$D$12,_xll.TimTinhChatDatCotTU(B56,$H$12:$Q$25,8),$D$20),"")</f>
        <v>0.94276000000000004</v>
      </c>
      <c r="F56" s="82" t="str">
        <f>IF(B56="","",_xll.Qb_CocMaSatCMD(B56,$H$12:$O$25,$D$23,$D$25,$H$32,$D$13,$D$27,$D$26,"qb"))</f>
        <v>chiều sâu hạ cọc trong lớp đất làm nền &lt; 2 mét - không đủ / chú thích 1 - 7.2.3.2 - 10304-2025</v>
      </c>
      <c r="G56" s="95">
        <f t="shared" si="0"/>
        <v>0</v>
      </c>
      <c r="H56" s="96">
        <f>IF(B56="","",_xll.flu_CocMaSatCMD($D$24,$D$16,$D$17,$D$25,$H$12:$O$25,FALSE,FALSE,$D$18,$D$13,$K$32,$H$32,A56,"GanmaRf"))</f>
        <v>0.6</v>
      </c>
      <c r="I56" s="96">
        <f>IF(B56="","",_xll.flu_CocMaSatCMD($D$24,$D$16,$D$17,$D$25,$H$12:$O$25,FALSE,FALSE,$D$18,$D$13,$K$32,$H$32,A56,"Li"))</f>
        <v>1</v>
      </c>
      <c r="J56" s="41">
        <f>IFERROR(_xll.TinhGammafiCMS($D$19,_xll.TimTinhChatDatCotTU(B56,$H$12:$Q$25,9),_xll.TimTinhChatDatCotTU(B56,$H$12:$Q$25,9),_xll.TimTinhChatDatCotTU(B56,$H$12:$Q$25,3),$D$12,_xll.TimTinhChatDatCotTU(B56,$H$12:$Q$25,8),$D$20),"")</f>
        <v>0.84275999999999995</v>
      </c>
      <c r="K56" s="95">
        <f>IF(B56="","",IF(B56&lt;=$I$30,0,_xll.flu_CocMaSatCMD($D$24,$D$16,$D$17,$D$25,$H$12:$O$25,FALSE,FALSE,$D$18,$D$13,$K$32,$H$32,A56,"f")))</f>
        <v>66.400000000000006</v>
      </c>
      <c r="L56" s="95">
        <f t="shared" si="1"/>
        <v>105.480727609615</v>
      </c>
      <c r="M56" s="95">
        <f t="shared" si="4"/>
        <v>408.658391228516</v>
      </c>
      <c r="N56" s="87">
        <f t="shared" si="3"/>
        <v>408.658391228516</v>
      </c>
      <c r="O56" s="42"/>
      <c r="P56"/>
      <c r="Q56"/>
      <c r="R56"/>
      <c r="S56"/>
      <c r="T56"/>
    </row>
    <row r="57" spans="1:20" s="36" customFormat="1">
      <c r="A57" s="87">
        <f t="shared" si="2"/>
        <v>14</v>
      </c>
      <c r="B57" s="83">
        <f>_xll.flu_CocMaSatCMD($D$24,$D$16,$D$17,$D$25,$H$12:$O$26,FALSE,FALSE,$D$18,$D$13,$K$32,$H$32,A57,"Cao độ")</f>
        <v>12</v>
      </c>
      <c r="C57" s="87" t="str">
        <f>IF(B57="","",_xll.TimTenLoaiDat(B57,$F$12:$H$26))</f>
        <v>Lớp 4</v>
      </c>
      <c r="D57" s="82" t="str">
        <f>IF(B57="","",_xll.TimTinhChatDat(B57,$H$12:$I$26))</f>
        <v>Đất sét</v>
      </c>
      <c r="E57" s="41">
        <f>IFERROR(_xll.TinhGammaqbCMS($D$19,_xll.TimTinhChatDatCotTU(B57,$H$12:$Q$25,9),_xll.TimTinhChatDatCotTU(B57,$H$12:$Q$25,9),_xll.TimTinhChatDatCotTU(B57,$H$12:$Q$25,3),$D$12,_xll.TimTinhChatDatCotTU(B57,$H$12:$Q$25,8),$D$20),"")</f>
        <v>0.94276000000000004</v>
      </c>
      <c r="F57" s="82" t="str">
        <f>IF(B57="","",_xll.Qb_CocMaSatCMD(B57,$H$12:$O$25,$D$23,$D$25,$H$32,$D$13,$D$27,$D$26,"qb"))</f>
        <v>chiều sâu hạ cọc trong lớp đất làm nền &lt; 2 mét - không đủ / chú thích 1 - 7.2.3.2 - 10304-2025</v>
      </c>
      <c r="G57" s="95">
        <f t="shared" si="0"/>
        <v>0</v>
      </c>
      <c r="H57" s="96">
        <f>IF(B57="","",_xll.flu_CocMaSatCMD($D$24,$D$16,$D$17,$D$25,$H$12:$O$25,FALSE,FALSE,$D$18,$D$13,$K$32,$H$32,A57,"GanmaRf"))</f>
        <v>0.6</v>
      </c>
      <c r="I57" s="96">
        <f>IF(B57="","",_xll.flu_CocMaSatCMD($D$24,$D$16,$D$17,$D$25,$H$12:$O$25,FALSE,FALSE,$D$18,$D$13,$K$32,$H$32,A57,"Li"))</f>
        <v>0.19999999999999901</v>
      </c>
      <c r="J57" s="41">
        <f>IFERROR(_xll.TinhGammafiCMS($D$19,_xll.TimTinhChatDatCotTU(B57,$H$12:$Q$25,9),_xll.TimTinhChatDatCotTU(B57,$H$12:$Q$25,9),_xll.TimTinhChatDatCotTU(B57,$H$12:$Q$25,3),$D$12,_xll.TimTinhChatDatCotTU(B57,$H$12:$Q$25,8),$D$20),"")</f>
        <v>0.84275999999999995</v>
      </c>
      <c r="K57" s="95">
        <f>IF(B57="","",IF(B57&lt;=$I$30,0,_xll.flu_CocMaSatCMD($D$24,$D$16,$D$17,$D$25,$H$12:$O$25,FALSE,FALSE,$D$18,$D$13,$K$32,$H$32,A57,"f")))</f>
        <v>67.8</v>
      </c>
      <c r="L57" s="95">
        <f t="shared" si="1"/>
        <v>21.5409437708791</v>
      </c>
      <c r="M57" s="95">
        <f t="shared" si="4"/>
        <v>430.19933499939498</v>
      </c>
      <c r="N57" s="87">
        <f t="shared" si="3"/>
        <v>430.19933499939498</v>
      </c>
      <c r="O57" s="42"/>
      <c r="P57"/>
      <c r="Q57"/>
      <c r="R57"/>
      <c r="S57"/>
      <c r="T57"/>
    </row>
    <row r="58" spans="1:20" s="36" customFormat="1">
      <c r="A58" s="87">
        <f t="shared" si="2"/>
        <v>15</v>
      </c>
      <c r="B58" s="83">
        <f>_xll.flu_CocMaSatCMD($D$24,$D$16,$D$17,$D$25,$H$12:$O$26,FALSE,FALSE,$D$18,$D$13,$K$32,$H$32,A58,"Cao độ")</f>
        <v>12.2</v>
      </c>
      <c r="C58" s="87" t="str">
        <f>IF(B58="","",_xll.TimTenLoaiDat(B58,$F$12:$H$26))</f>
        <v>Lớp 5</v>
      </c>
      <c r="D58" s="82" t="str">
        <f>IF(B58="","",_xll.TimTinhChatDat(B58,$H$12:$I$26))</f>
        <v>Cát chặt vừa - thô</v>
      </c>
      <c r="E58" s="41">
        <f>IFERROR(_xll.TinhGammaqbCMS($D$19,_xll.TimTinhChatDatCotTU(B58,$H$12:$Q$25,9),_xll.TimTinhChatDatCotTU(B58,$H$12:$Q$25,9),_xll.TimTinhChatDatCotTU(B58,$H$12:$Q$25,3),$D$12,_xll.TimTinhChatDatCotTU(B58,$H$12:$Q$25,8),$D$20),"")</f>
        <v>0.93552000000000002</v>
      </c>
      <c r="F58" s="82" t="str">
        <f>IF(B58="","",_xll.Qb_CocMaSatCMD(B58,$H$12:$O$25,$D$23,$D$25,$H$32,$D$13,$D$27,$D$26,"qb"))</f>
        <v>chiều sâu hạ cọc trong lớp đất làm nền &lt; 2 mét - không đủ / chú thích 1 - 7.2.3.2 - 10304-2025</v>
      </c>
      <c r="G58" s="95">
        <f t="shared" si="0"/>
        <v>0</v>
      </c>
      <c r="H58" s="96">
        <f>IF(B58="","",_xll.flu_CocMaSatCMD($D$24,$D$16,$D$17,$D$25,$H$12:$O$25,FALSE,FALSE,$D$18,$D$13,$K$32,$H$32,A58,"GanmaRf"))</f>
        <v>0.6</v>
      </c>
      <c r="I58" s="96">
        <f>IF(B58="","",_xll.flu_CocMaSatCMD($D$24,$D$16,$D$17,$D$25,$H$12:$O$25,FALSE,FALSE,$D$18,$D$13,$K$32,$H$32,A58,"Li"))</f>
        <v>0.80000000000000104</v>
      </c>
      <c r="J58" s="41">
        <f>IFERROR(_xll.TinhGammafiCMS($D$19,_xll.TimTinhChatDatCotTU(B58,$H$12:$Q$25,9),_xll.TimTinhChatDatCotTU(B58,$H$12:$Q$25,9),_xll.TimTinhChatDatCotTU(B58,$H$12:$Q$25,3),$D$12,_xll.TimTinhChatDatCotTU(B58,$H$12:$Q$25,8),$D$20),"")</f>
        <v>0.93552000000000002</v>
      </c>
      <c r="K58" s="95">
        <f>IF(B58="","",IF(B58&lt;=$I$30,0,_xll.flu_CocMaSatCMD($D$24,$D$16,$D$17,$D$25,$H$12:$O$25,FALSE,FALSE,$D$18,$D$13,$K$32,$H$32,A58,"f")))</f>
        <v>68.08</v>
      </c>
      <c r="L58" s="95">
        <f t="shared" si="1"/>
        <v>96.042561337062295</v>
      </c>
      <c r="M58" s="95">
        <f t="shared" si="4"/>
        <v>526.24189633645801</v>
      </c>
      <c r="N58" s="87">
        <f t="shared" si="3"/>
        <v>526.24189633645801</v>
      </c>
      <c r="O58" s="42"/>
      <c r="P58"/>
      <c r="Q58"/>
      <c r="R58"/>
      <c r="S58"/>
      <c r="T58"/>
    </row>
    <row r="59" spans="1:20" s="36" customFormat="1">
      <c r="A59" s="87">
        <f t="shared" si="2"/>
        <v>16</v>
      </c>
      <c r="B59" s="83">
        <f>_xll.flu_CocMaSatCMD($D$24,$D$16,$D$17,$D$25,$H$12:$O$26,FALSE,FALSE,$D$18,$D$13,$K$32,$H$32,A59,"Cao độ")</f>
        <v>13</v>
      </c>
      <c r="C59" s="87" t="str">
        <f>IF(B59="","",_xll.TimTenLoaiDat(B59,$F$12:$H$26))</f>
        <v>Lớp 5</v>
      </c>
      <c r="D59" s="82" t="str">
        <f>IF(B59="","",_xll.TimTinhChatDat(B59,$H$12:$I$26))</f>
        <v>Cát chặt vừa - thô</v>
      </c>
      <c r="E59" s="41">
        <f>IFERROR(_xll.TinhGammaqbCMS($D$19,_xll.TimTinhChatDatCotTU(B59,$H$12:$Q$25,9),_xll.TimTinhChatDatCotTU(B59,$H$12:$Q$25,9),_xll.TimTinhChatDatCotTU(B59,$H$12:$Q$25,3),$D$12,_xll.TimTinhChatDatCotTU(B59,$H$12:$Q$25,8),$D$20),"")</f>
        <v>0.93552000000000002</v>
      </c>
      <c r="F59" s="82" t="str">
        <f>IF(B59="","",_xll.Qb_CocMaSatCMD(B59,$H$12:$O$25,$D$23,$D$25,$H$32,$D$13,$D$27,$D$26,"qb"))</f>
        <v>chiều sâu hạ cọc trong lớp đất làm nền &lt; 2 mét - không đủ / chú thích 1 - 7.2.3.2 - 10304-2025</v>
      </c>
      <c r="G59" s="95">
        <f t="shared" si="0"/>
        <v>0</v>
      </c>
      <c r="H59" s="96">
        <f>IF(B59="","",_xll.flu_CocMaSatCMD($D$24,$D$16,$D$17,$D$25,$H$12:$O$25,FALSE,FALSE,$D$18,$D$13,$K$32,$H$32,A59,"GanmaRf"))</f>
        <v>0.6</v>
      </c>
      <c r="I59" s="96">
        <f>IF(B59="","",_xll.flu_CocMaSatCMD($D$24,$D$16,$D$17,$D$25,$H$12:$O$25,FALSE,FALSE,$D$18,$D$13,$K$32,$H$32,A59,"Li"))</f>
        <v>1</v>
      </c>
      <c r="J59" s="41">
        <f>IFERROR(_xll.TinhGammafiCMS($D$19,_xll.TimTinhChatDatCotTU(B59,$H$12:$Q$25,9),_xll.TimTinhChatDatCotTU(B59,$H$12:$Q$25,9),_xll.TimTinhChatDatCotTU(B59,$H$12:$Q$25,3),$D$12,_xll.TimTinhChatDatCotTU(B59,$H$12:$Q$25,8),$D$20),"")</f>
        <v>0.93552000000000002</v>
      </c>
      <c r="K59" s="95">
        <f>IF(B59="","",IF(B59&lt;=$I$30,0,_xll.flu_CocMaSatCMD($D$24,$D$16,$D$17,$D$25,$H$12:$O$25,FALSE,FALSE,$D$18,$D$13,$K$32,$H$32,A59,"f")))</f>
        <v>69.2</v>
      </c>
      <c r="L59" s="95">
        <f t="shared" si="1"/>
        <v>122.028224965568</v>
      </c>
      <c r="M59" s="95">
        <f t="shared" si="4"/>
        <v>648.27012130202604</v>
      </c>
      <c r="N59" s="87">
        <f t="shared" si="3"/>
        <v>648.27012130202604</v>
      </c>
      <c r="O59" s="42"/>
      <c r="P59"/>
      <c r="Q59"/>
      <c r="R59"/>
      <c r="S59"/>
      <c r="T59"/>
    </row>
    <row r="60" spans="1:20" s="36" customFormat="1">
      <c r="A60" s="87">
        <f t="shared" si="2"/>
        <v>17</v>
      </c>
      <c r="B60" s="83">
        <f>_xll.flu_CocMaSatCMD($D$24,$D$16,$D$17,$D$25,$H$12:$O$26,FALSE,FALSE,$D$18,$D$13,$K$32,$H$32,A60,"Cao độ")</f>
        <v>14</v>
      </c>
      <c r="C60" s="87" t="str">
        <f>IF(B60="","",_xll.TimTenLoaiDat(B60,$F$12:$H$26))</f>
        <v>Lớp 5</v>
      </c>
      <c r="D60" s="82" t="str">
        <f>IF(B60="","",_xll.TimTinhChatDat(B60,$H$12:$I$26))</f>
        <v>Cát chặt vừa - thô</v>
      </c>
      <c r="E60" s="41">
        <f>IFERROR(_xll.TinhGammaqbCMS($D$19,_xll.TimTinhChatDatCotTU(B60,$H$12:$Q$25,9),_xll.TimTinhChatDatCotTU(B60,$H$12:$Q$25,9),_xll.TimTinhChatDatCotTU(B60,$H$12:$Q$25,3),$D$12,_xll.TimTinhChatDatCotTU(B60,$H$12:$Q$25,8),$D$20),"")</f>
        <v>0.93552000000000002</v>
      </c>
      <c r="F60" s="82" t="str">
        <f>IF(B60="","",_xll.Qb_CocMaSatCMD(B60,$H$12:$O$25,$D$23,$D$25,$H$32,$D$13,$D$27,$D$26,"qb"))</f>
        <v>chiều sâu hạ cọc trong lớp đất làm nền &lt; 2 mét - không đủ / chú thích 1 - 7.2.3.2 - 10304-2025</v>
      </c>
      <c r="G60" s="95">
        <f t="shared" si="0"/>
        <v>0</v>
      </c>
      <c r="H60" s="96">
        <f>IF(B60="","",_xll.flu_CocMaSatCMD($D$24,$D$16,$D$17,$D$25,$H$12:$O$25,FALSE,FALSE,$D$18,$D$13,$K$32,$H$32,A60,"GanmaRf"))</f>
        <v>0.6</v>
      </c>
      <c r="I60" s="96">
        <f>IF(B60="","",_xll.flu_CocMaSatCMD($D$24,$D$16,$D$17,$D$25,$H$12:$O$25,FALSE,FALSE,$D$18,$D$13,$K$32,$H$32,A60,"Li"))</f>
        <v>1</v>
      </c>
      <c r="J60" s="41">
        <f>IFERROR(_xll.TinhGammafiCMS($D$19,_xll.TimTinhChatDatCotTU(B60,$H$12:$Q$25,9),_xll.TimTinhChatDatCotTU(B60,$H$12:$Q$25,9),_xll.TimTinhChatDatCotTU(B60,$H$12:$Q$25,3),$D$12,_xll.TimTinhChatDatCotTU(B60,$H$12:$Q$25,8),$D$20),"")</f>
        <v>0.93552000000000002</v>
      </c>
      <c r="K60" s="95">
        <f>IF(B60="","",IF(B60&lt;=$I$30,0,_xll.flu_CocMaSatCMD($D$24,$D$16,$D$17,$D$25,$H$12:$O$25,FALSE,FALSE,$D$18,$D$13,$K$32,$H$32,A60,"f")))</f>
        <v>70.599999999999994</v>
      </c>
      <c r="L60" s="95">
        <f t="shared" si="1"/>
        <v>124.49700408336901</v>
      </c>
      <c r="M60" s="95">
        <f t="shared" si="4"/>
        <v>772.76712538539402</v>
      </c>
      <c r="N60" s="87">
        <f t="shared" si="3"/>
        <v>772.76712538539402</v>
      </c>
      <c r="O60" s="42"/>
      <c r="P60"/>
      <c r="Q60"/>
      <c r="R60"/>
      <c r="S60"/>
      <c r="T60"/>
    </row>
    <row r="61" spans="1:20" s="36" customFormat="1">
      <c r="A61" s="87">
        <f t="shared" si="2"/>
        <v>18</v>
      </c>
      <c r="B61" s="83">
        <f>_xll.flu_CocMaSatCMD($D$24,$D$16,$D$17,$D$25,$H$12:$O$26,FALSE,FALSE,$D$18,$D$13,$K$32,$H$32,A61,"Cao độ")</f>
        <v>15</v>
      </c>
      <c r="C61" s="87" t="str">
        <f>IF(B61="","",_xll.TimTenLoaiDat(B61,$F$12:$H$26))</f>
        <v>Lớp 5</v>
      </c>
      <c r="D61" s="82" t="str">
        <f>IF(B61="","",_xll.TimTinhChatDat(B61,$H$12:$I$26))</f>
        <v>Cát chặt vừa - thô</v>
      </c>
      <c r="E61" s="41">
        <f>IFERROR(_xll.TinhGammaqbCMS($D$19,_xll.TimTinhChatDatCotTU(B61,$H$12:$Q$25,9),_xll.TimTinhChatDatCotTU(B61,$H$12:$Q$25,9),_xll.TimTinhChatDatCotTU(B61,$H$12:$Q$25,3),$D$12,_xll.TimTinhChatDatCotTU(B61,$H$12:$Q$25,8),$D$20),"")</f>
        <v>0.93552000000000002</v>
      </c>
      <c r="F61" s="82">
        <f>IF(B61="","",_xll.Qb_CocMaSatCMD(B61,$H$12:$O$25,$D$23,$D$25,$H$32,$D$13,$D$27,$D$26,"qb"))</f>
        <v>0</v>
      </c>
      <c r="G61" s="95">
        <f t="shared" si="0"/>
        <v>0</v>
      </c>
      <c r="H61" s="96">
        <f>IF(B61="","",_xll.flu_CocMaSatCMD($D$24,$D$16,$D$17,$D$25,$H$12:$O$25,FALSE,FALSE,$D$18,$D$13,$K$32,$H$32,A61,"GanmaRf"))</f>
        <v>0.6</v>
      </c>
      <c r="I61" s="96">
        <f>IF(B61="","",_xll.flu_CocMaSatCMD($D$24,$D$16,$D$17,$D$25,$H$12:$O$25,FALSE,FALSE,$D$18,$D$13,$K$32,$H$32,A61,"Li"))</f>
        <v>1</v>
      </c>
      <c r="J61" s="41">
        <f>IFERROR(_xll.TinhGammafiCMS($D$19,_xll.TimTinhChatDatCotTU(B61,$H$12:$Q$25,9),_xll.TimTinhChatDatCotTU(B61,$H$12:$Q$25,9),_xll.TimTinhChatDatCotTU(B61,$H$12:$Q$25,3),$D$12,_xll.TimTinhChatDatCotTU(B61,$H$12:$Q$25,8),$D$20),"")</f>
        <v>0.93552000000000002</v>
      </c>
      <c r="K61" s="95">
        <f>IF(B61="","",IF(B61&lt;=$I$30,0,_xll.flu_CocMaSatCMD($D$24,$D$16,$D$17,$D$25,$H$12:$O$25,FALSE,FALSE,$D$18,$D$13,$K$32,$H$32,A61,"f")))</f>
        <v>72</v>
      </c>
      <c r="L61" s="95">
        <f t="shared" si="1"/>
        <v>126.965783201169</v>
      </c>
      <c r="M61" s="95">
        <f t="shared" si="4"/>
        <v>899.73290858656401</v>
      </c>
      <c r="N61" s="87">
        <f t="shared" si="3"/>
        <v>899.73290858656401</v>
      </c>
      <c r="O61" s="42"/>
      <c r="P61"/>
      <c r="Q61"/>
      <c r="R61"/>
      <c r="S61"/>
      <c r="T61"/>
    </row>
    <row r="62" spans="1:20" s="36" customFormat="1">
      <c r="A62" s="87">
        <f t="shared" si="2"/>
        <v>19</v>
      </c>
      <c r="B62" s="83">
        <f>_xll.flu_CocMaSatCMD($D$24,$D$16,$D$17,$D$25,$H$12:$O$26,FALSE,FALSE,$D$18,$D$13,$K$32,$H$32,A62,"Cao độ")</f>
        <v>16</v>
      </c>
      <c r="C62" s="87" t="str">
        <f>IF(B62="","",_xll.TimTenLoaiDat(B62,$F$12:$H$26))</f>
        <v>Lớp 5</v>
      </c>
      <c r="D62" s="82" t="str">
        <f>IF(B62="","",_xll.TimTinhChatDat(B62,$H$12:$I$26))</f>
        <v>Cát chặt vừa - thô</v>
      </c>
      <c r="E62" s="41">
        <f>IFERROR(_xll.TinhGammaqbCMS($D$19,_xll.TimTinhChatDatCotTU(B62,$H$12:$Q$25,9),_xll.TimTinhChatDatCotTU(B62,$H$12:$Q$25,9),_xll.TimTinhChatDatCotTU(B62,$H$12:$Q$25,3),$D$12,_xll.TimTinhChatDatCotTU(B62,$H$12:$Q$25,8),$D$20),"")</f>
        <v>0.93552000000000002</v>
      </c>
      <c r="F62" s="82">
        <f>IF(B62="","",_xll.Qb_CocMaSatCMD(B62,$H$12:$O$25,$D$23,$D$25,$H$32,$D$13,$D$27,$D$26,"qb"))</f>
        <v>0</v>
      </c>
      <c r="G62" s="95">
        <f t="shared" si="0"/>
        <v>0</v>
      </c>
      <c r="H62" s="96">
        <f>IF(B62="","",_xll.flu_CocMaSatCMD($D$24,$D$16,$D$17,$D$25,$H$12:$O$25,FALSE,FALSE,$D$18,$D$13,$K$32,$H$32,A62,"GanmaRf"))</f>
        <v>0.6</v>
      </c>
      <c r="I62" s="96">
        <f>IF(B62="","",_xll.flu_CocMaSatCMD($D$24,$D$16,$D$17,$D$25,$H$12:$O$25,FALSE,FALSE,$D$18,$D$13,$K$32,$H$32,A62,"Li"))</f>
        <v>1</v>
      </c>
      <c r="J62" s="41">
        <f>IFERROR(_xll.TinhGammafiCMS($D$19,_xll.TimTinhChatDatCotTU(B62,$H$12:$Q$25,9),_xll.TimTinhChatDatCotTU(B62,$H$12:$Q$25,9),_xll.TimTinhChatDatCotTU(B62,$H$12:$Q$25,3),$D$12,_xll.TimTinhChatDatCotTU(B62,$H$12:$Q$25,8),$D$20),"")</f>
        <v>0.93552000000000002</v>
      </c>
      <c r="K62" s="95">
        <f>IF(B62="","",IF(B62&lt;=$I$30,0,_xll.flu_CocMaSatCMD($D$24,$D$16,$D$17,$D$25,$H$12:$O$25,FALSE,FALSE,$D$18,$D$13,$K$32,$H$32,A62,"f")))</f>
        <v>73.400000000000006</v>
      </c>
      <c r="L62" s="95">
        <f t="shared" si="1"/>
        <v>129.43456231896999</v>
      </c>
      <c r="M62" s="95">
        <f t="shared" si="4"/>
        <v>1029.1674709055301</v>
      </c>
      <c r="N62" s="87">
        <f t="shared" si="3"/>
        <v>1029.1674709055301</v>
      </c>
      <c r="O62" s="42"/>
      <c r="P62"/>
      <c r="Q62"/>
      <c r="R62"/>
      <c r="S62"/>
      <c r="T62"/>
    </row>
    <row r="63" spans="1:20" s="36" customFormat="1">
      <c r="A63" s="87">
        <f t="shared" si="2"/>
        <v>20</v>
      </c>
      <c r="B63" s="83">
        <f>_xll.flu_CocMaSatCMD($D$24,$D$16,$D$17,$D$25,$H$12:$O$26,FALSE,FALSE,$D$18,$D$13,$K$32,$H$32,A63,"Cao độ")</f>
        <v>17</v>
      </c>
      <c r="C63" s="87" t="str">
        <f>IF(B63="","",_xll.TimTenLoaiDat(B63,$F$12:$H$26))</f>
        <v>Lớp 5</v>
      </c>
      <c r="D63" s="82" t="str">
        <f>IF(B63="","",_xll.TimTinhChatDat(B63,$H$12:$I$26))</f>
        <v>Cát chặt vừa - thô</v>
      </c>
      <c r="E63" s="41">
        <f>IFERROR(_xll.TinhGammaqbCMS($D$19,_xll.TimTinhChatDatCotTU(B63,$H$12:$Q$25,9),_xll.TimTinhChatDatCotTU(B63,$H$12:$Q$25,9),_xll.TimTinhChatDatCotTU(B63,$H$12:$Q$25,3),$D$12,_xll.TimTinhChatDatCotTU(B63,$H$12:$Q$25,8),$D$20),"")</f>
        <v>0.93552000000000002</v>
      </c>
      <c r="F63" s="82">
        <f>IF(B63="","",_xll.Qb_CocMaSatCMD(B63,$H$12:$O$25,$D$23,$D$25,$H$32,$D$13,$D$27,$D$26,"qb"))</f>
        <v>0</v>
      </c>
      <c r="G63" s="95">
        <f t="shared" si="0"/>
        <v>0</v>
      </c>
      <c r="H63" s="96">
        <f>IF(B63="","",_xll.flu_CocMaSatCMD($D$24,$D$16,$D$17,$D$25,$H$12:$O$25,FALSE,FALSE,$D$18,$D$13,$K$32,$H$32,A63,"GanmaRf"))</f>
        <v>0.6</v>
      </c>
      <c r="I63" s="96">
        <f>IF(B63="","",_xll.flu_CocMaSatCMD($D$24,$D$16,$D$17,$D$25,$H$12:$O$25,FALSE,FALSE,$D$18,$D$13,$K$32,$H$32,A63,"Li"))</f>
        <v>1</v>
      </c>
      <c r="J63" s="41">
        <f>IFERROR(_xll.TinhGammafiCMS($D$19,_xll.TimTinhChatDatCotTU(B63,$H$12:$Q$25,9),_xll.TimTinhChatDatCotTU(B63,$H$12:$Q$25,9),_xll.TimTinhChatDatCotTU(B63,$H$12:$Q$25,3),$D$12,_xll.TimTinhChatDatCotTU(B63,$H$12:$Q$25,8),$D$20),"")</f>
        <v>0.93552000000000002</v>
      </c>
      <c r="K63" s="95">
        <f>IF(B63="","",IF(B63&lt;=$I$30,0,_xll.flu_CocMaSatCMD($D$24,$D$16,$D$17,$D$25,$H$12:$O$25,FALSE,FALSE,$D$18,$D$13,$K$32,$H$32,A63,"f")))</f>
        <v>74.8</v>
      </c>
      <c r="L63" s="95">
        <f t="shared" si="1"/>
        <v>131.90334143677001</v>
      </c>
      <c r="M63" s="95">
        <f t="shared" si="4"/>
        <v>1161.0708123423001</v>
      </c>
      <c r="N63" s="87">
        <f t="shared" si="3"/>
        <v>1161.0708123423001</v>
      </c>
      <c r="O63" s="42"/>
      <c r="P63"/>
      <c r="Q63"/>
      <c r="R63"/>
      <c r="S63"/>
      <c r="T63"/>
    </row>
    <row r="64" spans="1:20" s="36" customFormat="1">
      <c r="A64" s="87">
        <f t="shared" si="2"/>
        <v>21</v>
      </c>
      <c r="B64" s="83">
        <f>_xll.flu_CocMaSatCMD($D$24,$D$16,$D$17,$D$25,$H$12:$O$26,FALSE,FALSE,$D$18,$D$13,$K$32,$H$32,A64,"Cao độ")</f>
        <v>18</v>
      </c>
      <c r="C64" s="87" t="str">
        <f>IF(B64="","",_xll.TimTenLoaiDat(B64,$F$12:$H$26))</f>
        <v>Lớp 5</v>
      </c>
      <c r="D64" s="82" t="str">
        <f>IF(B64="","",_xll.TimTinhChatDat(B64,$H$12:$I$26))</f>
        <v>Cát chặt vừa - thô</v>
      </c>
      <c r="E64" s="41">
        <f>IFERROR(_xll.TinhGammaqbCMS($D$19,_xll.TimTinhChatDatCotTU(B64,$H$12:$Q$25,9),_xll.TimTinhChatDatCotTU(B64,$H$12:$Q$25,9),_xll.TimTinhChatDatCotTU(B64,$H$12:$Q$25,3),$D$12,_xll.TimTinhChatDatCotTU(B64,$H$12:$Q$25,8),$D$20),"")</f>
        <v>0.93552000000000002</v>
      </c>
      <c r="F64" s="82">
        <f>IF(B64="","",_xll.Qb_CocMaSatCMD(B64,$H$12:$O$25,$D$23,$D$25,$H$32,$D$13,$D$27,$D$26,"qb"))</f>
        <v>0</v>
      </c>
      <c r="G64" s="95">
        <f t="shared" si="0"/>
        <v>0</v>
      </c>
      <c r="H64" s="96">
        <f>IF(B64="","",_xll.flu_CocMaSatCMD($D$24,$D$16,$D$17,$D$25,$H$12:$O$25,FALSE,FALSE,$D$18,$D$13,$K$32,$H$32,A64,"GanmaRf"))</f>
        <v>0.6</v>
      </c>
      <c r="I64" s="96">
        <f>IF(B64="","",_xll.flu_CocMaSatCMD($D$24,$D$16,$D$17,$D$25,$H$12:$O$25,FALSE,FALSE,$D$18,$D$13,$K$32,$H$32,A64,"Li"))</f>
        <v>1</v>
      </c>
      <c r="J64" s="41">
        <f>IFERROR(_xll.TinhGammafiCMS($D$19,_xll.TimTinhChatDatCotTU(B64,$H$12:$Q$25,9),_xll.TimTinhChatDatCotTU(B64,$H$12:$Q$25,9),_xll.TimTinhChatDatCotTU(B64,$H$12:$Q$25,3),$D$12,_xll.TimTinhChatDatCotTU(B64,$H$12:$Q$25,8),$D$20),"")</f>
        <v>0.93552000000000002</v>
      </c>
      <c r="K64" s="95">
        <f>IF(B64="","",IF(B64&lt;=$I$30,0,_xll.flu_CocMaSatCMD($D$24,$D$16,$D$17,$D$25,$H$12:$O$25,FALSE,FALSE,$D$18,$D$13,$K$32,$H$32,A64,"f")))</f>
        <v>76.2</v>
      </c>
      <c r="L64" s="95">
        <f t="shared" si="1"/>
        <v>134.37212055457101</v>
      </c>
      <c r="M64" s="95">
        <f t="shared" si="4"/>
        <v>1295.4429328968699</v>
      </c>
      <c r="N64" s="87">
        <f t="shared" si="3"/>
        <v>1295.4429328968699</v>
      </c>
      <c r="O64" s="42"/>
      <c r="P64"/>
      <c r="Q64"/>
      <c r="R64"/>
      <c r="S64"/>
      <c r="T64"/>
    </row>
    <row r="65" spans="1:20" s="36" customFormat="1">
      <c r="A65" s="87">
        <f t="shared" si="2"/>
        <v>22</v>
      </c>
      <c r="B65" s="83">
        <f>_xll.flu_CocMaSatCMD($D$24,$D$16,$D$17,$D$25,$H$12:$O$26,FALSE,FALSE,$D$18,$D$13,$K$32,$H$32,A65,"Cao độ")</f>
        <v>19</v>
      </c>
      <c r="C65" s="87" t="str">
        <f>IF(B65="","",_xll.TimTenLoaiDat(B65,$F$12:$H$26))</f>
        <v>Lớp 5</v>
      </c>
      <c r="D65" s="82" t="str">
        <f>IF(B65="","",_xll.TimTinhChatDat(B65,$H$12:$I$26))</f>
        <v>Cát chặt vừa - thô</v>
      </c>
      <c r="E65" s="41">
        <f>IFERROR(_xll.TinhGammaqbCMS($D$19,_xll.TimTinhChatDatCotTU(B65,$H$12:$Q$25,9),_xll.TimTinhChatDatCotTU(B65,$H$12:$Q$25,9),_xll.TimTinhChatDatCotTU(B65,$H$12:$Q$25,3),$D$12,_xll.TimTinhChatDatCotTU(B65,$H$12:$Q$25,8),$D$20),"")</f>
        <v>0.93552000000000002</v>
      </c>
      <c r="F65" s="82">
        <f>IF(B65="","",_xll.Qb_CocMaSatCMD(B65,$H$12:$O$25,$D$23,$D$25,$H$32,$D$13,$D$27,$D$26,"qb"))</f>
        <v>0</v>
      </c>
      <c r="G65" s="95">
        <f t="shared" si="0"/>
        <v>0</v>
      </c>
      <c r="H65" s="96">
        <f>IF(B65="","",_xll.flu_CocMaSatCMD($D$24,$D$16,$D$17,$D$25,$H$12:$O$25,FALSE,FALSE,$D$18,$D$13,$K$32,$H$32,A65,"GanmaRf"))</f>
        <v>0.6</v>
      </c>
      <c r="I65" s="96">
        <f>IF(B65="","",_xll.flu_CocMaSatCMD($D$24,$D$16,$D$17,$D$25,$H$12:$O$25,FALSE,FALSE,$D$18,$D$13,$K$32,$H$32,A65,"Li"))</f>
        <v>1</v>
      </c>
      <c r="J65" s="41">
        <f>IFERROR(_xll.TinhGammafiCMS($D$19,_xll.TimTinhChatDatCotTU(B65,$H$12:$Q$25,9),_xll.TimTinhChatDatCotTU(B65,$H$12:$Q$25,9),_xll.TimTinhChatDatCotTU(B65,$H$12:$Q$25,3),$D$12,_xll.TimTinhChatDatCotTU(B65,$H$12:$Q$25,8),$D$20),"")</f>
        <v>0.93552000000000002</v>
      </c>
      <c r="K65" s="95">
        <f>IF(B65="","",IF(B65&lt;=$I$30,0,_xll.flu_CocMaSatCMD($D$24,$D$16,$D$17,$D$25,$H$12:$O$25,FALSE,FALSE,$D$18,$D$13,$K$32,$H$32,A65,"f")))</f>
        <v>77.599999999999994</v>
      </c>
      <c r="L65" s="95">
        <f t="shared" si="1"/>
        <v>136.84089967237099</v>
      </c>
      <c r="M65" s="95">
        <f t="shared" si="4"/>
        <v>1432.2838325692501</v>
      </c>
      <c r="N65" s="87">
        <f t="shared" si="3"/>
        <v>1432.2838325692501</v>
      </c>
      <c r="O65" s="42"/>
      <c r="P65"/>
      <c r="Q65"/>
      <c r="R65"/>
      <c r="S65"/>
      <c r="T65"/>
    </row>
    <row r="66" spans="1:20" s="36" customFormat="1">
      <c r="A66" s="87">
        <f t="shared" si="2"/>
        <v>23</v>
      </c>
      <c r="B66" s="83">
        <f>_xll.flu_CocMaSatCMD($D$24,$D$16,$D$17,$D$25,$H$12:$O$26,FALSE,FALSE,$D$18,$D$13,$K$32,$H$32,A66,"Cao độ")</f>
        <v>20</v>
      </c>
      <c r="C66" s="87" t="str">
        <f>IF(B66="","",_xll.TimTenLoaiDat(B66,$F$12:$H$26))</f>
        <v>Lớp 5</v>
      </c>
      <c r="D66" s="82" t="str">
        <f>IF(B66="","",_xll.TimTinhChatDat(B66,$H$12:$I$26))</f>
        <v>Cát chặt vừa - thô</v>
      </c>
      <c r="E66" s="41">
        <f>IFERROR(_xll.TinhGammaqbCMS($D$19,_xll.TimTinhChatDatCotTU(B66,$H$12:$Q$25,9),_xll.TimTinhChatDatCotTU(B66,$H$12:$Q$25,9),_xll.TimTinhChatDatCotTU(B66,$H$12:$Q$25,3),$D$12,_xll.TimTinhChatDatCotTU(B66,$H$12:$Q$25,8),$D$20),"")</f>
        <v>0.93552000000000002</v>
      </c>
      <c r="F66" s="82">
        <f>IF(B66="","",_xll.Qb_CocMaSatCMD(B66,$H$12:$O$25,$D$23,$D$25,$H$32,$D$13,$D$27,$D$26,"qb"))</f>
        <v>0</v>
      </c>
      <c r="G66" s="95">
        <f t="shared" si="0"/>
        <v>0</v>
      </c>
      <c r="H66" s="96">
        <f>IF(B66="","",_xll.flu_CocMaSatCMD($D$24,$D$16,$D$17,$D$25,$H$12:$O$25,FALSE,FALSE,$D$18,$D$13,$K$32,$H$32,A66,"GanmaRf"))</f>
        <v>0.6</v>
      </c>
      <c r="I66" s="96">
        <f>IF(B66="","",_xll.flu_CocMaSatCMD($D$24,$D$16,$D$17,$D$25,$H$12:$O$25,FALSE,FALSE,$D$18,$D$13,$K$32,$H$32,A66,"Li"))</f>
        <v>1</v>
      </c>
      <c r="J66" s="41">
        <f>IFERROR(_xll.TinhGammafiCMS($D$19,_xll.TimTinhChatDatCotTU(B66,$H$12:$Q$25,9),_xll.TimTinhChatDatCotTU(B66,$H$12:$Q$25,9),_xll.TimTinhChatDatCotTU(B66,$H$12:$Q$25,3),$D$12,_xll.TimTinhChatDatCotTU(B66,$H$12:$Q$25,8),$D$20),"")</f>
        <v>0.93552000000000002</v>
      </c>
      <c r="K66" s="95">
        <f>IF(B66="","",IF(B66&lt;=$I$30,0,_xll.flu_CocMaSatCMD($D$24,$D$16,$D$17,$D$25,$H$12:$O$25,FALSE,FALSE,$D$18,$D$13,$K$32,$H$32,A66,"f")))</f>
        <v>79</v>
      </c>
      <c r="L66" s="95">
        <f t="shared" si="1"/>
        <v>139.309678790172</v>
      </c>
      <c r="M66" s="95">
        <f t="shared" si="4"/>
        <v>1571.5935113594201</v>
      </c>
      <c r="N66" s="87">
        <f t="shared" si="3"/>
        <v>1571.5935113594201</v>
      </c>
      <c r="O66" s="42"/>
      <c r="P66"/>
      <c r="Q66"/>
      <c r="R66"/>
      <c r="S66"/>
      <c r="T66"/>
    </row>
    <row r="67" spans="1:20" s="36" customFormat="1">
      <c r="A67" s="87">
        <f t="shared" si="2"/>
        <v>24</v>
      </c>
      <c r="B67" s="83">
        <f>_xll.flu_CocMaSatCMD($D$24,$D$16,$D$17,$D$25,$H$12:$O$26,FALSE,FALSE,$D$18,$D$13,$K$32,$H$32,A67,"Cao độ")</f>
        <v>21</v>
      </c>
      <c r="C67" s="87" t="str">
        <f>IF(B67="","",_xll.TimTenLoaiDat(B67,$F$12:$H$26))</f>
        <v>Lớp 5</v>
      </c>
      <c r="D67" s="82" t="str">
        <f>IF(B67="","",_xll.TimTinhChatDat(B67,$H$12:$I$26))</f>
        <v>Cát chặt vừa - thô</v>
      </c>
      <c r="E67" s="41">
        <f>IFERROR(_xll.TinhGammaqbCMS($D$19,_xll.TimTinhChatDatCotTU(B67,$H$12:$Q$25,9),_xll.TimTinhChatDatCotTU(B67,$H$12:$Q$25,9),_xll.TimTinhChatDatCotTU(B67,$H$12:$Q$25,3),$D$12,_xll.TimTinhChatDatCotTU(B67,$H$12:$Q$25,8),$D$20),"")</f>
        <v>0.93552000000000002</v>
      </c>
      <c r="F67" s="82">
        <f>IF(B67="","",_xll.Qb_CocMaSatCMD(B67,$H$12:$O$25,$D$23,$D$25,$H$32,$D$13,$D$27,$D$26,"qb"))</f>
        <v>0</v>
      </c>
      <c r="G67" s="95">
        <f t="shared" si="0"/>
        <v>0</v>
      </c>
      <c r="H67" s="96">
        <f>IF(B67="","",_xll.flu_CocMaSatCMD($D$24,$D$16,$D$17,$D$25,$H$12:$O$25,FALSE,FALSE,$D$18,$D$13,$K$32,$H$32,A67,"GanmaRf"))</f>
        <v>0.6</v>
      </c>
      <c r="I67" s="96">
        <f>IF(B67="","",_xll.flu_CocMaSatCMD($D$24,$D$16,$D$17,$D$25,$H$12:$O$25,FALSE,FALSE,$D$18,$D$13,$K$32,$H$32,A67,"Li"))</f>
        <v>1</v>
      </c>
      <c r="J67" s="41">
        <f>IFERROR(_xll.TinhGammafiCMS($D$19,_xll.TimTinhChatDatCotTU(B67,$H$12:$Q$25,9),_xll.TimTinhChatDatCotTU(B67,$H$12:$Q$25,9),_xll.TimTinhChatDatCotTU(B67,$H$12:$Q$25,3),$D$12,_xll.TimTinhChatDatCotTU(B67,$H$12:$Q$25,8),$D$20),"")</f>
        <v>0.93552000000000002</v>
      </c>
      <c r="K67" s="95">
        <f>IF(B67="","",IF(B67&lt;=$I$30,0,_xll.flu_CocMaSatCMD($D$24,$D$16,$D$17,$D$25,$H$12:$O$25,FALSE,FALSE,$D$18,$D$13,$K$32,$H$32,A67,"f")))</f>
        <v>80.400000000000006</v>
      </c>
      <c r="L67" s="95">
        <f t="shared" si="1"/>
        <v>141.77845790797201</v>
      </c>
      <c r="M67" s="95">
        <f t="shared" si="4"/>
        <v>1713.3719692673901</v>
      </c>
      <c r="N67" s="87">
        <f t="shared" si="3"/>
        <v>1713.3719692673901</v>
      </c>
      <c r="O67" s="42"/>
      <c r="P67"/>
      <c r="Q67"/>
      <c r="R67"/>
      <c r="S67"/>
      <c r="T67"/>
    </row>
    <row r="68" spans="1:20" s="36" customFormat="1">
      <c r="A68" s="87">
        <f t="shared" si="2"/>
        <v>25</v>
      </c>
      <c r="B68" s="83">
        <f>_xll.flu_CocMaSatCMD($D$24,$D$16,$D$17,$D$25,$H$12:$O$26,FALSE,FALSE,$D$18,$D$13,$K$32,$H$32,A68,"Cao độ")</f>
        <v>22</v>
      </c>
      <c r="C68" s="87" t="str">
        <f>IF(B68="","",_xll.TimTenLoaiDat(B68,$F$12:$H$26))</f>
        <v>Lớp 5</v>
      </c>
      <c r="D68" s="82" t="str">
        <f>IF(B68="","",_xll.TimTinhChatDat(B68,$H$12:$I$26))</f>
        <v>Cát chặt vừa - thô</v>
      </c>
      <c r="E68" s="41">
        <f>IFERROR(_xll.TinhGammaqbCMS($D$19,_xll.TimTinhChatDatCotTU(B68,$H$12:$Q$25,9),_xll.TimTinhChatDatCotTU(B68,$H$12:$Q$25,9),_xll.TimTinhChatDatCotTU(B68,$H$12:$Q$25,3),$D$12,_xll.TimTinhChatDatCotTU(B68,$H$12:$Q$25,8),$D$20),"")</f>
        <v>0.93552000000000002</v>
      </c>
      <c r="F68" s="82">
        <f>IF(B68="","",_xll.Qb_CocMaSatCMD(B68,$H$12:$O$25,$D$23,$D$25,$H$32,$D$13,$D$27,$D$26,"qb"))</f>
        <v>0</v>
      </c>
      <c r="G68" s="95">
        <f t="shared" si="0"/>
        <v>0</v>
      </c>
      <c r="H68" s="96">
        <f>IF(B68="","",_xll.flu_CocMaSatCMD($D$24,$D$16,$D$17,$D$25,$H$12:$O$25,FALSE,FALSE,$D$18,$D$13,$K$32,$H$32,A68,"GanmaRf"))</f>
        <v>0.6</v>
      </c>
      <c r="I68" s="96">
        <f>IF(B68="","",_xll.flu_CocMaSatCMD($D$24,$D$16,$D$17,$D$25,$H$12:$O$25,FALSE,FALSE,$D$18,$D$13,$K$32,$H$32,A68,"Li"))</f>
        <v>1</v>
      </c>
      <c r="J68" s="41">
        <f>IFERROR(_xll.TinhGammafiCMS($D$19,_xll.TimTinhChatDatCotTU(B68,$H$12:$Q$25,9),_xll.TimTinhChatDatCotTU(B68,$H$12:$Q$25,9),_xll.TimTinhChatDatCotTU(B68,$H$12:$Q$25,3),$D$12,_xll.TimTinhChatDatCotTU(B68,$H$12:$Q$25,8),$D$20),"")</f>
        <v>0.93552000000000002</v>
      </c>
      <c r="K68" s="95">
        <f>IF(B68="","",IF(B68&lt;=$I$30,0,_xll.flu_CocMaSatCMD($D$24,$D$16,$D$17,$D$25,$H$12:$O$25,FALSE,FALSE,$D$18,$D$13,$K$32,$H$32,A68,"f")))</f>
        <v>81.8</v>
      </c>
      <c r="L68" s="95">
        <f t="shared" si="1"/>
        <v>144.24723702577299</v>
      </c>
      <c r="M68" s="95">
        <f t="shared" si="4"/>
        <v>1857.61920629316</v>
      </c>
      <c r="N68" s="87">
        <f t="shared" si="3"/>
        <v>1857.61920629316</v>
      </c>
      <c r="O68" s="42"/>
      <c r="P68"/>
      <c r="Q68"/>
      <c r="R68"/>
      <c r="S68"/>
      <c r="T68"/>
    </row>
    <row r="69" spans="1:20" s="36" customFormat="1">
      <c r="A69" s="87">
        <f t="shared" si="2"/>
        <v>26</v>
      </c>
      <c r="B69" s="83">
        <f>_xll.flu_CocMaSatCMD($D$24,$D$16,$D$17,$D$25,$H$12:$O$26,FALSE,FALSE,$D$18,$D$13,$K$32,$H$32,A69,"Cao độ")</f>
        <v>23</v>
      </c>
      <c r="C69" s="87" t="str">
        <f>IF(B69="","",_xll.TimTenLoaiDat(B69,$F$12:$H$26))</f>
        <v>Lớp 5</v>
      </c>
      <c r="D69" s="82" t="str">
        <f>IF(B69="","",_xll.TimTinhChatDat(B69,$H$12:$I$26))</f>
        <v>Cát chặt vừa - thô</v>
      </c>
      <c r="E69" s="41">
        <f>IFERROR(_xll.TinhGammaqbCMS($D$19,_xll.TimTinhChatDatCotTU(B69,$H$12:$Q$25,9),_xll.TimTinhChatDatCotTU(B69,$H$12:$Q$25,9),_xll.TimTinhChatDatCotTU(B69,$H$12:$Q$25,3),$D$12,_xll.TimTinhChatDatCotTU(B69,$H$12:$Q$25,8),$D$20),"")</f>
        <v>0.93552000000000002</v>
      </c>
      <c r="F69" s="82">
        <f>IF(B69="","",_xll.Qb_CocMaSatCMD(B69,$H$12:$O$25,$D$23,$D$25,$H$32,$D$13,$D$27,$D$26,"qb"))</f>
        <v>0</v>
      </c>
      <c r="G69" s="95">
        <f t="shared" si="0"/>
        <v>0</v>
      </c>
      <c r="H69" s="96">
        <f>IF(B69="","",_xll.flu_CocMaSatCMD($D$24,$D$16,$D$17,$D$25,$H$12:$O$25,FALSE,FALSE,$D$18,$D$13,$K$32,$H$32,A69,"GanmaRf"))</f>
        <v>0.6</v>
      </c>
      <c r="I69" s="96">
        <f>IF(B69="","",_xll.flu_CocMaSatCMD($D$24,$D$16,$D$17,$D$25,$H$12:$O$25,FALSE,FALSE,$D$18,$D$13,$K$32,$H$32,A69,"Li"))</f>
        <v>1</v>
      </c>
      <c r="J69" s="41">
        <f>IFERROR(_xll.TinhGammafiCMS($D$19,_xll.TimTinhChatDatCotTU(B69,$H$12:$Q$25,9),_xll.TimTinhChatDatCotTU(B69,$H$12:$Q$25,9),_xll.TimTinhChatDatCotTU(B69,$H$12:$Q$25,3),$D$12,_xll.TimTinhChatDatCotTU(B69,$H$12:$Q$25,8),$D$20),"")</f>
        <v>0.93552000000000002</v>
      </c>
      <c r="K69" s="95">
        <f>IF(B69="","",IF(B69&lt;=$I$30,0,_xll.flu_CocMaSatCMD($D$24,$D$16,$D$17,$D$25,$H$12:$O$25,FALSE,FALSE,$D$18,$D$13,$K$32,$H$32,A69,"f")))</f>
        <v>83.2</v>
      </c>
      <c r="L69" s="95">
        <f t="shared" si="1"/>
        <v>146.716016143573</v>
      </c>
      <c r="M69" s="95">
        <f t="shared" si="4"/>
        <v>2004.33522243674</v>
      </c>
      <c r="N69" s="87">
        <f t="shared" si="3"/>
        <v>2004.33522243674</v>
      </c>
      <c r="O69" s="42"/>
      <c r="P69"/>
      <c r="Q69"/>
      <c r="R69"/>
      <c r="S69"/>
      <c r="T69"/>
    </row>
    <row r="70" spans="1:20" s="36" customFormat="1">
      <c r="A70" s="87">
        <f t="shared" si="2"/>
        <v>27</v>
      </c>
      <c r="B70" s="83">
        <f>_xll.flu_CocMaSatCMD($D$24,$D$16,$D$17,$D$25,$H$12:$O$26,FALSE,FALSE,$D$18,$D$13,$K$32,$H$32,A70,"Cao độ")</f>
        <v>24</v>
      </c>
      <c r="C70" s="87" t="str">
        <f>IF(B70="","",_xll.TimTenLoaiDat(B70,$F$12:$H$26))</f>
        <v>Lớp 5</v>
      </c>
      <c r="D70" s="82" t="str">
        <f>IF(B70="","",_xll.TimTinhChatDat(B70,$H$12:$I$26))</f>
        <v>Cát chặt vừa - thô</v>
      </c>
      <c r="E70" s="41">
        <f>IFERROR(_xll.TinhGammaqbCMS($D$19,_xll.TimTinhChatDatCotTU(B70,$H$12:$Q$25,9),_xll.TimTinhChatDatCotTU(B70,$H$12:$Q$25,9),_xll.TimTinhChatDatCotTU(B70,$H$12:$Q$25,3),$D$12,_xll.TimTinhChatDatCotTU(B70,$H$12:$Q$25,8),$D$20),"")</f>
        <v>0.93552000000000002</v>
      </c>
      <c r="F70" s="82">
        <f>IF(B70="","",_xll.Qb_CocMaSatCMD(B70,$H$12:$O$25,$D$23,$D$25,$H$32,$D$13,$D$27,$D$26,"qb"))</f>
        <v>0</v>
      </c>
      <c r="G70" s="95">
        <f t="shared" si="0"/>
        <v>0</v>
      </c>
      <c r="H70" s="96">
        <f>IF(B70="","",_xll.flu_CocMaSatCMD($D$24,$D$16,$D$17,$D$25,$H$12:$O$25,FALSE,FALSE,$D$18,$D$13,$K$32,$H$32,A70,"GanmaRf"))</f>
        <v>0.6</v>
      </c>
      <c r="I70" s="96">
        <f>IF(B70="","",_xll.flu_CocMaSatCMD($D$24,$D$16,$D$17,$D$25,$H$12:$O$25,FALSE,FALSE,$D$18,$D$13,$K$32,$H$32,A70,"Li"))</f>
        <v>1</v>
      </c>
      <c r="J70" s="41">
        <f>IFERROR(_xll.TinhGammafiCMS($D$19,_xll.TimTinhChatDatCotTU(B70,$H$12:$Q$25,9),_xll.TimTinhChatDatCotTU(B70,$H$12:$Q$25,9),_xll.TimTinhChatDatCotTU(B70,$H$12:$Q$25,3),$D$12,_xll.TimTinhChatDatCotTU(B70,$H$12:$Q$25,8),$D$20),"")</f>
        <v>0.93552000000000002</v>
      </c>
      <c r="K70" s="95">
        <f>IF(B70="","",IF(B70&lt;=$I$30,0,_xll.flu_CocMaSatCMD($D$24,$D$16,$D$17,$D$25,$H$12:$O$25,FALSE,FALSE,$D$18,$D$13,$K$32,$H$32,A70,"f")))</f>
        <v>84.6</v>
      </c>
      <c r="L70" s="95">
        <f t="shared" si="1"/>
        <v>149.18479526137401</v>
      </c>
      <c r="M70" s="95">
        <f t="shared" si="4"/>
        <v>2153.5200176981102</v>
      </c>
      <c r="N70" s="87">
        <f t="shared" si="3"/>
        <v>2153.5200176981102</v>
      </c>
      <c r="O70" s="42"/>
      <c r="P70"/>
      <c r="Q70"/>
      <c r="R70"/>
      <c r="S70"/>
      <c r="T70"/>
    </row>
    <row r="71" spans="1:20" s="36" customFormat="1">
      <c r="A71" s="87">
        <f t="shared" si="2"/>
        <v>28</v>
      </c>
      <c r="B71" s="83">
        <f>_xll.flu_CocMaSatCMD($D$24,$D$16,$D$17,$D$25,$H$12:$O$26,FALSE,FALSE,$D$18,$D$13,$K$32,$H$32,A71,"Cao độ")</f>
        <v>25</v>
      </c>
      <c r="C71" s="87" t="str">
        <f>IF(B71="","",_xll.TimTenLoaiDat(B71,$F$12:$H$26))</f>
        <v>Lớp 5</v>
      </c>
      <c r="D71" s="82" t="str">
        <f>IF(B71="","",_xll.TimTinhChatDat(B71,$H$12:$I$26))</f>
        <v>Cát chặt vừa - thô</v>
      </c>
      <c r="E71" s="41">
        <f>IFERROR(_xll.TinhGammaqbCMS($D$19,_xll.TimTinhChatDatCotTU(B71,$H$12:$Q$25,9),_xll.TimTinhChatDatCotTU(B71,$H$12:$Q$25,9),_xll.TimTinhChatDatCotTU(B71,$H$12:$Q$25,3),$D$12,_xll.TimTinhChatDatCotTU(B71,$H$12:$Q$25,8),$D$20),"")</f>
        <v>0.93552000000000002</v>
      </c>
      <c r="F71" s="82">
        <f>IF(B71="","",_xll.Qb_CocMaSatCMD(B71,$H$12:$O$25,$D$23,$D$25,$H$32,$D$13,$D$27,$D$26,"qb"))</f>
        <v>0</v>
      </c>
      <c r="G71" s="95">
        <f t="shared" si="0"/>
        <v>0</v>
      </c>
      <c r="H71" s="96">
        <f>IF(B71="","",_xll.flu_CocMaSatCMD($D$24,$D$16,$D$17,$D$25,$H$12:$O$25,FALSE,FALSE,$D$18,$D$13,$K$32,$H$32,A71,"GanmaRf"))</f>
        <v>0.6</v>
      </c>
      <c r="I71" s="96">
        <f>IF(B71="","",_xll.flu_CocMaSatCMD($D$24,$D$16,$D$17,$D$25,$H$12:$O$25,FALSE,FALSE,$D$18,$D$13,$K$32,$H$32,A71,"Li"))</f>
        <v>1</v>
      </c>
      <c r="J71" s="41">
        <f>IFERROR(_xll.TinhGammafiCMS($D$19,_xll.TimTinhChatDatCotTU(B71,$H$12:$Q$25,9),_xll.TimTinhChatDatCotTU(B71,$H$12:$Q$25,9),_xll.TimTinhChatDatCotTU(B71,$H$12:$Q$25,3),$D$12,_xll.TimTinhChatDatCotTU(B71,$H$12:$Q$25,8),$D$20),"")</f>
        <v>0.93552000000000002</v>
      </c>
      <c r="K71" s="95">
        <f>IF(B71="","",IF(B71&lt;=$I$30,0,_xll.flu_CocMaSatCMD($D$24,$D$16,$D$17,$D$25,$H$12:$O$25,FALSE,FALSE,$D$18,$D$13,$K$32,$H$32,A71,"f")))</f>
        <v>86</v>
      </c>
      <c r="L71" s="95">
        <f t="shared" si="1"/>
        <v>151.65357437917399</v>
      </c>
      <c r="M71" s="95">
        <f t="shared" si="4"/>
        <v>2305.1735920772799</v>
      </c>
      <c r="N71" s="87">
        <f t="shared" si="3"/>
        <v>2305.1735920772799</v>
      </c>
      <c r="O71" s="42"/>
      <c r="P71"/>
      <c r="Q71"/>
      <c r="R71"/>
      <c r="S71"/>
      <c r="T71"/>
    </row>
    <row r="72" spans="1:20" s="36" customFormat="1">
      <c r="A72" s="87">
        <f t="shared" si="2"/>
        <v>29</v>
      </c>
      <c r="B72" s="83">
        <f>_xll.flu_CocMaSatCMD($D$24,$D$16,$D$17,$D$25,$H$12:$O$26,FALSE,FALSE,$D$18,$D$13,$K$32,$H$32,A72,"Cao độ")</f>
        <v>26</v>
      </c>
      <c r="C72" s="87" t="str">
        <f>IF(B72="","",_xll.TimTenLoaiDat(B72,$F$12:$H$26))</f>
        <v>Lớp 5</v>
      </c>
      <c r="D72" s="82" t="str">
        <f>IF(B72="","",_xll.TimTinhChatDat(B72,$H$12:$I$26))</f>
        <v>Cát chặt vừa - thô</v>
      </c>
      <c r="E72" s="41">
        <f>IFERROR(_xll.TinhGammaqbCMS($D$19,_xll.TimTinhChatDatCotTU(B72,$H$12:$Q$25,9),_xll.TimTinhChatDatCotTU(B72,$H$12:$Q$25,9),_xll.TimTinhChatDatCotTU(B72,$H$12:$Q$25,3),$D$12,_xll.TimTinhChatDatCotTU(B72,$H$12:$Q$25,8),$D$20),"")</f>
        <v>0.93552000000000002</v>
      </c>
      <c r="F72" s="82">
        <f>IF(B72="","",_xll.Qb_CocMaSatCMD(B72,$H$12:$O$25,$D$23,$D$25,$H$32,$D$13,$D$27,$D$26,"qb"))</f>
        <v>0</v>
      </c>
      <c r="G72" s="95">
        <f t="shared" si="0"/>
        <v>0</v>
      </c>
      <c r="H72" s="96">
        <f>IF(B72="","",_xll.flu_CocMaSatCMD($D$24,$D$16,$D$17,$D$25,$H$12:$O$25,FALSE,FALSE,$D$18,$D$13,$K$32,$H$32,A72,"GanmaRf"))</f>
        <v>0.6</v>
      </c>
      <c r="I72" s="96">
        <f>IF(B72="","",_xll.flu_CocMaSatCMD($D$24,$D$16,$D$17,$D$25,$H$12:$O$25,FALSE,FALSE,$D$18,$D$13,$K$32,$H$32,A72,"Li"))</f>
        <v>1</v>
      </c>
      <c r="J72" s="41">
        <f>IFERROR(_xll.TinhGammafiCMS($D$19,_xll.TimTinhChatDatCotTU(B72,$H$12:$Q$25,9),_xll.TimTinhChatDatCotTU(B72,$H$12:$Q$25,9),_xll.TimTinhChatDatCotTU(B72,$H$12:$Q$25,3),$D$12,_xll.TimTinhChatDatCotTU(B72,$H$12:$Q$25,8),$D$20),"")</f>
        <v>0.93552000000000002</v>
      </c>
      <c r="K72" s="95">
        <f>IF(B72="","",IF(B72&lt;=$I$30,0,_xll.flu_CocMaSatCMD($D$24,$D$16,$D$17,$D$25,$H$12:$O$25,FALSE,FALSE,$D$18,$D$13,$K$32,$H$32,A72,"f")))</f>
        <v>87.4</v>
      </c>
      <c r="L72" s="95">
        <f t="shared" si="1"/>
        <v>154.12235349697499</v>
      </c>
      <c r="M72" s="95">
        <f t="shared" si="4"/>
        <v>2459.2959455742598</v>
      </c>
      <c r="N72" s="87">
        <f t="shared" si="3"/>
        <v>2459.2959455742598</v>
      </c>
      <c r="O72" s="42"/>
      <c r="P72"/>
      <c r="Q72"/>
      <c r="R72"/>
      <c r="S72"/>
      <c r="T72"/>
    </row>
    <row r="73" spans="1:20" s="36" customFormat="1">
      <c r="A73" s="87">
        <f t="shared" si="2"/>
        <v>30</v>
      </c>
      <c r="B73" s="83">
        <f>_xll.flu_CocMaSatCMD($D$24,$D$16,$D$17,$D$25,$H$12:$O$26,FALSE,FALSE,$D$18,$D$13,$K$32,$H$32,A73,"Cao độ")</f>
        <v>27</v>
      </c>
      <c r="C73" s="87" t="str">
        <f>IF(B73="","",_xll.TimTenLoaiDat(B73,$F$12:$H$26))</f>
        <v>Lớp 6</v>
      </c>
      <c r="D73" s="82" t="str">
        <f>IF(B73="","",_xll.TimTinhChatDat(B73,$H$12:$I$26))</f>
        <v>Cát chặt vừa - thô</v>
      </c>
      <c r="E73" s="41">
        <f>IFERROR(_xll.TinhGammaqbCMS($D$19,_xll.TimTinhChatDatCotTU(B73,$H$12:$Q$25,9),_xll.TimTinhChatDatCotTU(B73,$H$12:$Q$25,9),_xll.TimTinhChatDatCotTU(B73,$H$12:$Q$25,3),$D$12,_xll.TimTinhChatDatCotTU(B73,$H$12:$Q$25,8),$D$20),"")</f>
        <v>0.93552000000000002</v>
      </c>
      <c r="F73" s="82" t="str">
        <f>IF(B73="","",_xll.Qb_CocMaSatCMD(B73,$H$12:$O$25,$D$23,$D$25,$H$32,$D$13,$D$27,$D$26,"qb"))</f>
        <v>chiều sâu hạ cọc trong lớp đất làm nền &lt; 2 mét - không đủ / chú thích 1 - 7.2.3.2 - 10304-2025</v>
      </c>
      <c r="G73" s="95">
        <f t="shared" si="0"/>
        <v>0</v>
      </c>
      <c r="H73" s="96">
        <f>IF(B73="","",_xll.flu_CocMaSatCMD($D$24,$D$16,$D$17,$D$25,$H$12:$O$25,FALSE,FALSE,$D$18,$D$13,$K$32,$H$32,A73,"GanmaRf"))</f>
        <v>0.6</v>
      </c>
      <c r="I73" s="96">
        <f>IF(B73="","",_xll.flu_CocMaSatCMD($D$24,$D$16,$D$17,$D$25,$H$12:$O$25,FALSE,FALSE,$D$18,$D$13,$K$32,$H$32,A73,"Li"))</f>
        <v>1</v>
      </c>
      <c r="J73" s="41">
        <f>IFERROR(_xll.TinhGammafiCMS($D$19,_xll.TimTinhChatDatCotTU(B73,$H$12:$Q$25,9),_xll.TimTinhChatDatCotTU(B73,$H$12:$Q$25,9),_xll.TimTinhChatDatCotTU(B73,$H$12:$Q$25,3),$D$12,_xll.TimTinhChatDatCotTU(B73,$H$12:$Q$25,8),$D$20),"")</f>
        <v>0.93552000000000002</v>
      </c>
      <c r="K73" s="95">
        <f>IF(B73="","",IF(B73&lt;=$I$30,0,_xll.flu_CocMaSatCMD($D$24,$D$16,$D$17,$D$25,$H$12:$O$25,FALSE,FALSE,$D$18,$D$13,$K$32,$H$32,A73,"f")))</f>
        <v>88.8</v>
      </c>
      <c r="L73" s="95">
        <f t="shared" si="1"/>
        <v>156.59113261477501</v>
      </c>
      <c r="M73" s="95">
        <f t="shared" si="4"/>
        <v>2615.88707818903</v>
      </c>
      <c r="N73" s="87">
        <f t="shared" si="3"/>
        <v>2615.88707818903</v>
      </c>
      <c r="O73" s="42"/>
      <c r="P73"/>
      <c r="Q73"/>
      <c r="R73"/>
      <c r="S73"/>
      <c r="T73"/>
    </row>
    <row r="74" spans="1:20" s="36" customFormat="1">
      <c r="A74" s="87">
        <f t="shared" si="2"/>
        <v>31</v>
      </c>
      <c r="B74" s="83">
        <f>_xll.flu_CocMaSatCMD($D$24,$D$16,$D$17,$D$25,$H$12:$O$26,FALSE,FALSE,$D$18,$D$13,$K$32,$H$32,A74,"Cao độ")</f>
        <v>28</v>
      </c>
      <c r="C74" s="87" t="str">
        <f>IF(B74="","",_xll.TimTenLoaiDat(B74,$F$12:$H$26))</f>
        <v>Lớp 6</v>
      </c>
      <c r="D74" s="82" t="str">
        <f>IF(B74="","",_xll.TimTinhChatDat(B74,$H$12:$I$26))</f>
        <v>Cát chặt vừa - thô</v>
      </c>
      <c r="E74" s="41">
        <f>IFERROR(_xll.TinhGammaqbCMS($D$19,_xll.TimTinhChatDatCotTU(B74,$H$12:$Q$25,9),_xll.TimTinhChatDatCotTU(B74,$H$12:$Q$25,9),_xll.TimTinhChatDatCotTU(B74,$H$12:$Q$25,3),$D$12,_xll.TimTinhChatDatCotTU(B74,$H$12:$Q$25,8),$D$20),"")</f>
        <v>0.93552000000000002</v>
      </c>
      <c r="F74" s="82" t="str">
        <f>IF(B74="","",_xll.Qb_CocMaSatCMD(B74,$H$12:$O$25,$D$23,$D$25,$H$32,$D$13,$D$27,$D$26,"qb"))</f>
        <v>chiều sâu hạ cọc trong lớp đất làm nền &lt; 2 mét - không đủ / chú thích 1 - 7.2.3.2 - 10304-2025</v>
      </c>
      <c r="G74" s="95">
        <f t="shared" si="0"/>
        <v>0</v>
      </c>
      <c r="H74" s="96">
        <f>IF(B74="","",_xll.flu_CocMaSatCMD($D$24,$D$16,$D$17,$D$25,$H$12:$O$25,FALSE,FALSE,$D$18,$D$13,$K$32,$H$32,A74,"GanmaRf"))</f>
        <v>0.6</v>
      </c>
      <c r="I74" s="96">
        <f>IF(B74="","",_xll.flu_CocMaSatCMD($D$24,$D$16,$D$17,$D$25,$H$12:$O$25,FALSE,FALSE,$D$18,$D$13,$K$32,$H$32,A74,"Li"))</f>
        <v>1</v>
      </c>
      <c r="J74" s="41">
        <f>IFERROR(_xll.TinhGammafiCMS($D$19,_xll.TimTinhChatDatCotTU(B74,$H$12:$Q$25,9),_xll.TimTinhChatDatCotTU(B74,$H$12:$Q$25,9),_xll.TimTinhChatDatCotTU(B74,$H$12:$Q$25,3),$D$12,_xll.TimTinhChatDatCotTU(B74,$H$12:$Q$25,8),$D$20),"")</f>
        <v>0.93552000000000002</v>
      </c>
      <c r="K74" s="95">
        <f>IF(B74="","",IF(B74&lt;=$I$30,0,_xll.flu_CocMaSatCMD($D$24,$D$16,$D$17,$D$25,$H$12:$O$25,FALSE,FALSE,$D$18,$D$13,$K$32,$H$32,A74,"f")))</f>
        <v>90.2</v>
      </c>
      <c r="L74" s="95">
        <f t="shared" si="1"/>
        <v>159.05991173257601</v>
      </c>
      <c r="M74" s="95">
        <f t="shared" si="4"/>
        <v>2774.9469899216101</v>
      </c>
      <c r="N74" s="87">
        <f t="shared" si="3"/>
        <v>2774.9469899216101</v>
      </c>
      <c r="O74" s="42"/>
      <c r="P74"/>
      <c r="Q74"/>
      <c r="R74"/>
      <c r="S74"/>
      <c r="T74"/>
    </row>
    <row r="75" spans="1:20" s="36" customFormat="1">
      <c r="A75" s="87">
        <f t="shared" si="2"/>
        <v>32</v>
      </c>
      <c r="B75" s="83">
        <f>_xll.flu_CocMaSatCMD($D$24,$D$16,$D$17,$D$25,$H$12:$O$26,FALSE,FALSE,$D$18,$D$13,$K$32,$H$32,A75,"Cao độ")</f>
        <v>29</v>
      </c>
      <c r="C75" s="87" t="str">
        <f>IF(B75="","",_xll.TimTenLoaiDat(B75,$F$12:$H$26))</f>
        <v>Lớp 6</v>
      </c>
      <c r="D75" s="82" t="str">
        <f>IF(B75="","",_xll.TimTinhChatDat(B75,$H$12:$I$26))</f>
        <v>Cát chặt vừa - thô</v>
      </c>
      <c r="E75" s="41">
        <f>IFERROR(_xll.TinhGammaqbCMS($D$19,_xll.TimTinhChatDatCotTU(B75,$H$12:$Q$25,9),_xll.TimTinhChatDatCotTU(B75,$H$12:$Q$25,9),_xll.TimTinhChatDatCotTU(B75,$H$12:$Q$25,3),$D$12,_xll.TimTinhChatDatCotTU(B75,$H$12:$Q$25,8),$D$20),"")</f>
        <v>0.93552000000000002</v>
      </c>
      <c r="F75" s="82">
        <f>IF(B75="","",_xll.Qb_CocMaSatCMD(B75,$H$12:$O$25,$D$23,$D$25,$H$32,$D$13,$D$27,$D$26,"qb"))</f>
        <v>0</v>
      </c>
      <c r="G75" s="95">
        <f t="shared" ref="G75:G106" si="5">IF(B75="","",IFERROR($D$25*$D$26*F75*$D$23*E75,0))</f>
        <v>0</v>
      </c>
      <c r="H75" s="96">
        <f>IF(B75="","",_xll.flu_CocMaSatCMD($D$24,$D$16,$D$17,$D$25,$H$12:$O$25,FALSE,FALSE,$D$18,$D$13,$K$32,$H$32,A75,"GanmaRf"))</f>
        <v>0.6</v>
      </c>
      <c r="I75" s="96">
        <f>IF(B75="","",_xll.flu_CocMaSatCMD($D$24,$D$16,$D$17,$D$25,$H$12:$O$25,FALSE,FALSE,$D$18,$D$13,$K$32,$H$32,A75,"Li"))</f>
        <v>1</v>
      </c>
      <c r="J75" s="41">
        <f>IFERROR(_xll.TinhGammafiCMS($D$19,_xll.TimTinhChatDatCotTU(B75,$H$12:$Q$25,9),_xll.TimTinhChatDatCotTU(B75,$H$12:$Q$25,9),_xll.TimTinhChatDatCotTU(B75,$H$12:$Q$25,3),$D$12,_xll.TimTinhChatDatCotTU(B75,$H$12:$Q$25,8),$D$20),"")</f>
        <v>0.93552000000000002</v>
      </c>
      <c r="K75" s="95">
        <f>IF(B75="","",IF(B75&lt;=$I$30,0,_xll.flu_CocMaSatCMD($D$24,$D$16,$D$17,$D$25,$H$12:$O$25,FALSE,FALSE,$D$18,$D$13,$K$32,$H$32,A75,"f")))</f>
        <v>91.6</v>
      </c>
      <c r="L75" s="95">
        <f t="shared" ref="L75:L106" si="6">IF(B75="","",J75*$D$25*H75*K75*I75*$D$24)</f>
        <v>161.52869085037599</v>
      </c>
      <c r="M75" s="95">
        <f t="shared" si="4"/>
        <v>2936.47568077199</v>
      </c>
      <c r="N75" s="87">
        <f t="shared" si="3"/>
        <v>2936.47568077199</v>
      </c>
      <c r="O75" s="42"/>
      <c r="P75"/>
      <c r="Q75"/>
      <c r="R75"/>
      <c r="S75"/>
      <c r="T75"/>
    </row>
    <row r="76" spans="1:20" s="36" customFormat="1">
      <c r="A76" s="87">
        <f t="shared" si="2"/>
        <v>33</v>
      </c>
      <c r="B76" s="83">
        <f>_xll.flu_CocMaSatCMD($D$24,$D$16,$D$17,$D$25,$H$12:$O$26,FALSE,FALSE,$D$18,$D$13,$K$32,$H$32,A76,"Cao độ")</f>
        <v>30</v>
      </c>
      <c r="C76" s="87" t="str">
        <f>IF(B76="","",_xll.TimTenLoaiDat(B76,$F$12:$H$26))</f>
        <v>Lớp 6</v>
      </c>
      <c r="D76" s="82" t="str">
        <f>IF(B76="","",_xll.TimTinhChatDat(B76,$H$12:$I$26))</f>
        <v>Cát chặt vừa - thô</v>
      </c>
      <c r="E76" s="41">
        <f>IFERROR(_xll.TinhGammaqbCMS($D$19,_xll.TimTinhChatDatCotTU(B76,$H$12:$Q$25,9),_xll.TimTinhChatDatCotTU(B76,$H$12:$Q$25,9),_xll.TimTinhChatDatCotTU(B76,$H$12:$Q$25,3),$D$12,_xll.TimTinhChatDatCotTU(B76,$H$12:$Q$25,8),$D$20),"")</f>
        <v>0.93552000000000002</v>
      </c>
      <c r="F76" s="82">
        <f>IF(B76="","",_xll.Qb_CocMaSatCMD(B76,$H$12:$O$25,$D$23,$D$25,$H$32,$D$13,$D$27,$D$26,"qb"))</f>
        <v>0</v>
      </c>
      <c r="G76" s="95">
        <f t="shared" si="5"/>
        <v>0</v>
      </c>
      <c r="H76" s="96">
        <f>IF(B76="","",_xll.flu_CocMaSatCMD($D$24,$D$16,$D$17,$D$25,$H$12:$O$25,FALSE,FALSE,$D$18,$D$13,$K$32,$H$32,A76,"GanmaRf"))</f>
        <v>0.6</v>
      </c>
      <c r="I76" s="96">
        <f>IF(B76="","",_xll.flu_CocMaSatCMD($D$24,$D$16,$D$17,$D$25,$H$12:$O$25,FALSE,FALSE,$D$18,$D$13,$K$32,$H$32,A76,"Li"))</f>
        <v>1</v>
      </c>
      <c r="J76" s="41">
        <f>IFERROR(_xll.TinhGammafiCMS($D$19,_xll.TimTinhChatDatCotTU(B76,$H$12:$Q$25,9),_xll.TimTinhChatDatCotTU(B76,$H$12:$Q$25,9),_xll.TimTinhChatDatCotTU(B76,$H$12:$Q$25,3),$D$12,_xll.TimTinhChatDatCotTU(B76,$H$12:$Q$25,8),$D$20),"")</f>
        <v>0.93552000000000002</v>
      </c>
      <c r="K76" s="95">
        <f>IF(B76="","",IF(B76&lt;=$I$30,0,_xll.flu_CocMaSatCMD($D$24,$D$16,$D$17,$D$25,$H$12:$O$25,FALSE,FALSE,$D$18,$D$13,$K$32,$H$32,A76,"f")))</f>
        <v>93</v>
      </c>
      <c r="L76" s="95">
        <f t="shared" si="6"/>
        <v>163.997469968177</v>
      </c>
      <c r="M76" s="95">
        <f t="shared" si="4"/>
        <v>3100.4731507401598</v>
      </c>
      <c r="N76" s="87">
        <f t="shared" si="3"/>
        <v>3100.4731507401598</v>
      </c>
      <c r="O76" s="42"/>
      <c r="P76"/>
      <c r="Q76"/>
      <c r="R76"/>
      <c r="S76"/>
      <c r="T76"/>
    </row>
    <row r="77" spans="1:20" s="36" customFormat="1">
      <c r="A77" s="87">
        <f t="shared" si="2"/>
        <v>34</v>
      </c>
      <c r="B77" s="83">
        <f>_xll.flu_CocMaSatCMD($D$24,$D$16,$D$17,$D$25,$H$12:$O$26,FALSE,FALSE,$D$18,$D$13,$K$32,$H$32,A77,"Cao độ")</f>
        <v>31</v>
      </c>
      <c r="C77" s="87" t="str">
        <f>IF(B77="","",_xll.TimTenLoaiDat(B77,$F$12:$H$26))</f>
        <v>Lớp 6</v>
      </c>
      <c r="D77" s="82" t="str">
        <f>IF(B77="","",_xll.TimTinhChatDat(B77,$H$12:$I$26))</f>
        <v>Cát chặt vừa - thô</v>
      </c>
      <c r="E77" s="41">
        <f>IFERROR(_xll.TinhGammaqbCMS($D$19,_xll.TimTinhChatDatCotTU(B77,$H$12:$Q$25,9),_xll.TimTinhChatDatCotTU(B77,$H$12:$Q$25,9),_xll.TimTinhChatDatCotTU(B77,$H$12:$Q$25,3),$D$12,_xll.TimTinhChatDatCotTU(B77,$H$12:$Q$25,8),$D$20),"")</f>
        <v>0.93552000000000002</v>
      </c>
      <c r="F77" s="82">
        <f>IF(B77="","",_xll.Qb_CocMaSatCMD(B77,$H$12:$O$25,$D$23,$D$25,$H$32,$D$13,$D$27,$D$26,"qb"))</f>
        <v>0</v>
      </c>
      <c r="G77" s="95">
        <f t="shared" si="5"/>
        <v>0</v>
      </c>
      <c r="H77" s="96">
        <f>IF(B77="","",_xll.flu_CocMaSatCMD($D$24,$D$16,$D$17,$D$25,$H$12:$O$25,FALSE,FALSE,$D$18,$D$13,$K$32,$H$32,A77,"GanmaRf"))</f>
        <v>0.6</v>
      </c>
      <c r="I77" s="96">
        <f>IF(B77="","",_xll.flu_CocMaSatCMD($D$24,$D$16,$D$17,$D$25,$H$12:$O$25,FALSE,FALSE,$D$18,$D$13,$K$32,$H$32,A77,"Li"))</f>
        <v>1</v>
      </c>
      <c r="J77" s="41">
        <f>IFERROR(_xll.TinhGammafiCMS($D$19,_xll.TimTinhChatDatCotTU(B77,$H$12:$Q$25,9),_xll.TimTinhChatDatCotTU(B77,$H$12:$Q$25,9),_xll.TimTinhChatDatCotTU(B77,$H$12:$Q$25,3),$D$12,_xll.TimTinhChatDatCotTU(B77,$H$12:$Q$25,8),$D$20),"")</f>
        <v>0.93552000000000002</v>
      </c>
      <c r="K77" s="95">
        <f>IF(B77="","",IF(B77&lt;=$I$30,0,_xll.flu_CocMaSatCMD($D$24,$D$16,$D$17,$D$25,$H$12:$O$25,FALSE,FALSE,$D$18,$D$13,$K$32,$H$32,A77,"f")))</f>
        <v>94.4</v>
      </c>
      <c r="L77" s="95">
        <f t="shared" si="6"/>
        <v>166.46624908597701</v>
      </c>
      <c r="M77" s="95">
        <f t="shared" si="4"/>
        <v>3266.9393998261398</v>
      </c>
      <c r="N77" s="87">
        <f t="shared" si="3"/>
        <v>3266.9393998261398</v>
      </c>
      <c r="O77" s="42"/>
      <c r="P77"/>
      <c r="Q77"/>
      <c r="R77"/>
      <c r="S77"/>
      <c r="T77"/>
    </row>
    <row r="78" spans="1:20" s="36" customFormat="1">
      <c r="A78" s="87">
        <f t="shared" si="2"/>
        <v>35</v>
      </c>
      <c r="B78" s="83">
        <f>_xll.flu_CocMaSatCMD($D$24,$D$16,$D$17,$D$25,$H$12:$O$26,FALSE,FALSE,$D$18,$D$13,$K$32,$H$32,A78,"Cao độ")</f>
        <v>32</v>
      </c>
      <c r="C78" s="87" t="str">
        <f>IF(B78="","",_xll.TimTenLoaiDat(B78,$F$12:$H$26))</f>
        <v>Lớp 6</v>
      </c>
      <c r="D78" s="82" t="str">
        <f>IF(B78="","",_xll.TimTinhChatDat(B78,$H$12:$I$26))</f>
        <v>Cát chặt vừa - thô</v>
      </c>
      <c r="E78" s="41">
        <f>IFERROR(_xll.TinhGammaqbCMS($D$19,_xll.TimTinhChatDatCotTU(B78,$H$12:$Q$25,9),_xll.TimTinhChatDatCotTU(B78,$H$12:$Q$25,9),_xll.TimTinhChatDatCotTU(B78,$H$12:$Q$25,3),$D$12,_xll.TimTinhChatDatCotTU(B78,$H$12:$Q$25,8),$D$20),"")</f>
        <v>0.93552000000000002</v>
      </c>
      <c r="F78" s="82">
        <f>IF(B78="","",_xll.Qb_CocMaSatCMD(B78,$H$12:$O$25,$D$23,$D$25,$H$32,$D$13,$D$27,$D$26,"qb"))</f>
        <v>0</v>
      </c>
      <c r="G78" s="95">
        <f t="shared" si="5"/>
        <v>0</v>
      </c>
      <c r="H78" s="96">
        <f>IF(B78="","",_xll.flu_CocMaSatCMD($D$24,$D$16,$D$17,$D$25,$H$12:$O$25,FALSE,FALSE,$D$18,$D$13,$K$32,$H$32,A78,"GanmaRf"))</f>
        <v>0.6</v>
      </c>
      <c r="I78" s="96">
        <f>IF(B78="","",_xll.flu_CocMaSatCMD($D$24,$D$16,$D$17,$D$25,$H$12:$O$25,FALSE,FALSE,$D$18,$D$13,$K$32,$H$32,A78,"Li"))</f>
        <v>1</v>
      </c>
      <c r="J78" s="41">
        <f>IFERROR(_xll.TinhGammafiCMS($D$19,_xll.TimTinhChatDatCotTU(B78,$H$12:$Q$25,9),_xll.TimTinhChatDatCotTU(B78,$H$12:$Q$25,9),_xll.TimTinhChatDatCotTU(B78,$H$12:$Q$25,3),$D$12,_xll.TimTinhChatDatCotTU(B78,$H$12:$Q$25,8),$D$20),"")</f>
        <v>0.93552000000000002</v>
      </c>
      <c r="K78" s="95">
        <f>IF(B78="","",IF(B78&lt;=$I$30,0,_xll.flu_CocMaSatCMD($D$24,$D$16,$D$17,$D$25,$H$12:$O$25,FALSE,FALSE,$D$18,$D$13,$K$32,$H$32,A78,"f")))</f>
        <v>95.8</v>
      </c>
      <c r="L78" s="95">
        <f t="shared" si="6"/>
        <v>168.93502820377799</v>
      </c>
      <c r="M78" s="95">
        <f t="shared" si="4"/>
        <v>3435.8744280299202</v>
      </c>
      <c r="N78" s="87">
        <f t="shared" si="3"/>
        <v>3435.8744280299202</v>
      </c>
      <c r="O78" s="42"/>
      <c r="P78"/>
      <c r="Q78"/>
      <c r="R78"/>
      <c r="S78"/>
      <c r="T78"/>
    </row>
    <row r="79" spans="1:20" s="36" customFormat="1">
      <c r="A79" s="87">
        <f t="shared" si="2"/>
        <v>36</v>
      </c>
      <c r="B79" s="83">
        <f>_xll.flu_CocMaSatCMD($D$24,$D$16,$D$17,$D$25,$H$12:$O$26,FALSE,FALSE,$D$18,$D$13,$K$32,$H$32,A79,"Cao độ")</f>
        <v>33</v>
      </c>
      <c r="C79" s="87" t="str">
        <f>IF(B79="","",_xll.TimTenLoaiDat(B79,$F$12:$H$26))</f>
        <v>Lớp 6</v>
      </c>
      <c r="D79" s="82" t="str">
        <f>IF(B79="","",_xll.TimTinhChatDat(B79,$H$12:$I$26))</f>
        <v>Cát chặt vừa - thô</v>
      </c>
      <c r="E79" s="41">
        <f>IFERROR(_xll.TinhGammaqbCMS($D$19,_xll.TimTinhChatDatCotTU(B79,$H$12:$Q$25,9),_xll.TimTinhChatDatCotTU(B79,$H$12:$Q$25,9),_xll.TimTinhChatDatCotTU(B79,$H$12:$Q$25,3),$D$12,_xll.TimTinhChatDatCotTU(B79,$H$12:$Q$25,8),$D$20),"")</f>
        <v>0.93552000000000002</v>
      </c>
      <c r="F79" s="82">
        <f>IF(B79="","",_xll.Qb_CocMaSatCMD(B79,$H$12:$O$25,$D$23,$D$25,$H$32,$D$13,$D$27,$D$26,"qb"))</f>
        <v>0</v>
      </c>
      <c r="G79" s="95">
        <f t="shared" si="5"/>
        <v>0</v>
      </c>
      <c r="H79" s="96">
        <f>IF(B79="","",_xll.flu_CocMaSatCMD($D$24,$D$16,$D$17,$D$25,$H$12:$O$25,FALSE,FALSE,$D$18,$D$13,$K$32,$H$32,A79,"GanmaRf"))</f>
        <v>0.6</v>
      </c>
      <c r="I79" s="96">
        <f>IF(B79="","",_xll.flu_CocMaSatCMD($D$24,$D$16,$D$17,$D$25,$H$12:$O$25,FALSE,FALSE,$D$18,$D$13,$K$32,$H$32,A79,"Li"))</f>
        <v>1</v>
      </c>
      <c r="J79" s="41">
        <f>IFERROR(_xll.TinhGammafiCMS($D$19,_xll.TimTinhChatDatCotTU(B79,$H$12:$Q$25,9),_xll.TimTinhChatDatCotTU(B79,$H$12:$Q$25,9),_xll.TimTinhChatDatCotTU(B79,$H$12:$Q$25,3),$D$12,_xll.TimTinhChatDatCotTU(B79,$H$12:$Q$25,8),$D$20),"")</f>
        <v>0.93552000000000002</v>
      </c>
      <c r="K79" s="95">
        <f>IF(B79="","",IF(B79&lt;=$I$30,0,_xll.flu_CocMaSatCMD($D$24,$D$16,$D$17,$D$25,$H$12:$O$25,FALSE,FALSE,$D$18,$D$13,$K$32,$H$32,A79,"f")))</f>
        <v>97.2</v>
      </c>
      <c r="L79" s="95">
        <f t="shared" si="6"/>
        <v>171.403807321578</v>
      </c>
      <c r="M79" s="95">
        <f t="shared" si="4"/>
        <v>3607.2782353514999</v>
      </c>
      <c r="N79" s="87">
        <f t="shared" si="3"/>
        <v>3607.2782353514999</v>
      </c>
      <c r="O79" s="42"/>
      <c r="P79"/>
      <c r="Q79"/>
      <c r="R79"/>
      <c r="S79"/>
      <c r="T79"/>
    </row>
    <row r="80" spans="1:20" s="36" customFormat="1">
      <c r="A80" s="87">
        <f t="shared" si="2"/>
        <v>37</v>
      </c>
      <c r="B80" s="83">
        <f>_xll.flu_CocMaSatCMD($D$24,$D$16,$D$17,$D$25,$H$12:$O$26,FALSE,FALSE,$D$18,$D$13,$K$32,$H$32,A80,"Cao độ")</f>
        <v>34</v>
      </c>
      <c r="C80" s="87" t="str">
        <f>IF(B80="","",_xll.TimTenLoaiDat(B80,$F$12:$H$26))</f>
        <v>Lớp 6</v>
      </c>
      <c r="D80" s="82" t="str">
        <f>IF(B80="","",_xll.TimTinhChatDat(B80,$H$12:$I$26))</f>
        <v>Cát chặt vừa - thô</v>
      </c>
      <c r="E80" s="41">
        <f>IFERROR(_xll.TinhGammaqbCMS($D$19,_xll.TimTinhChatDatCotTU(B80,$H$12:$Q$25,9),_xll.TimTinhChatDatCotTU(B80,$H$12:$Q$25,9),_xll.TimTinhChatDatCotTU(B80,$H$12:$Q$25,3),$D$12,_xll.TimTinhChatDatCotTU(B80,$H$12:$Q$25,8),$D$20),"")</f>
        <v>0.93552000000000002</v>
      </c>
      <c r="F80" s="82">
        <f>IF(B80="","",_xll.Qb_CocMaSatCMD(B80,$H$12:$O$25,$D$23,$D$25,$H$32,$D$13,$D$27,$D$26,"qb"))</f>
        <v>0</v>
      </c>
      <c r="G80" s="95">
        <f t="shared" si="5"/>
        <v>0</v>
      </c>
      <c r="H80" s="96">
        <f>IF(B80="","",_xll.flu_CocMaSatCMD($D$24,$D$16,$D$17,$D$25,$H$12:$O$25,FALSE,FALSE,$D$18,$D$13,$K$32,$H$32,A80,"GanmaRf"))</f>
        <v>0.6</v>
      </c>
      <c r="I80" s="96">
        <f>IF(B80="","",_xll.flu_CocMaSatCMD($D$24,$D$16,$D$17,$D$25,$H$12:$O$25,FALSE,FALSE,$D$18,$D$13,$K$32,$H$32,A80,"Li"))</f>
        <v>1</v>
      </c>
      <c r="J80" s="41">
        <f>IFERROR(_xll.TinhGammafiCMS($D$19,_xll.TimTinhChatDatCotTU(B80,$H$12:$Q$25,9),_xll.TimTinhChatDatCotTU(B80,$H$12:$Q$25,9),_xll.TimTinhChatDatCotTU(B80,$H$12:$Q$25,3),$D$12,_xll.TimTinhChatDatCotTU(B80,$H$12:$Q$25,8),$D$20),"")</f>
        <v>0.93552000000000002</v>
      </c>
      <c r="K80" s="95">
        <f>IF(B80="","",IF(B80&lt;=$I$30,0,_xll.flu_CocMaSatCMD($D$24,$D$16,$D$17,$D$25,$H$12:$O$25,FALSE,FALSE,$D$18,$D$13,$K$32,$H$32,A80,"f")))</f>
        <v>98.6</v>
      </c>
      <c r="L80" s="95">
        <f t="shared" si="6"/>
        <v>173.87258643937901</v>
      </c>
      <c r="M80" s="95">
        <f t="shared" si="4"/>
        <v>3781.1508217908699</v>
      </c>
      <c r="N80" s="87">
        <f t="shared" si="3"/>
        <v>3781.1508217908699</v>
      </c>
      <c r="O80" s="42"/>
      <c r="P80"/>
      <c r="Q80"/>
      <c r="R80"/>
      <c r="S80"/>
      <c r="T80"/>
    </row>
    <row r="81" spans="1:20" s="36" customFormat="1">
      <c r="A81" s="87">
        <f t="shared" si="2"/>
        <v>38</v>
      </c>
      <c r="B81" s="83">
        <f>_xll.flu_CocMaSatCMD($D$24,$D$16,$D$17,$D$25,$H$12:$O$26,FALSE,FALSE,$D$18,$D$13,$K$32,$H$32,A81,"Cao độ")</f>
        <v>35</v>
      </c>
      <c r="C81" s="87" t="str">
        <f>IF(B81="","",_xll.TimTenLoaiDat(B81,$F$12:$H$26))</f>
        <v>Lớp 6</v>
      </c>
      <c r="D81" s="82" t="str">
        <f>IF(B81="","",_xll.TimTinhChatDat(B81,$H$12:$I$26))</f>
        <v>Cát chặt vừa - thô</v>
      </c>
      <c r="E81" s="41">
        <f>IFERROR(_xll.TinhGammaqbCMS($D$19,_xll.TimTinhChatDatCotTU(B81,$H$12:$Q$25,9),_xll.TimTinhChatDatCotTU(B81,$H$12:$Q$25,9),_xll.TimTinhChatDatCotTU(B81,$H$12:$Q$25,3),$D$12,_xll.TimTinhChatDatCotTU(B81,$H$12:$Q$25,8),$D$20),"")</f>
        <v>0.93552000000000002</v>
      </c>
      <c r="F81" s="82">
        <f>IF(B81="","",_xll.Qb_CocMaSatCMD(B81,$H$12:$O$25,$D$23,$D$25,$H$32,$D$13,$D$27,$D$26,"qb"))</f>
        <v>0</v>
      </c>
      <c r="G81" s="95">
        <f t="shared" si="5"/>
        <v>0</v>
      </c>
      <c r="H81" s="96">
        <f>IF(B81="","",_xll.flu_CocMaSatCMD($D$24,$D$16,$D$17,$D$25,$H$12:$O$25,FALSE,FALSE,$D$18,$D$13,$K$32,$H$32,A81,"GanmaRf"))</f>
        <v>0.6</v>
      </c>
      <c r="I81" s="96">
        <f>IF(B81="","",_xll.flu_CocMaSatCMD($D$24,$D$16,$D$17,$D$25,$H$12:$O$25,FALSE,FALSE,$D$18,$D$13,$K$32,$H$32,A81,"Li"))</f>
        <v>1</v>
      </c>
      <c r="J81" s="41">
        <f>IFERROR(_xll.TinhGammafiCMS($D$19,_xll.TimTinhChatDatCotTU(B81,$H$12:$Q$25,9),_xll.TimTinhChatDatCotTU(B81,$H$12:$Q$25,9),_xll.TimTinhChatDatCotTU(B81,$H$12:$Q$25,3),$D$12,_xll.TimTinhChatDatCotTU(B81,$H$12:$Q$25,8),$D$20),"")</f>
        <v>0.93552000000000002</v>
      </c>
      <c r="K81" s="95">
        <f>IF(B81="","",IF(B81&lt;=$I$30,0,_xll.flu_CocMaSatCMD($D$24,$D$16,$D$17,$D$25,$H$12:$O$25,FALSE,FALSE,$D$18,$D$13,$K$32,$H$32,A81,"f")))</f>
        <v>100</v>
      </c>
      <c r="L81" s="95">
        <f t="shared" si="6"/>
        <v>176.34136555717899</v>
      </c>
      <c r="M81" s="95">
        <f t="shared" si="4"/>
        <v>3957.4921873480498</v>
      </c>
      <c r="N81" s="87">
        <f t="shared" si="3"/>
        <v>3957.4921873480498</v>
      </c>
      <c r="O81" s="42"/>
      <c r="P81"/>
      <c r="Q81"/>
      <c r="R81"/>
      <c r="S81"/>
      <c r="T81"/>
    </row>
    <row r="82" spans="1:20" s="36" customFormat="1">
      <c r="A82" s="87">
        <f t="shared" si="2"/>
        <v>39</v>
      </c>
      <c r="B82" s="83">
        <f>_xll.flu_CocMaSatCMD($D$24,$D$16,$D$17,$D$25,$H$12:$O$26,FALSE,FALSE,$D$18,$D$13,$K$32,$H$32,A82,"Cao độ")</f>
        <v>36</v>
      </c>
      <c r="C82" s="87" t="str">
        <f>IF(B82="","",_xll.TimTenLoaiDat(B82,$F$12:$H$26))</f>
        <v>Lớp 6</v>
      </c>
      <c r="D82" s="82" t="str">
        <f>IF(B82="","",_xll.TimTinhChatDat(B82,$H$12:$I$26))</f>
        <v>Cát chặt vừa - thô</v>
      </c>
      <c r="E82" s="41">
        <f>IFERROR(_xll.TinhGammaqbCMS($D$19,_xll.TimTinhChatDatCotTU(B82,$H$12:$Q$25,9),_xll.TimTinhChatDatCotTU(B82,$H$12:$Q$25,9),_xll.TimTinhChatDatCotTU(B82,$H$12:$Q$25,3),$D$12,_xll.TimTinhChatDatCotTU(B82,$H$12:$Q$25,8),$D$20),"")</f>
        <v>0.93552000000000002</v>
      </c>
      <c r="F82" s="82">
        <f>IF(B82="","",_xll.Qb_CocMaSatCMD(B82,$H$12:$O$25,$D$23,$D$25,$H$32,$D$13,$D$27,$D$26,"qb"))</f>
        <v>0</v>
      </c>
      <c r="G82" s="95">
        <f t="shared" si="5"/>
        <v>0</v>
      </c>
      <c r="H82" s="96">
        <f>IF(B82="","",_xll.flu_CocMaSatCMD($D$24,$D$16,$D$17,$D$25,$H$12:$O$25,FALSE,FALSE,$D$18,$D$13,$K$32,$H$32,A82,"GanmaRf"))</f>
        <v>0.6</v>
      </c>
      <c r="I82" s="96">
        <f>IF(B82="","",_xll.flu_CocMaSatCMD($D$24,$D$16,$D$17,$D$25,$H$12:$O$25,FALSE,FALSE,$D$18,$D$13,$K$32,$H$32,A82,"Li"))</f>
        <v>1</v>
      </c>
      <c r="J82" s="41">
        <f>IFERROR(_xll.TinhGammafiCMS($D$19,_xll.TimTinhChatDatCotTU(B82,$H$12:$Q$25,9),_xll.TimTinhChatDatCotTU(B82,$H$12:$Q$25,9),_xll.TimTinhChatDatCotTU(B82,$H$12:$Q$25,3),$D$12,_xll.TimTinhChatDatCotTU(B82,$H$12:$Q$25,8),$D$20),"")</f>
        <v>0.93552000000000002</v>
      </c>
      <c r="K82" s="95">
        <f>IF(B82="","",IF(B82&lt;=$I$30,0,_xll.flu_CocMaSatCMD($D$24,$D$16,$D$17,$D$25,$H$12:$O$25,FALSE,FALSE,$D$18,$D$13,$K$32,$H$32,A82,"f")))</f>
        <v>101.4</v>
      </c>
      <c r="L82" s="95">
        <f t="shared" si="6"/>
        <v>178.81014467497999</v>
      </c>
      <c r="M82" s="95">
        <f t="shared" si="4"/>
        <v>4136.3023320230304</v>
      </c>
      <c r="N82" s="87">
        <f t="shared" si="3"/>
        <v>4136.3023320230304</v>
      </c>
      <c r="O82" s="42"/>
      <c r="P82"/>
      <c r="Q82"/>
      <c r="R82"/>
      <c r="S82"/>
      <c r="T82"/>
    </row>
    <row r="83" spans="1:20" s="36" customFormat="1">
      <c r="A83" s="87">
        <f t="shared" si="2"/>
        <v>40</v>
      </c>
      <c r="B83" s="83">
        <f>_xll.flu_CocMaSatCMD($D$24,$D$16,$D$17,$D$25,$H$12:$O$26,FALSE,FALSE,$D$18,$D$13,$K$32,$H$32,A83,"Cao độ")</f>
        <v>37</v>
      </c>
      <c r="C83" s="87" t="str">
        <f>IF(B83="","",_xll.TimTenLoaiDat(B83,$F$12:$H$26))</f>
        <v>Lớp 6</v>
      </c>
      <c r="D83" s="82" t="str">
        <f>IF(B83="","",_xll.TimTinhChatDat(B83,$H$12:$I$26))</f>
        <v>Cát chặt vừa - thô</v>
      </c>
      <c r="E83" s="41">
        <f>IFERROR(_xll.TinhGammaqbCMS($D$19,_xll.TimTinhChatDatCotTU(B83,$H$12:$Q$25,9),_xll.TimTinhChatDatCotTU(B83,$H$12:$Q$25,9),_xll.TimTinhChatDatCotTU(B83,$H$12:$Q$25,3),$D$12,_xll.TimTinhChatDatCotTU(B83,$H$12:$Q$25,8),$D$20),"")</f>
        <v>0.93552000000000002</v>
      </c>
      <c r="F83" s="82">
        <f>IF(B83="","",_xll.Qb_CocMaSatCMD(B83,$H$12:$O$25,$D$23,$D$25,$H$32,$D$13,$D$27,$D$26,"qb"))</f>
        <v>0</v>
      </c>
      <c r="G83" s="95">
        <f t="shared" si="5"/>
        <v>0</v>
      </c>
      <c r="H83" s="96">
        <f>IF(B83="","",_xll.flu_CocMaSatCMD($D$24,$D$16,$D$17,$D$25,$H$12:$O$25,FALSE,FALSE,$D$18,$D$13,$K$32,$H$32,A83,"GanmaRf"))</f>
        <v>0.6</v>
      </c>
      <c r="I83" s="96">
        <f>IF(B83="","",_xll.flu_CocMaSatCMD($D$24,$D$16,$D$17,$D$25,$H$12:$O$25,FALSE,FALSE,$D$18,$D$13,$K$32,$H$32,A83,"Li"))</f>
        <v>1</v>
      </c>
      <c r="J83" s="41">
        <f>IFERROR(_xll.TinhGammafiCMS($D$19,_xll.TimTinhChatDatCotTU(B83,$H$12:$Q$25,9),_xll.TimTinhChatDatCotTU(B83,$H$12:$Q$25,9),_xll.TimTinhChatDatCotTU(B83,$H$12:$Q$25,3),$D$12,_xll.TimTinhChatDatCotTU(B83,$H$12:$Q$25,8),$D$20),"")</f>
        <v>0.93552000000000002</v>
      </c>
      <c r="K83" s="95">
        <f>IF(B83="","",IF(B83&lt;=$I$30,0,_xll.flu_CocMaSatCMD($D$24,$D$16,$D$17,$D$25,$H$12:$O$25,FALSE,FALSE,$D$18,$D$13,$K$32,$H$32,A83,"f")))</f>
        <v>102.8</v>
      </c>
      <c r="L83" s="95">
        <f t="shared" si="6"/>
        <v>181.27892379278001</v>
      </c>
      <c r="M83" s="95">
        <f t="shared" si="4"/>
        <v>4317.5812558158104</v>
      </c>
      <c r="N83" s="87">
        <f t="shared" si="3"/>
        <v>4317.5812558158104</v>
      </c>
      <c r="O83" s="42"/>
      <c r="P83"/>
      <c r="Q83"/>
      <c r="R83"/>
      <c r="S83"/>
      <c r="T83"/>
    </row>
    <row r="84" spans="1:20" s="36" customFormat="1">
      <c r="A84" s="87">
        <f t="shared" si="2"/>
        <v>41</v>
      </c>
      <c r="B84" s="83">
        <f>_xll.flu_CocMaSatCMD($D$24,$D$16,$D$17,$D$25,$H$12:$O$26,FALSE,FALSE,$D$18,$D$13,$K$32,$H$32,A84,"Cao độ")</f>
        <v>38</v>
      </c>
      <c r="C84" s="87" t="str">
        <f>IF(B84="","",_xll.TimTenLoaiDat(B84,$F$12:$H$26))</f>
        <v>Lớp 6</v>
      </c>
      <c r="D84" s="82" t="str">
        <f>IF(B84="","",_xll.TimTinhChatDat(B84,$H$12:$I$26))</f>
        <v>Cát chặt vừa - thô</v>
      </c>
      <c r="E84" s="41">
        <f>IFERROR(_xll.TinhGammaqbCMS($D$19,_xll.TimTinhChatDatCotTU(B84,$H$12:$Q$25,9),_xll.TimTinhChatDatCotTU(B84,$H$12:$Q$25,9),_xll.TimTinhChatDatCotTU(B84,$H$12:$Q$25,3),$D$12,_xll.TimTinhChatDatCotTU(B84,$H$12:$Q$25,8),$D$20),"")</f>
        <v>0.93552000000000002</v>
      </c>
      <c r="F84" s="82">
        <f>IF(B84="","",_xll.Qb_CocMaSatCMD(B84,$H$12:$O$25,$D$23,$D$25,$H$32,$D$13,$D$27,$D$26,"qb"))</f>
        <v>0</v>
      </c>
      <c r="G84" s="95">
        <f t="shared" si="5"/>
        <v>0</v>
      </c>
      <c r="H84" s="96">
        <f>IF(B84="","",_xll.flu_CocMaSatCMD($D$24,$D$16,$D$17,$D$25,$H$12:$O$25,FALSE,FALSE,$D$18,$D$13,$K$32,$H$32,A84,"GanmaRf"))</f>
        <v>0.6</v>
      </c>
      <c r="I84" s="96">
        <f>IF(B84="","",_xll.flu_CocMaSatCMD($D$24,$D$16,$D$17,$D$25,$H$12:$O$25,FALSE,FALSE,$D$18,$D$13,$K$32,$H$32,A84,"Li"))</f>
        <v>0.20000000000000301</v>
      </c>
      <c r="J84" s="41">
        <f>IFERROR(_xll.TinhGammafiCMS($D$19,_xll.TimTinhChatDatCotTU(B84,$H$12:$Q$25,9),_xll.TimTinhChatDatCotTU(B84,$H$12:$Q$25,9),_xll.TimTinhChatDatCotTU(B84,$H$12:$Q$25,3),$D$12,_xll.TimTinhChatDatCotTU(B84,$H$12:$Q$25,8),$D$20),"")</f>
        <v>0.93552000000000002</v>
      </c>
      <c r="K84" s="95">
        <f>IF(B84="","",IF(B84&lt;=$I$30,0,_xll.flu_CocMaSatCMD($D$24,$D$16,$D$17,$D$25,$H$12:$O$25,FALSE,FALSE,$D$18,$D$13,$K$32,$H$32,A84,"f")))</f>
        <v>104.2</v>
      </c>
      <c r="L84" s="95">
        <f t="shared" si="6"/>
        <v>36.749540582116701</v>
      </c>
      <c r="M84" s="95">
        <f t="shared" si="4"/>
        <v>4354.3307963979296</v>
      </c>
      <c r="N84" s="87">
        <f t="shared" si="3"/>
        <v>4354.3307963979296</v>
      </c>
      <c r="O84" s="42"/>
      <c r="P84"/>
      <c r="Q84"/>
      <c r="R84"/>
      <c r="S84"/>
      <c r="T84"/>
    </row>
    <row r="85" spans="1:20" s="36" customFormat="1">
      <c r="A85" s="87">
        <f t="shared" si="2"/>
        <v>42</v>
      </c>
      <c r="B85" s="83">
        <f>_xll.flu_CocMaSatCMD($D$24,$D$16,$D$17,$D$25,$H$12:$O$26,FALSE,FALSE,$D$18,$D$13,$K$32,$H$32,A85,"Cao độ")</f>
        <v>38.200000000000003</v>
      </c>
      <c r="C85" s="87" t="str">
        <f>IF(B85="","",_xll.TimTenLoaiDat(B85,$F$12:$H$26))</f>
        <v>Lớp 7</v>
      </c>
      <c r="D85" s="82" t="str">
        <f>IF(B85="","",_xll.TimTinhChatDat(B85,$H$12:$I$26))</f>
        <v>Cát chặt vừa - lẫn sỏi sạn</v>
      </c>
      <c r="E85" s="41">
        <f>IFERROR(_xll.TinhGammaqbCMS($D$19,_xll.TimTinhChatDatCotTU(B85,$H$12:$Q$25,9),_xll.TimTinhChatDatCotTU(B85,$H$12:$Q$25,9),_xll.TimTinhChatDatCotTU(B85,$H$12:$Q$25,3),$D$12,_xll.TimTinhChatDatCotTU(B85,$H$12:$Q$25,8),$D$20),"")</f>
        <v>0.98551999999999995</v>
      </c>
      <c r="F85" s="82" t="str">
        <f>IF(B85="","",_xll.Qb_CocMaSatCMD(B85,$H$12:$O$25,$D$23,$D$25,$H$32,$D$13,$D$27,$D$26,"qb"))</f>
        <v>chiều sâu hạ cọc trong lớp đất làm nền &lt; 2 mét - không đủ / chú thích 1 - 7.2.3.2 - 10304-2025</v>
      </c>
      <c r="G85" s="95">
        <f t="shared" si="5"/>
        <v>0</v>
      </c>
      <c r="H85" s="96">
        <f>IF(B85="","",_xll.flu_CocMaSatCMD($D$24,$D$16,$D$17,$D$25,$H$12:$O$25,FALSE,FALSE,$D$18,$D$13,$K$32,$H$32,A85,"GanmaRf"))</f>
        <v>0.6</v>
      </c>
      <c r="I85" s="96">
        <f>IF(B85="","",_xll.flu_CocMaSatCMD($D$24,$D$16,$D$17,$D$25,$H$12:$O$25,FALSE,FALSE,$D$18,$D$13,$K$32,$H$32,A85,"Li"))</f>
        <v>0.79999999999999705</v>
      </c>
      <c r="J85" s="41">
        <f>IFERROR(_xll.TinhGammafiCMS($D$19,_xll.TimTinhChatDatCotTU(B85,$H$12:$Q$25,9),_xll.TimTinhChatDatCotTU(B85,$H$12:$Q$25,9),_xll.TimTinhChatDatCotTU(B85,$H$12:$Q$25,3),$D$12,_xll.TimTinhChatDatCotTU(B85,$H$12:$Q$25,8),$D$20),"")</f>
        <v>0.93552000000000002</v>
      </c>
      <c r="K85" s="95">
        <f>IF(B85="","",IF(B85&lt;=$I$30,0,_xll.flu_CocMaSatCMD($D$24,$D$16,$D$17,$D$25,$H$12:$O$25,FALSE,FALSE,$D$18,$D$13,$K$32,$H$32,A85,"f")))</f>
        <v>104.48</v>
      </c>
      <c r="L85" s="95">
        <f t="shared" si="6"/>
        <v>147.39316698731199</v>
      </c>
      <c r="M85" s="95">
        <f t="shared" si="4"/>
        <v>4501.7239633852396</v>
      </c>
      <c r="N85" s="87">
        <f t="shared" si="3"/>
        <v>4501.7239633852396</v>
      </c>
      <c r="O85" s="42"/>
      <c r="P85"/>
      <c r="Q85"/>
      <c r="R85"/>
      <c r="S85"/>
      <c r="T85"/>
    </row>
    <row r="86" spans="1:20" s="36" customFormat="1">
      <c r="A86" s="87">
        <f t="shared" si="2"/>
        <v>43</v>
      </c>
      <c r="B86" s="83">
        <f>_xll.flu_CocMaSatCMD($D$24,$D$16,$D$17,$D$25,$H$12:$O$26,FALSE,FALSE,$D$18,$D$13,$K$32,$H$32,A86,"Cao độ")</f>
        <v>39</v>
      </c>
      <c r="C86" s="87" t="str">
        <f>IF(B86="","",_xll.TimTenLoaiDat(B86,$F$12:$H$26))</f>
        <v>Lớp 7</v>
      </c>
      <c r="D86" s="82" t="str">
        <f>IF(B86="","",_xll.TimTinhChatDat(B86,$H$12:$I$26))</f>
        <v>Cát chặt vừa - lẫn sỏi sạn</v>
      </c>
      <c r="E86" s="41">
        <f>IFERROR(_xll.TinhGammaqbCMS($D$19,_xll.TimTinhChatDatCotTU(B86,$H$12:$Q$25,9),_xll.TimTinhChatDatCotTU(B86,$H$12:$Q$25,9),_xll.TimTinhChatDatCotTU(B86,$H$12:$Q$25,3),$D$12,_xll.TimTinhChatDatCotTU(B86,$H$12:$Q$25,8),$D$20),"")</f>
        <v>0.98551999999999995</v>
      </c>
      <c r="F86" s="82" t="str">
        <f>IF(B86="","",_xll.Qb_CocMaSatCMD(B86,$H$12:$O$25,$D$23,$D$25,$H$32,$D$13,$D$27,$D$26,"qb"))</f>
        <v>chiều sâu hạ cọc trong lớp đất làm nền &lt; 2 mét - không đủ / chú thích 1 - 7.2.3.2 - 10304-2025</v>
      </c>
      <c r="G86" s="95">
        <f t="shared" si="5"/>
        <v>0</v>
      </c>
      <c r="H86" s="96">
        <f>IF(B86="","",_xll.flu_CocMaSatCMD($D$24,$D$16,$D$17,$D$25,$H$12:$O$25,FALSE,FALSE,$D$18,$D$13,$K$32,$H$32,A86,"GanmaRf"))</f>
        <v>0.6</v>
      </c>
      <c r="I86" s="96">
        <f>IF(B86="","",_xll.flu_CocMaSatCMD($D$24,$D$16,$D$17,$D$25,$H$12:$O$25,FALSE,FALSE,$D$18,$D$13,$K$32,$H$32,A86,"Li"))</f>
        <v>1</v>
      </c>
      <c r="J86" s="41">
        <f>IFERROR(_xll.TinhGammafiCMS($D$19,_xll.TimTinhChatDatCotTU(B86,$H$12:$Q$25,9),_xll.TimTinhChatDatCotTU(B86,$H$12:$Q$25,9),_xll.TimTinhChatDatCotTU(B86,$H$12:$Q$25,3),$D$12,_xll.TimTinhChatDatCotTU(B86,$H$12:$Q$25,8),$D$20),"")</f>
        <v>0.93552000000000002</v>
      </c>
      <c r="K86" s="95">
        <f>IF(B86="","",IF(B86&lt;=$I$30,0,_xll.flu_CocMaSatCMD($D$24,$D$16,$D$17,$D$25,$H$12:$O$25,FALSE,FALSE,$D$18,$D$13,$K$32,$H$32,A86,"f")))</f>
        <v>105.6</v>
      </c>
      <c r="L86" s="95">
        <f t="shared" si="6"/>
        <v>186.21648202838099</v>
      </c>
      <c r="M86" s="95">
        <f t="shared" si="4"/>
        <v>4687.9404454136202</v>
      </c>
      <c r="N86" s="87">
        <f t="shared" si="3"/>
        <v>4687.9404454136202</v>
      </c>
      <c r="O86" s="42"/>
      <c r="P86"/>
      <c r="Q86"/>
      <c r="R86"/>
      <c r="S86"/>
      <c r="T86"/>
    </row>
    <row r="87" spans="1:20" s="36" customFormat="1">
      <c r="A87" s="87">
        <f t="shared" si="2"/>
        <v>44</v>
      </c>
      <c r="B87" s="83">
        <f>_xll.flu_CocMaSatCMD($D$24,$D$16,$D$17,$D$25,$H$12:$O$26,FALSE,FALSE,$D$18,$D$13,$K$32,$H$32,A87,"Cao độ")</f>
        <v>40</v>
      </c>
      <c r="C87" s="87" t="str">
        <f>IF(B87="","",_xll.TimTenLoaiDat(B87,$F$12:$H$26))</f>
        <v>Lớp 7</v>
      </c>
      <c r="D87" s="82" t="str">
        <f>IF(B87="","",_xll.TimTinhChatDat(B87,$H$12:$I$26))</f>
        <v>Cát chặt vừa - lẫn sỏi sạn</v>
      </c>
      <c r="E87" s="41">
        <f>IFERROR(_xll.TinhGammaqbCMS($D$19,_xll.TimTinhChatDatCotTU(B87,$H$12:$Q$25,9),_xll.TimTinhChatDatCotTU(B87,$H$12:$Q$25,9),_xll.TimTinhChatDatCotTU(B87,$H$12:$Q$25,3),$D$12,_xll.TimTinhChatDatCotTU(B87,$H$12:$Q$25,8),$D$20),"")</f>
        <v>0.98551999999999995</v>
      </c>
      <c r="F87" s="82" t="str">
        <f>IF(B87="","",_xll.Qb_CocMaSatCMD(B87,$H$12:$O$25,$D$23,$D$25,$H$32,$D$13,$D$27,$D$26,"qb"))</f>
        <v>chiều sâu hạ cọc trong lớp đất làm nền &lt; 2 mét - không đủ / chú thích 1 - 7.2.3.2 - 10304-2025</v>
      </c>
      <c r="G87" s="95">
        <f t="shared" si="5"/>
        <v>0</v>
      </c>
      <c r="H87" s="96">
        <f>IF(B87="","",_xll.flu_CocMaSatCMD($D$24,$D$16,$D$17,$D$25,$H$12:$O$25,FALSE,FALSE,$D$18,$D$13,$K$32,$H$32,A87,"GanmaRf"))</f>
        <v>0.6</v>
      </c>
      <c r="I87" s="96">
        <f>IF(B87="","",_xll.flu_CocMaSatCMD($D$24,$D$16,$D$17,$D$25,$H$12:$O$25,FALSE,FALSE,$D$18,$D$13,$K$32,$H$32,A87,"Li"))</f>
        <v>1</v>
      </c>
      <c r="J87" s="41">
        <f>IFERROR(_xll.TinhGammafiCMS($D$19,_xll.TimTinhChatDatCotTU(B87,$H$12:$Q$25,9),_xll.TimTinhChatDatCotTU(B87,$H$12:$Q$25,9),_xll.TimTinhChatDatCotTU(B87,$H$12:$Q$25,3),$D$12,_xll.TimTinhChatDatCotTU(B87,$H$12:$Q$25,8),$D$20),"")</f>
        <v>0.93552000000000002</v>
      </c>
      <c r="K87" s="95">
        <f>IF(B87="","",IF(B87&lt;=$I$30,0,_xll.flu_CocMaSatCMD($D$24,$D$16,$D$17,$D$25,$H$12:$O$25,FALSE,FALSE,$D$18,$D$13,$K$32,$H$32,A87,"f")))</f>
        <v>107</v>
      </c>
      <c r="L87" s="95">
        <f t="shared" si="6"/>
        <v>188.685261146182</v>
      </c>
      <c r="M87" s="95">
        <f t="shared" si="4"/>
        <v>4876.6257065598102</v>
      </c>
      <c r="N87" s="87">
        <f t="shared" si="3"/>
        <v>4876.6257065598102</v>
      </c>
      <c r="O87" s="42"/>
      <c r="P87"/>
      <c r="Q87"/>
      <c r="R87"/>
      <c r="S87"/>
      <c r="T87"/>
    </row>
    <row r="88" spans="1:20" s="36" customFormat="1">
      <c r="A88" s="87">
        <f t="shared" si="2"/>
        <v>45</v>
      </c>
      <c r="B88" s="83">
        <f>_xll.flu_CocMaSatCMD($D$24,$D$16,$D$17,$D$25,$H$12:$O$26,FALSE,FALSE,$D$18,$D$13,$K$32,$H$32,A88,"Cao độ")</f>
        <v>41</v>
      </c>
      <c r="C88" s="87" t="str">
        <f>IF(B88="","",_xll.TimTenLoaiDat(B88,$F$12:$H$26))</f>
        <v>Lớp 7</v>
      </c>
      <c r="D88" s="82" t="str">
        <f>IF(B88="","",_xll.TimTinhChatDat(B88,$H$12:$I$26))</f>
        <v>Cát chặt vừa - lẫn sỏi sạn</v>
      </c>
      <c r="E88" s="41">
        <f>IFERROR(_xll.TinhGammaqbCMS($D$19,_xll.TimTinhChatDatCotTU(B88,$H$12:$Q$25,9),_xll.TimTinhChatDatCotTU(B88,$H$12:$Q$25,9),_xll.TimTinhChatDatCotTU(B88,$H$12:$Q$25,3),$D$12,_xll.TimTinhChatDatCotTU(B88,$H$12:$Q$25,8),$D$20),"")</f>
        <v>0.98551999999999995</v>
      </c>
      <c r="F88" s="82">
        <f>IF(B88="","",_xll.Qb_CocMaSatCMD(B88,$H$12:$O$25,$D$23,$D$25,$H$32,$D$13,$D$27,$D$26,"qb"))</f>
        <v>1091.49445913555</v>
      </c>
      <c r="G88" s="95">
        <f t="shared" si="5"/>
        <v>844.84465143675004</v>
      </c>
      <c r="H88" s="96">
        <f>IF(B88="","",_xll.flu_CocMaSatCMD($D$24,$D$16,$D$17,$D$25,$H$12:$O$25,FALSE,FALSE,$D$18,$D$13,$K$32,$H$32,A88,"GanmaRf"))</f>
        <v>0.6</v>
      </c>
      <c r="I88" s="96">
        <f>IF(B88="","",_xll.flu_CocMaSatCMD($D$24,$D$16,$D$17,$D$25,$H$12:$O$25,FALSE,FALSE,$D$18,$D$13,$K$32,$H$32,A88,"Li"))</f>
        <v>1</v>
      </c>
      <c r="J88" s="41">
        <f>IFERROR(_xll.TinhGammafiCMS($D$19,_xll.TimTinhChatDatCotTU(B88,$H$12:$Q$25,9),_xll.TimTinhChatDatCotTU(B88,$H$12:$Q$25,9),_xll.TimTinhChatDatCotTU(B88,$H$12:$Q$25,3),$D$12,_xll.TimTinhChatDatCotTU(B88,$H$12:$Q$25,8),$D$20),"")</f>
        <v>0.93552000000000002</v>
      </c>
      <c r="K88" s="95">
        <f>IF(B88="","",IF(B88&lt;=$I$30,0,_xll.flu_CocMaSatCMD($D$24,$D$16,$D$17,$D$25,$H$12:$O$25,FALSE,FALSE,$D$18,$D$13,$K$32,$H$32,A88,"f")))</f>
        <v>107</v>
      </c>
      <c r="L88" s="95">
        <f t="shared" si="6"/>
        <v>188.685261146182</v>
      </c>
      <c r="M88" s="95">
        <f t="shared" si="4"/>
        <v>5065.3109677059902</v>
      </c>
      <c r="N88" s="87">
        <f t="shared" si="3"/>
        <v>5910.1556191427399</v>
      </c>
      <c r="O88" s="42"/>
      <c r="P88"/>
      <c r="Q88"/>
      <c r="R88"/>
      <c r="S88"/>
      <c r="T88"/>
    </row>
    <row r="89" spans="1:20" s="36" customFormat="1">
      <c r="A89" s="87">
        <f t="shared" si="2"/>
        <v>46</v>
      </c>
      <c r="B89" s="83">
        <f>_xll.flu_CocMaSatCMD($D$24,$D$16,$D$17,$D$25,$H$12:$O$26,FALSE,FALSE,$D$18,$D$13,$K$32,$H$32,A89,"Cao độ")</f>
        <v>42</v>
      </c>
      <c r="C89" s="87" t="str">
        <f>IF(B89="","",_xll.TimTenLoaiDat(B89,$F$12:$H$26))</f>
        <v>Lớp 7</v>
      </c>
      <c r="D89" s="82" t="str">
        <f>IF(B89="","",_xll.TimTinhChatDat(B89,$H$12:$I$26))</f>
        <v>Cát chặt vừa - lẫn sỏi sạn</v>
      </c>
      <c r="E89" s="41">
        <f>IFERROR(_xll.TinhGammaqbCMS($D$19,_xll.TimTinhChatDatCotTU(B89,$H$12:$Q$25,9),_xll.TimTinhChatDatCotTU(B89,$H$12:$Q$25,9),_xll.TimTinhChatDatCotTU(B89,$H$12:$Q$25,3),$D$12,_xll.TimTinhChatDatCotTU(B89,$H$12:$Q$25,8),$D$20),"")</f>
        <v>0.98551999999999995</v>
      </c>
      <c r="F89" s="82">
        <f>IF(B89="","",_xll.Qb_CocMaSatCMD(B89,$H$12:$O$25,$D$23,$D$25,$H$32,$D$13,$D$27,$D$26,"qb"))</f>
        <v>1117.92521159648</v>
      </c>
      <c r="G89" s="95">
        <f t="shared" si="5"/>
        <v>865.30273041569103</v>
      </c>
      <c r="H89" s="96">
        <f>IF(B89="","",_xll.flu_CocMaSatCMD($D$24,$D$16,$D$17,$D$25,$H$12:$O$25,FALSE,FALSE,$D$18,$D$13,$K$32,$H$32,A89,"GanmaRf"))</f>
        <v>0.6</v>
      </c>
      <c r="I89" s="96">
        <f>IF(B89="","",_xll.flu_CocMaSatCMD($D$24,$D$16,$D$17,$D$25,$H$12:$O$25,FALSE,FALSE,$D$18,$D$13,$K$32,$H$32,A89,"Li"))</f>
        <v>1</v>
      </c>
      <c r="J89" s="41">
        <f>IFERROR(_xll.TinhGammafiCMS($D$19,_xll.TimTinhChatDatCotTU(B89,$H$12:$Q$25,9),_xll.TimTinhChatDatCotTU(B89,$H$12:$Q$25,9),_xll.TimTinhChatDatCotTU(B89,$H$12:$Q$25,3),$D$12,_xll.TimTinhChatDatCotTU(B89,$H$12:$Q$25,8),$D$20),"")</f>
        <v>0.93552000000000002</v>
      </c>
      <c r="K89" s="95">
        <f>IF(B89="","",IF(B89&lt;=$I$30,0,_xll.flu_CocMaSatCMD($D$24,$D$16,$D$17,$D$25,$H$12:$O$25,FALSE,FALSE,$D$18,$D$13,$K$32,$H$32,A89,"f")))</f>
        <v>107</v>
      </c>
      <c r="L89" s="95">
        <f t="shared" si="6"/>
        <v>188.685261146182</v>
      </c>
      <c r="M89" s="95">
        <f t="shared" si="4"/>
        <v>5253.9962288521701</v>
      </c>
      <c r="N89" s="87">
        <f t="shared" si="3"/>
        <v>6119.2989592678596</v>
      </c>
      <c r="O89" s="42"/>
      <c r="P89"/>
      <c r="Q89"/>
      <c r="R89"/>
      <c r="S89"/>
      <c r="T89"/>
    </row>
    <row r="90" spans="1:20" s="36" customFormat="1">
      <c r="A90" s="87">
        <f t="shared" si="2"/>
        <v>47</v>
      </c>
      <c r="B90" s="83">
        <f>_xll.flu_CocMaSatCMD($D$24,$D$16,$D$17,$D$25,$H$12:$O$26,FALSE,FALSE,$D$18,$D$13,$K$32,$H$32,A90,"Cao độ")</f>
        <v>43</v>
      </c>
      <c r="C90" s="87" t="str">
        <f>IF(B90="","",_xll.TimTenLoaiDat(B90,$F$12:$H$26))</f>
        <v>Lớp 7</v>
      </c>
      <c r="D90" s="82" t="str">
        <f>IF(B90="","",_xll.TimTinhChatDat(B90,$H$12:$I$26))</f>
        <v>Cát chặt vừa - lẫn sỏi sạn</v>
      </c>
      <c r="E90" s="41">
        <f>IFERROR(_xll.TinhGammaqbCMS($D$19,_xll.TimTinhChatDatCotTU(B90,$H$12:$Q$25,9),_xll.TimTinhChatDatCotTU(B90,$H$12:$Q$25,9),_xll.TimTinhChatDatCotTU(B90,$H$12:$Q$25,3),$D$12,_xll.TimTinhChatDatCotTU(B90,$H$12:$Q$25,8),$D$20),"")</f>
        <v>0.98551999999999995</v>
      </c>
      <c r="F90" s="82">
        <f>IF(B90="","",_xll.Qb_CocMaSatCMD(B90,$H$12:$O$25,$D$23,$D$25,$H$32,$D$13,$D$27,$D$26,"qb"))</f>
        <v>1144.3559640574199</v>
      </c>
      <c r="G90" s="95">
        <f t="shared" si="5"/>
        <v>885.76080939463202</v>
      </c>
      <c r="H90" s="96">
        <f>IF(B90="","",_xll.flu_CocMaSatCMD($D$24,$D$16,$D$17,$D$25,$H$12:$O$25,FALSE,FALSE,$D$18,$D$13,$K$32,$H$32,A90,"GanmaRf"))</f>
        <v>0.6</v>
      </c>
      <c r="I90" s="96">
        <f>IF(B90="","",_xll.flu_CocMaSatCMD($D$24,$D$16,$D$17,$D$25,$H$12:$O$25,FALSE,FALSE,$D$18,$D$13,$K$32,$H$32,A90,"Li"))</f>
        <v>0.20000000000000301</v>
      </c>
      <c r="J90" s="41">
        <f>IFERROR(_xll.TinhGammafiCMS($D$19,_xll.TimTinhChatDatCotTU(B90,$H$12:$Q$25,9),_xll.TimTinhChatDatCotTU(B90,$H$12:$Q$25,9),_xll.TimTinhChatDatCotTU(B90,$H$12:$Q$25,3),$D$12,_xll.TimTinhChatDatCotTU(B90,$H$12:$Q$25,8),$D$20),"")</f>
        <v>0.93552000000000002</v>
      </c>
      <c r="K90" s="95">
        <f>IF(B90="","",IF(B90&lt;=$I$30,0,_xll.flu_CocMaSatCMD($D$24,$D$16,$D$17,$D$25,$H$12:$O$25,FALSE,FALSE,$D$18,$D$13,$K$32,$H$32,A90,"f")))</f>
        <v>107</v>
      </c>
      <c r="L90" s="95">
        <f t="shared" si="6"/>
        <v>37.737052229236902</v>
      </c>
      <c r="M90" s="95">
        <f t="shared" si="4"/>
        <v>5291.7332810814096</v>
      </c>
      <c r="N90" s="87">
        <f t="shared" si="3"/>
        <v>6177.4940904760397</v>
      </c>
      <c r="O90" s="42"/>
      <c r="P90"/>
      <c r="Q90"/>
      <c r="R90"/>
      <c r="S90"/>
      <c r="T90"/>
    </row>
    <row r="91" spans="1:20" s="36" customFormat="1">
      <c r="A91" s="87">
        <f t="shared" si="2"/>
        <v>48</v>
      </c>
      <c r="B91" s="83">
        <f>_xll.flu_CocMaSatCMD($D$24,$D$16,$D$17,$D$25,$H$12:$O$26,FALSE,FALSE,$D$18,$D$13,$K$32,$H$32,A91,"Cao độ")</f>
        <v>43.2</v>
      </c>
      <c r="C91" s="87" t="str">
        <f>IF(B91="","",_xll.TimTenLoaiDat(B91,$F$12:$H$26))</f>
        <v>Lớp 7</v>
      </c>
      <c r="D91" s="82" t="str">
        <f>IF(B91="","",_xll.TimTinhChatDat(B91,$H$12:$I$26))</f>
        <v>Cát chặt vừa - lẫn sỏi sạn</v>
      </c>
      <c r="E91" s="41">
        <f>IFERROR(_xll.TinhGammaqbCMS($D$19,_xll.TimTinhChatDatCotTU(B91,$H$12:$Q$25,9),_xll.TimTinhChatDatCotTU(B91,$H$12:$Q$25,9),_xll.TimTinhChatDatCotTU(B91,$H$12:$Q$25,3),$D$12,_xll.TimTinhChatDatCotTU(B91,$H$12:$Q$25,8),$D$20),"")</f>
        <v>0.98551999999999995</v>
      </c>
      <c r="F91" s="82">
        <f>IF(B91="","",_xll.Qb_CocMaSatCMD(B91,$H$12:$O$25,$D$23,$D$25,$H$32,$D$13,$D$27,$D$26,"qb"))</f>
        <v>1149.6421145496099</v>
      </c>
      <c r="G91" s="95">
        <f t="shared" si="5"/>
        <v>889.85242519042004</v>
      </c>
      <c r="H91" s="96">
        <f>IF(B91="","",_xll.flu_CocMaSatCMD($D$24,$D$16,$D$17,$D$25,$H$12:$O$25,FALSE,FALSE,$D$18,$D$13,$K$32,$H$32,A91,"GanmaRf"))</f>
        <v>0.6</v>
      </c>
      <c r="I91" s="96">
        <f>IF(B91="","",_xll.flu_CocMaSatCMD($D$24,$D$16,$D$17,$D$25,$H$12:$O$25,FALSE,FALSE,$D$18,$D$13,$K$32,$H$32,A91,"Li"))</f>
        <v>0</v>
      </c>
      <c r="J91" s="41">
        <f>IFERROR(_xll.TinhGammafiCMS($D$19,_xll.TimTinhChatDatCotTU(B91,$H$12:$Q$25,9),_xll.TimTinhChatDatCotTU(B91,$H$12:$Q$25,9),_xll.TimTinhChatDatCotTU(B91,$H$12:$Q$25,3),$D$12,_xll.TimTinhChatDatCotTU(B91,$H$12:$Q$25,8),$D$20),"")</f>
        <v>0.93552000000000002</v>
      </c>
      <c r="K91" s="95">
        <f>IF(B91="","",IF(B91&lt;=$I$30,0,_xll.flu_CocMaSatCMD($D$24,$D$16,$D$17,$D$25,$H$12:$O$25,FALSE,FALSE,$D$18,$D$13,$K$32,$H$32,A91,"f")))</f>
        <v>107</v>
      </c>
      <c r="L91" s="95">
        <f t="shared" si="6"/>
        <v>0</v>
      </c>
      <c r="M91" s="95">
        <f t="shared" si="4"/>
        <v>5291.7332810814096</v>
      </c>
      <c r="N91" s="87">
        <f t="shared" si="3"/>
        <v>6181.5857062718296</v>
      </c>
      <c r="O91" s="42"/>
      <c r="P91"/>
      <c r="Q91"/>
      <c r="R91"/>
      <c r="S91"/>
      <c r="T91"/>
    </row>
    <row r="92" spans="1:20" s="36" customFormat="1">
      <c r="A92" s="87">
        <f t="shared" si="2"/>
        <v>49</v>
      </c>
      <c r="B92" s="83">
        <f>_xll.flu_CocMaSatCMD($D$24,$D$16,$D$17,$D$25,$H$12:$O$26,FALSE,FALSE,$D$18,$D$13,$K$32,$H$32,A92,"Cao độ")</f>
        <v>44</v>
      </c>
      <c r="C92" s="87" t="str">
        <f>IF(B92="","",_xll.TimTenLoaiDat(B92,$F$12:$H$26))</f>
        <v>Lớp 7</v>
      </c>
      <c r="D92" s="82" t="str">
        <f>IF(B92="","",_xll.TimTinhChatDat(B92,$H$12:$I$26))</f>
        <v>Cát chặt vừa - lẫn sỏi sạn</v>
      </c>
      <c r="E92" s="41">
        <f>IFERROR(_xll.TinhGammaqbCMS($D$19,_xll.TimTinhChatDatCotTU(B92,$H$12:$Q$25,9),_xll.TimTinhChatDatCotTU(B92,$H$12:$Q$25,9),_xll.TimTinhChatDatCotTU(B92,$H$12:$Q$25,3),$D$12,_xll.TimTinhChatDatCotTU(B92,$H$12:$Q$25,8),$D$20),"")</f>
        <v>0.98551999999999995</v>
      </c>
      <c r="F92" s="82">
        <f>IF(B92="","",_xll.Qb_CocMaSatCMD(B92,$H$12:$O$25,$D$23,$D$25,$H$32,$D$13,$D$27,$D$26,"qb"))</f>
        <v>1170.78671651836</v>
      </c>
      <c r="G92" s="95">
        <f t="shared" si="5"/>
        <v>906.21888837357301</v>
      </c>
      <c r="H92" s="96">
        <f>IF(B92="","",_xll.flu_CocMaSatCMD($D$24,$D$16,$D$17,$D$25,$H$12:$O$25,FALSE,FALSE,$D$18,$D$13,$K$32,$H$32,A92,"GanmaRf"))</f>
        <v>0.6</v>
      </c>
      <c r="I92" s="96">
        <f>IF(B92="","",_xll.flu_CocMaSatCMD($D$24,$D$16,$D$17,$D$25,$H$12:$O$25,FALSE,FALSE,$D$18,$D$13,$K$32,$H$32,A92,"Li"))</f>
        <v>1</v>
      </c>
      <c r="J92" s="41">
        <f>IFERROR(_xll.TinhGammafiCMS($D$19,_xll.TimTinhChatDatCotTU(B92,$H$12:$Q$25,9),_xll.TimTinhChatDatCotTU(B92,$H$12:$Q$25,9),_xll.TimTinhChatDatCotTU(B92,$H$12:$Q$25,3),$D$12,_xll.TimTinhChatDatCotTU(B92,$H$12:$Q$25,8),$D$20),"")</f>
        <v>0.93552000000000002</v>
      </c>
      <c r="K92" s="95">
        <f>IF(B92="","",IF(B92&lt;=$I$30,0,_xll.flu_CocMaSatCMD($D$24,$D$16,$D$17,$D$25,$H$12:$O$25,FALSE,FALSE,$D$18,$D$13,$K$32,$H$32,A92,"f")))</f>
        <v>107</v>
      </c>
      <c r="L92" s="95">
        <f t="shared" si="6"/>
        <v>188.685261146182</v>
      </c>
      <c r="M92" s="95">
        <f t="shared" si="4"/>
        <v>5480.4185422275896</v>
      </c>
      <c r="N92" s="87">
        <f t="shared" si="3"/>
        <v>6386.6374306011603</v>
      </c>
      <c r="O92" s="42"/>
      <c r="P92"/>
      <c r="Q92"/>
      <c r="R92"/>
      <c r="S92"/>
      <c r="T92"/>
    </row>
    <row r="93" spans="1:20" s="36" customFormat="1">
      <c r="A93" s="87">
        <f t="shared" si="2"/>
        <v>50</v>
      </c>
      <c r="B93" s="83">
        <f>_xll.flu_CocMaSatCMD($D$24,$D$16,$D$17,$D$25,$H$12:$O$26,FALSE,FALSE,$D$18,$D$13,$K$32,$H$32,A93,"Cao độ")</f>
        <v>45</v>
      </c>
      <c r="C93" s="87" t="str">
        <f>IF(B93="","",_xll.TimTenLoaiDat(B93,$F$12:$H$26))</f>
        <v>Lớp 7</v>
      </c>
      <c r="D93" s="82" t="str">
        <f>IF(B93="","",_xll.TimTinhChatDat(B93,$H$12:$I$26))</f>
        <v>Cát chặt vừa - lẫn sỏi sạn</v>
      </c>
      <c r="E93" s="41">
        <f>IFERROR(_xll.TinhGammaqbCMS($D$19,_xll.TimTinhChatDatCotTU(B93,$H$12:$Q$25,9),_xll.TimTinhChatDatCotTU(B93,$H$12:$Q$25,9),_xll.TimTinhChatDatCotTU(B93,$H$12:$Q$25,3),$D$12,_xll.TimTinhChatDatCotTU(B93,$H$12:$Q$25,8),$D$20),"")</f>
        <v>0.98551999999999995</v>
      </c>
      <c r="F93" s="82">
        <f>IF(B93="","",_xll.Qb_CocMaSatCMD(B93,$H$12:$O$25,$D$23,$D$25,$H$32,$D$13,$D$27,$D$26,"qb"))</f>
        <v>1197.2174689793001</v>
      </c>
      <c r="G93" s="95">
        <f t="shared" si="5"/>
        <v>926.67696735251502</v>
      </c>
      <c r="H93" s="96">
        <f>IF(B93="","",_xll.flu_CocMaSatCMD($D$24,$D$16,$D$17,$D$25,$H$12:$O$25,FALSE,FALSE,$D$18,$D$13,$K$32,$H$32,A93,"GanmaRf"))</f>
        <v>0.6</v>
      </c>
      <c r="I93" s="96">
        <f>IF(B93="","",_xll.flu_CocMaSatCMD($D$24,$D$16,$D$17,$D$25,$H$12:$O$25,FALSE,FALSE,$D$18,$D$13,$K$32,$H$32,A93,"Li"))</f>
        <v>0</v>
      </c>
      <c r="J93" s="41">
        <f>IFERROR(_xll.TinhGammafiCMS($D$19,_xll.TimTinhChatDatCotTU(B93,$H$12:$Q$25,9),_xll.TimTinhChatDatCotTU(B93,$H$12:$Q$25,9),_xll.TimTinhChatDatCotTU(B93,$H$12:$Q$25,3),$D$12,_xll.TimTinhChatDatCotTU(B93,$H$12:$Q$25,8),$D$20),"")</f>
        <v>0.93552000000000002</v>
      </c>
      <c r="K93" s="95">
        <f>IF(B93="","",IF(B93&lt;=$I$30,0,_xll.flu_CocMaSatCMD($D$24,$D$16,$D$17,$D$25,$H$12:$O$25,FALSE,FALSE,$D$18,$D$13,$K$32,$H$32,A93,"f")))</f>
        <v>107</v>
      </c>
      <c r="L93" s="95">
        <f t="shared" si="6"/>
        <v>0</v>
      </c>
      <c r="M93" s="95">
        <f t="shared" si="4"/>
        <v>5480.4185422275896</v>
      </c>
      <c r="N93" s="87">
        <f t="shared" si="3"/>
        <v>6407.0955095801</v>
      </c>
      <c r="O93" s="42"/>
      <c r="P93"/>
      <c r="Q93"/>
      <c r="R93"/>
      <c r="S93"/>
      <c r="T93"/>
    </row>
    <row r="94" spans="1:20" s="36" customFormat="1">
      <c r="A94" s="87">
        <f t="shared" si="2"/>
        <v>51</v>
      </c>
      <c r="B94" s="83" t="str">
        <f>_xll.flu_CocMaSatCMD($D$24,$D$16,$D$17,$D$25,$H$12:$O$26,FALSE,FALSE,$D$18,$D$13,$K$32,$H$32,A94,"Cao độ")</f>
        <v/>
      </c>
      <c r="C94" s="87" t="str">
        <f>IF(B94="","",_xll.TimTenLoaiDat(B94,$F$12:$H$26))</f>
        <v/>
      </c>
      <c r="D94" s="82" t="str">
        <f>IF(B94="","",_xll.TimTinhChatDat(B94,$H$12:$I$26))</f>
        <v/>
      </c>
      <c r="E94" s="41" t="str">
        <f>IFERROR(_xll.TinhGammaqbCMS($D$19,_xll.TimTinhChatDatCotTU(B94,$H$12:$Q$25,9),_xll.TimTinhChatDatCotTU(B94,$H$12:$Q$25,9),_xll.TimTinhChatDatCotTU(B94,$H$12:$Q$25,3),$D$12,_xll.TimTinhChatDatCotTU(B94,$H$12:$Q$25,8),$D$20),"")</f>
        <v/>
      </c>
      <c r="F94" s="82" t="str">
        <f>IF(B94="","",_xll.Qb_CocMaSatCMD(B94,$H$12:$O$25,$D$23,$D$25,$H$32,$D$13,$D$27,$D$26,"qb"))</f>
        <v/>
      </c>
      <c r="G94" s="95" t="str">
        <f t="shared" si="5"/>
        <v/>
      </c>
      <c r="H94" s="96" t="str">
        <f>IF(B94="","",_xll.flu_CocMaSatCMD($D$24,$D$16,$D$17,$D$25,$H$12:$O$25,FALSE,FALSE,$D$18,$D$13,$K$32,$H$32,A94,"GanmaRf"))</f>
        <v/>
      </c>
      <c r="I94" s="96" t="str">
        <f>IF(B94="","",_xll.flu_CocMaSatCMD($D$24,$D$16,$D$17,$D$25,$H$12:$O$25,FALSE,FALSE,$D$18,$D$13,$K$32,$H$32,A94,"Li"))</f>
        <v/>
      </c>
      <c r="J94" s="41" t="str">
        <f>IFERROR(_xll.TinhGammafiCMS($D$19,_xll.TimTinhChatDatCotTU(B94,$H$12:$Q$25,9),_xll.TimTinhChatDatCotTU(B94,$H$12:$Q$25,9),_xll.TimTinhChatDatCotTU(B94,$H$12:$Q$25,3),$D$12,_xll.TimTinhChatDatCotTU(B94,$H$12:$Q$25,8),$D$20),"")</f>
        <v/>
      </c>
      <c r="K94" s="95" t="str">
        <f>IF(B94="","",IF(B94&lt;=$I$30,0,_xll.flu_CocMaSatCMD($D$24,$D$16,$D$17,$D$25,$H$12:$O$25,FALSE,FALSE,$D$18,$D$13,$K$32,$H$32,A94,"f")))</f>
        <v/>
      </c>
      <c r="L94" s="95" t="str">
        <f t="shared" si="6"/>
        <v/>
      </c>
      <c r="M94" s="95" t="str">
        <f t="shared" si="4"/>
        <v/>
      </c>
      <c r="N94" s="87" t="str">
        <f t="shared" si="3"/>
        <v/>
      </c>
      <c r="O94" s="42"/>
      <c r="P94"/>
      <c r="Q94"/>
      <c r="R94"/>
      <c r="S94"/>
      <c r="T94"/>
    </row>
    <row r="95" spans="1:20" s="36" customFormat="1">
      <c r="A95" s="87">
        <f t="shared" si="2"/>
        <v>52</v>
      </c>
      <c r="B95" s="83" t="str">
        <f>_xll.flu_CocMaSatCMD($D$24,$D$16,$D$17,$D$25,$H$12:$O$26,FALSE,FALSE,$D$18,$D$13,$K$32,$H$32,A95,"Cao độ")</f>
        <v/>
      </c>
      <c r="C95" s="87" t="str">
        <f>IF(B95="","",_xll.TimTenLoaiDat(B95,$F$12:$H$26))</f>
        <v/>
      </c>
      <c r="D95" s="82" t="str">
        <f>IF(B95="","",_xll.TimTinhChatDat(B95,$H$12:$I$26))</f>
        <v/>
      </c>
      <c r="E95" s="41" t="str">
        <f>IFERROR(_xll.TinhGammaqbCMS($D$19,_xll.TimTinhChatDatCotTU(B95,$H$12:$Q$25,9),_xll.TimTinhChatDatCotTU(B95,$H$12:$Q$25,9),_xll.TimTinhChatDatCotTU(B95,$H$12:$Q$25,3),$D$12,_xll.TimTinhChatDatCotTU(B95,$H$12:$Q$25,8),$D$20),"")</f>
        <v/>
      </c>
      <c r="F95" s="82" t="str">
        <f>IF(B95="","",_xll.Qb_CocMaSatCMD(B95,$H$12:$O$25,$D$23,$D$25,$H$32,$D$13,$D$27,$D$26,"qb"))</f>
        <v/>
      </c>
      <c r="G95" s="95" t="str">
        <f t="shared" si="5"/>
        <v/>
      </c>
      <c r="H95" s="96" t="str">
        <f>IF(B95="","",_xll.flu_CocMaSatCMD($D$24,$D$16,$D$17,$D$25,$H$12:$O$25,FALSE,FALSE,$D$18,$D$13,$K$32,$H$32,A95,"GanmaRf"))</f>
        <v/>
      </c>
      <c r="I95" s="96" t="str">
        <f>IF(B95="","",_xll.flu_CocMaSatCMD($D$24,$D$16,$D$17,$D$25,$H$12:$O$25,FALSE,FALSE,$D$18,$D$13,$K$32,$H$32,A95,"Li"))</f>
        <v/>
      </c>
      <c r="J95" s="41" t="str">
        <f>IFERROR(_xll.TinhGammafiCMS($D$19,_xll.TimTinhChatDatCotTU(B95,$H$12:$Q$25,9),_xll.TimTinhChatDatCotTU(B95,$H$12:$Q$25,9),_xll.TimTinhChatDatCotTU(B95,$H$12:$Q$25,3),$D$12,_xll.TimTinhChatDatCotTU(B95,$H$12:$Q$25,8),$D$20),"")</f>
        <v/>
      </c>
      <c r="K95" s="95" t="str">
        <f>IF(B95="","",IF(B95&lt;=$I$30,0,_xll.flu_CocMaSatCMD($D$24,$D$16,$D$17,$D$25,$H$12:$O$25,FALSE,FALSE,$D$18,$D$13,$K$32,$H$32,A95,"f")))</f>
        <v/>
      </c>
      <c r="L95" s="95" t="str">
        <f t="shared" si="6"/>
        <v/>
      </c>
      <c r="M95" s="95" t="str">
        <f t="shared" si="4"/>
        <v/>
      </c>
      <c r="N95" s="87" t="str">
        <f t="shared" si="3"/>
        <v/>
      </c>
      <c r="O95" s="42"/>
      <c r="P95"/>
      <c r="Q95"/>
      <c r="R95"/>
      <c r="S95"/>
      <c r="T95"/>
    </row>
    <row r="96" spans="1:20" s="36" customFormat="1">
      <c r="A96" s="87">
        <f t="shared" si="2"/>
        <v>53</v>
      </c>
      <c r="B96" s="83" t="str">
        <f>_xll.flu_CocMaSatCMD($D$24,$D$16,$D$17,$D$25,$H$12:$O$26,FALSE,FALSE,$D$18,$D$13,$K$32,$H$32,A96,"Cao độ")</f>
        <v/>
      </c>
      <c r="C96" s="87" t="str">
        <f>IF(B96="","",_xll.TimTenLoaiDat(B96,$F$12:$H$26))</f>
        <v/>
      </c>
      <c r="D96" s="82" t="str">
        <f>IF(B96="","",_xll.TimTinhChatDat(B96,$H$12:$I$26))</f>
        <v/>
      </c>
      <c r="E96" s="41" t="str">
        <f>IFERROR(_xll.TinhGammaqbCMS($D$19,_xll.TimTinhChatDatCotTU(B96,$H$12:$Q$25,9),_xll.TimTinhChatDatCotTU(B96,$H$12:$Q$25,9),_xll.TimTinhChatDatCotTU(B96,$H$12:$Q$25,3),$D$12,_xll.TimTinhChatDatCotTU(B96,$H$12:$Q$25,8),$D$20),"")</f>
        <v/>
      </c>
      <c r="F96" s="82" t="str">
        <f>IF(B96="","",_xll.Qb_CocMaSatCMD(B96,$H$12:$O$25,$D$23,$D$25,$H$32,$D$13,$D$27,$D$26,"qb"))</f>
        <v/>
      </c>
      <c r="G96" s="95" t="str">
        <f t="shared" si="5"/>
        <v/>
      </c>
      <c r="H96" s="96" t="str">
        <f>IF(B96="","",_xll.flu_CocMaSatCMD($D$24,$D$16,$D$17,$D$25,$H$12:$O$25,FALSE,FALSE,$D$18,$D$13,$K$32,$H$32,A96,"GanmaRf"))</f>
        <v/>
      </c>
      <c r="I96" s="96" t="str">
        <f>IF(B96="","",_xll.flu_CocMaSatCMD($D$24,$D$16,$D$17,$D$25,$H$12:$O$25,FALSE,FALSE,$D$18,$D$13,$K$32,$H$32,A96,"Li"))</f>
        <v/>
      </c>
      <c r="J96" s="41" t="str">
        <f>IFERROR(_xll.TinhGammafiCMS($D$19,_xll.TimTinhChatDatCotTU(B96,$H$12:$Q$25,9),_xll.TimTinhChatDatCotTU(B96,$H$12:$Q$25,9),_xll.TimTinhChatDatCotTU(B96,$H$12:$Q$25,3),$D$12,_xll.TimTinhChatDatCotTU(B96,$H$12:$Q$25,8),$D$20),"")</f>
        <v/>
      </c>
      <c r="K96" s="95" t="str">
        <f>IF(B96="","",IF(B96&lt;=$I$30,0,_xll.flu_CocMaSatCMD($D$24,$D$16,$D$17,$D$25,$H$12:$O$25,FALSE,FALSE,$D$18,$D$13,$K$32,$H$32,A96,"f")))</f>
        <v/>
      </c>
      <c r="L96" s="95" t="str">
        <f t="shared" si="6"/>
        <v/>
      </c>
      <c r="M96" s="95" t="str">
        <f t="shared" si="4"/>
        <v/>
      </c>
      <c r="N96" s="87" t="str">
        <f t="shared" si="3"/>
        <v/>
      </c>
      <c r="O96" s="42"/>
      <c r="P96"/>
      <c r="Q96"/>
      <c r="R96"/>
      <c r="S96"/>
      <c r="T96"/>
    </row>
    <row r="97" spans="1:20" s="36" customFormat="1">
      <c r="A97" s="87">
        <f t="shared" si="2"/>
        <v>54</v>
      </c>
      <c r="B97" s="83" t="str">
        <f>_xll.flu_CocMaSatCMD($D$24,$D$16,$D$17,$D$25,$H$12:$O$26,FALSE,FALSE,$D$18,$D$13,$K$32,$H$32,A97,"Cao độ")</f>
        <v/>
      </c>
      <c r="C97" s="87" t="str">
        <f>IF(B97="","",_xll.TimTenLoaiDat(B97,$F$12:$H$26))</f>
        <v/>
      </c>
      <c r="D97" s="82" t="str">
        <f>IF(B97="","",_xll.TimTinhChatDat(B97,$H$12:$I$26))</f>
        <v/>
      </c>
      <c r="E97" s="41" t="str">
        <f>IFERROR(_xll.TinhGammaqbCMS($D$19,_xll.TimTinhChatDatCotTU(B97,$H$12:$Q$25,9),_xll.TimTinhChatDatCotTU(B97,$H$12:$Q$25,9),_xll.TimTinhChatDatCotTU(B97,$H$12:$Q$25,3),$D$12,_xll.TimTinhChatDatCotTU(B97,$H$12:$Q$25,8),$D$20),"")</f>
        <v/>
      </c>
      <c r="F97" s="82" t="str">
        <f>IF(B97="","",_xll.Qb_CocMaSatCMD(B97,$H$12:$O$25,$D$23,$D$25,$H$32,$D$13,$D$27,$D$26,"qb"))</f>
        <v/>
      </c>
      <c r="G97" s="95" t="str">
        <f t="shared" si="5"/>
        <v/>
      </c>
      <c r="H97" s="96" t="str">
        <f>IF(B97="","",_xll.flu_CocMaSatCMD($D$24,$D$16,$D$17,$D$25,$H$12:$O$25,FALSE,FALSE,$D$18,$D$13,$K$32,$H$32,A97,"GanmaRf"))</f>
        <v/>
      </c>
      <c r="I97" s="96" t="str">
        <f>IF(B97="","",_xll.flu_CocMaSatCMD($D$24,$D$16,$D$17,$D$25,$H$12:$O$25,FALSE,FALSE,$D$18,$D$13,$K$32,$H$32,A97,"Li"))</f>
        <v/>
      </c>
      <c r="J97" s="41" t="str">
        <f>IFERROR(_xll.TinhGammafiCMS($D$19,_xll.TimTinhChatDatCotTU(B97,$H$12:$Q$25,9),_xll.TimTinhChatDatCotTU(B97,$H$12:$Q$25,9),_xll.TimTinhChatDatCotTU(B97,$H$12:$Q$25,3),$D$12,_xll.TimTinhChatDatCotTU(B97,$H$12:$Q$25,8),$D$20),"")</f>
        <v/>
      </c>
      <c r="K97" s="95" t="str">
        <f>IF(B97="","",IF(B97&lt;=$I$30,0,_xll.flu_CocMaSatCMD($D$24,$D$16,$D$17,$D$25,$H$12:$O$25,FALSE,FALSE,$D$18,$D$13,$K$32,$H$32,A97,"f")))</f>
        <v/>
      </c>
      <c r="L97" s="95" t="str">
        <f t="shared" si="6"/>
        <v/>
      </c>
      <c r="M97" s="95" t="str">
        <f t="shared" si="4"/>
        <v/>
      </c>
      <c r="N97" s="87" t="str">
        <f t="shared" si="3"/>
        <v/>
      </c>
      <c r="O97" s="42"/>
      <c r="P97"/>
      <c r="Q97"/>
      <c r="R97"/>
      <c r="S97"/>
      <c r="T97"/>
    </row>
    <row r="98" spans="1:20" s="36" customFormat="1">
      <c r="A98" s="87">
        <f t="shared" si="2"/>
        <v>55</v>
      </c>
      <c r="B98" s="83" t="str">
        <f>_xll.flu_CocMaSatCMD($D$24,$D$16,$D$17,$D$25,$H$12:$O$26,FALSE,FALSE,$D$18,$D$13,$K$32,$H$32,A98,"Cao độ")</f>
        <v/>
      </c>
      <c r="C98" s="87" t="str">
        <f>IF(B98="","",_xll.TimTenLoaiDat(B98,$F$12:$H$26))</f>
        <v/>
      </c>
      <c r="D98" s="82" t="str">
        <f>IF(B98="","",_xll.TimTinhChatDat(B98,$H$12:$I$26))</f>
        <v/>
      </c>
      <c r="E98" s="41" t="str">
        <f>IFERROR(_xll.TinhGammaqbCMS($D$19,_xll.TimTinhChatDatCotTU(B98,$H$12:$Q$25,9),_xll.TimTinhChatDatCotTU(B98,$H$12:$Q$25,9),_xll.TimTinhChatDatCotTU(B98,$H$12:$Q$25,3),$D$12,_xll.TimTinhChatDatCotTU(B98,$H$12:$Q$25,8),$D$20),"")</f>
        <v/>
      </c>
      <c r="F98" s="82" t="str">
        <f>IF(B98="","",_xll.Qb_CocMaSatCMD(B98,$H$12:$O$25,$D$23,$D$25,$H$32,$D$13,$D$27,$D$26,"qb"))</f>
        <v/>
      </c>
      <c r="G98" s="95" t="str">
        <f t="shared" si="5"/>
        <v/>
      </c>
      <c r="H98" s="96" t="str">
        <f>IF(B98="","",_xll.flu_CocMaSatCMD($D$24,$D$16,$D$17,$D$25,$H$12:$O$25,FALSE,FALSE,$D$18,$D$13,$K$32,$H$32,A98,"GanmaRf"))</f>
        <v/>
      </c>
      <c r="I98" s="96" t="str">
        <f>IF(B98="","",_xll.flu_CocMaSatCMD($D$24,$D$16,$D$17,$D$25,$H$12:$O$25,FALSE,FALSE,$D$18,$D$13,$K$32,$H$32,A98,"Li"))</f>
        <v/>
      </c>
      <c r="J98" s="41" t="str">
        <f>IFERROR(_xll.TinhGammafiCMS($D$19,_xll.TimTinhChatDatCotTU(B98,$H$12:$Q$25,9),_xll.TimTinhChatDatCotTU(B98,$H$12:$Q$25,9),_xll.TimTinhChatDatCotTU(B98,$H$12:$Q$25,3),$D$12,_xll.TimTinhChatDatCotTU(B98,$H$12:$Q$25,8),$D$20),"")</f>
        <v/>
      </c>
      <c r="K98" s="95" t="str">
        <f>IF(B98="","",IF(B98&lt;=$I$30,0,_xll.flu_CocMaSatCMD($D$24,$D$16,$D$17,$D$25,$H$12:$O$25,FALSE,FALSE,$D$18,$D$13,$K$32,$H$32,A98,"f")))</f>
        <v/>
      </c>
      <c r="L98" s="95" t="str">
        <f t="shared" si="6"/>
        <v/>
      </c>
      <c r="M98" s="95" t="str">
        <f t="shared" si="4"/>
        <v/>
      </c>
      <c r="N98" s="87" t="str">
        <f t="shared" si="3"/>
        <v/>
      </c>
      <c r="O98" s="42"/>
      <c r="P98"/>
      <c r="Q98"/>
      <c r="R98"/>
      <c r="S98"/>
      <c r="T98"/>
    </row>
    <row r="99" spans="1:20" s="36" customFormat="1">
      <c r="A99" s="87">
        <f t="shared" si="2"/>
        <v>56</v>
      </c>
      <c r="B99" s="83" t="str">
        <f>_xll.flu_CocMaSatCMD($D$24,$D$16,$D$17,$D$25,$H$12:$O$26,FALSE,FALSE,$D$18,$D$13,$K$32,$H$32,A99,"Cao độ")</f>
        <v/>
      </c>
      <c r="C99" s="87" t="str">
        <f>IF(B99="","",_xll.TimTenLoaiDat(B99,$F$12:$H$26))</f>
        <v/>
      </c>
      <c r="D99" s="82" t="str">
        <f>IF(B99="","",_xll.TimTinhChatDat(B99,$H$12:$I$26))</f>
        <v/>
      </c>
      <c r="E99" s="41" t="str">
        <f>IFERROR(_xll.TinhGammaqbCMS($D$19,_xll.TimTinhChatDatCotTU(B99,$H$12:$Q$25,9),_xll.TimTinhChatDatCotTU(B99,$H$12:$Q$25,9),_xll.TimTinhChatDatCotTU(B99,$H$12:$Q$25,3),$D$12,_xll.TimTinhChatDatCotTU(B99,$H$12:$Q$25,8),$D$20),"")</f>
        <v/>
      </c>
      <c r="F99" s="82" t="str">
        <f>IF(B99="","",_xll.Qb_CocMaSatCMD(B99,$H$12:$O$25,$D$23,$D$25,$H$32,$D$13,$D$27,$D$26,"qb"))</f>
        <v/>
      </c>
      <c r="G99" s="95" t="str">
        <f t="shared" si="5"/>
        <v/>
      </c>
      <c r="H99" s="96" t="str">
        <f>IF(B99="","",_xll.flu_CocMaSatCMD($D$24,$D$16,$D$17,$D$25,$H$12:$O$25,FALSE,FALSE,$D$18,$D$13,$K$32,$H$32,A99,"GanmaRf"))</f>
        <v/>
      </c>
      <c r="I99" s="96" t="str">
        <f>IF(B99="","",_xll.flu_CocMaSatCMD($D$24,$D$16,$D$17,$D$25,$H$12:$O$25,FALSE,FALSE,$D$18,$D$13,$K$32,$H$32,A99,"Li"))</f>
        <v/>
      </c>
      <c r="J99" s="41" t="str">
        <f>IFERROR(_xll.TinhGammafiCMS($D$19,_xll.TimTinhChatDatCotTU(B99,$H$12:$Q$25,9),_xll.TimTinhChatDatCotTU(B99,$H$12:$Q$25,9),_xll.TimTinhChatDatCotTU(B99,$H$12:$Q$25,3),$D$12,_xll.TimTinhChatDatCotTU(B99,$H$12:$Q$25,8),$D$20),"")</f>
        <v/>
      </c>
      <c r="K99" s="95" t="str">
        <f>IF(B99="","",IF(B99&lt;=$I$30,0,_xll.flu_CocMaSatCMD($D$24,$D$16,$D$17,$D$25,$H$12:$O$25,FALSE,FALSE,$D$18,$D$13,$K$32,$H$32,A99,"f")))</f>
        <v/>
      </c>
      <c r="L99" s="95" t="str">
        <f t="shared" si="6"/>
        <v/>
      </c>
      <c r="M99" s="95" t="str">
        <f t="shared" si="4"/>
        <v/>
      </c>
      <c r="N99" s="87" t="str">
        <f t="shared" si="3"/>
        <v/>
      </c>
      <c r="O99" s="42"/>
      <c r="P99"/>
      <c r="Q99"/>
      <c r="R99"/>
      <c r="S99"/>
      <c r="T99"/>
    </row>
    <row r="100" spans="1:20" s="36" customFormat="1">
      <c r="A100" s="87">
        <f t="shared" si="2"/>
        <v>57</v>
      </c>
      <c r="B100" s="83" t="str">
        <f>_xll.flu_CocMaSatCMD($D$24,$D$16,$D$17,$D$25,$H$12:$O$26,FALSE,FALSE,$D$18,$D$13,$K$32,$H$32,A100,"Cao độ")</f>
        <v/>
      </c>
      <c r="C100" s="87" t="str">
        <f>IF(B100="","",_xll.TimTenLoaiDat(B100,$F$12:$H$26))</f>
        <v/>
      </c>
      <c r="D100" s="82" t="str">
        <f>IF(B100="","",_xll.TimTinhChatDat(B100,$H$12:$I$26))</f>
        <v/>
      </c>
      <c r="E100" s="41" t="str">
        <f>IFERROR(_xll.TinhGammaqbCMS($D$19,_xll.TimTinhChatDatCotTU(B100,$H$12:$Q$25,9),_xll.TimTinhChatDatCotTU(B100,$H$12:$Q$25,9),_xll.TimTinhChatDatCotTU(B100,$H$12:$Q$25,3),$D$12,_xll.TimTinhChatDatCotTU(B100,$H$12:$Q$25,8),$D$20),"")</f>
        <v/>
      </c>
      <c r="F100" s="82" t="str">
        <f>IF(B100="","",_xll.Qb_CocMaSatCMD(B100,$H$12:$O$25,$D$23,$D$25,$H$32,$D$13,$D$27,$D$26,"qb"))</f>
        <v/>
      </c>
      <c r="G100" s="95" t="str">
        <f t="shared" si="5"/>
        <v/>
      </c>
      <c r="H100" s="96" t="str">
        <f>IF(B100="","",_xll.flu_CocMaSatCMD($D$24,$D$16,$D$17,$D$25,$H$12:$O$25,FALSE,FALSE,$D$18,$D$13,$K$32,$H$32,A100,"GanmaRf"))</f>
        <v/>
      </c>
      <c r="I100" s="96" t="str">
        <f>IF(B100="","",_xll.flu_CocMaSatCMD($D$24,$D$16,$D$17,$D$25,$H$12:$O$25,FALSE,FALSE,$D$18,$D$13,$K$32,$H$32,A100,"Li"))</f>
        <v/>
      </c>
      <c r="J100" s="41" t="str">
        <f>IFERROR(_xll.TinhGammafiCMS($D$19,_xll.TimTinhChatDatCotTU(B100,$H$12:$Q$25,9),_xll.TimTinhChatDatCotTU(B100,$H$12:$Q$25,9),_xll.TimTinhChatDatCotTU(B100,$H$12:$Q$25,3),$D$12,_xll.TimTinhChatDatCotTU(B100,$H$12:$Q$25,8),$D$20),"")</f>
        <v/>
      </c>
      <c r="K100" s="95" t="str">
        <f>IF(B100="","",IF(B100&lt;=$I$30,0,_xll.flu_CocMaSatCMD($D$24,$D$16,$D$17,$D$25,$H$12:$O$25,FALSE,FALSE,$D$18,$D$13,$K$32,$H$32,A100,"f")))</f>
        <v/>
      </c>
      <c r="L100" s="95" t="str">
        <f t="shared" si="6"/>
        <v/>
      </c>
      <c r="M100" s="95" t="str">
        <f t="shared" si="4"/>
        <v/>
      </c>
      <c r="N100" s="87" t="str">
        <f t="shared" si="3"/>
        <v/>
      </c>
      <c r="O100" s="42"/>
      <c r="P100"/>
      <c r="Q100"/>
      <c r="R100"/>
      <c r="S100"/>
      <c r="T100"/>
    </row>
    <row r="101" spans="1:20" s="36" customFormat="1">
      <c r="A101" s="87">
        <f t="shared" si="2"/>
        <v>58</v>
      </c>
      <c r="B101" s="83" t="str">
        <f>_xll.flu_CocMaSatCMD($D$24,$D$16,$D$17,$D$25,$H$12:$O$26,FALSE,FALSE,$D$18,$D$13,$K$32,$H$32,A101,"Cao độ")</f>
        <v/>
      </c>
      <c r="C101" s="87" t="str">
        <f>IF(B101="","",_xll.TimTenLoaiDat(B101,$F$12:$H$26))</f>
        <v/>
      </c>
      <c r="D101" s="82" t="str">
        <f>IF(B101="","",_xll.TimTinhChatDat(B101,$H$12:$I$26))</f>
        <v/>
      </c>
      <c r="E101" s="41" t="str">
        <f>IFERROR(_xll.TinhGammaqbCMS($D$19,_xll.TimTinhChatDatCotTU(B101,$H$12:$Q$25,9),_xll.TimTinhChatDatCotTU(B101,$H$12:$Q$25,9),_xll.TimTinhChatDatCotTU(B101,$H$12:$Q$25,3),$D$12,_xll.TimTinhChatDatCotTU(B101,$H$12:$Q$25,8),$D$20),"")</f>
        <v/>
      </c>
      <c r="F101" s="82" t="str">
        <f>IF(B101="","",_xll.Qb_CocMaSatCMD(B101,$H$12:$O$25,$D$23,$D$25,$H$32,$D$13,$D$27,$D$26,"qb"))</f>
        <v/>
      </c>
      <c r="G101" s="95" t="str">
        <f t="shared" si="5"/>
        <v/>
      </c>
      <c r="H101" s="96" t="str">
        <f>IF(B101="","",_xll.flu_CocMaSatCMD($D$24,$D$16,$D$17,$D$25,$H$12:$O$25,FALSE,FALSE,$D$18,$D$13,$K$32,$H$32,A101,"GanmaRf"))</f>
        <v/>
      </c>
      <c r="I101" s="96" t="str">
        <f>IF(B101="","",_xll.flu_CocMaSatCMD($D$24,$D$16,$D$17,$D$25,$H$12:$O$25,FALSE,FALSE,$D$18,$D$13,$K$32,$H$32,A101,"Li"))</f>
        <v/>
      </c>
      <c r="J101" s="41" t="str">
        <f>IFERROR(_xll.TinhGammafiCMS($D$19,_xll.TimTinhChatDatCotTU(B101,$H$12:$Q$25,9),_xll.TimTinhChatDatCotTU(B101,$H$12:$Q$25,9),_xll.TimTinhChatDatCotTU(B101,$H$12:$Q$25,3),$D$12,_xll.TimTinhChatDatCotTU(B101,$H$12:$Q$25,8),$D$20),"")</f>
        <v/>
      </c>
      <c r="K101" s="95" t="str">
        <f>IF(B101="","",IF(B101&lt;=$I$30,0,_xll.flu_CocMaSatCMD($D$24,$D$16,$D$17,$D$25,$H$12:$O$25,FALSE,FALSE,$D$18,$D$13,$K$32,$H$32,A101,"f")))</f>
        <v/>
      </c>
      <c r="L101" s="95" t="str">
        <f t="shared" si="6"/>
        <v/>
      </c>
      <c r="M101" s="95" t="str">
        <f t="shared" si="4"/>
        <v/>
      </c>
      <c r="N101" s="87" t="str">
        <f t="shared" si="3"/>
        <v/>
      </c>
      <c r="O101" s="42"/>
      <c r="P101"/>
      <c r="Q101"/>
      <c r="R101"/>
      <c r="S101"/>
      <c r="T101"/>
    </row>
    <row r="102" spans="1:20" s="36" customFormat="1">
      <c r="A102" s="87">
        <f t="shared" si="2"/>
        <v>59</v>
      </c>
      <c r="B102" s="83" t="str">
        <f>_xll.flu_CocMaSatCMD($D$24,$D$16,$D$17,$D$25,$H$12:$O$26,FALSE,FALSE,$D$18,$D$13,$K$32,$H$32,A102,"Cao độ")</f>
        <v/>
      </c>
      <c r="C102" s="87" t="str">
        <f>IF(B102="","",_xll.TimTenLoaiDat(B102,$F$12:$H$26))</f>
        <v/>
      </c>
      <c r="D102" s="82" t="str">
        <f>IF(B102="","",_xll.TimTinhChatDat(B102,$H$12:$I$26))</f>
        <v/>
      </c>
      <c r="E102" s="41" t="str">
        <f>IFERROR(_xll.TinhGammaqbCMS($D$19,_xll.TimTinhChatDatCotTU(B102,$H$12:$Q$25,9),_xll.TimTinhChatDatCotTU(B102,$H$12:$Q$25,9),_xll.TimTinhChatDatCotTU(B102,$H$12:$Q$25,3),$D$12,_xll.TimTinhChatDatCotTU(B102,$H$12:$Q$25,8),$D$20),"")</f>
        <v/>
      </c>
      <c r="F102" s="82" t="str">
        <f>IF(B102="","",_xll.Qb_CocMaSatCMD(B102,$H$12:$O$25,$D$23,$D$25,$H$32,$D$13,$D$27,$D$26,"qb"))</f>
        <v/>
      </c>
      <c r="G102" s="95" t="str">
        <f t="shared" si="5"/>
        <v/>
      </c>
      <c r="H102" s="96" t="str">
        <f>IF(B102="","",_xll.flu_CocMaSatCMD($D$24,$D$16,$D$17,$D$25,$H$12:$O$25,FALSE,FALSE,$D$18,$D$13,$K$32,$H$32,A102,"GanmaRf"))</f>
        <v/>
      </c>
      <c r="I102" s="96" t="str">
        <f>IF(B102="","",_xll.flu_CocMaSatCMD($D$24,$D$16,$D$17,$D$25,$H$12:$O$25,FALSE,FALSE,$D$18,$D$13,$K$32,$H$32,A102,"Li"))</f>
        <v/>
      </c>
      <c r="J102" s="41" t="str">
        <f>IFERROR(_xll.TinhGammafiCMS($D$19,_xll.TimTinhChatDatCotTU(B102,$H$12:$Q$25,9),_xll.TimTinhChatDatCotTU(B102,$H$12:$Q$25,9),_xll.TimTinhChatDatCotTU(B102,$H$12:$Q$25,3),$D$12,_xll.TimTinhChatDatCotTU(B102,$H$12:$Q$25,8),$D$20),"")</f>
        <v/>
      </c>
      <c r="K102" s="95" t="str">
        <f>IF(B102="","",IF(B102&lt;=$I$30,0,_xll.flu_CocMaSatCMD($D$24,$D$16,$D$17,$D$25,$H$12:$O$25,FALSE,FALSE,$D$18,$D$13,$K$32,$H$32,A102,"f")))</f>
        <v/>
      </c>
      <c r="L102" s="95" t="str">
        <f t="shared" si="6"/>
        <v/>
      </c>
      <c r="M102" s="95" t="str">
        <f t="shared" si="4"/>
        <v/>
      </c>
      <c r="N102" s="87" t="str">
        <f t="shared" si="3"/>
        <v/>
      </c>
      <c r="O102" s="42"/>
      <c r="P102"/>
      <c r="Q102"/>
      <c r="R102"/>
      <c r="S102"/>
      <c r="T102"/>
    </row>
    <row r="103" spans="1:20" s="36" customFormat="1">
      <c r="A103" s="87">
        <f t="shared" si="2"/>
        <v>60</v>
      </c>
      <c r="B103" s="83" t="str">
        <f>_xll.flu_CocMaSatCMD($D$24,$D$16,$D$17,$D$25,$H$12:$O$26,FALSE,FALSE,$D$18,$D$13,$K$32,$H$32,A103,"Cao độ")</f>
        <v/>
      </c>
      <c r="C103" s="87" t="str">
        <f>IF(B103="","",_xll.TimTenLoaiDat(B103,$F$12:$H$26))</f>
        <v/>
      </c>
      <c r="D103" s="82" t="str">
        <f>IF(B103="","",_xll.TimTinhChatDat(B103,$H$12:$I$26))</f>
        <v/>
      </c>
      <c r="E103" s="41" t="str">
        <f>IFERROR(_xll.TinhGammaqbCMS($D$19,_xll.TimTinhChatDatCotTU(B103,$H$12:$Q$25,9),_xll.TimTinhChatDatCotTU(B103,$H$12:$Q$25,9),_xll.TimTinhChatDatCotTU(B103,$H$12:$Q$25,3),$D$12,_xll.TimTinhChatDatCotTU(B103,$H$12:$Q$25,8),$D$20),"")</f>
        <v/>
      </c>
      <c r="F103" s="82" t="str">
        <f>IF(B103="","",_xll.Qb_CocMaSatCMD(B103,$H$12:$O$25,$D$23,$D$25,$H$32,$D$13,$D$27,$D$26,"qb"))</f>
        <v/>
      </c>
      <c r="G103" s="95" t="str">
        <f t="shared" si="5"/>
        <v/>
      </c>
      <c r="H103" s="96" t="str">
        <f>IF(B103="","",_xll.flu_CocMaSatCMD($D$24,$D$16,$D$17,$D$25,$H$12:$O$25,FALSE,FALSE,$D$18,$D$13,$K$32,$H$32,A103,"GanmaRf"))</f>
        <v/>
      </c>
      <c r="I103" s="96" t="str">
        <f>IF(B103="","",_xll.flu_CocMaSatCMD($D$24,$D$16,$D$17,$D$25,$H$12:$O$25,FALSE,FALSE,$D$18,$D$13,$K$32,$H$32,A103,"Li"))</f>
        <v/>
      </c>
      <c r="J103" s="41" t="str">
        <f>IFERROR(_xll.TinhGammafiCMS($D$19,_xll.TimTinhChatDatCotTU(B103,$H$12:$Q$25,9),_xll.TimTinhChatDatCotTU(B103,$H$12:$Q$25,9),_xll.TimTinhChatDatCotTU(B103,$H$12:$Q$25,3),$D$12,_xll.TimTinhChatDatCotTU(B103,$H$12:$Q$25,8),$D$20),"")</f>
        <v/>
      </c>
      <c r="K103" s="95" t="str">
        <f>IF(B103="","",IF(B103&lt;=$I$30,0,_xll.flu_CocMaSatCMD($D$24,$D$16,$D$17,$D$25,$H$12:$O$25,FALSE,FALSE,$D$18,$D$13,$K$32,$H$32,A103,"f")))</f>
        <v/>
      </c>
      <c r="L103" s="95" t="str">
        <f t="shared" si="6"/>
        <v/>
      </c>
      <c r="M103" s="95" t="str">
        <f t="shared" si="4"/>
        <v/>
      </c>
      <c r="N103" s="87" t="str">
        <f t="shared" si="3"/>
        <v/>
      </c>
      <c r="O103" s="42"/>
      <c r="P103"/>
      <c r="Q103"/>
      <c r="R103"/>
      <c r="S103"/>
      <c r="T103"/>
    </row>
    <row r="104" spans="1:20" s="36" customFormat="1">
      <c r="A104" s="87">
        <f t="shared" si="2"/>
        <v>61</v>
      </c>
      <c r="B104" s="83" t="str">
        <f>_xll.flu_CocMaSatCMD($D$24,$D$16,$D$17,$D$25,$H$12:$O$26,FALSE,FALSE,$D$18,$D$13,$K$32,$H$32,A104,"Cao độ")</f>
        <v/>
      </c>
      <c r="C104" s="87" t="str">
        <f>IF(B104="","",_xll.TimTenLoaiDat(B104,$F$12:$H$26))</f>
        <v/>
      </c>
      <c r="D104" s="82" t="str">
        <f>IF(B104="","",_xll.TimTinhChatDat(B104,$H$12:$I$26))</f>
        <v/>
      </c>
      <c r="E104" s="41" t="str">
        <f>IFERROR(_xll.TinhGammaqbCMS($D$19,_xll.TimTinhChatDatCotTU(B104,$H$12:$Q$25,9),_xll.TimTinhChatDatCotTU(B104,$H$12:$Q$25,9),_xll.TimTinhChatDatCotTU(B104,$H$12:$Q$25,3),$D$12,_xll.TimTinhChatDatCotTU(B104,$H$12:$Q$25,8),$D$20),"")</f>
        <v/>
      </c>
      <c r="F104" s="82" t="str">
        <f>IF(B104="","",_xll.Qb_CocMaSatCMD(B104,$H$12:$O$25,$D$23,$D$25,$H$32,$D$13,$D$27,$D$26,"qb"))</f>
        <v/>
      </c>
      <c r="G104" s="95" t="str">
        <f t="shared" si="5"/>
        <v/>
      </c>
      <c r="H104" s="96" t="str">
        <f>IF(B104="","",_xll.flu_CocMaSatCMD($D$24,$D$16,$D$17,$D$25,$H$12:$O$25,FALSE,FALSE,$D$18,$D$13,$K$32,$H$32,A104,"GanmaRf"))</f>
        <v/>
      </c>
      <c r="I104" s="96" t="str">
        <f>IF(B104="","",_xll.flu_CocMaSatCMD($D$24,$D$16,$D$17,$D$25,$H$12:$O$25,FALSE,FALSE,$D$18,$D$13,$K$32,$H$32,A104,"Li"))</f>
        <v/>
      </c>
      <c r="J104" s="41" t="str">
        <f>IFERROR(_xll.TinhGammafiCMS($D$19,_xll.TimTinhChatDatCotTU(B104,$H$12:$Q$25,9),_xll.TimTinhChatDatCotTU(B104,$H$12:$Q$25,9),_xll.TimTinhChatDatCotTU(B104,$H$12:$Q$25,3),$D$12,_xll.TimTinhChatDatCotTU(B104,$H$12:$Q$25,8),$D$20),"")</f>
        <v/>
      </c>
      <c r="K104" s="95" t="str">
        <f>IF(B104="","",IF(B104&lt;=$I$30,0,_xll.flu_CocMaSatCMD($D$24,$D$16,$D$17,$D$25,$H$12:$O$25,FALSE,FALSE,$D$18,$D$13,$K$32,$H$32,A104,"f")))</f>
        <v/>
      </c>
      <c r="L104" s="95" t="str">
        <f t="shared" si="6"/>
        <v/>
      </c>
      <c r="M104" s="95" t="str">
        <f t="shared" si="4"/>
        <v/>
      </c>
      <c r="N104" s="87" t="str">
        <f t="shared" si="3"/>
        <v/>
      </c>
      <c r="O104" s="42"/>
      <c r="P104"/>
      <c r="Q104"/>
      <c r="R104"/>
      <c r="S104"/>
      <c r="T104"/>
    </row>
    <row r="105" spans="1:20" s="36" customFormat="1">
      <c r="A105" s="87">
        <f t="shared" si="2"/>
        <v>62</v>
      </c>
      <c r="B105" s="83" t="str">
        <f>_xll.flu_CocMaSatCMD($D$24,$D$16,$D$17,$D$25,$H$12:$O$26,FALSE,FALSE,$D$18,$D$13,$K$32,$H$32,A105,"Cao độ")</f>
        <v/>
      </c>
      <c r="C105" s="87" t="str">
        <f>IF(B105="","",_xll.TimTenLoaiDat(B105,$F$12:$H$26))</f>
        <v/>
      </c>
      <c r="D105" s="82" t="str">
        <f>IF(B105="","",_xll.TimTinhChatDat(B105,$H$12:$I$26))</f>
        <v/>
      </c>
      <c r="E105" s="41" t="str">
        <f>IFERROR(_xll.TinhGammaqbCMS($D$19,_xll.TimTinhChatDatCotTU(B105,$H$12:$Q$25,9),_xll.TimTinhChatDatCotTU(B105,$H$12:$Q$25,9),_xll.TimTinhChatDatCotTU(B105,$H$12:$Q$25,3),$D$12,_xll.TimTinhChatDatCotTU(B105,$H$12:$Q$25,8),$D$20),"")</f>
        <v/>
      </c>
      <c r="F105" s="82" t="str">
        <f>IF(B105="","",_xll.Qb_CocMaSatCMD(B105,$H$12:$O$25,$D$23,$D$25,$H$32,$D$13,$D$27,$D$26,"qb"))</f>
        <v/>
      </c>
      <c r="G105" s="95" t="str">
        <f t="shared" si="5"/>
        <v/>
      </c>
      <c r="H105" s="96" t="str">
        <f>IF(B105="","",_xll.flu_CocMaSatCMD($D$24,$D$16,$D$17,$D$25,$H$12:$O$25,FALSE,FALSE,$D$18,$D$13,$K$32,$H$32,A105,"GanmaRf"))</f>
        <v/>
      </c>
      <c r="I105" s="96" t="str">
        <f>IF(B105="","",_xll.flu_CocMaSatCMD($D$24,$D$16,$D$17,$D$25,$H$12:$O$25,FALSE,FALSE,$D$18,$D$13,$K$32,$H$32,A105,"Li"))</f>
        <v/>
      </c>
      <c r="J105" s="41" t="str">
        <f>IFERROR(_xll.TinhGammafiCMS($D$19,_xll.TimTinhChatDatCotTU(B105,$H$12:$Q$25,9),_xll.TimTinhChatDatCotTU(B105,$H$12:$Q$25,9),_xll.TimTinhChatDatCotTU(B105,$H$12:$Q$25,3),$D$12,_xll.TimTinhChatDatCotTU(B105,$H$12:$Q$25,8),$D$20),"")</f>
        <v/>
      </c>
      <c r="K105" s="95" t="str">
        <f>IF(B105="","",IF(B105&lt;=$I$30,0,_xll.flu_CocMaSatCMD($D$24,$D$16,$D$17,$D$25,$H$12:$O$25,FALSE,FALSE,$D$18,$D$13,$K$32,$H$32,A105,"f")))</f>
        <v/>
      </c>
      <c r="L105" s="95" t="str">
        <f t="shared" si="6"/>
        <v/>
      </c>
      <c r="M105" s="95" t="str">
        <f t="shared" si="4"/>
        <v/>
      </c>
      <c r="N105" s="87" t="str">
        <f t="shared" si="3"/>
        <v/>
      </c>
      <c r="O105" s="42"/>
      <c r="P105"/>
      <c r="Q105"/>
      <c r="R105"/>
      <c r="S105"/>
      <c r="T105"/>
    </row>
    <row r="106" spans="1:20" s="36" customFormat="1">
      <c r="A106" s="87">
        <f t="shared" si="2"/>
        <v>63</v>
      </c>
      <c r="B106" s="83" t="str">
        <f>_xll.flu_CocMaSatCMD($D$24,$D$16,$D$17,$D$25,$H$12:$O$26,FALSE,FALSE,$D$18,$D$13,$K$32,$H$32,A106,"Cao độ")</f>
        <v/>
      </c>
      <c r="C106" s="87" t="str">
        <f>IF(B106="","",_xll.TimTenLoaiDat(B106,$F$12:$H$26))</f>
        <v/>
      </c>
      <c r="D106" s="82" t="str">
        <f>IF(B106="","",_xll.TimTinhChatDat(B106,$H$12:$I$26))</f>
        <v/>
      </c>
      <c r="E106" s="41" t="str">
        <f>IFERROR(_xll.TinhGammaqbCMS($D$19,_xll.TimTinhChatDatCotTU(B106,$H$12:$Q$25,9),_xll.TimTinhChatDatCotTU(B106,$H$12:$Q$25,9),_xll.TimTinhChatDatCotTU(B106,$H$12:$Q$25,3),$D$12,_xll.TimTinhChatDatCotTU(B106,$H$12:$Q$25,8),$D$20),"")</f>
        <v/>
      </c>
      <c r="F106" s="82" t="str">
        <f>IF(B106="","",_xll.Qb_CocMaSatCMD(B106,$H$12:$O$25,$D$23,$D$25,$H$32,$D$13,$D$27,$D$26,"qb"))</f>
        <v/>
      </c>
      <c r="G106" s="95" t="str">
        <f t="shared" si="5"/>
        <v/>
      </c>
      <c r="H106" s="96" t="str">
        <f>IF(B106="","",_xll.flu_CocMaSatCMD($D$24,$D$16,$D$17,$D$25,$H$12:$O$25,FALSE,FALSE,$D$18,$D$13,$K$32,$H$32,A106,"GanmaRf"))</f>
        <v/>
      </c>
      <c r="I106" s="96" t="str">
        <f>IF(B106="","",_xll.flu_CocMaSatCMD($D$24,$D$16,$D$17,$D$25,$H$12:$O$25,FALSE,FALSE,$D$18,$D$13,$K$32,$H$32,A106,"Li"))</f>
        <v/>
      </c>
      <c r="J106" s="41" t="str">
        <f>IFERROR(_xll.TinhGammafiCMS($D$19,_xll.TimTinhChatDatCotTU(B106,$H$12:$Q$25,9),_xll.TimTinhChatDatCotTU(B106,$H$12:$Q$25,9),_xll.TimTinhChatDatCotTU(B106,$H$12:$Q$25,3),$D$12,_xll.TimTinhChatDatCotTU(B106,$H$12:$Q$25,8),$D$20),"")</f>
        <v/>
      </c>
      <c r="K106" s="95" t="str">
        <f>IF(B106="","",IF(B106&lt;=$I$30,0,_xll.flu_CocMaSatCMD($D$24,$D$16,$D$17,$D$25,$H$12:$O$25,FALSE,FALSE,$D$18,$D$13,$K$32,$H$32,A106,"f")))</f>
        <v/>
      </c>
      <c r="L106" s="95" t="str">
        <f t="shared" si="6"/>
        <v/>
      </c>
      <c r="M106" s="95" t="str">
        <f t="shared" si="4"/>
        <v/>
      </c>
      <c r="N106" s="87" t="str">
        <f t="shared" si="3"/>
        <v/>
      </c>
      <c r="O106" s="42"/>
      <c r="P106"/>
      <c r="Q106"/>
      <c r="R106"/>
      <c r="S106"/>
      <c r="T106"/>
    </row>
    <row r="107" spans="1:20" s="36" customFormat="1">
      <c r="A107" s="87">
        <f t="shared" si="2"/>
        <v>64</v>
      </c>
      <c r="B107" s="83" t="str">
        <f>_xll.flu_CocMaSatCMD($D$24,$D$16,$D$17,$D$25,$H$12:$O$26,FALSE,FALSE,$D$18,$D$13,$K$32,$H$32,A107,"Cao độ")</f>
        <v/>
      </c>
      <c r="C107" s="87" t="str">
        <f>IF(B107="","",_xll.TimTenLoaiDat(B107,$F$12:$H$26))</f>
        <v/>
      </c>
      <c r="D107" s="82" t="str">
        <f>IF(B107="","",_xll.TimTinhChatDat(B107,$H$12:$I$26))</f>
        <v/>
      </c>
      <c r="E107" s="41" t="str">
        <f>IFERROR(_xll.TinhGammaqbCMS($D$19,_xll.TimTinhChatDatCotTU(B107,$H$12:$Q$25,9),_xll.TimTinhChatDatCotTU(B107,$H$12:$Q$25,9),_xll.TimTinhChatDatCotTU(B107,$H$12:$Q$25,3),$D$12,_xll.TimTinhChatDatCotTU(B107,$H$12:$Q$25,8),$D$20),"")</f>
        <v/>
      </c>
      <c r="F107" s="82" t="str">
        <f>IF(B107="","",_xll.Qb_CocMaSatCMD(B107,$H$12:$O$25,$D$23,$D$25,$H$32,$D$13,$D$27,$D$26,"qb"))</f>
        <v/>
      </c>
      <c r="G107" s="95" t="str">
        <f t="shared" ref="G107:G138" si="7">IF(B107="","",IFERROR($D$25*$D$26*F107*$D$23*E107,0))</f>
        <v/>
      </c>
      <c r="H107" s="96" t="str">
        <f>IF(B107="","",_xll.flu_CocMaSatCMD($D$24,$D$16,$D$17,$D$25,$H$12:$O$25,FALSE,FALSE,$D$18,$D$13,$K$32,$H$32,A107,"GanmaRf"))</f>
        <v/>
      </c>
      <c r="I107" s="96" t="str">
        <f>IF(B107="","",_xll.flu_CocMaSatCMD($D$24,$D$16,$D$17,$D$25,$H$12:$O$25,FALSE,FALSE,$D$18,$D$13,$K$32,$H$32,A107,"Li"))</f>
        <v/>
      </c>
      <c r="J107" s="41" t="str">
        <f>IFERROR(_xll.TinhGammafiCMS($D$19,_xll.TimTinhChatDatCotTU(B107,$H$12:$Q$25,9),_xll.TimTinhChatDatCotTU(B107,$H$12:$Q$25,9),_xll.TimTinhChatDatCotTU(B107,$H$12:$Q$25,3),$D$12,_xll.TimTinhChatDatCotTU(B107,$H$12:$Q$25,8),$D$20),"")</f>
        <v/>
      </c>
      <c r="K107" s="95" t="str">
        <f>IF(B107="","",IF(B107&lt;=$I$30,0,_xll.flu_CocMaSatCMD($D$24,$D$16,$D$17,$D$25,$H$12:$O$25,FALSE,FALSE,$D$18,$D$13,$K$32,$H$32,A107,"f")))</f>
        <v/>
      </c>
      <c r="L107" s="95" t="str">
        <f t="shared" ref="L107:L138" si="8">IF(B107="","",J107*$D$25*H107*K107*I107*$D$24)</f>
        <v/>
      </c>
      <c r="M107" s="95" t="str">
        <f t="shared" si="4"/>
        <v/>
      </c>
      <c r="N107" s="87" t="str">
        <f t="shared" si="3"/>
        <v/>
      </c>
      <c r="O107" s="42"/>
      <c r="P107"/>
      <c r="Q107"/>
      <c r="R107"/>
      <c r="S107"/>
      <c r="T107"/>
    </row>
    <row r="108" spans="1:20" s="36" customFormat="1">
      <c r="A108" s="87">
        <f t="shared" ref="A108:A150" si="9">+A107+1</f>
        <v>65</v>
      </c>
      <c r="B108" s="83" t="str">
        <f>_xll.flu_CocMaSatCMD($D$24,$D$16,$D$17,$D$25,$H$12:$O$26,FALSE,FALSE,$D$18,$D$13,$K$32,$H$32,A108,"Cao độ")</f>
        <v/>
      </c>
      <c r="C108" s="87" t="str">
        <f>IF(B108="","",_xll.TimTenLoaiDat(B108,$F$12:$H$26))</f>
        <v/>
      </c>
      <c r="D108" s="82" t="str">
        <f>IF(B108="","",_xll.TimTinhChatDat(B108,$H$12:$I$26))</f>
        <v/>
      </c>
      <c r="E108" s="41" t="str">
        <f>IFERROR(_xll.TinhGammaqbCMS($D$19,_xll.TimTinhChatDatCotTU(B108,$H$12:$Q$25,9),_xll.TimTinhChatDatCotTU(B108,$H$12:$Q$25,9),_xll.TimTinhChatDatCotTU(B108,$H$12:$Q$25,3),$D$12,_xll.TimTinhChatDatCotTU(B108,$H$12:$Q$25,8),$D$20),"")</f>
        <v/>
      </c>
      <c r="F108" s="82" t="str">
        <f>IF(B108="","",_xll.Qb_CocMaSatCMD(B108,$H$12:$O$25,$D$23,$D$25,$H$32,$D$13,$D$27,$D$26,"qb"))</f>
        <v/>
      </c>
      <c r="G108" s="95" t="str">
        <f t="shared" si="7"/>
        <v/>
      </c>
      <c r="H108" s="96" t="str">
        <f>IF(B108="","",_xll.flu_CocMaSatCMD($D$24,$D$16,$D$17,$D$25,$H$12:$O$25,FALSE,FALSE,$D$18,$D$13,$K$32,$H$32,A108,"GanmaRf"))</f>
        <v/>
      </c>
      <c r="I108" s="96" t="str">
        <f>IF(B108="","",_xll.flu_CocMaSatCMD($D$24,$D$16,$D$17,$D$25,$H$12:$O$25,FALSE,FALSE,$D$18,$D$13,$K$32,$H$32,A108,"Li"))</f>
        <v/>
      </c>
      <c r="J108" s="41" t="str">
        <f>IFERROR(_xll.TinhGammafiCMS($D$19,_xll.TimTinhChatDatCotTU(B108,$H$12:$Q$25,9),_xll.TimTinhChatDatCotTU(B108,$H$12:$Q$25,9),_xll.TimTinhChatDatCotTU(B108,$H$12:$Q$25,3),$D$12,_xll.TimTinhChatDatCotTU(B108,$H$12:$Q$25,8),$D$20),"")</f>
        <v/>
      </c>
      <c r="K108" s="95" t="str">
        <f>IF(B108="","",IF(B108&lt;=$I$30,0,_xll.flu_CocMaSatCMD($D$24,$D$16,$D$17,$D$25,$H$12:$O$25,FALSE,FALSE,$D$18,$D$13,$K$32,$H$32,A108,"f")))</f>
        <v/>
      </c>
      <c r="L108" s="95" t="str">
        <f t="shared" si="8"/>
        <v/>
      </c>
      <c r="M108" s="95" t="str">
        <f t="shared" si="4"/>
        <v/>
      </c>
      <c r="N108" s="87" t="str">
        <f t="shared" ref="N108:N150" si="10">IFERROR(M108+G108,"")</f>
        <v/>
      </c>
      <c r="O108" s="42"/>
      <c r="P108"/>
      <c r="Q108"/>
      <c r="R108"/>
      <c r="S108"/>
      <c r="T108"/>
    </row>
    <row r="109" spans="1:20" s="36" customFormat="1">
      <c r="A109" s="87">
        <f t="shared" si="9"/>
        <v>66</v>
      </c>
      <c r="B109" s="83" t="str">
        <f>_xll.flu_CocMaSatCMD($D$24,$D$16,$D$17,$D$25,$H$12:$O$26,FALSE,FALSE,$D$18,$D$13,$K$32,$H$32,A109,"Cao độ")</f>
        <v/>
      </c>
      <c r="C109" s="87" t="str">
        <f>IF(B109="","",_xll.TimTenLoaiDat(B109,$F$12:$H$26))</f>
        <v/>
      </c>
      <c r="D109" s="82" t="str">
        <f>IF(B109="","",_xll.TimTinhChatDat(B109,$H$12:$I$26))</f>
        <v/>
      </c>
      <c r="E109" s="41" t="str">
        <f>IFERROR(_xll.TinhGammaqbCMS($D$19,_xll.TimTinhChatDatCotTU(B109,$H$12:$Q$25,9),_xll.TimTinhChatDatCotTU(B109,$H$12:$Q$25,9),_xll.TimTinhChatDatCotTU(B109,$H$12:$Q$25,3),$D$12,_xll.TimTinhChatDatCotTU(B109,$H$12:$Q$25,8),$D$20),"")</f>
        <v/>
      </c>
      <c r="F109" s="82" t="str">
        <f>IF(B109="","",_xll.Qb_CocMaSatCMD(B109,$H$12:$O$25,$D$23,$D$25,$H$32,$D$13,$D$27,$D$26,"qb"))</f>
        <v/>
      </c>
      <c r="G109" s="95" t="str">
        <f t="shared" si="7"/>
        <v/>
      </c>
      <c r="H109" s="96" t="str">
        <f>IF(B109="","",_xll.flu_CocMaSatCMD($D$24,$D$16,$D$17,$D$25,$H$12:$O$25,FALSE,FALSE,$D$18,$D$13,$K$32,$H$32,A109,"GanmaRf"))</f>
        <v/>
      </c>
      <c r="I109" s="96" t="str">
        <f>IF(B109="","",_xll.flu_CocMaSatCMD($D$24,$D$16,$D$17,$D$25,$H$12:$O$25,FALSE,FALSE,$D$18,$D$13,$K$32,$H$32,A109,"Li"))</f>
        <v/>
      </c>
      <c r="J109" s="41" t="str">
        <f>IFERROR(_xll.TinhGammafiCMS($D$19,_xll.TimTinhChatDatCotTU(B109,$H$12:$Q$25,9),_xll.TimTinhChatDatCotTU(B109,$H$12:$Q$25,9),_xll.TimTinhChatDatCotTU(B109,$H$12:$Q$25,3),$D$12,_xll.TimTinhChatDatCotTU(B109,$H$12:$Q$25,8),$D$20),"")</f>
        <v/>
      </c>
      <c r="K109" s="95" t="str">
        <f>IF(B109="","",IF(B109&lt;=$I$30,0,_xll.flu_CocMaSatCMD($D$24,$D$16,$D$17,$D$25,$H$12:$O$25,FALSE,FALSE,$D$18,$D$13,$K$32,$H$32,A109,"f")))</f>
        <v/>
      </c>
      <c r="L109" s="95" t="str">
        <f t="shared" si="8"/>
        <v/>
      </c>
      <c r="M109" s="95" t="str">
        <f t="shared" ref="M109:M150" si="11">IF(B109="","",L109+M108)</f>
        <v/>
      </c>
      <c r="N109" s="87" t="str">
        <f t="shared" si="10"/>
        <v/>
      </c>
      <c r="O109" s="42"/>
      <c r="P109"/>
      <c r="Q109"/>
      <c r="R109"/>
      <c r="S109"/>
      <c r="T109"/>
    </row>
    <row r="110" spans="1:20" s="36" customFormat="1">
      <c r="A110" s="87">
        <f t="shared" si="9"/>
        <v>67</v>
      </c>
      <c r="B110" s="83" t="str">
        <f>_xll.flu_CocMaSatCMD($D$24,$D$16,$D$17,$D$25,$H$12:$O$26,FALSE,FALSE,$D$18,$D$13,$K$32,$H$32,A110,"Cao độ")</f>
        <v/>
      </c>
      <c r="C110" s="87" t="str">
        <f>IF(B110="","",_xll.TimTenLoaiDat(B110,$F$12:$H$26))</f>
        <v/>
      </c>
      <c r="D110" s="82" t="str">
        <f>IF(B110="","",_xll.TimTinhChatDat(B110,$H$12:$I$26))</f>
        <v/>
      </c>
      <c r="E110" s="41" t="str">
        <f>IFERROR(_xll.TinhGammaqbCMS($D$19,_xll.TimTinhChatDatCotTU(B110,$H$12:$Q$25,9),_xll.TimTinhChatDatCotTU(B110,$H$12:$Q$25,9),_xll.TimTinhChatDatCotTU(B110,$H$12:$Q$25,3),$D$12,_xll.TimTinhChatDatCotTU(B110,$H$12:$Q$25,8),$D$20),"")</f>
        <v/>
      </c>
      <c r="F110" s="82" t="str">
        <f>IF(B110="","",_xll.Qb_CocMaSatCMD(B110,$H$12:$O$25,$D$23,$D$25,$H$32,$D$13,$D$27,$D$26,"qb"))</f>
        <v/>
      </c>
      <c r="G110" s="95" t="str">
        <f t="shared" si="7"/>
        <v/>
      </c>
      <c r="H110" s="96" t="str">
        <f>IF(B110="","",_xll.flu_CocMaSatCMD($D$24,$D$16,$D$17,$D$25,$H$12:$O$25,FALSE,FALSE,$D$18,$D$13,$K$32,$H$32,A110,"GanmaRf"))</f>
        <v/>
      </c>
      <c r="I110" s="96" t="str">
        <f>IF(B110="","",_xll.flu_CocMaSatCMD($D$24,$D$16,$D$17,$D$25,$H$12:$O$25,FALSE,FALSE,$D$18,$D$13,$K$32,$H$32,A110,"Li"))</f>
        <v/>
      </c>
      <c r="J110" s="41" t="str">
        <f>IFERROR(_xll.TinhGammafiCMS($D$19,_xll.TimTinhChatDatCotTU(B110,$H$12:$Q$25,9),_xll.TimTinhChatDatCotTU(B110,$H$12:$Q$25,9),_xll.TimTinhChatDatCotTU(B110,$H$12:$Q$25,3),$D$12,_xll.TimTinhChatDatCotTU(B110,$H$12:$Q$25,8),$D$20),"")</f>
        <v/>
      </c>
      <c r="K110" s="95" t="str">
        <f>IF(B110="","",IF(B110&lt;=$I$30,0,_xll.flu_CocMaSatCMD($D$24,$D$16,$D$17,$D$25,$H$12:$O$25,FALSE,FALSE,$D$18,$D$13,$K$32,$H$32,A110,"f")))</f>
        <v/>
      </c>
      <c r="L110" s="95" t="str">
        <f t="shared" si="8"/>
        <v/>
      </c>
      <c r="M110" s="95" t="str">
        <f t="shared" si="11"/>
        <v/>
      </c>
      <c r="N110" s="87" t="str">
        <f t="shared" si="10"/>
        <v/>
      </c>
      <c r="O110" s="42"/>
      <c r="P110"/>
      <c r="Q110"/>
      <c r="R110"/>
      <c r="S110"/>
      <c r="T110"/>
    </row>
    <row r="111" spans="1:20" s="36" customFormat="1">
      <c r="A111" s="87">
        <f t="shared" si="9"/>
        <v>68</v>
      </c>
      <c r="B111" s="83" t="str">
        <f>_xll.flu_CocMaSatCMD($D$24,$D$16,$D$17,$D$25,$H$12:$O$26,FALSE,FALSE,$D$18,$D$13,$K$32,$H$32,A111,"Cao độ")</f>
        <v/>
      </c>
      <c r="C111" s="87" t="str">
        <f>IF(B111="","",_xll.TimTenLoaiDat(B111,$F$12:$H$26))</f>
        <v/>
      </c>
      <c r="D111" s="82" t="str">
        <f>IF(B111="","",_xll.TimTinhChatDat(B111,$H$12:$I$26))</f>
        <v/>
      </c>
      <c r="E111" s="41" t="str">
        <f>IFERROR(_xll.TinhGammaqbCMS($D$19,_xll.TimTinhChatDatCotTU(B111,$H$12:$Q$25,9),_xll.TimTinhChatDatCotTU(B111,$H$12:$Q$25,9),_xll.TimTinhChatDatCotTU(B111,$H$12:$Q$25,3),$D$12,_xll.TimTinhChatDatCotTU(B111,$H$12:$Q$25,8),$D$20),"")</f>
        <v/>
      </c>
      <c r="F111" s="82" t="str">
        <f>IF(B111="","",_xll.Qb_CocMaSatCMD(B111,$H$12:$O$25,$D$23,$D$25,$H$32,$D$13,$D$27,$D$26,"qb"))</f>
        <v/>
      </c>
      <c r="G111" s="95" t="str">
        <f t="shared" si="7"/>
        <v/>
      </c>
      <c r="H111" s="96" t="str">
        <f>IF(B111="","",_xll.flu_CocMaSatCMD($D$24,$D$16,$D$17,$D$25,$H$12:$O$25,FALSE,FALSE,$D$18,$D$13,$K$32,$H$32,A111,"GanmaRf"))</f>
        <v/>
      </c>
      <c r="I111" s="96" t="str">
        <f>IF(B111="","",_xll.flu_CocMaSatCMD($D$24,$D$16,$D$17,$D$25,$H$12:$O$25,FALSE,FALSE,$D$18,$D$13,$K$32,$H$32,A111,"Li"))</f>
        <v/>
      </c>
      <c r="J111" s="41" t="str">
        <f>IFERROR(_xll.TinhGammafiCMS($D$19,_xll.TimTinhChatDatCotTU(B111,$H$12:$Q$25,9),_xll.TimTinhChatDatCotTU(B111,$H$12:$Q$25,9),_xll.TimTinhChatDatCotTU(B111,$H$12:$Q$25,3),$D$12,_xll.TimTinhChatDatCotTU(B111,$H$12:$Q$25,8),$D$20),"")</f>
        <v/>
      </c>
      <c r="K111" s="95" t="str">
        <f>IF(B111="","",IF(B111&lt;=$I$30,0,_xll.flu_CocMaSatCMD($D$24,$D$16,$D$17,$D$25,$H$12:$O$25,FALSE,FALSE,$D$18,$D$13,$K$32,$H$32,A111,"f")))</f>
        <v/>
      </c>
      <c r="L111" s="95" t="str">
        <f t="shared" si="8"/>
        <v/>
      </c>
      <c r="M111" s="95" t="str">
        <f t="shared" si="11"/>
        <v/>
      </c>
      <c r="N111" s="87" t="str">
        <f t="shared" si="10"/>
        <v/>
      </c>
      <c r="O111" s="42"/>
      <c r="P111"/>
      <c r="Q111"/>
      <c r="R111"/>
      <c r="S111"/>
      <c r="T111"/>
    </row>
    <row r="112" spans="1:20" s="36" customFormat="1">
      <c r="A112" s="87">
        <f t="shared" si="9"/>
        <v>69</v>
      </c>
      <c r="B112" s="83" t="str">
        <f>_xll.flu_CocMaSatCMD($D$24,$D$16,$D$17,$D$25,$H$12:$O$26,FALSE,FALSE,$D$18,$D$13,$K$32,$H$32,A112,"Cao độ")</f>
        <v/>
      </c>
      <c r="C112" s="87" t="str">
        <f>IF(B112="","",_xll.TimTenLoaiDat(B112,$F$12:$H$26))</f>
        <v/>
      </c>
      <c r="D112" s="82" t="str">
        <f>IF(B112="","",_xll.TimTinhChatDat(B112,$H$12:$I$26))</f>
        <v/>
      </c>
      <c r="E112" s="41" t="str">
        <f>IFERROR(_xll.TinhGammaqbCMS($D$19,_xll.TimTinhChatDatCotTU(B112,$H$12:$Q$25,9),_xll.TimTinhChatDatCotTU(B112,$H$12:$Q$25,9),_xll.TimTinhChatDatCotTU(B112,$H$12:$Q$25,3),$D$12,_xll.TimTinhChatDatCotTU(B112,$H$12:$Q$25,8),$D$20),"")</f>
        <v/>
      </c>
      <c r="F112" s="82" t="str">
        <f>IF(B112="","",_xll.Qb_CocMaSatCMD(B112,$H$12:$O$25,$D$23,$D$25,$H$32,$D$13,$D$27,$D$26,"qb"))</f>
        <v/>
      </c>
      <c r="G112" s="95" t="str">
        <f t="shared" si="7"/>
        <v/>
      </c>
      <c r="H112" s="96" t="str">
        <f>IF(B112="","",_xll.flu_CocMaSatCMD($D$24,$D$16,$D$17,$D$25,$H$12:$O$25,FALSE,FALSE,$D$18,$D$13,$K$32,$H$32,A112,"GanmaRf"))</f>
        <v/>
      </c>
      <c r="I112" s="96" t="str">
        <f>IF(B112="","",_xll.flu_CocMaSatCMD($D$24,$D$16,$D$17,$D$25,$H$12:$O$25,FALSE,FALSE,$D$18,$D$13,$K$32,$H$32,A112,"Li"))</f>
        <v/>
      </c>
      <c r="J112" s="41" t="str">
        <f>IFERROR(_xll.TinhGammafiCMS($D$19,_xll.TimTinhChatDatCotTU(B112,$H$12:$Q$25,9),_xll.TimTinhChatDatCotTU(B112,$H$12:$Q$25,9),_xll.TimTinhChatDatCotTU(B112,$H$12:$Q$25,3),$D$12,_xll.TimTinhChatDatCotTU(B112,$H$12:$Q$25,8),$D$20),"")</f>
        <v/>
      </c>
      <c r="K112" s="95" t="str">
        <f>IF(B112="","",IF(B112&lt;=$I$30,0,_xll.flu_CocMaSatCMD($D$24,$D$16,$D$17,$D$25,$H$12:$O$25,FALSE,FALSE,$D$18,$D$13,$K$32,$H$32,A112,"f")))</f>
        <v/>
      </c>
      <c r="L112" s="95" t="str">
        <f t="shared" si="8"/>
        <v/>
      </c>
      <c r="M112" s="95" t="str">
        <f t="shared" si="11"/>
        <v/>
      </c>
      <c r="N112" s="87" t="str">
        <f t="shared" si="10"/>
        <v/>
      </c>
      <c r="O112" s="42"/>
      <c r="P112"/>
      <c r="Q112"/>
      <c r="R112"/>
      <c r="S112"/>
      <c r="T112"/>
    </row>
    <row r="113" spans="1:20" s="36" customFormat="1">
      <c r="A113" s="87">
        <f t="shared" si="9"/>
        <v>70</v>
      </c>
      <c r="B113" s="83" t="str">
        <f>_xll.flu_CocMaSatCMD($D$24,$D$16,$D$17,$D$25,$H$12:$O$26,FALSE,FALSE,$D$18,$D$13,$K$32,$H$32,A113,"Cao độ")</f>
        <v/>
      </c>
      <c r="C113" s="87" t="str">
        <f>IF(B113="","",_xll.TimTenLoaiDat(B113,$F$12:$H$26))</f>
        <v/>
      </c>
      <c r="D113" s="82" t="str">
        <f>IF(B113="","",_xll.TimTinhChatDat(B113,$H$12:$I$26))</f>
        <v/>
      </c>
      <c r="E113" s="41" t="str">
        <f>IFERROR(_xll.TinhGammaqbCMS($D$19,_xll.TimTinhChatDatCotTU(B113,$H$12:$Q$25,9),_xll.TimTinhChatDatCotTU(B113,$H$12:$Q$25,9),_xll.TimTinhChatDatCotTU(B113,$H$12:$Q$25,3),$D$12,_xll.TimTinhChatDatCotTU(B113,$H$12:$Q$25,8),$D$20),"")</f>
        <v/>
      </c>
      <c r="F113" s="82" t="str">
        <f>IF(B113="","",_xll.Qb_CocMaSatCMD(B113,$H$12:$O$25,$D$23,$D$25,$H$32,$D$13,$D$27,$D$26,"qb"))</f>
        <v/>
      </c>
      <c r="G113" s="95" t="str">
        <f t="shared" si="7"/>
        <v/>
      </c>
      <c r="H113" s="96" t="str">
        <f>IF(B113="","",_xll.flu_CocMaSatCMD($D$24,$D$16,$D$17,$D$25,$H$12:$O$25,FALSE,FALSE,$D$18,$D$13,$K$32,$H$32,A113,"GanmaRf"))</f>
        <v/>
      </c>
      <c r="I113" s="96" t="str">
        <f>IF(B113="","",_xll.flu_CocMaSatCMD($D$24,$D$16,$D$17,$D$25,$H$12:$O$25,FALSE,FALSE,$D$18,$D$13,$K$32,$H$32,A113,"Li"))</f>
        <v/>
      </c>
      <c r="J113" s="41" t="str">
        <f>IFERROR(_xll.TinhGammafiCMS($D$19,_xll.TimTinhChatDatCotTU(B113,$H$12:$Q$25,9),_xll.TimTinhChatDatCotTU(B113,$H$12:$Q$25,9),_xll.TimTinhChatDatCotTU(B113,$H$12:$Q$25,3),$D$12,_xll.TimTinhChatDatCotTU(B113,$H$12:$Q$25,8),$D$20),"")</f>
        <v/>
      </c>
      <c r="K113" s="95" t="str">
        <f>IF(B113="","",IF(B113&lt;=$I$30,0,_xll.flu_CocMaSatCMD($D$24,$D$16,$D$17,$D$25,$H$12:$O$25,FALSE,FALSE,$D$18,$D$13,$K$32,$H$32,A113,"f")))</f>
        <v/>
      </c>
      <c r="L113" s="95" t="str">
        <f t="shared" si="8"/>
        <v/>
      </c>
      <c r="M113" s="95" t="str">
        <f t="shared" si="11"/>
        <v/>
      </c>
      <c r="N113" s="87" t="str">
        <f t="shared" si="10"/>
        <v/>
      </c>
      <c r="O113" s="42"/>
      <c r="P113"/>
      <c r="Q113"/>
      <c r="R113"/>
      <c r="S113"/>
      <c r="T113"/>
    </row>
    <row r="114" spans="1:20" s="36" customFormat="1">
      <c r="A114" s="87">
        <f t="shared" si="9"/>
        <v>71</v>
      </c>
      <c r="B114" s="83" t="str">
        <f>_xll.flu_CocMaSatCMD($D$24,$D$16,$D$17,$D$25,$H$12:$O$26,FALSE,FALSE,$D$18,$D$13,$K$32,$H$32,A114,"Cao độ")</f>
        <v/>
      </c>
      <c r="C114" s="87" t="str">
        <f>IF(B114="","",_xll.TimTenLoaiDat(B114,$F$12:$H$26))</f>
        <v/>
      </c>
      <c r="D114" s="82" t="str">
        <f>IF(B114="","",_xll.TimTinhChatDat(B114,$H$12:$I$26))</f>
        <v/>
      </c>
      <c r="E114" s="41" t="str">
        <f>IFERROR(_xll.TinhGammaqbCMS($D$19,_xll.TimTinhChatDatCotTU(B114,$H$12:$Q$25,9),_xll.TimTinhChatDatCotTU(B114,$H$12:$Q$25,9),_xll.TimTinhChatDatCotTU(B114,$H$12:$Q$25,3),$D$12,_xll.TimTinhChatDatCotTU(B114,$H$12:$Q$25,8),$D$20),"")</f>
        <v/>
      </c>
      <c r="F114" s="82" t="str">
        <f>IF(B114="","",_xll.Qb_CocMaSatCMD(B114,$H$12:$O$25,$D$23,$D$25,$H$32,$D$13,$D$27,$D$26,"qb"))</f>
        <v/>
      </c>
      <c r="G114" s="95" t="str">
        <f t="shared" si="7"/>
        <v/>
      </c>
      <c r="H114" s="96" t="str">
        <f>IF(B114="","",_xll.flu_CocMaSatCMD($D$24,$D$16,$D$17,$D$25,$H$12:$O$25,FALSE,FALSE,$D$18,$D$13,$K$32,$H$32,A114,"GanmaRf"))</f>
        <v/>
      </c>
      <c r="I114" s="96" t="str">
        <f>IF(B114="","",_xll.flu_CocMaSatCMD($D$24,$D$16,$D$17,$D$25,$H$12:$O$25,FALSE,FALSE,$D$18,$D$13,$K$32,$H$32,A114,"Li"))</f>
        <v/>
      </c>
      <c r="J114" s="41" t="str">
        <f>IFERROR(_xll.TinhGammafiCMS($D$19,_xll.TimTinhChatDatCotTU(B114,$H$12:$Q$25,9),_xll.TimTinhChatDatCotTU(B114,$H$12:$Q$25,9),_xll.TimTinhChatDatCotTU(B114,$H$12:$Q$25,3),$D$12,_xll.TimTinhChatDatCotTU(B114,$H$12:$Q$25,8),$D$20),"")</f>
        <v/>
      </c>
      <c r="K114" s="95" t="str">
        <f>IF(B114="","",IF(B114&lt;=$I$30,0,_xll.flu_CocMaSatCMD($D$24,$D$16,$D$17,$D$25,$H$12:$O$25,FALSE,FALSE,$D$18,$D$13,$K$32,$H$32,A114,"f")))</f>
        <v/>
      </c>
      <c r="L114" s="95" t="str">
        <f t="shared" si="8"/>
        <v/>
      </c>
      <c r="M114" s="95" t="str">
        <f t="shared" si="11"/>
        <v/>
      </c>
      <c r="N114" s="87" t="str">
        <f t="shared" si="10"/>
        <v/>
      </c>
      <c r="O114" s="42"/>
      <c r="P114"/>
      <c r="Q114"/>
      <c r="R114"/>
      <c r="S114"/>
      <c r="T114"/>
    </row>
    <row r="115" spans="1:20" s="36" customFormat="1">
      <c r="A115" s="87">
        <f t="shared" si="9"/>
        <v>72</v>
      </c>
      <c r="B115" s="83" t="str">
        <f>_xll.flu_CocMaSatCMD($D$24,$D$16,$D$17,$D$25,$H$12:$O$26,FALSE,FALSE,$D$18,$D$13,$K$32,$H$32,A115,"Cao độ")</f>
        <v/>
      </c>
      <c r="C115" s="87" t="str">
        <f>IF(B115="","",_xll.TimTenLoaiDat(B115,$F$12:$H$26))</f>
        <v/>
      </c>
      <c r="D115" s="82" t="str">
        <f>IF(B115="","",_xll.TimTinhChatDat(B115,$H$12:$I$26))</f>
        <v/>
      </c>
      <c r="E115" s="41" t="str">
        <f>IFERROR(_xll.TinhGammaqbCMS($D$19,_xll.TimTinhChatDatCotTU(B115,$H$12:$Q$25,9),_xll.TimTinhChatDatCotTU(B115,$H$12:$Q$25,9),_xll.TimTinhChatDatCotTU(B115,$H$12:$Q$25,3),$D$12,_xll.TimTinhChatDatCotTU(B115,$H$12:$Q$25,8),$D$20),"")</f>
        <v/>
      </c>
      <c r="F115" s="82" t="str">
        <f>IF(B115="","",_xll.Qb_CocMaSatCMD(B115,$H$12:$O$25,$D$23,$D$25,$H$32,$D$13,$D$27,$D$26,"qb"))</f>
        <v/>
      </c>
      <c r="G115" s="95" t="str">
        <f t="shared" si="7"/>
        <v/>
      </c>
      <c r="H115" s="96" t="str">
        <f>IF(B115="","",_xll.flu_CocMaSatCMD($D$24,$D$16,$D$17,$D$25,$H$12:$O$25,FALSE,FALSE,$D$18,$D$13,$K$32,$H$32,A115,"GanmaRf"))</f>
        <v/>
      </c>
      <c r="I115" s="96" t="str">
        <f>IF(B115="","",_xll.flu_CocMaSatCMD($D$24,$D$16,$D$17,$D$25,$H$12:$O$25,FALSE,FALSE,$D$18,$D$13,$K$32,$H$32,A115,"Li"))</f>
        <v/>
      </c>
      <c r="J115" s="41" t="str">
        <f>IFERROR(_xll.TinhGammafiCMS($D$19,_xll.TimTinhChatDatCotTU(B115,$H$12:$Q$25,9),_xll.TimTinhChatDatCotTU(B115,$H$12:$Q$25,9),_xll.TimTinhChatDatCotTU(B115,$H$12:$Q$25,3),$D$12,_xll.TimTinhChatDatCotTU(B115,$H$12:$Q$25,8),$D$20),"")</f>
        <v/>
      </c>
      <c r="K115" s="95" t="str">
        <f>IF(B115="","",IF(B115&lt;=$I$30,0,_xll.flu_CocMaSatCMD($D$24,$D$16,$D$17,$D$25,$H$12:$O$25,FALSE,FALSE,$D$18,$D$13,$K$32,$H$32,A115,"f")))</f>
        <v/>
      </c>
      <c r="L115" s="95" t="str">
        <f t="shared" si="8"/>
        <v/>
      </c>
      <c r="M115" s="95" t="str">
        <f t="shared" si="11"/>
        <v/>
      </c>
      <c r="N115" s="87" t="str">
        <f t="shared" si="10"/>
        <v/>
      </c>
      <c r="O115" s="42"/>
      <c r="P115"/>
      <c r="Q115"/>
      <c r="R115"/>
      <c r="S115"/>
      <c r="T115"/>
    </row>
    <row r="116" spans="1:20" s="36" customFormat="1">
      <c r="A116" s="87">
        <f t="shared" si="9"/>
        <v>73</v>
      </c>
      <c r="B116" s="83" t="str">
        <f>_xll.flu_CocMaSatCMD($D$24,$D$16,$D$17,$D$25,$H$12:$O$26,FALSE,FALSE,$D$18,$D$13,$K$32,$H$32,A116,"Cao độ")</f>
        <v/>
      </c>
      <c r="C116" s="87" t="str">
        <f>IF(B116="","",_xll.TimTenLoaiDat(B116,$F$12:$H$26))</f>
        <v/>
      </c>
      <c r="D116" s="82" t="str">
        <f>IF(B116="","",_xll.TimTinhChatDat(B116,$H$12:$I$26))</f>
        <v/>
      </c>
      <c r="E116" s="41" t="str">
        <f>IFERROR(_xll.TinhGammaqbCMS($D$19,_xll.TimTinhChatDatCotTU(B116,$H$12:$Q$25,9),_xll.TimTinhChatDatCotTU(B116,$H$12:$Q$25,9),_xll.TimTinhChatDatCotTU(B116,$H$12:$Q$25,3),$D$12,_xll.TimTinhChatDatCotTU(B116,$H$12:$Q$25,8),$D$20),"")</f>
        <v/>
      </c>
      <c r="F116" s="82" t="str">
        <f>IF(B116="","",_xll.Qb_CocMaSatCMD(B116,$H$12:$O$25,$D$23,$D$25,$H$32,$D$13,$D$27,$D$26,"qb"))</f>
        <v/>
      </c>
      <c r="G116" s="95" t="str">
        <f t="shared" si="7"/>
        <v/>
      </c>
      <c r="H116" s="96" t="str">
        <f>IF(B116="","",_xll.flu_CocMaSatCMD($D$24,$D$16,$D$17,$D$25,$H$12:$O$25,FALSE,FALSE,$D$18,$D$13,$K$32,$H$32,A116,"GanmaRf"))</f>
        <v/>
      </c>
      <c r="I116" s="96" t="str">
        <f>IF(B116="","",_xll.flu_CocMaSatCMD($D$24,$D$16,$D$17,$D$25,$H$12:$O$25,FALSE,FALSE,$D$18,$D$13,$K$32,$H$32,A116,"Li"))</f>
        <v/>
      </c>
      <c r="J116" s="41" t="str">
        <f>IFERROR(_xll.TinhGammafiCMS($D$19,_xll.TimTinhChatDatCotTU(B116,$H$12:$Q$25,9),_xll.TimTinhChatDatCotTU(B116,$H$12:$Q$25,9),_xll.TimTinhChatDatCotTU(B116,$H$12:$Q$25,3),$D$12,_xll.TimTinhChatDatCotTU(B116,$H$12:$Q$25,8),$D$20),"")</f>
        <v/>
      </c>
      <c r="K116" s="95" t="str">
        <f>IF(B116="","",IF(B116&lt;=$I$30,0,_xll.flu_CocMaSatCMD($D$24,$D$16,$D$17,$D$25,$H$12:$O$25,FALSE,FALSE,$D$18,$D$13,$K$32,$H$32,A116,"f")))</f>
        <v/>
      </c>
      <c r="L116" s="95" t="str">
        <f t="shared" si="8"/>
        <v/>
      </c>
      <c r="M116" s="95" t="str">
        <f t="shared" si="11"/>
        <v/>
      </c>
      <c r="N116" s="87" t="str">
        <f t="shared" si="10"/>
        <v/>
      </c>
      <c r="O116" s="42"/>
      <c r="P116"/>
      <c r="Q116"/>
      <c r="R116"/>
      <c r="S116"/>
      <c r="T116"/>
    </row>
    <row r="117" spans="1:20" customFormat="1">
      <c r="A117" s="87">
        <f t="shared" si="9"/>
        <v>74</v>
      </c>
      <c r="B117" s="83" t="str">
        <f>_xll.flu_CocMaSatCMD($D$24,$D$16,$D$17,$D$25,$H$12:$O$26,FALSE,FALSE,$D$18,$D$13,$K$32,$H$32,A117,"Cao độ")</f>
        <v/>
      </c>
      <c r="C117" s="87" t="str">
        <f>IF(B117="","",_xll.TimTenLoaiDat(B117,$F$12:$H$26))</f>
        <v/>
      </c>
      <c r="D117" s="82" t="str">
        <f>IF(B117="","",_xll.TimTinhChatDat(B117,$H$12:$I$26))</f>
        <v/>
      </c>
      <c r="E117" s="41" t="str">
        <f>IFERROR(_xll.TinhGammaqbCMS($D$19,_xll.TimTinhChatDatCotTU(B117,$H$12:$Q$25,9),_xll.TimTinhChatDatCotTU(B117,$H$12:$Q$25,9),_xll.TimTinhChatDatCotTU(B117,$H$12:$Q$25,3),$D$12,_xll.TimTinhChatDatCotTU(B117,$H$12:$Q$25,8),$D$20),"")</f>
        <v/>
      </c>
      <c r="F117" s="82" t="str">
        <f>IF(B117="","",_xll.Qb_CocMaSatCMD(B117,$H$12:$O$25,$D$23,$D$25,$H$32,$D$13,$D$27,$D$26,"qb"))</f>
        <v/>
      </c>
      <c r="G117" s="95" t="str">
        <f t="shared" si="7"/>
        <v/>
      </c>
      <c r="H117" s="96" t="str">
        <f>IF(B117="","",_xll.flu_CocMaSatCMD($D$24,$D$16,$D$17,$D$25,$H$12:$O$25,FALSE,FALSE,$D$18,$D$13,$K$32,$H$32,A117,"GanmaRf"))</f>
        <v/>
      </c>
      <c r="I117" s="96" t="str">
        <f>IF(B117="","",_xll.flu_CocMaSatCMD($D$24,$D$16,$D$17,$D$25,$H$12:$O$25,FALSE,FALSE,$D$18,$D$13,$K$32,$H$32,A117,"Li"))</f>
        <v/>
      </c>
      <c r="J117" s="41" t="str">
        <f>IFERROR(_xll.TinhGammafiCMS($D$19,_xll.TimTinhChatDatCotTU(B117,$H$12:$Q$25,9),_xll.TimTinhChatDatCotTU(B117,$H$12:$Q$25,9),_xll.TimTinhChatDatCotTU(B117,$H$12:$Q$25,3),$D$12,_xll.TimTinhChatDatCotTU(B117,$H$12:$Q$25,8),$D$20),"")</f>
        <v/>
      </c>
      <c r="K117" s="95" t="str">
        <f>IF(B117="","",IF(B117&lt;=$I$30,0,_xll.flu_CocMaSatCMD($D$24,$D$16,$D$17,$D$25,$H$12:$O$25,FALSE,FALSE,$D$18,$D$13,$K$32,$H$32,A117,"f")))</f>
        <v/>
      </c>
      <c r="L117" s="95" t="str">
        <f t="shared" si="8"/>
        <v/>
      </c>
      <c r="M117" s="95" t="str">
        <f t="shared" si="11"/>
        <v/>
      </c>
      <c r="N117" s="87" t="str">
        <f t="shared" si="10"/>
        <v/>
      </c>
      <c r="O117" s="42"/>
    </row>
    <row r="118" spans="1:20" customFormat="1">
      <c r="A118" s="87">
        <f t="shared" si="9"/>
        <v>75</v>
      </c>
      <c r="B118" s="83" t="str">
        <f>_xll.flu_CocMaSatCMD($D$24,$D$16,$D$17,$D$25,$H$12:$O$26,FALSE,FALSE,$D$18,$D$13,$K$32,$H$32,A118,"Cao độ")</f>
        <v/>
      </c>
      <c r="C118" s="87" t="str">
        <f>IF(B118="","",_xll.TimTenLoaiDat(B118,$F$12:$H$26))</f>
        <v/>
      </c>
      <c r="D118" s="82" t="str">
        <f>IF(B118="","",_xll.TimTinhChatDat(B118,$H$12:$I$26))</f>
        <v/>
      </c>
      <c r="E118" s="41" t="str">
        <f>IFERROR(_xll.TinhGammaqbCMS($D$19,_xll.TimTinhChatDatCotTU(B118,$H$12:$Q$25,9),_xll.TimTinhChatDatCotTU(B118,$H$12:$Q$25,9),_xll.TimTinhChatDatCotTU(B118,$H$12:$Q$25,3),$D$12,_xll.TimTinhChatDatCotTU(B118,$H$12:$Q$25,8),$D$20),"")</f>
        <v/>
      </c>
      <c r="F118" s="82" t="str">
        <f>IF(B118="","",_xll.Qb_CocMaSatCMD(B118,$H$12:$O$25,$D$23,$D$25,$H$32,$D$13,$D$27,$D$26,"qb"))</f>
        <v/>
      </c>
      <c r="G118" s="95" t="str">
        <f t="shared" si="7"/>
        <v/>
      </c>
      <c r="H118" s="96" t="str">
        <f>IF(B118="","",_xll.flu_CocMaSatCMD($D$24,$D$16,$D$17,$D$25,$H$12:$O$25,FALSE,FALSE,$D$18,$D$13,$K$32,$H$32,A118,"GanmaRf"))</f>
        <v/>
      </c>
      <c r="I118" s="96" t="str">
        <f>IF(B118="","",_xll.flu_CocMaSatCMD($D$24,$D$16,$D$17,$D$25,$H$12:$O$25,FALSE,FALSE,$D$18,$D$13,$K$32,$H$32,A118,"Li"))</f>
        <v/>
      </c>
      <c r="J118" s="41" t="str">
        <f>IFERROR(_xll.TinhGammafiCMS($D$19,_xll.TimTinhChatDatCotTU(B118,$H$12:$Q$25,9),_xll.TimTinhChatDatCotTU(B118,$H$12:$Q$25,9),_xll.TimTinhChatDatCotTU(B118,$H$12:$Q$25,3),$D$12,_xll.TimTinhChatDatCotTU(B118,$H$12:$Q$25,8),$D$20),"")</f>
        <v/>
      </c>
      <c r="K118" s="95" t="str">
        <f>IF(B118="","",IF(B118&lt;=$I$30,0,_xll.flu_CocMaSatCMD($D$24,$D$16,$D$17,$D$25,$H$12:$O$25,FALSE,FALSE,$D$18,$D$13,$K$32,$H$32,A118,"f")))</f>
        <v/>
      </c>
      <c r="L118" s="95" t="str">
        <f t="shared" si="8"/>
        <v/>
      </c>
      <c r="M118" s="95" t="str">
        <f t="shared" si="11"/>
        <v/>
      </c>
      <c r="N118" s="87" t="str">
        <f t="shared" si="10"/>
        <v/>
      </c>
      <c r="O118" s="42"/>
    </row>
    <row r="119" spans="1:20" customFormat="1">
      <c r="A119" s="87">
        <f t="shared" si="9"/>
        <v>76</v>
      </c>
      <c r="B119" s="83" t="str">
        <f>_xll.flu_CocMaSatCMD($D$24,$D$16,$D$17,$D$25,$H$12:$O$26,FALSE,FALSE,$D$18,$D$13,$K$32,$H$32,A119,"Cao độ")</f>
        <v/>
      </c>
      <c r="C119" s="87" t="str">
        <f>IF(B119="","",_xll.TimTenLoaiDat(B119,$F$12:$H$26))</f>
        <v/>
      </c>
      <c r="D119" s="82" t="str">
        <f>IF(B119="","",_xll.TimTinhChatDat(B119,$H$12:$I$26))</f>
        <v/>
      </c>
      <c r="E119" s="41" t="str">
        <f>IFERROR(_xll.TinhGammaqbCMS($D$19,_xll.TimTinhChatDatCotTU(B119,$H$12:$Q$25,9),_xll.TimTinhChatDatCotTU(B119,$H$12:$Q$25,9),_xll.TimTinhChatDatCotTU(B119,$H$12:$Q$25,3),$D$12,_xll.TimTinhChatDatCotTU(B119,$H$12:$Q$25,8),$D$20),"")</f>
        <v/>
      </c>
      <c r="F119" s="82" t="str">
        <f>IF(B119="","",_xll.Qb_CocMaSatCMD(B119,$H$12:$O$25,$D$23,$D$25,$H$32,$D$13,$D$27,$D$26,"qb"))</f>
        <v/>
      </c>
      <c r="G119" s="95" t="str">
        <f t="shared" si="7"/>
        <v/>
      </c>
      <c r="H119" s="96" t="str">
        <f>IF(B119="","",_xll.flu_CocMaSatCMD($D$24,$D$16,$D$17,$D$25,$H$12:$O$25,FALSE,FALSE,$D$18,$D$13,$K$32,$H$32,A119,"GanmaRf"))</f>
        <v/>
      </c>
      <c r="I119" s="96" t="str">
        <f>IF(B119="","",_xll.flu_CocMaSatCMD($D$24,$D$16,$D$17,$D$25,$H$12:$O$25,FALSE,FALSE,$D$18,$D$13,$K$32,$H$32,A119,"Li"))</f>
        <v/>
      </c>
      <c r="J119" s="41" t="str">
        <f>IFERROR(_xll.TinhGammafiCMS($D$19,_xll.TimTinhChatDatCotTU(B119,$H$12:$Q$25,9),_xll.TimTinhChatDatCotTU(B119,$H$12:$Q$25,9),_xll.TimTinhChatDatCotTU(B119,$H$12:$Q$25,3),$D$12,_xll.TimTinhChatDatCotTU(B119,$H$12:$Q$25,8),$D$20),"")</f>
        <v/>
      </c>
      <c r="K119" s="95" t="str">
        <f>IF(B119="","",IF(B119&lt;=$I$30,0,_xll.flu_CocMaSatCMD($D$24,$D$16,$D$17,$D$25,$H$12:$O$25,FALSE,FALSE,$D$18,$D$13,$K$32,$H$32,A119,"f")))</f>
        <v/>
      </c>
      <c r="L119" s="95" t="str">
        <f t="shared" si="8"/>
        <v/>
      </c>
      <c r="M119" s="95" t="str">
        <f t="shared" si="11"/>
        <v/>
      </c>
      <c r="N119" s="87" t="str">
        <f t="shared" si="10"/>
        <v/>
      </c>
      <c r="O119" s="42"/>
    </row>
    <row r="120" spans="1:20" customFormat="1">
      <c r="A120" s="87">
        <f t="shared" si="9"/>
        <v>77</v>
      </c>
      <c r="B120" s="83" t="str">
        <f>_xll.flu_CocMaSatCMD($D$24,$D$16,$D$17,$D$25,$H$12:$O$26,FALSE,FALSE,$D$18,$D$13,$K$32,$H$32,A120,"Cao độ")</f>
        <v/>
      </c>
      <c r="C120" s="87" t="str">
        <f>IF(B120="","",_xll.TimTenLoaiDat(B120,$F$12:$H$26))</f>
        <v/>
      </c>
      <c r="D120" s="82" t="str">
        <f>IF(B120="","",_xll.TimTinhChatDat(B120,$H$12:$I$26))</f>
        <v/>
      </c>
      <c r="E120" s="41" t="str">
        <f>IFERROR(_xll.TinhGammaqbCMS($D$19,_xll.TimTinhChatDatCotTU(B120,$H$12:$Q$25,9),_xll.TimTinhChatDatCotTU(B120,$H$12:$Q$25,9),_xll.TimTinhChatDatCotTU(B120,$H$12:$Q$25,3),$D$12,_xll.TimTinhChatDatCotTU(B120,$H$12:$Q$25,8),$D$20),"")</f>
        <v/>
      </c>
      <c r="F120" s="82" t="str">
        <f>IF(B120="","",_xll.Qb_CocMaSatCMD(B120,$H$12:$O$25,$D$23,$D$25,$H$32,$D$13,$D$27,$D$26,"qb"))</f>
        <v/>
      </c>
      <c r="G120" s="95" t="str">
        <f t="shared" si="7"/>
        <v/>
      </c>
      <c r="H120" s="96" t="str">
        <f>IF(B120="","",_xll.flu_CocMaSatCMD($D$24,$D$16,$D$17,$D$25,$H$12:$O$25,FALSE,FALSE,$D$18,$D$13,$K$32,$H$32,A120,"GanmaRf"))</f>
        <v/>
      </c>
      <c r="I120" s="96" t="str">
        <f>IF(B120="","",_xll.flu_CocMaSatCMD($D$24,$D$16,$D$17,$D$25,$H$12:$O$25,FALSE,FALSE,$D$18,$D$13,$K$32,$H$32,A120,"Li"))</f>
        <v/>
      </c>
      <c r="J120" s="41" t="str">
        <f>IFERROR(_xll.TinhGammafiCMS($D$19,_xll.TimTinhChatDatCotTU(B120,$H$12:$Q$25,9),_xll.TimTinhChatDatCotTU(B120,$H$12:$Q$25,9),_xll.TimTinhChatDatCotTU(B120,$H$12:$Q$25,3),$D$12,_xll.TimTinhChatDatCotTU(B120,$H$12:$Q$25,8),$D$20),"")</f>
        <v/>
      </c>
      <c r="K120" s="95" t="str">
        <f>IF(B120="","",IF(B120&lt;=$I$30,0,_xll.flu_CocMaSatCMD($D$24,$D$16,$D$17,$D$25,$H$12:$O$25,FALSE,FALSE,$D$18,$D$13,$K$32,$H$32,A120,"f")))</f>
        <v/>
      </c>
      <c r="L120" s="95" t="str">
        <f t="shared" si="8"/>
        <v/>
      </c>
      <c r="M120" s="95" t="str">
        <f t="shared" si="11"/>
        <v/>
      </c>
      <c r="N120" s="87" t="str">
        <f t="shared" si="10"/>
        <v/>
      </c>
      <c r="O120" s="42"/>
    </row>
    <row r="121" spans="1:20" customFormat="1">
      <c r="A121" s="87">
        <f t="shared" si="9"/>
        <v>78</v>
      </c>
      <c r="B121" s="83" t="str">
        <f>_xll.flu_CocMaSatCMD($D$24,$D$16,$D$17,$D$25,$H$12:$O$26,FALSE,FALSE,$D$18,$D$13,$K$32,$H$32,A121,"Cao độ")</f>
        <v/>
      </c>
      <c r="C121" s="87" t="str">
        <f>IF(B121="","",_xll.TimTenLoaiDat(B121,$F$12:$H$26))</f>
        <v/>
      </c>
      <c r="D121" s="82" t="str">
        <f>IF(B121="","",_xll.TimTinhChatDat(B121,$H$12:$I$26))</f>
        <v/>
      </c>
      <c r="E121" s="41" t="str">
        <f>IFERROR(_xll.TinhGammaqbCMS($D$19,_xll.TimTinhChatDatCotTU(B121,$H$12:$Q$25,9),_xll.TimTinhChatDatCotTU(B121,$H$12:$Q$25,9),_xll.TimTinhChatDatCotTU(B121,$H$12:$Q$25,3),$D$12,_xll.TimTinhChatDatCotTU(B121,$H$12:$Q$25,8),$D$20),"")</f>
        <v/>
      </c>
      <c r="F121" s="82" t="str">
        <f>IF(B121="","",_xll.Qb_CocMaSatCMD(B121,$H$12:$O$25,$D$23,$D$25,$H$32,$D$13,$D$27,$D$26,"qb"))</f>
        <v/>
      </c>
      <c r="G121" s="95" t="str">
        <f t="shared" si="7"/>
        <v/>
      </c>
      <c r="H121" s="96" t="str">
        <f>IF(B121="","",_xll.flu_CocMaSatCMD($D$24,$D$16,$D$17,$D$25,$H$12:$O$25,FALSE,FALSE,$D$18,$D$13,$K$32,$H$32,A121,"GanmaRf"))</f>
        <v/>
      </c>
      <c r="I121" s="96" t="str">
        <f>IF(B121="","",_xll.flu_CocMaSatCMD($D$24,$D$16,$D$17,$D$25,$H$12:$O$25,FALSE,FALSE,$D$18,$D$13,$K$32,$H$32,A121,"Li"))</f>
        <v/>
      </c>
      <c r="J121" s="41" t="str">
        <f>IFERROR(_xll.TinhGammafiCMS($D$19,_xll.TimTinhChatDatCotTU(B121,$H$12:$Q$25,9),_xll.TimTinhChatDatCotTU(B121,$H$12:$Q$25,9),_xll.TimTinhChatDatCotTU(B121,$H$12:$Q$25,3),$D$12,_xll.TimTinhChatDatCotTU(B121,$H$12:$Q$25,8),$D$20),"")</f>
        <v/>
      </c>
      <c r="K121" s="95" t="str">
        <f>IF(B121="","",IF(B121&lt;=$I$30,0,_xll.flu_CocMaSatCMD($D$24,$D$16,$D$17,$D$25,$H$12:$O$25,FALSE,FALSE,$D$18,$D$13,$K$32,$H$32,A121,"f")))</f>
        <v/>
      </c>
      <c r="L121" s="95" t="str">
        <f t="shared" si="8"/>
        <v/>
      </c>
      <c r="M121" s="95" t="str">
        <f t="shared" si="11"/>
        <v/>
      </c>
      <c r="N121" s="87" t="str">
        <f t="shared" si="10"/>
        <v/>
      </c>
      <c r="O121" s="42"/>
    </row>
    <row r="122" spans="1:20" s="37" customFormat="1" ht="12.75">
      <c r="A122" s="87">
        <f t="shared" si="9"/>
        <v>79</v>
      </c>
      <c r="B122" s="83" t="str">
        <f>_xll.flu_CocMaSatCMD($D$24,$D$16,$D$17,$D$25,$H$12:$O$26,FALSE,FALSE,$D$18,$D$13,$K$32,$H$32,A122,"Cao độ")</f>
        <v/>
      </c>
      <c r="C122" s="87" t="str">
        <f>IF(B122="","",_xll.TimTenLoaiDat(B122,$F$12:$H$26))</f>
        <v/>
      </c>
      <c r="D122" s="82" t="str">
        <f>IF(B122="","",_xll.TimTinhChatDat(B122,$H$12:$I$26))</f>
        <v/>
      </c>
      <c r="E122" s="41" t="str">
        <f>IFERROR(_xll.TinhGammaqbCMS($D$19,_xll.TimTinhChatDatCotTU(B122,$H$12:$Q$25,9),_xll.TimTinhChatDatCotTU(B122,$H$12:$Q$25,9),_xll.TimTinhChatDatCotTU(B122,$H$12:$Q$25,3),$D$12,_xll.TimTinhChatDatCotTU(B122,$H$12:$Q$25,8),$D$20),"")</f>
        <v/>
      </c>
      <c r="F122" s="82" t="str">
        <f>IF(B122="","",_xll.Qb_CocMaSatCMD(B122,$H$12:$O$25,$D$23,$D$25,$H$32,$D$13,$D$27,$D$26,"qb"))</f>
        <v/>
      </c>
      <c r="G122" s="95" t="str">
        <f t="shared" si="7"/>
        <v/>
      </c>
      <c r="H122" s="96" t="str">
        <f>IF(B122="","",_xll.flu_CocMaSatCMD($D$24,$D$16,$D$17,$D$25,$H$12:$O$25,FALSE,FALSE,$D$18,$D$13,$K$32,$H$32,A122,"GanmaRf"))</f>
        <v/>
      </c>
      <c r="I122" s="96" t="str">
        <f>IF(B122="","",_xll.flu_CocMaSatCMD($D$24,$D$16,$D$17,$D$25,$H$12:$O$25,FALSE,FALSE,$D$18,$D$13,$K$32,$H$32,A122,"Li"))</f>
        <v/>
      </c>
      <c r="J122" s="41" t="str">
        <f>IFERROR(_xll.TinhGammafiCMS($D$19,_xll.TimTinhChatDatCotTU(B122,$H$12:$Q$25,9),_xll.TimTinhChatDatCotTU(B122,$H$12:$Q$25,9),_xll.TimTinhChatDatCotTU(B122,$H$12:$Q$25,3),$D$12,_xll.TimTinhChatDatCotTU(B122,$H$12:$Q$25,8),$D$20),"")</f>
        <v/>
      </c>
      <c r="K122" s="95" t="str">
        <f>IF(B122="","",IF(B122&lt;=$I$30,0,_xll.flu_CocMaSatCMD($D$24,$D$16,$D$17,$D$25,$H$12:$O$25,FALSE,FALSE,$D$18,$D$13,$K$32,$H$32,A122,"f")))</f>
        <v/>
      </c>
      <c r="L122" s="95" t="str">
        <f t="shared" si="8"/>
        <v/>
      </c>
      <c r="M122" s="95" t="str">
        <f t="shared" si="11"/>
        <v/>
      </c>
      <c r="N122" s="87" t="str">
        <f t="shared" si="10"/>
        <v/>
      </c>
      <c r="O122" s="10"/>
    </row>
    <row r="123" spans="1:20" s="37" customFormat="1" ht="12.75">
      <c r="A123" s="87">
        <f t="shared" si="9"/>
        <v>80</v>
      </c>
      <c r="B123" s="83" t="str">
        <f>_xll.flu_CocMaSatCMD($D$24,$D$16,$D$17,$D$25,$H$12:$O$26,FALSE,FALSE,$D$18,$D$13,$K$32,$H$32,A123,"Cao độ")</f>
        <v/>
      </c>
      <c r="C123" s="87" t="str">
        <f>IF(B123="","",_xll.TimTenLoaiDat(B123,$F$12:$H$26))</f>
        <v/>
      </c>
      <c r="D123" s="82" t="str">
        <f>IF(B123="","",_xll.TimTinhChatDat(B123,$H$12:$I$26))</f>
        <v/>
      </c>
      <c r="E123" s="41" t="str">
        <f>IFERROR(_xll.TinhGammaqbCMS($D$19,_xll.TimTinhChatDatCotTU(B123,$H$12:$Q$25,9),_xll.TimTinhChatDatCotTU(B123,$H$12:$Q$25,9),_xll.TimTinhChatDatCotTU(B123,$H$12:$Q$25,3),$D$12,_xll.TimTinhChatDatCotTU(B123,$H$12:$Q$25,8),$D$20),"")</f>
        <v/>
      </c>
      <c r="F123" s="82" t="str">
        <f>IF(B123="","",_xll.Qb_CocMaSatCMD(B123,$H$12:$O$25,$D$23,$D$25,$H$32,$D$13,$D$27,$D$26,"qb"))</f>
        <v/>
      </c>
      <c r="G123" s="95" t="str">
        <f t="shared" si="7"/>
        <v/>
      </c>
      <c r="H123" s="96" t="str">
        <f>IF(B123="","",_xll.flu_CocMaSatCMD($D$24,$D$16,$D$17,$D$25,$H$12:$O$25,FALSE,FALSE,$D$18,$D$13,$K$32,$H$32,A123,"GanmaRf"))</f>
        <v/>
      </c>
      <c r="I123" s="96" t="str">
        <f>IF(B123="","",_xll.flu_CocMaSatCMD($D$24,$D$16,$D$17,$D$25,$H$12:$O$25,FALSE,FALSE,$D$18,$D$13,$K$32,$H$32,A123,"Li"))</f>
        <v/>
      </c>
      <c r="J123" s="41" t="str">
        <f>IFERROR(_xll.TinhGammafiCMS($D$19,_xll.TimTinhChatDatCotTU(B123,$H$12:$Q$25,9),_xll.TimTinhChatDatCotTU(B123,$H$12:$Q$25,9),_xll.TimTinhChatDatCotTU(B123,$H$12:$Q$25,3),$D$12,_xll.TimTinhChatDatCotTU(B123,$H$12:$Q$25,8),$D$20),"")</f>
        <v/>
      </c>
      <c r="K123" s="95" t="str">
        <f>IF(B123="","",IF(B123&lt;=$I$30,0,_xll.flu_CocMaSatCMD($D$24,$D$16,$D$17,$D$25,$H$12:$O$25,FALSE,FALSE,$D$18,$D$13,$K$32,$H$32,A123,"f")))</f>
        <v/>
      </c>
      <c r="L123" s="95" t="str">
        <f t="shared" si="8"/>
        <v/>
      </c>
      <c r="M123" s="95" t="str">
        <f t="shared" si="11"/>
        <v/>
      </c>
      <c r="N123" s="87" t="str">
        <f t="shared" si="10"/>
        <v/>
      </c>
      <c r="O123" s="10"/>
    </row>
    <row r="124" spans="1:20" s="37" customFormat="1" ht="12.75">
      <c r="A124" s="87">
        <f t="shared" si="9"/>
        <v>81</v>
      </c>
      <c r="B124" s="83" t="str">
        <f>_xll.flu_CocMaSatCMD($D$24,$D$16,$D$17,$D$25,$H$12:$O$26,FALSE,FALSE,$D$18,$D$13,$K$32,$H$32,A124,"Cao độ")</f>
        <v/>
      </c>
      <c r="C124" s="87" t="str">
        <f>IF(B124="","",_xll.TimTenLoaiDat(B124,$F$12:$H$26))</f>
        <v/>
      </c>
      <c r="D124" s="82" t="str">
        <f>IF(B124="","",_xll.TimTinhChatDat(B124,$H$12:$I$26))</f>
        <v/>
      </c>
      <c r="E124" s="41" t="str">
        <f>IFERROR(_xll.TinhGammaqbCMS($D$19,_xll.TimTinhChatDatCotTU(B124,$H$12:$Q$25,9),_xll.TimTinhChatDatCotTU(B124,$H$12:$Q$25,9),_xll.TimTinhChatDatCotTU(B124,$H$12:$Q$25,3),$D$12,_xll.TimTinhChatDatCotTU(B124,$H$12:$Q$25,8),$D$20),"")</f>
        <v/>
      </c>
      <c r="F124" s="82" t="str">
        <f>IF(B124="","",_xll.Qb_CocMaSatCMD(B124,$H$12:$O$25,$D$23,$D$25,$H$32,$D$13,$D$27,$D$26,"qb"))</f>
        <v/>
      </c>
      <c r="G124" s="95" t="str">
        <f t="shared" si="7"/>
        <v/>
      </c>
      <c r="H124" s="96" t="str">
        <f>IF(B124="","",_xll.flu_CocMaSatCMD($D$24,$D$16,$D$17,$D$25,$H$12:$O$25,FALSE,FALSE,$D$18,$D$13,$K$32,$H$32,A124,"GanmaRf"))</f>
        <v/>
      </c>
      <c r="I124" s="96" t="str">
        <f>IF(B124="","",_xll.flu_CocMaSatCMD($D$24,$D$16,$D$17,$D$25,$H$12:$O$25,FALSE,FALSE,$D$18,$D$13,$K$32,$H$32,A124,"Li"))</f>
        <v/>
      </c>
      <c r="J124" s="41" t="str">
        <f>IFERROR(_xll.TinhGammafiCMS($D$19,_xll.TimTinhChatDatCotTU(B124,$H$12:$Q$25,9),_xll.TimTinhChatDatCotTU(B124,$H$12:$Q$25,9),_xll.TimTinhChatDatCotTU(B124,$H$12:$Q$25,3),$D$12,_xll.TimTinhChatDatCotTU(B124,$H$12:$Q$25,8),$D$20),"")</f>
        <v/>
      </c>
      <c r="K124" s="95" t="str">
        <f>IF(B124="","",IF(B124&lt;=$I$30,0,_xll.flu_CocMaSatCMD($D$24,$D$16,$D$17,$D$25,$H$12:$O$25,FALSE,FALSE,$D$18,$D$13,$K$32,$H$32,A124,"f")))</f>
        <v/>
      </c>
      <c r="L124" s="95" t="str">
        <f t="shared" si="8"/>
        <v/>
      </c>
      <c r="M124" s="95" t="str">
        <f t="shared" si="11"/>
        <v/>
      </c>
      <c r="N124" s="87" t="str">
        <f t="shared" si="10"/>
        <v/>
      </c>
      <c r="O124" s="10"/>
    </row>
    <row r="125" spans="1:20" s="37" customFormat="1" ht="12.75">
      <c r="A125" s="87">
        <f t="shared" si="9"/>
        <v>82</v>
      </c>
      <c r="B125" s="83" t="str">
        <f>_xll.flu_CocMaSatCMD($D$24,$D$16,$D$17,$D$25,$H$12:$O$26,FALSE,FALSE,$D$18,$D$13,$K$32,$H$32,A125,"Cao độ")</f>
        <v/>
      </c>
      <c r="C125" s="87" t="str">
        <f>IF(B125="","",_xll.TimTenLoaiDat(B125,$F$12:$H$26))</f>
        <v/>
      </c>
      <c r="D125" s="82" t="str">
        <f>IF(B125="","",_xll.TimTinhChatDat(B125,$H$12:$I$26))</f>
        <v/>
      </c>
      <c r="E125" s="41" t="str">
        <f>IFERROR(_xll.TinhGammaqbCMS($D$19,_xll.TimTinhChatDatCotTU(B125,$H$12:$Q$25,9),_xll.TimTinhChatDatCotTU(B125,$H$12:$Q$25,9),_xll.TimTinhChatDatCotTU(B125,$H$12:$Q$25,3),$D$12,_xll.TimTinhChatDatCotTU(B125,$H$12:$Q$25,8),$D$20),"")</f>
        <v/>
      </c>
      <c r="F125" s="82" t="str">
        <f>IF(B125="","",_xll.Qb_CocMaSatCMD(B125,$H$12:$O$25,$D$23,$D$25,$H$32,$D$13,$D$27,$D$26,"qb"))</f>
        <v/>
      </c>
      <c r="G125" s="95" t="str">
        <f t="shared" si="7"/>
        <v/>
      </c>
      <c r="H125" s="96" t="str">
        <f>IF(B125="","",_xll.flu_CocMaSatCMD($D$24,$D$16,$D$17,$D$25,$H$12:$O$25,FALSE,FALSE,$D$18,$D$13,$K$32,$H$32,A125,"GanmaRf"))</f>
        <v/>
      </c>
      <c r="I125" s="96" t="str">
        <f>IF(B125="","",_xll.flu_CocMaSatCMD($D$24,$D$16,$D$17,$D$25,$H$12:$O$25,FALSE,FALSE,$D$18,$D$13,$K$32,$H$32,A125,"Li"))</f>
        <v/>
      </c>
      <c r="J125" s="41" t="str">
        <f>IFERROR(_xll.TinhGammafiCMS($D$19,_xll.TimTinhChatDatCotTU(B125,$H$12:$Q$25,9),_xll.TimTinhChatDatCotTU(B125,$H$12:$Q$25,9),_xll.TimTinhChatDatCotTU(B125,$H$12:$Q$25,3),$D$12,_xll.TimTinhChatDatCotTU(B125,$H$12:$Q$25,8),$D$20),"")</f>
        <v/>
      </c>
      <c r="K125" s="95" t="str">
        <f>IF(B125="","",IF(B125&lt;=$I$30,0,_xll.flu_CocMaSatCMD($D$24,$D$16,$D$17,$D$25,$H$12:$O$25,FALSE,FALSE,$D$18,$D$13,$K$32,$H$32,A125,"f")))</f>
        <v/>
      </c>
      <c r="L125" s="95" t="str">
        <f t="shared" si="8"/>
        <v/>
      </c>
      <c r="M125" s="95" t="str">
        <f t="shared" si="11"/>
        <v/>
      </c>
      <c r="N125" s="87" t="str">
        <f t="shared" si="10"/>
        <v/>
      </c>
      <c r="O125" s="10"/>
    </row>
    <row r="126" spans="1:20" s="37" customFormat="1" ht="12.75">
      <c r="A126" s="87">
        <f t="shared" si="9"/>
        <v>83</v>
      </c>
      <c r="B126" s="83" t="str">
        <f>_xll.flu_CocMaSatCMD($D$24,$D$16,$D$17,$D$25,$H$12:$O$26,FALSE,FALSE,$D$18,$D$13,$K$32,$H$32,A126,"Cao độ")</f>
        <v/>
      </c>
      <c r="C126" s="87" t="str">
        <f>IF(B126="","",_xll.TimTenLoaiDat(B126,$F$12:$H$26))</f>
        <v/>
      </c>
      <c r="D126" s="82" t="str">
        <f>IF(B126="","",_xll.TimTinhChatDat(B126,$H$12:$I$26))</f>
        <v/>
      </c>
      <c r="E126" s="41" t="str">
        <f>IFERROR(_xll.TinhGammaqbCMS($D$19,_xll.TimTinhChatDatCotTU(B126,$H$12:$Q$25,9),_xll.TimTinhChatDatCotTU(B126,$H$12:$Q$25,9),_xll.TimTinhChatDatCotTU(B126,$H$12:$Q$25,3),$D$12,_xll.TimTinhChatDatCotTU(B126,$H$12:$Q$25,8),$D$20),"")</f>
        <v/>
      </c>
      <c r="F126" s="82" t="str">
        <f>IF(B126="","",_xll.Qb_CocMaSatCMD(B126,$H$12:$O$25,$D$23,$D$25,$H$32,$D$13,$D$27,$D$26,"qb"))</f>
        <v/>
      </c>
      <c r="G126" s="95" t="str">
        <f t="shared" si="7"/>
        <v/>
      </c>
      <c r="H126" s="96" t="str">
        <f>IF(B126="","",_xll.flu_CocMaSatCMD($D$24,$D$16,$D$17,$D$25,$H$12:$O$25,FALSE,FALSE,$D$18,$D$13,$K$32,$H$32,A126,"GanmaRf"))</f>
        <v/>
      </c>
      <c r="I126" s="96" t="str">
        <f>IF(B126="","",_xll.flu_CocMaSatCMD($D$24,$D$16,$D$17,$D$25,$H$12:$O$25,FALSE,FALSE,$D$18,$D$13,$K$32,$H$32,A126,"Li"))</f>
        <v/>
      </c>
      <c r="J126" s="41" t="str">
        <f>IFERROR(_xll.TinhGammafiCMS($D$19,_xll.TimTinhChatDatCotTU(B126,$H$12:$Q$25,9),_xll.TimTinhChatDatCotTU(B126,$H$12:$Q$25,9),_xll.TimTinhChatDatCotTU(B126,$H$12:$Q$25,3),$D$12,_xll.TimTinhChatDatCotTU(B126,$H$12:$Q$25,8),$D$20),"")</f>
        <v/>
      </c>
      <c r="K126" s="95" t="str">
        <f>IF(B126="","",IF(B126&lt;=$I$30,0,_xll.flu_CocMaSatCMD($D$24,$D$16,$D$17,$D$25,$H$12:$O$25,FALSE,FALSE,$D$18,$D$13,$K$32,$H$32,A126,"f")))</f>
        <v/>
      </c>
      <c r="L126" s="95" t="str">
        <f t="shared" si="8"/>
        <v/>
      </c>
      <c r="M126" s="95" t="str">
        <f t="shared" si="11"/>
        <v/>
      </c>
      <c r="N126" s="87" t="str">
        <f t="shared" si="10"/>
        <v/>
      </c>
      <c r="O126" s="10"/>
    </row>
    <row r="127" spans="1:20" s="37" customFormat="1" ht="12.75">
      <c r="A127" s="87">
        <f t="shared" si="9"/>
        <v>84</v>
      </c>
      <c r="B127" s="83" t="str">
        <f>_xll.flu_CocMaSatCMD($D$24,$D$16,$D$17,$D$25,$H$12:$O$26,FALSE,FALSE,$D$18,$D$13,$K$32,$H$32,A127,"Cao độ")</f>
        <v/>
      </c>
      <c r="C127" s="87" t="str">
        <f>IF(B127="","",_xll.TimTenLoaiDat(B127,$F$12:$H$26))</f>
        <v/>
      </c>
      <c r="D127" s="82" t="str">
        <f>IF(B127="","",_xll.TimTinhChatDat(B127,$H$12:$I$26))</f>
        <v/>
      </c>
      <c r="E127" s="41" t="str">
        <f>IFERROR(_xll.TinhGammaqbCMS($D$19,_xll.TimTinhChatDatCotTU(B127,$H$12:$Q$25,9),_xll.TimTinhChatDatCotTU(B127,$H$12:$Q$25,9),_xll.TimTinhChatDatCotTU(B127,$H$12:$Q$25,3),$D$12,_xll.TimTinhChatDatCotTU(B127,$H$12:$Q$25,8),$D$20),"")</f>
        <v/>
      </c>
      <c r="F127" s="82" t="str">
        <f>IF(B127="","",_xll.Qb_CocMaSatCMD(B127,$H$12:$O$25,$D$23,$D$25,$H$32,$D$13,$D$27,$D$26,"qb"))</f>
        <v/>
      </c>
      <c r="G127" s="95" t="str">
        <f t="shared" si="7"/>
        <v/>
      </c>
      <c r="H127" s="96" t="str">
        <f>IF(B127="","",_xll.flu_CocMaSatCMD($D$24,$D$16,$D$17,$D$25,$H$12:$O$25,FALSE,FALSE,$D$18,$D$13,$K$32,$H$32,A127,"GanmaRf"))</f>
        <v/>
      </c>
      <c r="I127" s="96" t="str">
        <f>IF(B127="","",_xll.flu_CocMaSatCMD($D$24,$D$16,$D$17,$D$25,$H$12:$O$25,FALSE,FALSE,$D$18,$D$13,$K$32,$H$32,A127,"Li"))</f>
        <v/>
      </c>
      <c r="J127" s="41" t="str">
        <f>IFERROR(_xll.TinhGammafiCMS($D$19,_xll.TimTinhChatDatCotTU(B127,$H$12:$Q$25,9),_xll.TimTinhChatDatCotTU(B127,$H$12:$Q$25,9),_xll.TimTinhChatDatCotTU(B127,$H$12:$Q$25,3),$D$12,_xll.TimTinhChatDatCotTU(B127,$H$12:$Q$25,8),$D$20),"")</f>
        <v/>
      </c>
      <c r="K127" s="95" t="str">
        <f>IF(B127="","",IF(B127&lt;=$I$30,0,_xll.flu_CocMaSatCMD($D$24,$D$16,$D$17,$D$25,$H$12:$O$25,FALSE,FALSE,$D$18,$D$13,$K$32,$H$32,A127,"f")))</f>
        <v/>
      </c>
      <c r="L127" s="95" t="str">
        <f t="shared" si="8"/>
        <v/>
      </c>
      <c r="M127" s="95" t="str">
        <f t="shared" si="11"/>
        <v/>
      </c>
      <c r="N127" s="87" t="str">
        <f t="shared" si="10"/>
        <v/>
      </c>
      <c r="O127" s="10"/>
    </row>
    <row r="128" spans="1:20" s="37" customFormat="1" ht="12.75">
      <c r="A128" s="87">
        <f t="shared" si="9"/>
        <v>85</v>
      </c>
      <c r="B128" s="83" t="str">
        <f>_xll.flu_CocMaSatCMD($D$24,$D$16,$D$17,$D$25,$H$12:$O$26,FALSE,FALSE,$D$18,$D$13,$K$32,$H$32,A128,"Cao độ")</f>
        <v/>
      </c>
      <c r="C128" s="87" t="str">
        <f>IF(B128="","",_xll.TimTenLoaiDat(B128,$F$12:$H$26))</f>
        <v/>
      </c>
      <c r="D128" s="82" t="str">
        <f>IF(B128="","",_xll.TimTinhChatDat(B128,$H$12:$I$26))</f>
        <v/>
      </c>
      <c r="E128" s="41" t="str">
        <f>IFERROR(_xll.TinhGammaqbCMS($D$19,_xll.TimTinhChatDatCotTU(B128,$H$12:$Q$25,9),_xll.TimTinhChatDatCotTU(B128,$H$12:$Q$25,9),_xll.TimTinhChatDatCotTU(B128,$H$12:$Q$25,3),$D$12,_xll.TimTinhChatDatCotTU(B128,$H$12:$Q$25,8),$D$20),"")</f>
        <v/>
      </c>
      <c r="F128" s="82" t="str">
        <f>IF(B128="","",_xll.Qb_CocMaSatCMD(B128,$H$12:$O$25,$D$23,$D$25,$H$32,$D$13,$D$27,$D$26,"qb"))</f>
        <v/>
      </c>
      <c r="G128" s="95" t="str">
        <f t="shared" si="7"/>
        <v/>
      </c>
      <c r="H128" s="96" t="str">
        <f>IF(B128="","",_xll.flu_CocMaSatCMD($D$24,$D$16,$D$17,$D$25,$H$12:$O$25,FALSE,FALSE,$D$18,$D$13,$K$32,$H$32,A128,"GanmaRf"))</f>
        <v/>
      </c>
      <c r="I128" s="96" t="str">
        <f>IF(B128="","",_xll.flu_CocMaSatCMD($D$24,$D$16,$D$17,$D$25,$H$12:$O$25,FALSE,FALSE,$D$18,$D$13,$K$32,$H$32,A128,"Li"))</f>
        <v/>
      </c>
      <c r="J128" s="41" t="str">
        <f>IFERROR(_xll.TinhGammafiCMS($D$19,_xll.TimTinhChatDatCotTU(B128,$H$12:$Q$25,9),_xll.TimTinhChatDatCotTU(B128,$H$12:$Q$25,9),_xll.TimTinhChatDatCotTU(B128,$H$12:$Q$25,3),$D$12,_xll.TimTinhChatDatCotTU(B128,$H$12:$Q$25,8),$D$20),"")</f>
        <v/>
      </c>
      <c r="K128" s="95" t="str">
        <f>IF(B128="","",IF(B128&lt;=$I$30,0,_xll.flu_CocMaSatCMD($D$24,$D$16,$D$17,$D$25,$H$12:$O$25,FALSE,FALSE,$D$18,$D$13,$K$32,$H$32,A128,"f")))</f>
        <v/>
      </c>
      <c r="L128" s="95" t="str">
        <f t="shared" si="8"/>
        <v/>
      </c>
      <c r="M128" s="95" t="str">
        <f t="shared" si="11"/>
        <v/>
      </c>
      <c r="N128" s="87" t="str">
        <f t="shared" si="10"/>
        <v/>
      </c>
      <c r="O128" s="10"/>
    </row>
    <row r="129" spans="1:15" s="37" customFormat="1" ht="12.75">
      <c r="A129" s="87">
        <f t="shared" si="9"/>
        <v>86</v>
      </c>
      <c r="B129" s="83" t="str">
        <f>_xll.flu_CocMaSatCMD($D$24,$D$16,$D$17,$D$25,$H$12:$O$26,FALSE,FALSE,$D$18,$D$13,$K$32,$H$32,A129,"Cao độ")</f>
        <v/>
      </c>
      <c r="C129" s="87" t="str">
        <f>IF(B129="","",_xll.TimTenLoaiDat(B129,$F$12:$H$26))</f>
        <v/>
      </c>
      <c r="D129" s="82" t="str">
        <f>IF(B129="","",_xll.TimTinhChatDat(B129,$H$12:$I$26))</f>
        <v/>
      </c>
      <c r="E129" s="41" t="str">
        <f>IFERROR(_xll.TinhGammaqbCMS($D$19,_xll.TimTinhChatDatCotTU(B129,$H$12:$Q$25,9),_xll.TimTinhChatDatCotTU(B129,$H$12:$Q$25,9),_xll.TimTinhChatDatCotTU(B129,$H$12:$Q$25,3),$D$12,_xll.TimTinhChatDatCotTU(B129,$H$12:$Q$25,8),$D$20),"")</f>
        <v/>
      </c>
      <c r="F129" s="82" t="str">
        <f>IF(B129="","",_xll.Qb_CocMaSatCMD(B129,$H$12:$O$25,$D$23,$D$25,$H$32,$D$13,$D$27,$D$26,"qb"))</f>
        <v/>
      </c>
      <c r="G129" s="95" t="str">
        <f t="shared" si="7"/>
        <v/>
      </c>
      <c r="H129" s="96" t="str">
        <f>IF(B129="","",_xll.flu_CocMaSatCMD($D$24,$D$16,$D$17,$D$25,$H$12:$O$25,FALSE,FALSE,$D$18,$D$13,$K$32,$H$32,A129,"GanmaRf"))</f>
        <v/>
      </c>
      <c r="I129" s="96" t="str">
        <f>IF(B129="","",_xll.flu_CocMaSatCMD($D$24,$D$16,$D$17,$D$25,$H$12:$O$25,FALSE,FALSE,$D$18,$D$13,$K$32,$H$32,A129,"Li"))</f>
        <v/>
      </c>
      <c r="J129" s="41" t="str">
        <f>IFERROR(_xll.TinhGammafiCMS($D$19,_xll.TimTinhChatDatCotTU(B129,$H$12:$Q$25,9),_xll.TimTinhChatDatCotTU(B129,$H$12:$Q$25,9),_xll.TimTinhChatDatCotTU(B129,$H$12:$Q$25,3),$D$12,_xll.TimTinhChatDatCotTU(B129,$H$12:$Q$25,8),$D$20),"")</f>
        <v/>
      </c>
      <c r="K129" s="95" t="str">
        <f>IF(B129="","",IF(B129&lt;=$I$30,0,_xll.flu_CocMaSatCMD($D$24,$D$16,$D$17,$D$25,$H$12:$O$25,FALSE,FALSE,$D$18,$D$13,$K$32,$H$32,A129,"f")))</f>
        <v/>
      </c>
      <c r="L129" s="95" t="str">
        <f t="shared" si="8"/>
        <v/>
      </c>
      <c r="M129" s="95" t="str">
        <f t="shared" si="11"/>
        <v/>
      </c>
      <c r="N129" s="87" t="str">
        <f t="shared" si="10"/>
        <v/>
      </c>
      <c r="O129" s="10"/>
    </row>
    <row r="130" spans="1:15" s="37" customFormat="1" ht="12.75">
      <c r="A130" s="87">
        <f t="shared" si="9"/>
        <v>87</v>
      </c>
      <c r="B130" s="83" t="str">
        <f>_xll.flu_CocMaSatCMD($D$24,$D$16,$D$17,$D$25,$H$12:$O$26,FALSE,FALSE,$D$18,$D$13,$K$32,$H$32,A130,"Cao độ")</f>
        <v/>
      </c>
      <c r="C130" s="87" t="str">
        <f>IF(B130="","",_xll.TimTenLoaiDat(B130,$F$12:$H$26))</f>
        <v/>
      </c>
      <c r="D130" s="82" t="str">
        <f>IF(B130="","",_xll.TimTinhChatDat(B130,$H$12:$I$26))</f>
        <v/>
      </c>
      <c r="E130" s="41" t="str">
        <f>IFERROR(_xll.TinhGammaqbCMS($D$19,_xll.TimTinhChatDatCotTU(B130,$H$12:$Q$25,9),_xll.TimTinhChatDatCotTU(B130,$H$12:$Q$25,9),_xll.TimTinhChatDatCotTU(B130,$H$12:$Q$25,3),$D$12,_xll.TimTinhChatDatCotTU(B130,$H$12:$Q$25,8),$D$20),"")</f>
        <v/>
      </c>
      <c r="F130" s="82" t="str">
        <f>IF(B130="","",_xll.Qb_CocMaSatCMD(B130,$H$12:$O$25,$D$23,$D$25,$H$32,$D$13,$D$27,$D$26,"qb"))</f>
        <v/>
      </c>
      <c r="G130" s="95" t="str">
        <f t="shared" si="7"/>
        <v/>
      </c>
      <c r="H130" s="96" t="str">
        <f>IF(B130="","",_xll.flu_CocMaSatCMD($D$24,$D$16,$D$17,$D$25,$H$12:$O$25,FALSE,FALSE,$D$18,$D$13,$K$32,$H$32,A130,"GanmaRf"))</f>
        <v/>
      </c>
      <c r="I130" s="96" t="str">
        <f>IF(B130="","",_xll.flu_CocMaSatCMD($D$24,$D$16,$D$17,$D$25,$H$12:$O$25,FALSE,FALSE,$D$18,$D$13,$K$32,$H$32,A130,"Li"))</f>
        <v/>
      </c>
      <c r="J130" s="41" t="str">
        <f>IFERROR(_xll.TinhGammafiCMS($D$19,_xll.TimTinhChatDatCotTU(B130,$H$12:$Q$25,9),_xll.TimTinhChatDatCotTU(B130,$H$12:$Q$25,9),_xll.TimTinhChatDatCotTU(B130,$H$12:$Q$25,3),$D$12,_xll.TimTinhChatDatCotTU(B130,$H$12:$Q$25,8),$D$20),"")</f>
        <v/>
      </c>
      <c r="K130" s="95" t="str">
        <f>IF(B130="","",IF(B130&lt;=$I$30,0,_xll.flu_CocMaSatCMD($D$24,$D$16,$D$17,$D$25,$H$12:$O$25,FALSE,FALSE,$D$18,$D$13,$K$32,$H$32,A130,"f")))</f>
        <v/>
      </c>
      <c r="L130" s="95" t="str">
        <f t="shared" si="8"/>
        <v/>
      </c>
      <c r="M130" s="95" t="str">
        <f t="shared" si="11"/>
        <v/>
      </c>
      <c r="N130" s="87" t="str">
        <f t="shared" si="10"/>
        <v/>
      </c>
      <c r="O130" s="10"/>
    </row>
    <row r="131" spans="1:15" s="37" customFormat="1" ht="12.75">
      <c r="A131" s="87">
        <f t="shared" si="9"/>
        <v>88</v>
      </c>
      <c r="B131" s="83" t="str">
        <f>_xll.flu_CocMaSatCMD($D$24,$D$16,$D$17,$D$25,$H$12:$O$26,FALSE,FALSE,$D$18,$D$13,$K$32,$H$32,A131,"Cao độ")</f>
        <v/>
      </c>
      <c r="C131" s="87" t="str">
        <f>IF(B131="","",_xll.TimTenLoaiDat(B131,$F$12:$H$26))</f>
        <v/>
      </c>
      <c r="D131" s="82" t="str">
        <f>IF(B131="","",_xll.TimTinhChatDat(B131,$H$12:$I$26))</f>
        <v/>
      </c>
      <c r="E131" s="41" t="str">
        <f>IFERROR(_xll.TinhGammaqbCMS($D$19,_xll.TimTinhChatDatCotTU(B131,$H$12:$Q$25,9),_xll.TimTinhChatDatCotTU(B131,$H$12:$Q$25,9),_xll.TimTinhChatDatCotTU(B131,$H$12:$Q$25,3),$D$12,_xll.TimTinhChatDatCotTU(B131,$H$12:$Q$25,8),$D$20),"")</f>
        <v/>
      </c>
      <c r="F131" s="82" t="str">
        <f>IF(B131="","",_xll.Qb_CocMaSatCMD(B131,$H$12:$O$25,$D$23,$D$25,$H$32,$D$13,$D$27,$D$26,"qb"))</f>
        <v/>
      </c>
      <c r="G131" s="95" t="str">
        <f t="shared" si="7"/>
        <v/>
      </c>
      <c r="H131" s="96" t="str">
        <f>IF(B131="","",_xll.flu_CocMaSatCMD($D$24,$D$16,$D$17,$D$25,$H$12:$O$25,FALSE,FALSE,$D$18,$D$13,$K$32,$H$32,A131,"GanmaRf"))</f>
        <v/>
      </c>
      <c r="I131" s="96" t="str">
        <f>IF(B131="","",_xll.flu_CocMaSatCMD($D$24,$D$16,$D$17,$D$25,$H$12:$O$25,FALSE,FALSE,$D$18,$D$13,$K$32,$H$32,A131,"Li"))</f>
        <v/>
      </c>
      <c r="J131" s="41" t="str">
        <f>IFERROR(_xll.TinhGammafiCMS($D$19,_xll.TimTinhChatDatCotTU(B131,$H$12:$Q$25,9),_xll.TimTinhChatDatCotTU(B131,$H$12:$Q$25,9),_xll.TimTinhChatDatCotTU(B131,$H$12:$Q$25,3),$D$12,_xll.TimTinhChatDatCotTU(B131,$H$12:$Q$25,8),$D$20),"")</f>
        <v/>
      </c>
      <c r="K131" s="95" t="str">
        <f>IF(B131="","",IF(B131&lt;=$I$30,0,_xll.flu_CocMaSatCMD($D$24,$D$16,$D$17,$D$25,$H$12:$O$25,FALSE,FALSE,$D$18,$D$13,$K$32,$H$32,A131,"f")))</f>
        <v/>
      </c>
      <c r="L131" s="95" t="str">
        <f t="shared" si="8"/>
        <v/>
      </c>
      <c r="M131" s="95" t="str">
        <f t="shared" si="11"/>
        <v/>
      </c>
      <c r="N131" s="87" t="str">
        <f t="shared" si="10"/>
        <v/>
      </c>
      <c r="O131" s="10"/>
    </row>
    <row r="132" spans="1:15" s="37" customFormat="1" ht="12.75">
      <c r="A132" s="87">
        <f t="shared" si="9"/>
        <v>89</v>
      </c>
      <c r="B132" s="83" t="str">
        <f>_xll.flu_CocMaSatCMD($D$24,$D$16,$D$17,$D$25,$H$12:$O$26,FALSE,FALSE,$D$18,$D$13,$K$32,$H$32,A132,"Cao độ")</f>
        <v/>
      </c>
      <c r="C132" s="87" t="str">
        <f>IF(B132="","",_xll.TimTenLoaiDat(B132,$F$12:$H$26))</f>
        <v/>
      </c>
      <c r="D132" s="82" t="str">
        <f>IF(B132="","",_xll.TimTinhChatDat(B132,$H$12:$I$26))</f>
        <v/>
      </c>
      <c r="E132" s="41" t="str">
        <f>IFERROR(_xll.TinhGammaqbCMS($D$19,_xll.TimTinhChatDatCotTU(B132,$H$12:$Q$25,9),_xll.TimTinhChatDatCotTU(B132,$H$12:$Q$25,9),_xll.TimTinhChatDatCotTU(B132,$H$12:$Q$25,3),$D$12,_xll.TimTinhChatDatCotTU(B132,$H$12:$Q$25,8),$D$20),"")</f>
        <v/>
      </c>
      <c r="F132" s="82" t="str">
        <f>IF(B132="","",_xll.Qb_CocMaSatCMD(B132,$H$12:$O$25,$D$23,$D$25,$H$32,$D$13,$D$27,$D$26,"qb"))</f>
        <v/>
      </c>
      <c r="G132" s="95" t="str">
        <f t="shared" si="7"/>
        <v/>
      </c>
      <c r="H132" s="96" t="str">
        <f>IF(B132="","",_xll.flu_CocMaSatCMD($D$24,$D$16,$D$17,$D$25,$H$12:$O$25,FALSE,FALSE,$D$18,$D$13,$K$32,$H$32,A132,"GanmaRf"))</f>
        <v/>
      </c>
      <c r="I132" s="96" t="str">
        <f>IF(B132="","",_xll.flu_CocMaSatCMD($D$24,$D$16,$D$17,$D$25,$H$12:$O$25,FALSE,FALSE,$D$18,$D$13,$K$32,$H$32,A132,"Li"))</f>
        <v/>
      </c>
      <c r="J132" s="41" t="str">
        <f>IFERROR(_xll.TinhGammafiCMS($D$19,_xll.TimTinhChatDatCotTU(B132,$H$12:$Q$25,9),_xll.TimTinhChatDatCotTU(B132,$H$12:$Q$25,9),_xll.TimTinhChatDatCotTU(B132,$H$12:$Q$25,3),$D$12,_xll.TimTinhChatDatCotTU(B132,$H$12:$Q$25,8),$D$20),"")</f>
        <v/>
      </c>
      <c r="K132" s="95" t="str">
        <f>IF(B132="","",IF(B132&lt;=$I$30,0,_xll.flu_CocMaSatCMD($D$24,$D$16,$D$17,$D$25,$H$12:$O$25,FALSE,FALSE,$D$18,$D$13,$K$32,$H$32,A132,"f")))</f>
        <v/>
      </c>
      <c r="L132" s="95" t="str">
        <f t="shared" si="8"/>
        <v/>
      </c>
      <c r="M132" s="95" t="str">
        <f t="shared" si="11"/>
        <v/>
      </c>
      <c r="N132" s="87" t="str">
        <f t="shared" si="10"/>
        <v/>
      </c>
      <c r="O132" s="10"/>
    </row>
    <row r="133" spans="1:15" s="37" customFormat="1" ht="12.75">
      <c r="A133" s="87">
        <f t="shared" si="9"/>
        <v>90</v>
      </c>
      <c r="B133" s="83" t="str">
        <f>_xll.flu_CocMaSatCMD($D$24,$D$16,$D$17,$D$25,$H$12:$O$26,FALSE,FALSE,$D$18,$D$13,$K$32,$H$32,A133,"Cao độ")</f>
        <v/>
      </c>
      <c r="C133" s="87" t="str">
        <f>IF(B133="","",_xll.TimTenLoaiDat(B133,$F$12:$H$26))</f>
        <v/>
      </c>
      <c r="D133" s="82" t="str">
        <f>IF(B133="","",_xll.TimTinhChatDat(B133,$H$12:$I$26))</f>
        <v/>
      </c>
      <c r="E133" s="41" t="str">
        <f>IFERROR(_xll.TinhGammaqbCMS($D$19,_xll.TimTinhChatDatCotTU(B133,$H$12:$Q$25,9),_xll.TimTinhChatDatCotTU(B133,$H$12:$Q$25,9),_xll.TimTinhChatDatCotTU(B133,$H$12:$Q$25,3),$D$12,_xll.TimTinhChatDatCotTU(B133,$H$12:$Q$25,8),$D$20),"")</f>
        <v/>
      </c>
      <c r="F133" s="82" t="str">
        <f>IF(B133="","",_xll.Qb_CocMaSatCMD(B133,$H$12:$O$25,$D$23,$D$25,$H$32,$D$13,$D$27,$D$26,"qb"))</f>
        <v/>
      </c>
      <c r="G133" s="95" t="str">
        <f t="shared" si="7"/>
        <v/>
      </c>
      <c r="H133" s="96" t="str">
        <f>IF(B133="","",_xll.flu_CocMaSatCMD($D$24,$D$16,$D$17,$D$25,$H$12:$O$25,FALSE,FALSE,$D$18,$D$13,$K$32,$H$32,A133,"GanmaRf"))</f>
        <v/>
      </c>
      <c r="I133" s="96" t="str">
        <f>IF(B133="","",_xll.flu_CocMaSatCMD($D$24,$D$16,$D$17,$D$25,$H$12:$O$25,FALSE,FALSE,$D$18,$D$13,$K$32,$H$32,A133,"Li"))</f>
        <v/>
      </c>
      <c r="J133" s="41" t="str">
        <f>IFERROR(_xll.TinhGammafiCMS($D$19,_xll.TimTinhChatDatCotTU(B133,$H$12:$Q$25,9),_xll.TimTinhChatDatCotTU(B133,$H$12:$Q$25,9),_xll.TimTinhChatDatCotTU(B133,$H$12:$Q$25,3),$D$12,_xll.TimTinhChatDatCotTU(B133,$H$12:$Q$25,8),$D$20),"")</f>
        <v/>
      </c>
      <c r="K133" s="95" t="str">
        <f>IF(B133="","",IF(B133&lt;=$I$30,0,_xll.flu_CocMaSatCMD($D$24,$D$16,$D$17,$D$25,$H$12:$O$25,FALSE,FALSE,$D$18,$D$13,$K$32,$H$32,A133,"f")))</f>
        <v/>
      </c>
      <c r="L133" s="95" t="str">
        <f t="shared" si="8"/>
        <v/>
      </c>
      <c r="M133" s="95" t="str">
        <f t="shared" si="11"/>
        <v/>
      </c>
      <c r="N133" s="87" t="str">
        <f t="shared" si="10"/>
        <v/>
      </c>
      <c r="O133" s="10"/>
    </row>
    <row r="134" spans="1:15" s="37" customFormat="1" ht="12.75">
      <c r="A134" s="87">
        <f t="shared" si="9"/>
        <v>91</v>
      </c>
      <c r="B134" s="83" t="str">
        <f>_xll.flu_CocMaSatCMD($D$24,$D$16,$D$17,$D$25,$H$12:$O$26,FALSE,FALSE,$D$18,$D$13,$K$32,$H$32,A134,"Cao độ")</f>
        <v/>
      </c>
      <c r="C134" s="87" t="str">
        <f>IF(B134="","",_xll.TimTenLoaiDat(B134,$F$12:$H$26))</f>
        <v/>
      </c>
      <c r="D134" s="82" t="str">
        <f>IF(B134="","",_xll.TimTinhChatDat(B134,$H$12:$I$26))</f>
        <v/>
      </c>
      <c r="E134" s="41" t="str">
        <f>IFERROR(_xll.TinhGammaqbCMS($D$19,_xll.TimTinhChatDatCotTU(B134,$H$12:$Q$25,9),_xll.TimTinhChatDatCotTU(B134,$H$12:$Q$25,9),_xll.TimTinhChatDatCotTU(B134,$H$12:$Q$25,3),$D$12,_xll.TimTinhChatDatCotTU(B134,$H$12:$Q$25,8),$D$20),"")</f>
        <v/>
      </c>
      <c r="F134" s="82" t="str">
        <f>IF(B134="","",_xll.Qb_CocMaSatCMD(B134,$H$12:$O$25,$D$23,$D$25,$H$32,$D$13,$D$27,$D$26,"qb"))</f>
        <v/>
      </c>
      <c r="G134" s="95" t="str">
        <f t="shared" si="7"/>
        <v/>
      </c>
      <c r="H134" s="96" t="str">
        <f>IF(B134="","",_xll.flu_CocMaSatCMD($D$24,$D$16,$D$17,$D$25,$H$12:$O$25,FALSE,FALSE,$D$18,$D$13,$K$32,$H$32,A134,"GanmaRf"))</f>
        <v/>
      </c>
      <c r="I134" s="96" t="str">
        <f>IF(B134="","",_xll.flu_CocMaSatCMD($D$24,$D$16,$D$17,$D$25,$H$12:$O$25,FALSE,FALSE,$D$18,$D$13,$K$32,$H$32,A134,"Li"))</f>
        <v/>
      </c>
      <c r="J134" s="41" t="str">
        <f>IFERROR(_xll.TinhGammafiCMS($D$19,_xll.TimTinhChatDatCotTU(B134,$H$12:$Q$25,9),_xll.TimTinhChatDatCotTU(B134,$H$12:$Q$25,9),_xll.TimTinhChatDatCotTU(B134,$H$12:$Q$25,3),$D$12,_xll.TimTinhChatDatCotTU(B134,$H$12:$Q$25,8),$D$20),"")</f>
        <v/>
      </c>
      <c r="K134" s="95" t="str">
        <f>IF(B134="","",IF(B134&lt;=$I$30,0,_xll.flu_CocMaSatCMD($D$24,$D$16,$D$17,$D$25,$H$12:$O$25,FALSE,FALSE,$D$18,$D$13,$K$32,$H$32,A134,"f")))</f>
        <v/>
      </c>
      <c r="L134" s="95" t="str">
        <f t="shared" si="8"/>
        <v/>
      </c>
      <c r="M134" s="95" t="str">
        <f t="shared" si="11"/>
        <v/>
      </c>
      <c r="N134" s="87" t="str">
        <f t="shared" si="10"/>
        <v/>
      </c>
      <c r="O134" s="10"/>
    </row>
    <row r="135" spans="1:15" s="37" customFormat="1" ht="12.75">
      <c r="A135" s="87">
        <f t="shared" si="9"/>
        <v>92</v>
      </c>
      <c r="B135" s="83" t="str">
        <f>_xll.flu_CocMaSatCMD($D$24,$D$16,$D$17,$D$25,$H$12:$O$26,FALSE,FALSE,$D$18,$D$13,$K$32,$H$32,A135,"Cao độ")</f>
        <v/>
      </c>
      <c r="C135" s="87" t="str">
        <f>IF(B135="","",_xll.TimTenLoaiDat(B135,$F$12:$H$26))</f>
        <v/>
      </c>
      <c r="D135" s="82" t="str">
        <f>IF(B135="","",_xll.TimTinhChatDat(B135,$H$12:$I$26))</f>
        <v/>
      </c>
      <c r="E135" s="41" t="str">
        <f>IFERROR(_xll.TinhGammaqbCMS($D$19,_xll.TimTinhChatDatCotTU(B135,$H$12:$Q$25,9),_xll.TimTinhChatDatCotTU(B135,$H$12:$Q$25,9),_xll.TimTinhChatDatCotTU(B135,$H$12:$Q$25,3),$D$12,_xll.TimTinhChatDatCotTU(B135,$H$12:$Q$25,8),$D$20),"")</f>
        <v/>
      </c>
      <c r="F135" s="82" t="str">
        <f>IF(B135="","",_xll.Qb_CocMaSatCMD(B135,$H$12:$O$25,$D$23,$D$25,$H$32,$D$13,$D$27,$D$26,"qb"))</f>
        <v/>
      </c>
      <c r="G135" s="95" t="str">
        <f t="shared" si="7"/>
        <v/>
      </c>
      <c r="H135" s="96" t="str">
        <f>IF(B135="","",_xll.flu_CocMaSatCMD($D$24,$D$16,$D$17,$D$25,$H$12:$O$25,FALSE,FALSE,$D$18,$D$13,$K$32,$H$32,A135,"GanmaRf"))</f>
        <v/>
      </c>
      <c r="I135" s="96" t="str">
        <f>IF(B135="","",_xll.flu_CocMaSatCMD($D$24,$D$16,$D$17,$D$25,$H$12:$O$25,FALSE,FALSE,$D$18,$D$13,$K$32,$H$32,A135,"Li"))</f>
        <v/>
      </c>
      <c r="J135" s="41" t="str">
        <f>IFERROR(_xll.TinhGammafiCMS($D$19,_xll.TimTinhChatDatCotTU(B135,$H$12:$Q$25,9),_xll.TimTinhChatDatCotTU(B135,$H$12:$Q$25,9),_xll.TimTinhChatDatCotTU(B135,$H$12:$Q$25,3),$D$12,_xll.TimTinhChatDatCotTU(B135,$H$12:$Q$25,8),$D$20),"")</f>
        <v/>
      </c>
      <c r="K135" s="95" t="str">
        <f>IF(B135="","",IF(B135&lt;=$I$30,0,_xll.flu_CocMaSatCMD($D$24,$D$16,$D$17,$D$25,$H$12:$O$25,FALSE,FALSE,$D$18,$D$13,$K$32,$H$32,A135,"f")))</f>
        <v/>
      </c>
      <c r="L135" s="95" t="str">
        <f t="shared" si="8"/>
        <v/>
      </c>
      <c r="M135" s="95" t="str">
        <f t="shared" si="11"/>
        <v/>
      </c>
      <c r="N135" s="87" t="str">
        <f t="shared" si="10"/>
        <v/>
      </c>
      <c r="O135" s="10"/>
    </row>
    <row r="136" spans="1:15" s="37" customFormat="1" ht="12.75">
      <c r="A136" s="87">
        <f t="shared" si="9"/>
        <v>93</v>
      </c>
      <c r="B136" s="83" t="str">
        <f>_xll.flu_CocMaSatCMD($D$24,$D$16,$D$17,$D$25,$H$12:$O$26,FALSE,FALSE,$D$18,$D$13,$K$32,$H$32,A136,"Cao độ")</f>
        <v/>
      </c>
      <c r="C136" s="87" t="str">
        <f>IF(B136="","",_xll.TimTenLoaiDat(B136,$F$12:$H$26))</f>
        <v/>
      </c>
      <c r="D136" s="82" t="str">
        <f>IF(B136="","",_xll.TimTinhChatDat(B136,$H$12:$I$26))</f>
        <v/>
      </c>
      <c r="E136" s="41" t="str">
        <f>IFERROR(_xll.TinhGammaqbCMS($D$19,_xll.TimTinhChatDatCotTU(B136,$H$12:$Q$25,9),_xll.TimTinhChatDatCotTU(B136,$H$12:$Q$25,9),_xll.TimTinhChatDatCotTU(B136,$H$12:$Q$25,3),$D$12,_xll.TimTinhChatDatCotTU(B136,$H$12:$Q$25,8),$D$20),"")</f>
        <v/>
      </c>
      <c r="F136" s="82" t="str">
        <f>IF(B136="","",_xll.Qb_CocMaSatCMD(B136,$H$12:$O$25,$D$23,$D$25,$H$32,$D$13,$D$27,$D$26,"qb"))</f>
        <v/>
      </c>
      <c r="G136" s="95" t="str">
        <f t="shared" si="7"/>
        <v/>
      </c>
      <c r="H136" s="96" t="str">
        <f>IF(B136="","",_xll.flu_CocMaSatCMD($D$24,$D$16,$D$17,$D$25,$H$12:$O$25,FALSE,FALSE,$D$18,$D$13,$K$32,$H$32,A136,"GanmaRf"))</f>
        <v/>
      </c>
      <c r="I136" s="96" t="str">
        <f>IF(B136="","",_xll.flu_CocMaSatCMD($D$24,$D$16,$D$17,$D$25,$H$12:$O$25,FALSE,FALSE,$D$18,$D$13,$K$32,$H$32,A136,"Li"))</f>
        <v/>
      </c>
      <c r="J136" s="41" t="str">
        <f>IFERROR(_xll.TinhGammafiCMS($D$19,_xll.TimTinhChatDatCotTU(B136,$H$12:$Q$25,9),_xll.TimTinhChatDatCotTU(B136,$H$12:$Q$25,9),_xll.TimTinhChatDatCotTU(B136,$H$12:$Q$25,3),$D$12,_xll.TimTinhChatDatCotTU(B136,$H$12:$Q$25,8),$D$20),"")</f>
        <v/>
      </c>
      <c r="K136" s="95" t="str">
        <f>IF(B136="","",IF(B136&lt;=$I$30,0,_xll.flu_CocMaSatCMD($D$24,$D$16,$D$17,$D$25,$H$12:$O$25,FALSE,FALSE,$D$18,$D$13,$K$32,$H$32,A136,"f")))</f>
        <v/>
      </c>
      <c r="L136" s="95" t="str">
        <f t="shared" si="8"/>
        <v/>
      </c>
      <c r="M136" s="95" t="str">
        <f t="shared" si="11"/>
        <v/>
      </c>
      <c r="N136" s="87" t="str">
        <f t="shared" si="10"/>
        <v/>
      </c>
      <c r="O136" s="10"/>
    </row>
    <row r="137" spans="1:15" s="37" customFormat="1" ht="12.75">
      <c r="A137" s="87">
        <f t="shared" si="9"/>
        <v>94</v>
      </c>
      <c r="B137" s="83" t="str">
        <f>_xll.flu_CocMaSatCMD($D$24,$D$16,$D$17,$D$25,$H$12:$O$26,FALSE,FALSE,$D$18,$D$13,$K$32,$H$32,A137,"Cao độ")</f>
        <v/>
      </c>
      <c r="C137" s="87" t="str">
        <f>IF(B137="","",_xll.TimTenLoaiDat(B137,$F$12:$H$26))</f>
        <v/>
      </c>
      <c r="D137" s="82" t="str">
        <f>IF(B137="","",_xll.TimTinhChatDat(B137,$H$12:$I$26))</f>
        <v/>
      </c>
      <c r="E137" s="41" t="str">
        <f>IFERROR(_xll.TinhGammaqbCMS($D$19,_xll.TimTinhChatDatCotTU(B137,$H$12:$Q$25,9),_xll.TimTinhChatDatCotTU(B137,$H$12:$Q$25,9),_xll.TimTinhChatDatCotTU(B137,$H$12:$Q$25,3),$D$12,_xll.TimTinhChatDatCotTU(B137,$H$12:$Q$25,8),$D$20),"")</f>
        <v/>
      </c>
      <c r="F137" s="82" t="str">
        <f>IF(B137="","",_xll.Qb_CocMaSatCMD(B137,$H$12:$O$25,$D$23,$D$25,$H$32,$D$13,$D$27,$D$26,"qb"))</f>
        <v/>
      </c>
      <c r="G137" s="95" t="str">
        <f t="shared" si="7"/>
        <v/>
      </c>
      <c r="H137" s="96" t="str">
        <f>IF(B137="","",_xll.flu_CocMaSatCMD($D$24,$D$16,$D$17,$D$25,$H$12:$O$25,FALSE,FALSE,$D$18,$D$13,$K$32,$H$32,A137,"GanmaRf"))</f>
        <v/>
      </c>
      <c r="I137" s="96" t="str">
        <f>IF(B137="","",_xll.flu_CocMaSatCMD($D$24,$D$16,$D$17,$D$25,$H$12:$O$25,FALSE,FALSE,$D$18,$D$13,$K$32,$H$32,A137,"Li"))</f>
        <v/>
      </c>
      <c r="J137" s="41" t="str">
        <f>IFERROR(_xll.TinhGammafiCMS($D$19,_xll.TimTinhChatDatCotTU(B137,$H$12:$Q$25,9),_xll.TimTinhChatDatCotTU(B137,$H$12:$Q$25,9),_xll.TimTinhChatDatCotTU(B137,$H$12:$Q$25,3),$D$12,_xll.TimTinhChatDatCotTU(B137,$H$12:$Q$25,8),$D$20),"")</f>
        <v/>
      </c>
      <c r="K137" s="95" t="str">
        <f>IF(B137="","",IF(B137&lt;=$I$30,0,_xll.flu_CocMaSatCMD($D$24,$D$16,$D$17,$D$25,$H$12:$O$25,FALSE,FALSE,$D$18,$D$13,$K$32,$H$32,A137,"f")))</f>
        <v/>
      </c>
      <c r="L137" s="95" t="str">
        <f t="shared" si="8"/>
        <v/>
      </c>
      <c r="M137" s="95" t="str">
        <f t="shared" si="11"/>
        <v/>
      </c>
      <c r="N137" s="87" t="str">
        <f t="shared" si="10"/>
        <v/>
      </c>
      <c r="O137" s="10"/>
    </row>
    <row r="138" spans="1:15" customFormat="1">
      <c r="A138" s="87">
        <f t="shared" si="9"/>
        <v>95</v>
      </c>
      <c r="B138" s="83" t="str">
        <f>_xll.flu_CocMaSatCMD($D$24,$D$16,$D$17,$D$25,$H$12:$O$26,FALSE,FALSE,$D$18,$D$13,$K$32,$H$32,A138,"Cao độ")</f>
        <v/>
      </c>
      <c r="C138" s="87" t="str">
        <f>IF(B138="","",_xll.TimTenLoaiDat(B138,$F$12:$H$26))</f>
        <v/>
      </c>
      <c r="D138" s="82" t="str">
        <f>IF(B138="","",_xll.TimTinhChatDat(B138,$H$12:$I$26))</f>
        <v/>
      </c>
      <c r="E138" s="41" t="str">
        <f>IFERROR(_xll.TinhGammaqbCMS($D$19,_xll.TimTinhChatDatCotTU(B138,$H$12:$Q$25,9),_xll.TimTinhChatDatCotTU(B138,$H$12:$Q$25,9),_xll.TimTinhChatDatCotTU(B138,$H$12:$Q$25,3),$D$12,_xll.TimTinhChatDatCotTU(B138,$H$12:$Q$25,8),$D$20),"")</f>
        <v/>
      </c>
      <c r="F138" s="82" t="str">
        <f>IF(B138="","",_xll.Qb_CocMaSatCMD(B138,$H$12:$O$25,$D$23,$D$25,$H$32,$D$13,$D$27,$D$26,"qb"))</f>
        <v/>
      </c>
      <c r="G138" s="95" t="str">
        <f t="shared" si="7"/>
        <v/>
      </c>
      <c r="H138" s="96" t="str">
        <f>IF(B138="","",_xll.flu_CocMaSatCMD($D$24,$D$16,$D$17,$D$25,$H$12:$O$25,FALSE,FALSE,$D$18,$D$13,$K$32,$H$32,A138,"GanmaRf"))</f>
        <v/>
      </c>
      <c r="I138" s="96" t="str">
        <f>IF(B138="","",_xll.flu_CocMaSatCMD($D$24,$D$16,$D$17,$D$25,$H$12:$O$25,FALSE,FALSE,$D$18,$D$13,$K$32,$H$32,A138,"Li"))</f>
        <v/>
      </c>
      <c r="J138" s="41" t="str">
        <f>IFERROR(_xll.TinhGammafiCMS($D$19,_xll.TimTinhChatDatCotTU(B138,$H$12:$Q$25,9),_xll.TimTinhChatDatCotTU(B138,$H$12:$Q$25,9),_xll.TimTinhChatDatCotTU(B138,$H$12:$Q$25,3),$D$12,_xll.TimTinhChatDatCotTU(B138,$H$12:$Q$25,8),$D$20),"")</f>
        <v/>
      </c>
      <c r="K138" s="95" t="str">
        <f>IF(B138="","",IF(B138&lt;=$I$30,0,_xll.flu_CocMaSatCMD($D$24,$D$16,$D$17,$D$25,$H$12:$O$25,FALSE,FALSE,$D$18,$D$13,$K$32,$H$32,A138,"f")))</f>
        <v/>
      </c>
      <c r="L138" s="95" t="str">
        <f t="shared" si="8"/>
        <v/>
      </c>
      <c r="M138" s="95" t="str">
        <f t="shared" si="11"/>
        <v/>
      </c>
      <c r="N138" s="87" t="str">
        <f t="shared" si="10"/>
        <v/>
      </c>
      <c r="O138" s="42"/>
    </row>
    <row r="139" spans="1:15" customFormat="1">
      <c r="A139" s="87">
        <f t="shared" si="9"/>
        <v>96</v>
      </c>
      <c r="B139" s="83" t="str">
        <f>_xll.flu_CocMaSatCMD($D$24,$D$16,$D$17,$D$25,$H$12:$O$26,FALSE,FALSE,$D$18,$D$13,$K$32,$H$32,A139,"Cao độ")</f>
        <v/>
      </c>
      <c r="C139" s="87" t="str">
        <f>IF(B139="","",_xll.TimTenLoaiDat(B139,$F$12:$H$26))</f>
        <v/>
      </c>
      <c r="D139" s="82" t="str">
        <f>IF(B139="","",_xll.TimTinhChatDat(B139,$H$12:$I$26))</f>
        <v/>
      </c>
      <c r="E139" s="41" t="str">
        <f>IFERROR(_xll.TinhGammaqbCMS($D$19,_xll.TimTinhChatDatCotTU(B139,$H$12:$Q$25,9),_xll.TimTinhChatDatCotTU(B139,$H$12:$Q$25,9),_xll.TimTinhChatDatCotTU(B139,$H$12:$Q$25,3),$D$12,_xll.TimTinhChatDatCotTU(B139,$H$12:$Q$25,8),$D$20),"")</f>
        <v/>
      </c>
      <c r="F139" s="82" t="str">
        <f>IF(B139="","",_xll.Qb_CocMaSatCMD(B139,$H$12:$O$25,$D$23,$D$25,$H$32,$D$13,$D$27,$D$26,"qb"))</f>
        <v/>
      </c>
      <c r="G139" s="95" t="str">
        <f t="shared" ref="G139:G150" si="12">IF(B139="","",IFERROR($D$25*$D$26*F139*$D$23*E139,0))</f>
        <v/>
      </c>
      <c r="H139" s="96" t="str">
        <f>IF(B139="","",_xll.flu_CocMaSatCMD($D$24,$D$16,$D$17,$D$25,$H$12:$O$25,FALSE,FALSE,$D$18,$D$13,$K$32,$H$32,A139,"GanmaRf"))</f>
        <v/>
      </c>
      <c r="I139" s="96" t="str">
        <f>IF(B139="","",_xll.flu_CocMaSatCMD($D$24,$D$16,$D$17,$D$25,$H$12:$O$25,FALSE,FALSE,$D$18,$D$13,$K$32,$H$32,A139,"Li"))</f>
        <v/>
      </c>
      <c r="J139" s="41" t="str">
        <f>IFERROR(_xll.TinhGammafiCMS($D$19,_xll.TimTinhChatDatCotTU(B139,$H$12:$Q$25,9),_xll.TimTinhChatDatCotTU(B139,$H$12:$Q$25,9),_xll.TimTinhChatDatCotTU(B139,$H$12:$Q$25,3),$D$12,_xll.TimTinhChatDatCotTU(B139,$H$12:$Q$25,8),$D$20),"")</f>
        <v/>
      </c>
      <c r="K139" s="95" t="str">
        <f>IF(B139="","",IF(B139&lt;=$I$30,0,_xll.flu_CocMaSatCMD($D$24,$D$16,$D$17,$D$25,$H$12:$O$25,FALSE,FALSE,$D$18,$D$13,$K$32,$H$32,A139,"f")))</f>
        <v/>
      </c>
      <c r="L139" s="95" t="str">
        <f t="shared" ref="L139:L150" si="13">IF(B139="","",J139*$D$25*H139*K139*I139*$D$24)</f>
        <v/>
      </c>
      <c r="M139" s="95" t="str">
        <f t="shared" si="11"/>
        <v/>
      </c>
      <c r="N139" s="87" t="str">
        <f t="shared" si="10"/>
        <v/>
      </c>
      <c r="O139" s="42"/>
    </row>
    <row r="140" spans="1:15" customFormat="1">
      <c r="A140" s="87">
        <f t="shared" si="9"/>
        <v>97</v>
      </c>
      <c r="B140" s="83" t="str">
        <f>_xll.flu_CocMaSatCMD($D$24,$D$16,$D$17,$D$25,$H$12:$O$26,FALSE,FALSE,$D$18,$D$13,$K$32,$H$32,A140,"Cao độ")</f>
        <v/>
      </c>
      <c r="C140" s="87" t="str">
        <f>IF(B140="","",_xll.TimTenLoaiDat(B140,$F$12:$H$26))</f>
        <v/>
      </c>
      <c r="D140" s="82" t="str">
        <f>IF(B140="","",_xll.TimTinhChatDat(B140,$H$12:$I$26))</f>
        <v/>
      </c>
      <c r="E140" s="41" t="str">
        <f>IFERROR(_xll.TinhGammaqbCMS($D$19,_xll.TimTinhChatDatCotTU(B140,$H$12:$Q$25,9),_xll.TimTinhChatDatCotTU(B140,$H$12:$Q$25,9),_xll.TimTinhChatDatCotTU(B140,$H$12:$Q$25,3),$D$12,_xll.TimTinhChatDatCotTU(B140,$H$12:$Q$25,8),$D$20),"")</f>
        <v/>
      </c>
      <c r="F140" s="82" t="str">
        <f>IF(B140="","",_xll.Qb_CocMaSatCMD(B140,$H$12:$O$25,$D$23,$D$25,$H$32,$D$13,$D$27,$D$26,"qb"))</f>
        <v/>
      </c>
      <c r="G140" s="95" t="str">
        <f t="shared" si="12"/>
        <v/>
      </c>
      <c r="H140" s="96" t="str">
        <f>IF(B140="","",_xll.flu_CocMaSatCMD($D$24,$D$16,$D$17,$D$25,$H$12:$O$25,FALSE,FALSE,$D$18,$D$13,$K$32,$H$32,A140,"GanmaRf"))</f>
        <v/>
      </c>
      <c r="I140" s="96" t="str">
        <f>IF(B140="","",_xll.flu_CocMaSatCMD($D$24,$D$16,$D$17,$D$25,$H$12:$O$25,FALSE,FALSE,$D$18,$D$13,$K$32,$H$32,A140,"Li"))</f>
        <v/>
      </c>
      <c r="J140" s="41" t="str">
        <f>IFERROR(_xll.TinhGammafiCMS($D$19,_xll.TimTinhChatDatCotTU(B140,$H$12:$Q$25,9),_xll.TimTinhChatDatCotTU(B140,$H$12:$Q$25,9),_xll.TimTinhChatDatCotTU(B140,$H$12:$Q$25,3),$D$12,_xll.TimTinhChatDatCotTU(B140,$H$12:$Q$25,8),$D$20),"")</f>
        <v/>
      </c>
      <c r="K140" s="95" t="str">
        <f>IF(B140="","",IF(B140&lt;=$I$30,0,_xll.flu_CocMaSatCMD($D$24,$D$16,$D$17,$D$25,$H$12:$O$25,FALSE,FALSE,$D$18,$D$13,$K$32,$H$32,A140,"f")))</f>
        <v/>
      </c>
      <c r="L140" s="95" t="str">
        <f t="shared" si="13"/>
        <v/>
      </c>
      <c r="M140" s="95" t="str">
        <f t="shared" si="11"/>
        <v/>
      </c>
      <c r="N140" s="87" t="str">
        <f t="shared" si="10"/>
        <v/>
      </c>
      <c r="O140" s="42"/>
    </row>
    <row r="141" spans="1:15">
      <c r="A141" s="87">
        <f t="shared" si="9"/>
        <v>98</v>
      </c>
      <c r="B141" s="83" t="str">
        <f>_xll.flu_CocMaSatCMD($D$24,$D$16,$D$17,$D$25,$H$12:$O$26,FALSE,FALSE,$D$18,$D$13,$K$32,$H$32,A141,"Cao độ")</f>
        <v/>
      </c>
      <c r="C141" s="87" t="str">
        <f>IF(B141="","",_xll.TimTenLoaiDat(B141,$F$12:$H$26))</f>
        <v/>
      </c>
      <c r="D141" s="82" t="str">
        <f>IF(B141="","",_xll.TimTinhChatDat(B141,$H$12:$I$26))</f>
        <v/>
      </c>
      <c r="E141" s="41" t="str">
        <f>IFERROR(_xll.TinhGammaqbCMS($D$19,_xll.TimTinhChatDatCotTU(B141,$H$12:$Q$25,9),_xll.TimTinhChatDatCotTU(B141,$H$12:$Q$25,9),_xll.TimTinhChatDatCotTU(B141,$H$12:$Q$25,3),$D$12,_xll.TimTinhChatDatCotTU(B141,$H$12:$Q$25,8),$D$20),"")</f>
        <v/>
      </c>
      <c r="F141" s="82" t="str">
        <f>IF(B141="","",_xll.Qb_CocMaSatCMD(B141,$H$12:$O$25,$D$23,$D$25,$H$32,$D$13,$D$27,$D$26,"qb"))</f>
        <v/>
      </c>
      <c r="G141" s="95" t="str">
        <f t="shared" si="12"/>
        <v/>
      </c>
      <c r="H141" s="96" t="str">
        <f>IF(B141="","",_xll.flu_CocMaSatCMD($D$24,$D$16,$D$17,$D$25,$H$12:$O$25,FALSE,FALSE,$D$18,$D$13,$K$32,$H$32,A141,"GanmaRf"))</f>
        <v/>
      </c>
      <c r="I141" s="96" t="str">
        <f>IF(B141="","",_xll.flu_CocMaSatCMD($D$24,$D$16,$D$17,$D$25,$H$12:$O$25,FALSE,FALSE,$D$18,$D$13,$K$32,$H$32,A141,"Li"))</f>
        <v/>
      </c>
      <c r="J141" s="41" t="str">
        <f>IFERROR(_xll.TinhGammafiCMS($D$19,_xll.TimTinhChatDatCotTU(B141,$H$12:$Q$25,9),_xll.TimTinhChatDatCotTU(B141,$H$12:$Q$25,9),_xll.TimTinhChatDatCotTU(B141,$H$12:$Q$25,3),$D$12,_xll.TimTinhChatDatCotTU(B141,$H$12:$Q$25,8),$D$20),"")</f>
        <v/>
      </c>
      <c r="K141" s="95" t="str">
        <f>IF(B141="","",IF(B141&lt;=$I$30,0,_xll.flu_CocMaSatCMD($D$24,$D$16,$D$17,$D$25,$H$12:$O$25,FALSE,FALSE,$D$18,$D$13,$K$32,$H$32,A141,"f")))</f>
        <v/>
      </c>
      <c r="L141" s="95" t="str">
        <f t="shared" si="13"/>
        <v/>
      </c>
      <c r="M141" s="95" t="str">
        <f t="shared" si="11"/>
        <v/>
      </c>
      <c r="N141" s="87" t="str">
        <f t="shared" si="10"/>
        <v/>
      </c>
    </row>
    <row r="142" spans="1:15">
      <c r="A142" s="87">
        <f t="shared" si="9"/>
        <v>99</v>
      </c>
      <c r="B142" s="83" t="str">
        <f>_xll.flu_CocMaSatCMD($D$24,$D$16,$D$17,$D$25,$H$12:$O$26,FALSE,FALSE,$D$18,$D$13,$K$32,$H$32,A142,"Cao độ")</f>
        <v/>
      </c>
      <c r="C142" s="87" t="str">
        <f>IF(B142="","",_xll.TimTenLoaiDat(B142,$F$12:$H$26))</f>
        <v/>
      </c>
      <c r="D142" s="82" t="str">
        <f>IF(B142="","",_xll.TimTinhChatDat(B142,$H$12:$I$26))</f>
        <v/>
      </c>
      <c r="E142" s="41" t="str">
        <f>IFERROR(_xll.TinhGammaqbCMS($D$19,_xll.TimTinhChatDatCotTU(B142,$H$12:$Q$25,9),_xll.TimTinhChatDatCotTU(B142,$H$12:$Q$25,9),_xll.TimTinhChatDatCotTU(B142,$H$12:$Q$25,3),$D$12,_xll.TimTinhChatDatCotTU(B142,$H$12:$Q$25,8),$D$20),"")</f>
        <v/>
      </c>
      <c r="F142" s="82" t="str">
        <f>IF(B142="","",_xll.Qb_CocMaSatCMD(B142,$H$12:$O$25,$D$23,$D$25,$H$32,$D$13,$D$27,$D$26,"qb"))</f>
        <v/>
      </c>
      <c r="G142" s="95" t="str">
        <f t="shared" si="12"/>
        <v/>
      </c>
      <c r="H142" s="96" t="str">
        <f>IF(B142="","",_xll.flu_CocMaSatCMD($D$24,$D$16,$D$17,$D$25,$H$12:$O$25,FALSE,FALSE,$D$18,$D$13,$K$32,$H$32,A142,"GanmaRf"))</f>
        <v/>
      </c>
      <c r="I142" s="96" t="str">
        <f>IF(B142="","",_xll.flu_CocMaSatCMD($D$24,$D$16,$D$17,$D$25,$H$12:$O$25,FALSE,FALSE,$D$18,$D$13,$K$32,$H$32,A142,"Li"))</f>
        <v/>
      </c>
      <c r="J142" s="41" t="str">
        <f>IFERROR(_xll.TinhGammafiCMS($D$19,_xll.TimTinhChatDatCotTU(B142,$H$12:$Q$25,9),_xll.TimTinhChatDatCotTU(B142,$H$12:$Q$25,9),_xll.TimTinhChatDatCotTU(B142,$H$12:$Q$25,3),$D$12,_xll.TimTinhChatDatCotTU(B142,$H$12:$Q$25,8),$D$20),"")</f>
        <v/>
      </c>
      <c r="K142" s="95" t="str">
        <f>IF(B142="","",IF(B142&lt;=$I$30,0,_xll.flu_CocMaSatCMD($D$24,$D$16,$D$17,$D$25,$H$12:$O$25,FALSE,FALSE,$D$18,$D$13,$K$32,$H$32,A142,"f")))</f>
        <v/>
      </c>
      <c r="L142" s="95" t="str">
        <f t="shared" si="13"/>
        <v/>
      </c>
      <c r="M142" s="95" t="str">
        <f t="shared" si="11"/>
        <v/>
      </c>
      <c r="N142" s="87" t="str">
        <f t="shared" si="10"/>
        <v/>
      </c>
    </row>
    <row r="143" spans="1:15">
      <c r="A143" s="87">
        <f t="shared" si="9"/>
        <v>100</v>
      </c>
      <c r="B143" s="83" t="str">
        <f>_xll.flu_CocMaSatCMD($D$24,$D$16,$D$17,$D$25,$H$12:$O$26,FALSE,FALSE,$D$18,$D$13,$K$32,$H$32,A143,"Cao độ")</f>
        <v/>
      </c>
      <c r="C143" s="87" t="str">
        <f>IF(B143="","",_xll.TimTenLoaiDat(B143,$F$12:$H$26))</f>
        <v/>
      </c>
      <c r="D143" s="82" t="str">
        <f>IF(B143="","",_xll.TimTinhChatDat(B143,$H$12:$I$26))</f>
        <v/>
      </c>
      <c r="E143" s="41" t="str">
        <f>IFERROR(_xll.TinhGammaqbCMS($D$19,_xll.TimTinhChatDatCotTU(B143,$H$12:$Q$25,9),_xll.TimTinhChatDatCotTU(B143,$H$12:$Q$25,9),_xll.TimTinhChatDatCotTU(B143,$H$12:$Q$25,3),$D$12,_xll.TimTinhChatDatCotTU(B143,$H$12:$Q$25,8),$D$20),"")</f>
        <v/>
      </c>
      <c r="F143" s="82" t="str">
        <f>IF(B143="","",_xll.Qb_CocMaSatCMD(B143,$H$12:$O$25,$D$23,$D$25,$H$32,$D$13,$D$27,$D$26,"qb"))</f>
        <v/>
      </c>
      <c r="G143" s="95" t="str">
        <f t="shared" si="12"/>
        <v/>
      </c>
      <c r="H143" s="96" t="str">
        <f>IF(B143="","",_xll.flu_CocMaSatCMD($D$24,$D$16,$D$17,$D$25,$H$12:$O$25,FALSE,FALSE,$D$18,$D$13,$K$32,$H$32,A143,"GanmaRf"))</f>
        <v/>
      </c>
      <c r="I143" s="96" t="str">
        <f>IF(B143="","",_xll.flu_CocMaSatCMD($D$24,$D$16,$D$17,$D$25,$H$12:$O$25,FALSE,FALSE,$D$18,$D$13,$K$32,$H$32,A143,"Li"))</f>
        <v/>
      </c>
      <c r="J143" s="41" t="str">
        <f>IFERROR(_xll.TinhGammafiCMS($D$19,_xll.TimTinhChatDatCotTU(B143,$H$12:$Q$25,9),_xll.TimTinhChatDatCotTU(B143,$H$12:$Q$25,9),_xll.TimTinhChatDatCotTU(B143,$H$12:$Q$25,3),$D$12,_xll.TimTinhChatDatCotTU(B143,$H$12:$Q$25,8),$D$20),"")</f>
        <v/>
      </c>
      <c r="K143" s="95" t="str">
        <f>IF(B143="","",IF(B143&lt;=$I$30,0,_xll.flu_CocMaSatCMD($D$24,$D$16,$D$17,$D$25,$H$12:$O$25,FALSE,FALSE,$D$18,$D$13,$K$32,$H$32,A143,"f")))</f>
        <v/>
      </c>
      <c r="L143" s="95" t="str">
        <f t="shared" si="13"/>
        <v/>
      </c>
      <c r="M143" s="95" t="str">
        <f t="shared" si="11"/>
        <v/>
      </c>
      <c r="N143" s="87" t="str">
        <f t="shared" si="10"/>
        <v/>
      </c>
    </row>
    <row r="144" spans="1:15">
      <c r="A144" s="87">
        <f t="shared" si="9"/>
        <v>101</v>
      </c>
      <c r="B144" s="83" t="str">
        <f>_xll.flu_CocMaSatCMD($D$24,$D$16,$D$17,$D$25,$H$12:$O$26,FALSE,FALSE,$D$18,$D$13,$K$32,$H$32,A144,"Cao độ")</f>
        <v/>
      </c>
      <c r="C144" s="87" t="str">
        <f>IF(B144="","",_xll.TimTenLoaiDat(B144,$F$12:$H$26))</f>
        <v/>
      </c>
      <c r="D144" s="82" t="str">
        <f>IF(B144="","",_xll.TimTinhChatDat(B144,$H$12:$I$26))</f>
        <v/>
      </c>
      <c r="E144" s="41" t="str">
        <f>IFERROR(_xll.TinhGammaqbCMS($D$19,_xll.TimTinhChatDatCotTU(B144,$H$12:$Q$25,9),_xll.TimTinhChatDatCotTU(B144,$H$12:$Q$25,9),_xll.TimTinhChatDatCotTU(B144,$H$12:$Q$25,3),$D$12,_xll.TimTinhChatDatCotTU(B144,$H$12:$Q$25,8),$D$20),"")</f>
        <v/>
      </c>
      <c r="F144" s="82" t="str">
        <f>IF(B144="","",_xll.Qb_CocMaSatCMD(B144,$H$12:$O$25,$D$23,$D$25,$H$32,$D$13,$D$27,$D$26,"qb"))</f>
        <v/>
      </c>
      <c r="G144" s="95" t="str">
        <f t="shared" si="12"/>
        <v/>
      </c>
      <c r="H144" s="96" t="str">
        <f>IF(B144="","",_xll.flu_CocMaSatCMD($D$24,$D$16,$D$17,$D$25,$H$12:$O$25,FALSE,FALSE,$D$18,$D$13,$K$32,$H$32,A144,"GanmaRf"))</f>
        <v/>
      </c>
      <c r="I144" s="96" t="str">
        <f>IF(B144="","",_xll.flu_CocMaSatCMD($D$24,$D$16,$D$17,$D$25,$H$12:$O$25,FALSE,FALSE,$D$18,$D$13,$K$32,$H$32,A144,"Li"))</f>
        <v/>
      </c>
      <c r="J144" s="41" t="str">
        <f>IFERROR(_xll.TinhGammafiCMS($D$19,_xll.TimTinhChatDatCotTU(B144,$H$12:$Q$25,9),_xll.TimTinhChatDatCotTU(B144,$H$12:$Q$25,9),_xll.TimTinhChatDatCotTU(B144,$H$12:$Q$25,3),$D$12,_xll.TimTinhChatDatCotTU(B144,$H$12:$Q$25,8),$D$20),"")</f>
        <v/>
      </c>
      <c r="K144" s="95" t="str">
        <f>IF(B144="","",IF(B144&lt;=$I$30,0,_xll.flu_CocMaSatCMD($D$24,$D$16,$D$17,$D$25,$H$12:$O$25,FALSE,FALSE,$D$18,$D$13,$K$32,$H$32,A144,"f")))</f>
        <v/>
      </c>
      <c r="L144" s="95" t="str">
        <f t="shared" si="13"/>
        <v/>
      </c>
      <c r="M144" s="95" t="str">
        <f t="shared" si="11"/>
        <v/>
      </c>
      <c r="N144" s="87" t="str">
        <f t="shared" si="10"/>
        <v/>
      </c>
    </row>
    <row r="145" spans="1:14">
      <c r="A145" s="87">
        <f t="shared" si="9"/>
        <v>102</v>
      </c>
      <c r="B145" s="83" t="str">
        <f>_xll.flu_CocMaSatCMD($D$24,$D$16,$D$17,$D$25,$H$12:$O$26,FALSE,FALSE,$D$18,$D$13,$K$32,$H$32,A145,"Cao độ")</f>
        <v/>
      </c>
      <c r="C145" s="87" t="str">
        <f>IF(B145="","",_xll.TimTenLoaiDat(B145,$F$12:$H$26))</f>
        <v/>
      </c>
      <c r="D145" s="82" t="str">
        <f>IF(B145="","",_xll.TimTinhChatDat(B145,$H$12:$I$26))</f>
        <v/>
      </c>
      <c r="E145" s="41" t="str">
        <f>IFERROR(_xll.TinhGammaqbCMS($D$19,_xll.TimTinhChatDatCotTU(B145,$H$12:$Q$25,9),_xll.TimTinhChatDatCotTU(B145,$H$12:$Q$25,9),_xll.TimTinhChatDatCotTU(B145,$H$12:$Q$25,3),$D$12,_xll.TimTinhChatDatCotTU(B145,$H$12:$Q$25,8),$D$20),"")</f>
        <v/>
      </c>
      <c r="F145" s="82" t="str">
        <f>IF(B145="","",_xll.Qb_CocMaSatCMD(B145,$H$12:$O$25,$D$23,$D$25,$H$32,$D$13,$D$27,$D$26,"qb"))</f>
        <v/>
      </c>
      <c r="G145" s="95" t="str">
        <f t="shared" si="12"/>
        <v/>
      </c>
      <c r="H145" s="96" t="str">
        <f>IF(B145="","",_xll.flu_CocMaSatCMD($D$24,$D$16,$D$17,$D$25,$H$12:$O$25,FALSE,FALSE,$D$18,$D$13,$K$32,$H$32,A145,"GanmaRf"))</f>
        <v/>
      </c>
      <c r="I145" s="96" t="str">
        <f>IF(B145="","",_xll.flu_CocMaSatCMD($D$24,$D$16,$D$17,$D$25,$H$12:$O$25,FALSE,FALSE,$D$18,$D$13,$K$32,$H$32,A145,"Li"))</f>
        <v/>
      </c>
      <c r="J145" s="41" t="str">
        <f>IFERROR(_xll.TinhGammafiCMS($D$19,_xll.TimTinhChatDatCotTU(B145,$H$12:$Q$25,9),_xll.TimTinhChatDatCotTU(B145,$H$12:$Q$25,9),_xll.TimTinhChatDatCotTU(B145,$H$12:$Q$25,3),$D$12,_xll.TimTinhChatDatCotTU(B145,$H$12:$Q$25,8),$D$20),"")</f>
        <v/>
      </c>
      <c r="K145" s="95" t="str">
        <f>IF(B145="","",IF(B145&lt;=$I$30,0,_xll.flu_CocMaSatCMD($D$24,$D$16,$D$17,$D$25,$H$12:$O$25,FALSE,FALSE,$D$18,$D$13,$K$32,$H$32,A145,"f")))</f>
        <v/>
      </c>
      <c r="L145" s="95" t="str">
        <f t="shared" si="13"/>
        <v/>
      </c>
      <c r="M145" s="95" t="str">
        <f t="shared" si="11"/>
        <v/>
      </c>
      <c r="N145" s="87" t="str">
        <f t="shared" si="10"/>
        <v/>
      </c>
    </row>
    <row r="146" spans="1:14">
      <c r="A146" s="87">
        <f t="shared" si="9"/>
        <v>103</v>
      </c>
      <c r="B146" s="83" t="str">
        <f>_xll.flu_CocMaSatCMD($D$24,$D$16,$D$17,$D$25,$H$12:$O$26,FALSE,FALSE,$D$18,$D$13,$K$32,$H$32,A146,"Cao độ")</f>
        <v/>
      </c>
      <c r="C146" s="87" t="str">
        <f>IF(B146="","",_xll.TimTenLoaiDat(B146,$F$12:$H$26))</f>
        <v/>
      </c>
      <c r="D146" s="82" t="str">
        <f>IF(B146="","",_xll.TimTinhChatDat(B146,$H$12:$I$26))</f>
        <v/>
      </c>
      <c r="E146" s="41" t="str">
        <f>IFERROR(_xll.TinhGammaqbCMS($D$19,_xll.TimTinhChatDatCotTU(B146,$H$12:$Q$25,9),_xll.TimTinhChatDatCotTU(B146,$H$12:$Q$25,9),_xll.TimTinhChatDatCotTU(B146,$H$12:$Q$25,3),$D$12,_xll.TimTinhChatDatCotTU(B146,$H$12:$Q$25,8),$D$20),"")</f>
        <v/>
      </c>
      <c r="F146" s="82" t="str">
        <f>IF(B146="","",_xll.Qb_CocMaSatCMD(B146,$H$12:$O$25,$D$23,$D$25,$H$32,$D$13,$D$27,$D$26,"qb"))</f>
        <v/>
      </c>
      <c r="G146" s="95" t="str">
        <f t="shared" si="12"/>
        <v/>
      </c>
      <c r="H146" s="96" t="str">
        <f>IF(B146="","",_xll.flu_CocMaSatCMD($D$24,$D$16,$D$17,$D$25,$H$12:$O$25,FALSE,FALSE,$D$18,$D$13,$K$32,$H$32,A146,"GanmaRf"))</f>
        <v/>
      </c>
      <c r="I146" s="96" t="str">
        <f>IF(B146="","",_xll.flu_CocMaSatCMD($D$24,$D$16,$D$17,$D$25,$H$12:$O$25,FALSE,FALSE,$D$18,$D$13,$K$32,$H$32,A146,"Li"))</f>
        <v/>
      </c>
      <c r="J146" s="41" t="str">
        <f>IFERROR(_xll.TinhGammafiCMS($D$19,_xll.TimTinhChatDatCotTU(B146,$H$12:$Q$25,9),_xll.TimTinhChatDatCotTU(B146,$H$12:$Q$25,9),_xll.TimTinhChatDatCotTU(B146,$H$12:$Q$25,3),$D$12,_xll.TimTinhChatDatCotTU(B146,$H$12:$Q$25,8),$D$20),"")</f>
        <v/>
      </c>
      <c r="K146" s="95" t="str">
        <f>IF(B146="","",IF(B146&lt;=$I$30,0,_xll.flu_CocMaSatCMD($D$24,$D$16,$D$17,$D$25,$H$12:$O$25,FALSE,FALSE,$D$18,$D$13,$K$32,$H$32,A146,"f")))</f>
        <v/>
      </c>
      <c r="L146" s="95" t="str">
        <f t="shared" si="13"/>
        <v/>
      </c>
      <c r="M146" s="95" t="str">
        <f t="shared" si="11"/>
        <v/>
      </c>
      <c r="N146" s="87" t="str">
        <f t="shared" si="10"/>
        <v/>
      </c>
    </row>
    <row r="147" spans="1:14">
      <c r="A147" s="87">
        <f t="shared" si="9"/>
        <v>104</v>
      </c>
      <c r="B147" s="83" t="str">
        <f>_xll.flu_CocMaSatCMD($D$24,$D$16,$D$17,$D$25,$H$12:$O$26,FALSE,FALSE,$D$18,$D$13,$K$32,$H$32,A147,"Cao độ")</f>
        <v/>
      </c>
      <c r="C147" s="87" t="str">
        <f>IF(B147="","",_xll.TimTenLoaiDat(B147,$F$12:$H$26))</f>
        <v/>
      </c>
      <c r="D147" s="82" t="str">
        <f>IF(B147="","",_xll.TimTinhChatDat(B147,$H$12:$I$26))</f>
        <v/>
      </c>
      <c r="E147" s="41" t="str">
        <f>IFERROR(_xll.TinhGammaqbCMS($D$19,_xll.TimTinhChatDatCotTU(B147,$H$12:$Q$25,9),_xll.TimTinhChatDatCotTU(B147,$H$12:$Q$25,9),_xll.TimTinhChatDatCotTU(B147,$H$12:$Q$25,3),$D$12,_xll.TimTinhChatDatCotTU(B147,$H$12:$Q$25,8),$D$20),"")</f>
        <v/>
      </c>
      <c r="F147" s="82" t="str">
        <f>IF(B147="","",_xll.Qb_CocMaSatCMD(B147,$H$12:$O$25,$D$23,$D$25,$H$32,$D$13,$D$27,$D$26,"qb"))</f>
        <v/>
      </c>
      <c r="G147" s="95" t="str">
        <f t="shared" si="12"/>
        <v/>
      </c>
      <c r="H147" s="96" t="str">
        <f>IF(B147="","",_xll.flu_CocMaSatCMD($D$24,$D$16,$D$17,$D$25,$H$12:$O$25,FALSE,FALSE,$D$18,$D$13,$K$32,$H$32,A147,"GanmaRf"))</f>
        <v/>
      </c>
      <c r="I147" s="96" t="str">
        <f>IF(B147="","",_xll.flu_CocMaSatCMD($D$24,$D$16,$D$17,$D$25,$H$12:$O$25,FALSE,FALSE,$D$18,$D$13,$K$32,$H$32,A147,"Li"))</f>
        <v/>
      </c>
      <c r="J147" s="41" t="str">
        <f>IFERROR(_xll.TinhGammafiCMS($D$19,_xll.TimTinhChatDatCotTU(B147,$H$12:$Q$25,9),_xll.TimTinhChatDatCotTU(B147,$H$12:$Q$25,9),_xll.TimTinhChatDatCotTU(B147,$H$12:$Q$25,3),$D$12,_xll.TimTinhChatDatCotTU(B147,$H$12:$Q$25,8),$D$20),"")</f>
        <v/>
      </c>
      <c r="K147" s="95" t="str">
        <f>IF(B147="","",IF(B147&lt;=$I$30,0,_xll.flu_CocMaSatCMD($D$24,$D$16,$D$17,$D$25,$H$12:$O$25,FALSE,FALSE,$D$18,$D$13,$K$32,$H$32,A147,"f")))</f>
        <v/>
      </c>
      <c r="L147" s="95" t="str">
        <f t="shared" si="13"/>
        <v/>
      </c>
      <c r="M147" s="95" t="str">
        <f t="shared" si="11"/>
        <v/>
      </c>
      <c r="N147" s="87" t="str">
        <f t="shared" si="10"/>
        <v/>
      </c>
    </row>
    <row r="148" spans="1:14">
      <c r="A148" s="87">
        <f t="shared" si="9"/>
        <v>105</v>
      </c>
      <c r="B148" s="83" t="str">
        <f>_xll.flu_CocMaSatCMD($D$24,$D$16,$D$17,$D$25,$H$12:$O$26,FALSE,FALSE,$D$18,$D$13,$K$32,$H$32,A148,"Cao độ")</f>
        <v/>
      </c>
      <c r="C148" s="87" t="str">
        <f>IF(B148="","",_xll.TimTenLoaiDat(B148,$F$12:$H$26))</f>
        <v/>
      </c>
      <c r="D148" s="82" t="str">
        <f>IF(B148="","",_xll.TimTinhChatDat(B148,$H$12:$I$26))</f>
        <v/>
      </c>
      <c r="E148" s="41" t="str">
        <f>IFERROR(_xll.TinhGammaqbCMS($D$19,_xll.TimTinhChatDatCotTU(B148,$H$12:$Q$25,9),_xll.TimTinhChatDatCotTU(B148,$H$12:$Q$25,9),_xll.TimTinhChatDatCotTU(B148,$H$12:$Q$25,3),$D$12,_xll.TimTinhChatDatCotTU(B148,$H$12:$Q$25,8),$D$20),"")</f>
        <v/>
      </c>
      <c r="F148" s="82" t="str">
        <f>IF(B148="","",_xll.Qb_CocMaSatCMD(B148,$H$12:$O$25,$D$23,$D$25,$H$32,$D$13,$D$27,$D$26,"qb"))</f>
        <v/>
      </c>
      <c r="G148" s="95" t="str">
        <f t="shared" si="12"/>
        <v/>
      </c>
      <c r="H148" s="96" t="str">
        <f>IF(B148="","",_xll.flu_CocMaSatCMD($D$24,$D$16,$D$17,$D$25,$H$12:$O$25,FALSE,FALSE,$D$18,$D$13,$K$32,$H$32,A148,"GanmaRf"))</f>
        <v/>
      </c>
      <c r="I148" s="96" t="str">
        <f>IF(B148="","",_xll.flu_CocMaSatCMD($D$24,$D$16,$D$17,$D$25,$H$12:$O$25,FALSE,FALSE,$D$18,$D$13,$K$32,$H$32,A148,"Li"))</f>
        <v/>
      </c>
      <c r="J148" s="41" t="str">
        <f>IFERROR(_xll.TinhGammafiCMS($D$19,_xll.TimTinhChatDatCotTU(B148,$H$12:$Q$25,9),_xll.TimTinhChatDatCotTU(B148,$H$12:$Q$25,9),_xll.TimTinhChatDatCotTU(B148,$H$12:$Q$25,3),$D$12,_xll.TimTinhChatDatCotTU(B148,$H$12:$Q$25,8),$D$20),"")</f>
        <v/>
      </c>
      <c r="K148" s="95" t="str">
        <f>IF(B148="","",IF(B148&lt;=$I$30,0,_xll.flu_CocMaSatCMD($D$24,$D$16,$D$17,$D$25,$H$12:$O$25,FALSE,FALSE,$D$18,$D$13,$K$32,$H$32,A148,"f")))</f>
        <v/>
      </c>
      <c r="L148" s="95" t="str">
        <f t="shared" si="13"/>
        <v/>
      </c>
      <c r="M148" s="95" t="str">
        <f t="shared" si="11"/>
        <v/>
      </c>
      <c r="N148" s="87" t="str">
        <f t="shared" si="10"/>
        <v/>
      </c>
    </row>
    <row r="149" spans="1:14">
      <c r="A149" s="87">
        <f t="shared" si="9"/>
        <v>106</v>
      </c>
      <c r="B149" s="83" t="str">
        <f>_xll.flu_CocMaSatCMD($D$24,$D$16,$D$17,$D$25,$H$12:$O$26,FALSE,FALSE,$D$18,$D$13,$K$32,$H$32,A149,"Cao độ")</f>
        <v/>
      </c>
      <c r="C149" s="87" t="str">
        <f>IF(B149="","",_xll.TimTenLoaiDat(B149,$F$12:$H$26))</f>
        <v/>
      </c>
      <c r="D149" s="82" t="str">
        <f>IF(B149="","",_xll.TimTinhChatDat(B149,$H$12:$I$26))</f>
        <v/>
      </c>
      <c r="E149" s="41" t="str">
        <f>IFERROR(_xll.TinhGammaqbCMS($D$19,_xll.TimTinhChatDatCotTU(B149,$H$12:$Q$25,9),_xll.TimTinhChatDatCotTU(B149,$H$12:$Q$25,9),_xll.TimTinhChatDatCotTU(B149,$H$12:$Q$25,3),$D$12,_xll.TimTinhChatDatCotTU(B149,$H$12:$Q$25,8),$D$20),"")</f>
        <v/>
      </c>
      <c r="F149" s="82" t="str">
        <f>IF(B149="","",_xll.Qb_CocMaSatCMD(B149,$H$12:$O$25,$D$23,$D$25,$H$32,$D$13,$D$27,$D$26,"qb"))</f>
        <v/>
      </c>
      <c r="G149" s="95" t="str">
        <f t="shared" si="12"/>
        <v/>
      </c>
      <c r="H149" s="96" t="str">
        <f>IF(B149="","",_xll.flu_CocMaSatCMD($D$24,$D$16,$D$17,$D$25,$H$12:$O$25,FALSE,FALSE,$D$18,$D$13,$K$32,$H$32,A149,"GanmaRf"))</f>
        <v/>
      </c>
      <c r="I149" s="96" t="str">
        <f>IF(B149="","",_xll.flu_CocMaSatCMD($D$24,$D$16,$D$17,$D$25,$H$12:$O$25,FALSE,FALSE,$D$18,$D$13,$K$32,$H$32,A149,"Li"))</f>
        <v/>
      </c>
      <c r="J149" s="41" t="str">
        <f>IFERROR(_xll.TinhGammafiCMS($D$19,_xll.TimTinhChatDatCotTU(B149,$H$12:$Q$25,9),_xll.TimTinhChatDatCotTU(B149,$H$12:$Q$25,9),_xll.TimTinhChatDatCotTU(B149,$H$12:$Q$25,3),$D$12,_xll.TimTinhChatDatCotTU(B149,$H$12:$Q$25,8),$D$20),"")</f>
        <v/>
      </c>
      <c r="K149" s="95" t="str">
        <f>IF(B149="","",IF(B149&lt;=$I$30,0,_xll.flu_CocMaSatCMD($D$24,$D$16,$D$17,$D$25,$H$12:$O$25,FALSE,FALSE,$D$18,$D$13,$K$32,$H$32,A149,"f")))</f>
        <v/>
      </c>
      <c r="L149" s="95" t="str">
        <f t="shared" si="13"/>
        <v/>
      </c>
      <c r="M149" s="95" t="str">
        <f t="shared" si="11"/>
        <v/>
      </c>
      <c r="N149" s="87" t="str">
        <f t="shared" si="10"/>
        <v/>
      </c>
    </row>
    <row r="150" spans="1:14">
      <c r="A150" s="87">
        <f t="shared" si="9"/>
        <v>107</v>
      </c>
      <c r="B150" s="83" t="str">
        <f>_xll.flu_CocMaSatCMD($D$24,$D$16,$D$17,$D$25,$H$12:$O$26,FALSE,FALSE,$D$18,$D$13,$K$32,$H$32,A150,"Cao độ")</f>
        <v/>
      </c>
      <c r="C150" s="87" t="str">
        <f>IF(B150="","",_xll.TimTenLoaiDat(B150,$F$12:$H$26))</f>
        <v/>
      </c>
      <c r="D150" s="82" t="str">
        <f>IF(B150="","",_xll.TimTinhChatDat(B150,$H$12:$I$26))</f>
        <v/>
      </c>
      <c r="E150" s="41" t="str">
        <f>IFERROR(_xll.TinhGammaqbCMS($D$19,_xll.TimTinhChatDatCotTU(B150,$H$12:$Q$25,9),_xll.TimTinhChatDatCotTU(B150,$H$12:$Q$25,9),_xll.TimTinhChatDatCotTU(B150,$H$12:$Q$25,3),$D$12,_xll.TimTinhChatDatCotTU(B150,$H$12:$Q$25,8),$D$20),"")</f>
        <v/>
      </c>
      <c r="F150" s="82" t="str">
        <f>IF(B150="","",_xll.Qb_CocMaSatCMD(B150,$H$12:$O$25,$D$23,$D$25,$H$32,$D$13,$D$27,$D$26,"qb"))</f>
        <v/>
      </c>
      <c r="G150" s="95" t="str">
        <f t="shared" si="12"/>
        <v/>
      </c>
      <c r="H150" s="96" t="str">
        <f>IF(B150="","",_xll.flu_CocMaSatCMD($D$24,$D$16,$D$17,$D$25,$H$12:$O$25,FALSE,FALSE,$D$18,$D$13,$K$32,$H$32,A150,"GanmaRf"))</f>
        <v/>
      </c>
      <c r="I150" s="96" t="str">
        <f>IF(B150="","",_xll.flu_CocMaSatCMD($D$24,$D$16,$D$17,$D$25,$H$12:$O$25,FALSE,FALSE,$D$18,$D$13,$K$32,$H$32,A150,"Li"))</f>
        <v/>
      </c>
      <c r="J150" s="41" t="str">
        <f>IFERROR(_xll.TinhGammafiCMS($D$19,_xll.TimTinhChatDatCotTU(B150,$H$12:$Q$25,9),_xll.TimTinhChatDatCotTU(B150,$H$12:$Q$25,9),_xll.TimTinhChatDatCotTU(B150,$H$12:$Q$25,3),$D$12,_xll.TimTinhChatDatCotTU(B150,$H$12:$Q$25,8),$D$20),"")</f>
        <v/>
      </c>
      <c r="K150" s="95" t="str">
        <f>IF(B150="","",IF(B150&lt;=$I$30,0,_xll.flu_CocMaSatCMD($D$24,$D$16,$D$17,$D$25,$H$12:$O$25,FALSE,FALSE,$D$18,$D$13,$K$32,$H$32,A150,"f")))</f>
        <v/>
      </c>
      <c r="L150" s="95" t="str">
        <f t="shared" si="13"/>
        <v/>
      </c>
      <c r="M150" s="95" t="str">
        <f t="shared" si="11"/>
        <v/>
      </c>
      <c r="N150" s="87" t="str">
        <f t="shared" si="10"/>
        <v/>
      </c>
    </row>
  </sheetData>
  <mergeCells count="102">
    <mergeCell ref="L41:L42"/>
    <mergeCell ref="M9:M11"/>
    <mergeCell ref="M41:M42"/>
    <mergeCell ref="N9:N11"/>
    <mergeCell ref="N41:N42"/>
    <mergeCell ref="O9:O11"/>
    <mergeCell ref="P9:P11"/>
    <mergeCell ref="Q9:Q11"/>
    <mergeCell ref="F38:G39"/>
    <mergeCell ref="F36:L37"/>
    <mergeCell ref="F33:L35"/>
    <mergeCell ref="I9:J11"/>
    <mergeCell ref="A34:C34"/>
    <mergeCell ref="A35:C35"/>
    <mergeCell ref="A36:C36"/>
    <mergeCell ref="A37:C37"/>
    <mergeCell ref="A38:C38"/>
    <mergeCell ref="I38:K38"/>
    <mergeCell ref="I39:K39"/>
    <mergeCell ref="A41:A42"/>
    <mergeCell ref="B41:B42"/>
    <mergeCell ref="C41:C42"/>
    <mergeCell ref="D41:D42"/>
    <mergeCell ref="E41:E42"/>
    <mergeCell ref="G41:G42"/>
    <mergeCell ref="H38:H39"/>
    <mergeCell ref="H41:H42"/>
    <mergeCell ref="I41:I42"/>
    <mergeCell ref="J41:J42"/>
    <mergeCell ref="K41:K42"/>
    <mergeCell ref="A29:C29"/>
    <mergeCell ref="F29:H29"/>
    <mergeCell ref="J29:L29"/>
    <mergeCell ref="A30:C30"/>
    <mergeCell ref="F30:H30"/>
    <mergeCell ref="J30:L30"/>
    <mergeCell ref="A32:C32"/>
    <mergeCell ref="F32:G32"/>
    <mergeCell ref="A33:C33"/>
    <mergeCell ref="A25:C25"/>
    <mergeCell ref="I25:J25"/>
    <mergeCell ref="A26:C26"/>
    <mergeCell ref="I26:J26"/>
    <mergeCell ref="A27:C27"/>
    <mergeCell ref="F27:H27"/>
    <mergeCell ref="J27:L27"/>
    <mergeCell ref="A28:C28"/>
    <mergeCell ref="F28:H28"/>
    <mergeCell ref="J28:L28"/>
    <mergeCell ref="A20:C20"/>
    <mergeCell ref="I20:J20"/>
    <mergeCell ref="A21:C21"/>
    <mergeCell ref="I21:J21"/>
    <mergeCell ref="A22:C22"/>
    <mergeCell ref="I22:J22"/>
    <mergeCell ref="A23:C23"/>
    <mergeCell ref="I23:J23"/>
    <mergeCell ref="A24:C24"/>
    <mergeCell ref="I24:J24"/>
    <mergeCell ref="A15:C15"/>
    <mergeCell ref="I15:J15"/>
    <mergeCell ref="A16:C16"/>
    <mergeCell ref="I16:J16"/>
    <mergeCell ref="A17:C17"/>
    <mergeCell ref="I17:J17"/>
    <mergeCell ref="A18:C18"/>
    <mergeCell ref="I18:J18"/>
    <mergeCell ref="A19:C19"/>
    <mergeCell ref="I19:J19"/>
    <mergeCell ref="A7:N7"/>
    <mergeCell ref="A9:C9"/>
    <mergeCell ref="A10:C10"/>
    <mergeCell ref="A11:C11"/>
    <mergeCell ref="A12:C12"/>
    <mergeCell ref="I12:J12"/>
    <mergeCell ref="A13:C13"/>
    <mergeCell ref="I13:J13"/>
    <mergeCell ref="A14:C14"/>
    <mergeCell ref="I14:J14"/>
    <mergeCell ref="F9:F11"/>
    <mergeCell ref="G9:G11"/>
    <mergeCell ref="H9:H11"/>
    <mergeCell ref="K9:K11"/>
    <mergeCell ref="L9:L11"/>
    <mergeCell ref="A4:C4"/>
    <mergeCell ref="D4:G4"/>
    <mergeCell ref="H4:J4"/>
    <mergeCell ref="K4:N4"/>
    <mergeCell ref="A5:C5"/>
    <mergeCell ref="D5:G5"/>
    <mergeCell ref="H5:J5"/>
    <mergeCell ref="K5:N5"/>
    <mergeCell ref="A6:L6"/>
    <mergeCell ref="A1:N1"/>
    <mergeCell ref="A2:C2"/>
    <mergeCell ref="D2:G2"/>
    <mergeCell ref="H2:J2"/>
    <mergeCell ref="K2:N2"/>
    <mergeCell ref="A3:C3"/>
    <mergeCell ref="D3:G3"/>
    <mergeCell ref="H3:J3"/>
    <mergeCell ref="K3:N3"/>
  </mergeCells>
  <conditionalFormatting sqref="G43:G150">
    <cfRule type="dataBar" priority="3">
      <dataBar>
        <cfvo type="min"/>
        <cfvo type="max"/>
        <color rgb="FF638EC6"/>
      </dataBar>
      <extLst>
        <ext xmlns:x14="http://schemas.microsoft.com/office/spreadsheetml/2009/9/main" uri="{B025F937-C7B1-47D3-B67F-A62EFF666E3E}">
          <x14:id>{FE9DA8E8-41AD-44FE-BC95-CD9B1CF76D0A}</x14:id>
        </ext>
      </extLst>
    </cfRule>
  </conditionalFormatting>
  <conditionalFormatting sqref="M43:M150">
    <cfRule type="dataBar" priority="2">
      <dataBar>
        <cfvo type="min"/>
        <cfvo type="max"/>
        <color rgb="FF63C384"/>
      </dataBar>
      <extLst>
        <ext xmlns:x14="http://schemas.microsoft.com/office/spreadsheetml/2009/9/main" uri="{B025F937-C7B1-47D3-B67F-A62EFF666E3E}">
          <x14:id>{8BE70C47-AEBD-436C-90DC-6BFD62914881}</x14:id>
        </ext>
      </extLst>
    </cfRule>
  </conditionalFormatting>
  <conditionalFormatting sqref="N43:N150">
    <cfRule type="dataBar" priority="1">
      <dataBar>
        <cfvo type="min"/>
        <cfvo type="max"/>
        <color rgb="FFFF555A"/>
      </dataBar>
      <extLst>
        <ext xmlns:x14="http://schemas.microsoft.com/office/spreadsheetml/2009/9/main" uri="{B025F937-C7B1-47D3-B67F-A62EFF666E3E}">
          <x14:id>{E20702F1-2C2C-4F5E-A258-C3B086F4B6A6}</x14:id>
        </ext>
      </extLst>
    </cfRule>
  </conditionalFormatting>
  <dataValidations count="11">
    <dataValidation type="list" allowBlank="1" showInputMessage="1" showErrorMessage="1" sqref="D10">
      <formula1>"Cọc khoan nhồi, Cọc khoan thả, Cọc ống, Cọc vít,Cọc đóng ép"</formula1>
    </dataValidation>
    <dataValidation type="list" allowBlank="1" showInputMessage="1" showErrorMessage="1" sqref="D11 E12">
      <formula1>"Cọc Vuông,Cọc Tròn"</formula1>
    </dataValidation>
    <dataValidation type="list" allowBlank="1" showInputMessage="1" showErrorMessage="1" sqref="E11">
      <formula1>"Cọc nhồi, Cọc khoan, Cọc đào thả, Cọc vít,Cọc đóng ép"</formula1>
    </dataValidation>
    <dataValidation type="list" allowBlank="1" showInputMessage="1" showErrorMessage="1" sqref="D12">
      <formula1>"Cọc đóng,Cọc nhồi chiếm chỗ,Cọc khoan"</formula1>
    </dataValidation>
    <dataValidation type="list" allowBlank="1" showInputMessage="1" showErrorMessage="1" sqref="D20">
      <formula1>"Loại 1,Loại 2"</formula1>
    </dataValidation>
    <dataValidation type="list" allowBlank="1" showInputMessage="1" showErrorMessage="1" sqref="D27">
      <formula1>"True,False"</formula1>
    </dataValidation>
    <dataValidation type="list" allowBlank="1" showInputMessage="1" showErrorMessage="1" sqref="M27">
      <formula1>B2.Capdoben</formula1>
    </dataValidation>
    <dataValidation type="list" allowBlank="1" showInputMessage="1" showErrorMessage="1" sqref="D32">
      <formula1>"C1,C2,C3"</formula1>
    </dataValidation>
    <dataValidation type="list" allowBlank="1" showInputMessage="1" showErrorMessage="1" sqref="D34">
      <formula1>"Yes,No"</formula1>
    </dataValidation>
    <dataValidation type="list" allowBlank="1" showInputMessage="1" showErrorMessage="1" sqref="P12:P25">
      <formula1>"A,B,C,D,E"</formula1>
    </dataValidation>
    <dataValidation type="list" allowBlank="1" showInputMessage="1" showErrorMessage="1" sqref="Q12:Q23">
      <formula1>"Đất sét,Cát Chặt ít ẩm và ẩm,Cát Chặt bão hòa nước,Cát Chặt vừa ít ẩm và ẩm,Cát Chặt vừa bão hòa nước,Đá và Đất Hòn lớn"</formula1>
    </dataValidation>
  </dataValidations>
  <pageMargins left="0.59055118110236204" right="0.39370078740157499" top="0.39370078740157499" bottom="0.39370078740157499" header="0.15748031496063" footer="0.15748031496063"/>
  <pageSetup paperSize="9" scale="65" fitToHeight="0"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FE9DA8E8-41AD-44FE-BC95-CD9B1CF76D0A}">
            <x14:dataBar minLength="0" maxLength="100" border="1" negativeBarBorderColorSameAsPositive="0">
              <x14:cfvo type="autoMin"/>
              <x14:cfvo type="autoMax"/>
              <x14:borderColor rgb="FF638EC6"/>
              <x14:negativeFillColor rgb="FFFF0000"/>
              <x14:negativeBorderColor rgb="FFFF0000"/>
              <x14:axisColor rgb="FF000000"/>
            </x14:dataBar>
          </x14:cfRule>
          <xm:sqref>G43:G150</xm:sqref>
        </x14:conditionalFormatting>
        <x14:conditionalFormatting xmlns:xm="http://schemas.microsoft.com/office/excel/2006/main">
          <x14:cfRule type="dataBar" id="{8BE70C47-AEBD-436C-90DC-6BFD62914881}">
            <x14:dataBar minLength="0" maxLength="100" border="1" negativeBarBorderColorSameAsPositive="0">
              <x14:cfvo type="autoMin"/>
              <x14:cfvo type="autoMax"/>
              <x14:borderColor rgb="FF63C384"/>
              <x14:negativeFillColor rgb="FFFF0000"/>
              <x14:negativeBorderColor rgb="FFFF0000"/>
              <x14:axisColor rgb="FF000000"/>
            </x14:dataBar>
          </x14:cfRule>
          <xm:sqref>M43:M150</xm:sqref>
        </x14:conditionalFormatting>
        <x14:conditionalFormatting xmlns:xm="http://schemas.microsoft.com/office/excel/2006/main">
          <x14:cfRule type="dataBar" id="{E20702F1-2C2C-4F5E-A258-C3B086F4B6A6}">
            <x14:dataBar minLength="0" maxLength="100" border="1" negativeBarBorderColorSameAsPositive="0">
              <x14:cfvo type="autoMin"/>
              <x14:cfvo type="autoMax"/>
              <x14:borderColor rgb="FFFF555A"/>
              <x14:negativeFillColor rgb="FFFF0000"/>
              <x14:negativeBorderColor rgb="FFFF0000"/>
              <x14:axisColor rgb="FF000000"/>
            </x14:dataBar>
          </x14:cfRule>
          <xm:sqref>N43:N150</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'LT 10304-2025'!$AH$2:$AH$14</xm:f>
          </x14:formula1>
          <xm:sqref>I24 I12:J23 I25:J26</xm:sqref>
        </x14:dataValidation>
        <x14:dataValidation type="list" allowBlank="1" showInputMessage="1" showErrorMessage="1">
          <x14:formula1>
            <xm:f>'LT 10304-2025'!$AN$2:$AN$11</xm:f>
          </x14:formula1>
          <xm:sqref>F33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FF0000"/>
    <pageSetUpPr fitToPage="1"/>
  </sheetPr>
  <dimension ref="A1:AU115"/>
  <sheetViews>
    <sheetView view="pageBreakPreview" zoomScaleNormal="100" workbookViewId="0">
      <selection activeCell="A6" sqref="A6:S6"/>
    </sheetView>
  </sheetViews>
  <sheetFormatPr defaultColWidth="8.140625" defaultRowHeight="12.75"/>
  <cols>
    <col min="1" max="1" width="8" style="2" customWidth="1"/>
    <col min="2" max="2" width="8.42578125" style="3" customWidth="1"/>
    <col min="3" max="3" width="8.140625" style="3" customWidth="1"/>
    <col min="4" max="4" width="6.28515625" style="3" customWidth="1"/>
    <col min="5" max="5" width="5.5703125" style="3" customWidth="1"/>
    <col min="6" max="6" width="6.28515625" style="3" customWidth="1"/>
    <col min="7" max="7" width="8.5703125" style="4" customWidth="1"/>
    <col min="8" max="8" width="7.42578125" style="3" customWidth="1"/>
    <col min="9" max="9" width="7.85546875" style="3" customWidth="1"/>
    <col min="10" max="11" width="7.42578125" style="3" customWidth="1"/>
    <col min="12" max="12" width="7.42578125" style="5" customWidth="1"/>
    <col min="13" max="13" width="6" style="5" customWidth="1"/>
    <col min="14" max="14" width="7.28515625" style="5" customWidth="1"/>
    <col min="15" max="15" width="7.85546875" style="3" customWidth="1"/>
    <col min="16" max="17" width="7.28515625" style="3" customWidth="1"/>
    <col min="18" max="18" width="6.7109375" style="3" customWidth="1"/>
    <col min="19" max="19" width="6" style="3" customWidth="1"/>
    <col min="20" max="20" width="3.28515625" style="1" customWidth="1"/>
    <col min="21" max="21" width="10.28515625" style="3" customWidth="1"/>
    <col min="22" max="22" width="7.85546875" style="3" customWidth="1"/>
    <col min="23" max="23" width="15" style="3" customWidth="1"/>
    <col min="24" max="16384" width="8.140625" style="3"/>
  </cols>
  <sheetData>
    <row r="1" spans="1:23" ht="30" customHeight="1">
      <c r="A1" s="408" t="s">
        <v>228</v>
      </c>
      <c r="B1" s="408"/>
      <c r="C1" s="408"/>
      <c r="D1" s="408"/>
      <c r="E1" s="408"/>
      <c r="F1" s="408"/>
      <c r="G1" s="408"/>
      <c r="H1" s="408"/>
      <c r="I1" s="408"/>
      <c r="J1" s="408"/>
      <c r="K1" s="408"/>
      <c r="L1" s="408"/>
      <c r="M1" s="408"/>
      <c r="N1" s="408"/>
      <c r="O1" s="408"/>
      <c r="P1" s="408"/>
      <c r="Q1" s="408"/>
      <c r="R1" s="408"/>
      <c r="S1" s="408"/>
      <c r="U1" s="396" t="s">
        <v>95</v>
      </c>
      <c r="V1" s="396"/>
      <c r="W1" s="396"/>
    </row>
    <row r="2" spans="1:23" ht="15.75" customHeight="1">
      <c r="A2" s="409" t="s">
        <v>253</v>
      </c>
      <c r="B2" s="409"/>
      <c r="C2" s="409"/>
      <c r="D2" s="410" t="s">
        <v>254</v>
      </c>
      <c r="E2" s="410"/>
      <c r="F2" s="410"/>
      <c r="G2" s="410"/>
      <c r="H2" s="410"/>
      <c r="I2" s="410"/>
      <c r="J2" s="410"/>
      <c r="K2" s="411" t="s">
        <v>255</v>
      </c>
      <c r="L2" s="411"/>
      <c r="M2" s="411"/>
      <c r="N2" s="411"/>
      <c r="O2" s="409" t="s">
        <v>256</v>
      </c>
      <c r="P2" s="409"/>
      <c r="Q2" s="409"/>
      <c r="R2" s="409"/>
      <c r="S2" s="409"/>
      <c r="U2" s="6" t="s">
        <v>96</v>
      </c>
      <c r="V2" s="6" t="s">
        <v>97</v>
      </c>
      <c r="W2" s="6" t="s">
        <v>98</v>
      </c>
    </row>
    <row r="3" spans="1:23" ht="14.25">
      <c r="A3" s="409" t="s">
        <v>257</v>
      </c>
      <c r="B3" s="409"/>
      <c r="C3" s="409"/>
      <c r="D3" s="410" t="s">
        <v>254</v>
      </c>
      <c r="E3" s="410"/>
      <c r="F3" s="410"/>
      <c r="G3" s="410"/>
      <c r="H3" s="410"/>
      <c r="I3" s="410"/>
      <c r="J3" s="410"/>
      <c r="K3" s="411" t="s">
        <v>258</v>
      </c>
      <c r="L3" s="411"/>
      <c r="M3" s="411"/>
      <c r="N3" s="411"/>
      <c r="O3" s="412">
        <f ca="1">TODAY()</f>
        <v>46281</v>
      </c>
      <c r="P3" s="412"/>
      <c r="Q3" s="412"/>
      <c r="R3" s="412"/>
      <c r="S3" s="412"/>
      <c r="U3" s="7" t="s">
        <v>99</v>
      </c>
      <c r="V3" s="7">
        <v>1</v>
      </c>
      <c r="W3" s="6" t="s">
        <v>100</v>
      </c>
    </row>
    <row r="4" spans="1:23" ht="14.25">
      <c r="A4" s="409" t="s">
        <v>260</v>
      </c>
      <c r="B4" s="409"/>
      <c r="C4" s="409"/>
      <c r="D4" s="410" t="s">
        <v>254</v>
      </c>
      <c r="E4" s="410"/>
      <c r="F4" s="410"/>
      <c r="G4" s="410"/>
      <c r="H4" s="410"/>
      <c r="I4" s="410"/>
      <c r="J4" s="410"/>
      <c r="K4" s="411" t="s">
        <v>261</v>
      </c>
      <c r="L4" s="411"/>
      <c r="M4" s="411"/>
      <c r="N4" s="411"/>
      <c r="O4" s="409" t="s">
        <v>254</v>
      </c>
      <c r="P4" s="409"/>
      <c r="Q4" s="409"/>
      <c r="R4" s="409"/>
      <c r="S4" s="409"/>
      <c r="U4" s="7" t="s">
        <v>101</v>
      </c>
      <c r="V4" s="7">
        <v>2</v>
      </c>
      <c r="W4" s="6" t="s">
        <v>102</v>
      </c>
    </row>
    <row r="5" spans="1:23" ht="14.25">
      <c r="A5" s="409" t="s">
        <v>265</v>
      </c>
      <c r="B5" s="409"/>
      <c r="C5" s="409"/>
      <c r="D5" s="414" t="s">
        <v>976</v>
      </c>
      <c r="E5" s="414"/>
      <c r="F5" s="414"/>
      <c r="G5" s="414"/>
      <c r="H5" s="414"/>
      <c r="I5" s="414"/>
      <c r="J5" s="414"/>
      <c r="K5" s="411" t="s">
        <v>267</v>
      </c>
      <c r="L5" s="411"/>
      <c r="M5" s="411"/>
      <c r="N5" s="411"/>
      <c r="O5" s="409" t="s">
        <v>254</v>
      </c>
      <c r="P5" s="409"/>
      <c r="Q5" s="409"/>
      <c r="R5" s="409"/>
      <c r="S5" s="409"/>
      <c r="U5" s="7" t="s">
        <v>103</v>
      </c>
      <c r="V5" s="7">
        <v>3</v>
      </c>
      <c r="W5" s="6" t="s">
        <v>104</v>
      </c>
    </row>
    <row r="6" spans="1:23" ht="14.25" customHeight="1">
      <c r="A6" s="424"/>
      <c r="B6" s="425"/>
      <c r="C6" s="425"/>
      <c r="D6" s="425"/>
      <c r="E6" s="425"/>
      <c r="F6" s="425"/>
      <c r="G6" s="425"/>
      <c r="H6" s="425"/>
      <c r="I6" s="425"/>
      <c r="J6" s="425"/>
      <c r="K6" s="425"/>
      <c r="L6" s="425"/>
      <c r="M6" s="425"/>
      <c r="N6" s="425"/>
      <c r="O6" s="425"/>
      <c r="P6" s="425"/>
      <c r="Q6" s="425"/>
      <c r="R6" s="425"/>
      <c r="S6" s="425"/>
    </row>
    <row r="7" spans="1:23">
      <c r="A7" s="426" t="s">
        <v>1080</v>
      </c>
      <c r="B7" s="427"/>
      <c r="C7" s="427"/>
      <c r="D7" s="427"/>
      <c r="E7" s="427"/>
      <c r="F7" s="427"/>
      <c r="G7" s="427"/>
      <c r="H7" s="427"/>
      <c r="I7" s="427"/>
      <c r="J7" s="427"/>
      <c r="K7" s="427"/>
      <c r="L7" s="427"/>
      <c r="M7" s="427"/>
      <c r="N7" s="427"/>
      <c r="O7" s="427"/>
      <c r="P7" s="427"/>
      <c r="Q7" s="427"/>
      <c r="R7" s="427"/>
      <c r="S7" s="428"/>
      <c r="W7" s="8">
        <f>IF(D13="Cọc Tròn",F13,F13*4/PI())</f>
        <v>1</v>
      </c>
    </row>
    <row r="8" spans="1:23">
      <c r="A8" s="431"/>
      <c r="B8" s="432"/>
      <c r="C8" s="432"/>
      <c r="D8" s="432"/>
      <c r="E8" s="432"/>
      <c r="F8" s="432"/>
      <c r="G8" s="432"/>
      <c r="H8" s="432"/>
      <c r="I8" s="432"/>
      <c r="J8" s="432"/>
      <c r="K8" s="432"/>
      <c r="L8" s="432"/>
      <c r="M8" s="432"/>
      <c r="N8" s="432"/>
      <c r="O8" s="432"/>
      <c r="P8" s="432"/>
      <c r="Q8" s="432"/>
      <c r="R8" s="432"/>
      <c r="S8" s="432"/>
      <c r="W8" s="3">
        <f>IF(D13="Cọc Tròn",PI()*$W$7^2/4,F13*F13)</f>
        <v>0.78539816339744795</v>
      </c>
    </row>
    <row r="9" spans="1:23">
      <c r="A9" s="433" t="s">
        <v>280</v>
      </c>
      <c r="B9" s="433"/>
      <c r="C9" s="433"/>
      <c r="D9" s="433"/>
      <c r="E9" s="433"/>
      <c r="F9" s="433"/>
      <c r="G9" s="433"/>
      <c r="H9" s="10"/>
      <c r="I9" s="433" t="s">
        <v>1081</v>
      </c>
      <c r="J9" s="433"/>
      <c r="K9" s="433"/>
      <c r="L9" s="433"/>
      <c r="M9" s="433"/>
      <c r="N9" s="433"/>
      <c r="O9" s="433"/>
      <c r="P9" s="433"/>
      <c r="Q9" s="433"/>
      <c r="R9" s="433"/>
      <c r="S9" s="10"/>
    </row>
    <row r="10" spans="1:23" ht="13.15" customHeight="1">
      <c r="A10" s="434" t="s">
        <v>283</v>
      </c>
      <c r="B10" s="434"/>
      <c r="C10" s="434"/>
      <c r="D10" s="434"/>
      <c r="E10" s="434"/>
      <c r="F10" s="435" t="s">
        <v>284</v>
      </c>
      <c r="G10" s="435"/>
      <c r="H10" s="10"/>
      <c r="I10" s="434" t="s">
        <v>285</v>
      </c>
      <c r="J10" s="434"/>
      <c r="K10" s="434"/>
      <c r="L10" s="434"/>
      <c r="M10" s="434"/>
      <c r="N10" s="434"/>
      <c r="O10" s="12">
        <v>25</v>
      </c>
      <c r="P10" s="503" t="s">
        <v>286</v>
      </c>
      <c r="Q10" s="503"/>
      <c r="R10" s="471">
        <f>O11*PI()*O10^2/4</f>
        <v>12762.720155208501</v>
      </c>
      <c r="S10" s="10"/>
    </row>
    <row r="11" spans="1:23">
      <c r="A11" s="436" t="s">
        <v>291</v>
      </c>
      <c r="B11" s="436"/>
      <c r="C11" s="436"/>
      <c r="D11" s="436"/>
      <c r="E11" s="436"/>
      <c r="F11" s="437">
        <v>1.8</v>
      </c>
      <c r="G11" s="437"/>
      <c r="H11" s="10"/>
      <c r="I11" s="434" t="s">
        <v>292</v>
      </c>
      <c r="J11" s="434"/>
      <c r="K11" s="434"/>
      <c r="L11" s="434"/>
      <c r="M11" s="434"/>
      <c r="N11" s="434"/>
      <c r="O11" s="14">
        <v>26</v>
      </c>
      <c r="P11" s="503"/>
      <c r="Q11" s="503"/>
      <c r="R11" s="471"/>
      <c r="S11" s="10"/>
    </row>
    <row r="12" spans="1:23" ht="15.6" customHeight="1">
      <c r="A12" s="434" t="s">
        <v>295</v>
      </c>
      <c r="B12" s="434"/>
      <c r="C12" s="434"/>
      <c r="D12" s="438"/>
      <c r="E12" s="15">
        <f>INDEX(B1.Loaicockyhieu,MATCH($F$12,B1.Loaicoc,0),2)</f>
        <v>3</v>
      </c>
      <c r="F12" s="437" t="s">
        <v>103</v>
      </c>
      <c r="G12" s="437"/>
      <c r="H12" s="10"/>
      <c r="I12" s="434" t="s">
        <v>296</v>
      </c>
      <c r="J12" s="434"/>
      <c r="K12" s="434"/>
      <c r="L12" s="434"/>
      <c r="M12" s="434"/>
      <c r="N12" s="434"/>
      <c r="O12" s="434"/>
      <c r="P12" s="434" t="s">
        <v>297</v>
      </c>
      <c r="Q12" s="434"/>
      <c r="R12" s="13">
        <v>0.85</v>
      </c>
      <c r="S12" s="10"/>
    </row>
    <row r="13" spans="1:23" ht="15.6" customHeight="1">
      <c r="A13" s="16" t="s">
        <v>298</v>
      </c>
      <c r="B13" s="16"/>
      <c r="C13" s="17"/>
      <c r="D13" s="437" t="s">
        <v>299</v>
      </c>
      <c r="E13" s="437"/>
      <c r="F13" s="439">
        <v>1</v>
      </c>
      <c r="G13" s="439"/>
      <c r="H13" s="10"/>
      <c r="I13" s="434" t="s">
        <v>300</v>
      </c>
      <c r="J13" s="434"/>
      <c r="K13" s="434"/>
      <c r="L13" s="434"/>
      <c r="M13" s="434"/>
      <c r="N13" s="434"/>
      <c r="O13" s="434"/>
      <c r="P13" s="434" t="s">
        <v>301</v>
      </c>
      <c r="Q13" s="434"/>
      <c r="R13" s="13">
        <v>0.7</v>
      </c>
      <c r="S13" s="10"/>
    </row>
    <row r="14" spans="1:23" ht="15.6" customHeight="1">
      <c r="A14" s="434" t="s">
        <v>302</v>
      </c>
      <c r="B14" s="434"/>
      <c r="C14" s="434"/>
      <c r="D14" s="440"/>
      <c r="E14" s="440"/>
      <c r="F14" s="441">
        <v>0</v>
      </c>
      <c r="G14" s="441"/>
      <c r="H14" s="10"/>
      <c r="I14" s="434" t="s">
        <v>303</v>
      </c>
      <c r="J14" s="434"/>
      <c r="K14" s="434"/>
      <c r="L14" s="434"/>
      <c r="M14" s="434"/>
      <c r="N14" s="434"/>
      <c r="O14" s="434"/>
      <c r="P14" s="434" t="s">
        <v>304</v>
      </c>
      <c r="Q14" s="434"/>
      <c r="R14" s="11">
        <f>IF(D13="Cọc Tròn",IF(W7&gt;=0.8,W7+1,1.5*W7+0.5),IF(F13&gt;=0.8,F13+1,1.5*F13+0.5))</f>
        <v>2</v>
      </c>
      <c r="S14" s="10"/>
    </row>
    <row r="15" spans="1:23">
      <c r="A15" s="434" t="s">
        <v>305</v>
      </c>
      <c r="B15" s="434"/>
      <c r="C15" s="434"/>
      <c r="D15" s="434"/>
      <c r="E15" s="434"/>
      <c r="F15" s="437">
        <v>43.2</v>
      </c>
      <c r="G15" s="437"/>
      <c r="H15" s="10"/>
      <c r="I15" s="434" t="s">
        <v>306</v>
      </c>
      <c r="J15" s="434"/>
      <c r="K15" s="434"/>
      <c r="L15" s="434"/>
      <c r="M15" s="434"/>
      <c r="N15" s="434"/>
      <c r="O15" s="434"/>
      <c r="P15" s="434" t="s">
        <v>140</v>
      </c>
      <c r="Q15" s="434"/>
      <c r="R15" s="13">
        <v>7000</v>
      </c>
      <c r="S15" s="10"/>
    </row>
    <row r="16" spans="1:23" ht="15.6" customHeight="1">
      <c r="A16" s="434" t="s">
        <v>307</v>
      </c>
      <c r="B16" s="434"/>
      <c r="C16" s="434"/>
      <c r="D16" s="434"/>
      <c r="E16" s="434"/>
      <c r="F16" s="437">
        <v>15.5</v>
      </c>
      <c r="G16" s="437"/>
      <c r="H16" s="10"/>
      <c r="I16" s="434" t="s">
        <v>308</v>
      </c>
      <c r="J16" s="434"/>
      <c r="K16" s="434"/>
      <c r="L16" s="434"/>
      <c r="M16" s="434"/>
      <c r="N16" s="434"/>
      <c r="O16" s="434"/>
      <c r="P16" s="434" t="s">
        <v>309</v>
      </c>
      <c r="Q16" s="434"/>
      <c r="R16" s="14">
        <v>3</v>
      </c>
      <c r="S16" s="10"/>
    </row>
    <row r="17" spans="1:47" ht="15.75">
      <c r="A17" s="434" t="s">
        <v>310</v>
      </c>
      <c r="B17" s="434"/>
      <c r="C17" s="434"/>
      <c r="D17" s="434"/>
      <c r="E17" s="434"/>
      <c r="F17" s="442">
        <f>IF(D13="Cọc Tròn",PI()*(W7^2-F14^2)/4,F13*F13)</f>
        <v>0.78539816339744795</v>
      </c>
      <c r="G17" s="442"/>
      <c r="H17" s="10"/>
      <c r="I17" s="434" t="s">
        <v>311</v>
      </c>
      <c r="J17" s="434"/>
      <c r="K17" s="434"/>
      <c r="L17" s="434"/>
      <c r="M17" s="434"/>
      <c r="N17" s="434"/>
      <c r="O17" s="434"/>
      <c r="P17" s="443" t="s">
        <v>312</v>
      </c>
      <c r="Q17" s="443"/>
      <c r="R17" s="20">
        <f>(R15*R14/(R16*F22*1000*F20))^(1/5)</f>
        <v>0.31133697702854402</v>
      </c>
      <c r="S17" s="10"/>
    </row>
    <row r="18" spans="1:47" ht="15.6" customHeight="1">
      <c r="A18" s="434" t="s">
        <v>313</v>
      </c>
      <c r="B18" s="434"/>
      <c r="C18" s="434"/>
      <c r="D18" s="434"/>
      <c r="E18" s="434"/>
      <c r="F18" s="442">
        <f>IF(D13="Cọc Tròn",PI()*W7,F13*4)</f>
        <v>3.14159265358979</v>
      </c>
      <c r="G18" s="442"/>
      <c r="H18" s="10"/>
      <c r="I18" s="434" t="s">
        <v>314</v>
      </c>
      <c r="J18" s="434"/>
      <c r="K18" s="434"/>
      <c r="L18" s="434"/>
      <c r="M18" s="434"/>
      <c r="N18" s="434"/>
      <c r="O18" s="434"/>
      <c r="P18" s="434" t="s">
        <v>315</v>
      </c>
      <c r="Q18" s="434"/>
      <c r="R18" s="18">
        <v>0</v>
      </c>
      <c r="S18" s="10"/>
    </row>
    <row r="19" spans="1:47" ht="15.6" customHeight="1">
      <c r="A19" s="434" t="s">
        <v>316</v>
      </c>
      <c r="B19" s="434"/>
      <c r="C19" s="434"/>
      <c r="D19" s="434"/>
      <c r="E19" s="434"/>
      <c r="F19" s="434">
        <f>F15-F16</f>
        <v>27.7</v>
      </c>
      <c r="G19" s="434"/>
      <c r="H19" s="10"/>
      <c r="I19" s="434" t="s">
        <v>317</v>
      </c>
      <c r="J19" s="434"/>
      <c r="K19" s="434"/>
      <c r="L19" s="434"/>
      <c r="M19" s="434"/>
      <c r="N19" s="434"/>
      <c r="O19" s="434"/>
      <c r="P19" s="434" t="s">
        <v>318</v>
      </c>
      <c r="Q19" s="434"/>
      <c r="R19" s="18">
        <f>R18+2/R17</f>
        <v>6.4239076870609999</v>
      </c>
      <c r="S19" s="10"/>
    </row>
    <row r="20" spans="1:47" ht="14.25">
      <c r="A20" s="434" t="s">
        <v>319</v>
      </c>
      <c r="B20" s="434"/>
      <c r="C20" s="434"/>
      <c r="D20" s="434"/>
      <c r="E20" s="434"/>
      <c r="F20" s="442">
        <f>IF(D13="Cọc Tròn",PI()*(W7^4-F14^4)/64,F13^4/12)</f>
        <v>4.9087385212340497E-2</v>
      </c>
      <c r="G20" s="442"/>
      <c r="H20" s="10"/>
      <c r="I20" s="434" t="s">
        <v>320</v>
      </c>
      <c r="J20" s="434"/>
      <c r="K20" s="434"/>
      <c r="L20" s="434"/>
      <c r="M20" s="434"/>
      <c r="N20" s="434"/>
      <c r="O20" s="434"/>
      <c r="P20" s="443" t="s">
        <v>321</v>
      </c>
      <c r="Q20" s="443"/>
      <c r="R20" s="21">
        <f>R19/SQRT(F20/F17)</f>
        <v>25.695630748244</v>
      </c>
      <c r="S20" s="10"/>
    </row>
    <row r="21" spans="1:47">
      <c r="A21" s="434" t="s">
        <v>322</v>
      </c>
      <c r="B21" s="434"/>
      <c r="C21" s="434"/>
      <c r="D21" s="434"/>
      <c r="E21" s="434"/>
      <c r="F21" s="444">
        <v>30</v>
      </c>
      <c r="G21" s="444"/>
      <c r="H21" s="10"/>
      <c r="I21" s="434" t="s">
        <v>323</v>
      </c>
      <c r="J21" s="434"/>
      <c r="K21" s="434"/>
      <c r="L21" s="434"/>
      <c r="M21" s="434"/>
      <c r="N21" s="434"/>
      <c r="O21" s="434"/>
      <c r="P21" s="443" t="s">
        <v>324</v>
      </c>
      <c r="Q21" s="443"/>
      <c r="R21" s="22">
        <f>IF(R20&lt;=14,1,1.028-0.0000288*R20^2-0.0016*R20)</f>
        <v>0.96787134614376702</v>
      </c>
      <c r="S21" s="10"/>
    </row>
    <row r="22" spans="1:47" ht="15.75">
      <c r="A22" s="434" t="s">
        <v>325</v>
      </c>
      <c r="B22" s="434"/>
      <c r="C22" s="11">
        <f>VLOOKUP(F21,B2.Betongcoc,3)</f>
        <v>17</v>
      </c>
      <c r="D22" s="445" t="s">
        <v>326</v>
      </c>
      <c r="E22" s="446"/>
      <c r="F22" s="434">
        <f>VLOOKUP(F21,B2.Betongcoc,5)</f>
        <v>32500</v>
      </c>
      <c r="G22" s="434"/>
      <c r="H22" s="10"/>
      <c r="I22" s="447" t="s">
        <v>327</v>
      </c>
      <c r="J22" s="448"/>
      <c r="K22" s="448"/>
      <c r="L22" s="448"/>
      <c r="M22" s="448"/>
      <c r="N22" s="448"/>
      <c r="O22" s="448"/>
      <c r="P22" s="448"/>
      <c r="Q22" s="448"/>
      <c r="R22" s="449"/>
      <c r="S22" s="10"/>
    </row>
    <row r="23" spans="1:47" ht="15.75">
      <c r="A23" s="434" t="s">
        <v>328</v>
      </c>
      <c r="B23" s="434"/>
      <c r="C23" s="23" t="s">
        <v>126</v>
      </c>
      <c r="D23" s="434" t="s">
        <v>329</v>
      </c>
      <c r="E23" s="434"/>
      <c r="F23" s="434">
        <f>VLOOKUP(C23,BANGTRA!G12:H25,2,0)</f>
        <v>350</v>
      </c>
      <c r="G23" s="434"/>
      <c r="H23" s="10"/>
      <c r="I23" s="450" t="s">
        <v>330</v>
      </c>
      <c r="J23" s="450"/>
      <c r="K23" s="450"/>
      <c r="L23" s="450"/>
      <c r="M23" s="450"/>
      <c r="N23" s="450"/>
      <c r="O23" s="450"/>
      <c r="P23" s="451" t="s">
        <v>331</v>
      </c>
      <c r="Q23" s="451"/>
      <c r="R23" s="24">
        <f>R21*(R12*R13*C22*F17*1000^2+F23*R10)/1000</f>
        <v>12012.4975780722</v>
      </c>
      <c r="S23" s="10"/>
    </row>
    <row r="24" spans="1:47">
      <c r="A24" s="452"/>
      <c r="B24" s="452"/>
      <c r="C24" s="452"/>
      <c r="D24" s="452"/>
      <c r="E24" s="452"/>
      <c r="F24" s="452"/>
      <c r="G24" s="452"/>
      <c r="H24" s="452"/>
      <c r="I24" s="452"/>
      <c r="J24" s="452"/>
      <c r="K24" s="452"/>
      <c r="L24" s="452"/>
      <c r="M24" s="452"/>
      <c r="N24" s="452"/>
      <c r="O24" s="452"/>
      <c r="P24" s="452"/>
      <c r="Q24" s="452"/>
      <c r="R24" s="452"/>
      <c r="S24" s="452"/>
    </row>
    <row r="25" spans="1:47" s="1" customFormat="1">
      <c r="A25" s="26"/>
      <c r="B25" s="27"/>
      <c r="C25" s="27"/>
      <c r="D25" s="27"/>
      <c r="E25" s="27"/>
      <c r="F25" s="27"/>
      <c r="G25" s="28"/>
      <c r="H25" s="27"/>
      <c r="I25" s="27"/>
      <c r="J25" s="27"/>
      <c r="K25" s="27"/>
      <c r="L25" s="27"/>
      <c r="M25" s="29"/>
      <c r="N25" s="30"/>
      <c r="O25" s="31"/>
      <c r="P25" s="31"/>
      <c r="Q25" s="31"/>
      <c r="R25" s="31"/>
      <c r="S25" s="31"/>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row>
    <row r="26" spans="1:47" s="1" customFormat="1">
      <c r="A26" s="26"/>
      <c r="B26" s="27"/>
      <c r="C26" s="27"/>
      <c r="D26" s="27"/>
      <c r="E26" s="27"/>
      <c r="F26" s="27"/>
      <c r="G26" s="28"/>
      <c r="H26" s="27"/>
      <c r="I26" s="27"/>
      <c r="J26" s="27"/>
      <c r="K26" s="27"/>
      <c r="L26" s="27"/>
      <c r="M26" s="29"/>
      <c r="N26" s="30"/>
      <c r="O26" s="31"/>
      <c r="P26" s="31"/>
      <c r="Q26" s="31"/>
      <c r="R26" s="31"/>
      <c r="S26" s="31"/>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row>
    <row r="27" spans="1:47" s="1" customFormat="1">
      <c r="A27" s="26"/>
      <c r="B27" s="27"/>
      <c r="C27" s="27"/>
      <c r="D27" s="27"/>
      <c r="E27" s="27"/>
      <c r="F27" s="27"/>
      <c r="G27" s="28"/>
      <c r="H27" s="27"/>
      <c r="I27" s="27"/>
      <c r="J27" s="27"/>
      <c r="K27" s="27"/>
      <c r="L27" s="27"/>
      <c r="M27" s="29"/>
      <c r="N27" s="30"/>
      <c r="O27" s="31"/>
      <c r="P27" s="31"/>
      <c r="Q27" s="31"/>
      <c r="R27" s="31"/>
      <c r="S27" s="31"/>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row>
    <row r="28" spans="1:47" s="1" customFormat="1">
      <c r="A28" s="26"/>
      <c r="B28" s="27"/>
      <c r="C28" s="27"/>
      <c r="D28" s="27"/>
      <c r="E28" s="27"/>
      <c r="F28" s="27"/>
      <c r="G28" s="28"/>
      <c r="H28" s="27"/>
      <c r="I28" s="27"/>
      <c r="J28" s="27"/>
      <c r="K28" s="27"/>
      <c r="L28" s="27"/>
      <c r="M28" s="29"/>
      <c r="N28" s="30"/>
      <c r="O28" s="31"/>
      <c r="P28" s="31"/>
      <c r="Q28" s="31"/>
      <c r="R28" s="31"/>
      <c r="S28" s="31"/>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row>
    <row r="29" spans="1:47" s="1" customFormat="1">
      <c r="A29" s="26"/>
      <c r="B29" s="27"/>
      <c r="C29" s="27"/>
      <c r="D29" s="27"/>
      <c r="E29" s="27"/>
      <c r="F29" s="27"/>
      <c r="G29" s="28"/>
      <c r="H29" s="27"/>
      <c r="I29" s="27"/>
      <c r="J29" s="27"/>
      <c r="K29" s="27"/>
      <c r="L29" s="27"/>
      <c r="M29" s="29"/>
      <c r="N29" s="30"/>
      <c r="O29" s="31"/>
      <c r="P29" s="31"/>
      <c r="Q29" s="31"/>
      <c r="R29" s="31"/>
      <c r="S29" s="31"/>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row>
    <row r="30" spans="1:47" s="1" customFormat="1">
      <c r="A30" s="32"/>
      <c r="B30" s="25"/>
      <c r="C30" s="25"/>
      <c r="D30" s="25"/>
      <c r="E30" s="25"/>
      <c r="F30" s="25"/>
      <c r="G30" s="33"/>
      <c r="H30" s="25"/>
      <c r="I30" s="25"/>
      <c r="J30" s="25"/>
      <c r="K30" s="25"/>
      <c r="L30" s="34"/>
      <c r="M30" s="34"/>
      <c r="N30" s="34"/>
      <c r="O30" s="25"/>
      <c r="P30" s="25"/>
      <c r="Q30" s="25"/>
      <c r="R30" s="25"/>
      <c r="S30" s="25"/>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row>
    <row r="31" spans="1:47" s="1" customFormat="1">
      <c r="A31" s="32"/>
      <c r="B31" s="25"/>
      <c r="C31" s="25"/>
      <c r="D31" s="25"/>
      <c r="E31" s="25"/>
      <c r="F31" s="25"/>
      <c r="G31" s="33"/>
      <c r="H31" s="25"/>
      <c r="I31" s="25"/>
      <c r="J31" s="25"/>
      <c r="K31" s="25"/>
      <c r="L31" s="34"/>
      <c r="M31" s="34"/>
      <c r="N31" s="34"/>
      <c r="O31" s="25"/>
      <c r="P31" s="25"/>
      <c r="Q31" s="25"/>
      <c r="R31" s="25"/>
      <c r="S31" s="25"/>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row>
    <row r="32" spans="1:47" s="1" customFormat="1">
      <c r="A32" s="32"/>
      <c r="B32" s="25"/>
      <c r="C32" s="25"/>
      <c r="D32" s="25"/>
      <c r="E32" s="25"/>
      <c r="F32" s="25"/>
      <c r="G32" s="33"/>
      <c r="H32" s="25"/>
      <c r="I32" s="25"/>
      <c r="J32" s="25"/>
      <c r="K32" s="25"/>
      <c r="L32" s="34"/>
      <c r="M32" s="34"/>
      <c r="N32" s="34"/>
      <c r="O32" s="25"/>
      <c r="P32" s="25"/>
      <c r="Q32" s="25"/>
      <c r="R32" s="25"/>
      <c r="S32" s="25"/>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row>
    <row r="33" spans="1:47" s="1" customFormat="1">
      <c r="A33" s="32"/>
      <c r="B33" s="25"/>
      <c r="C33" s="25"/>
      <c r="D33" s="25"/>
      <c r="E33" s="25"/>
      <c r="F33" s="25"/>
      <c r="G33" s="33"/>
      <c r="H33" s="25"/>
      <c r="I33" s="25"/>
      <c r="J33" s="25"/>
      <c r="K33" s="25"/>
      <c r="L33" s="34"/>
      <c r="M33" s="34"/>
      <c r="N33" s="34"/>
      <c r="O33" s="25"/>
      <c r="P33" s="25"/>
      <c r="Q33" s="25"/>
      <c r="R33" s="25"/>
      <c r="S33" s="25"/>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row>
    <row r="34" spans="1:47" s="1" customFormat="1">
      <c r="A34" s="32"/>
      <c r="B34" s="25"/>
      <c r="C34" s="25"/>
      <c r="D34" s="25"/>
      <c r="E34" s="25"/>
      <c r="F34" s="25"/>
      <c r="G34" s="33"/>
      <c r="H34" s="25"/>
      <c r="I34" s="25"/>
      <c r="J34" s="25"/>
      <c r="K34" s="25"/>
      <c r="L34" s="34"/>
      <c r="M34" s="34"/>
      <c r="N34" s="34"/>
      <c r="O34" s="25"/>
      <c r="P34" s="25"/>
      <c r="Q34" s="25"/>
      <c r="R34" s="25"/>
      <c r="S34" s="25"/>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row>
    <row r="35" spans="1:47" s="1" customFormat="1">
      <c r="A35" s="32"/>
      <c r="B35" s="25"/>
      <c r="C35" s="25"/>
      <c r="D35" s="25"/>
      <c r="E35" s="25"/>
      <c r="F35" s="25"/>
      <c r="G35" s="33"/>
      <c r="H35" s="25"/>
      <c r="I35" s="25"/>
      <c r="J35" s="25"/>
      <c r="K35" s="25"/>
      <c r="L35" s="34"/>
      <c r="M35" s="34"/>
      <c r="N35" s="34"/>
      <c r="O35" s="25"/>
      <c r="P35" s="25"/>
      <c r="Q35" s="25"/>
      <c r="R35" s="25"/>
      <c r="S35" s="25"/>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row>
    <row r="36" spans="1:47" s="1" customFormat="1">
      <c r="A36" s="32"/>
      <c r="B36" s="25"/>
      <c r="C36" s="25"/>
      <c r="D36" s="25"/>
      <c r="E36" s="25"/>
      <c r="F36" s="25"/>
      <c r="G36" s="33"/>
      <c r="H36" s="25"/>
      <c r="I36" s="25"/>
      <c r="J36" s="25"/>
      <c r="K36" s="25"/>
      <c r="L36" s="34"/>
      <c r="M36" s="34"/>
      <c r="N36" s="34"/>
      <c r="O36" s="25"/>
      <c r="P36" s="25"/>
      <c r="Q36" s="25"/>
      <c r="R36" s="25"/>
      <c r="S36" s="25"/>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row>
    <row r="37" spans="1:47" s="1" customFormat="1">
      <c r="A37" s="32"/>
      <c r="B37" s="25"/>
      <c r="C37" s="25"/>
      <c r="D37" s="25"/>
      <c r="E37" s="25"/>
      <c r="F37" s="25"/>
      <c r="G37" s="33"/>
      <c r="H37" s="25"/>
      <c r="I37" s="25"/>
      <c r="J37" s="25"/>
      <c r="K37" s="25"/>
      <c r="L37" s="34"/>
      <c r="M37" s="34"/>
      <c r="N37" s="34"/>
      <c r="O37" s="25"/>
      <c r="P37" s="25"/>
      <c r="Q37" s="25"/>
      <c r="R37" s="25"/>
      <c r="S37" s="25"/>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row>
    <row r="38" spans="1:47" s="1" customFormat="1">
      <c r="A38" s="32"/>
      <c r="B38" s="25"/>
      <c r="C38" s="25"/>
      <c r="D38" s="25"/>
      <c r="E38" s="25"/>
      <c r="F38" s="25"/>
      <c r="G38" s="33"/>
      <c r="H38" s="25"/>
      <c r="I38" s="25"/>
      <c r="J38" s="25"/>
      <c r="K38" s="25"/>
      <c r="L38" s="34"/>
      <c r="M38" s="34"/>
      <c r="N38" s="34"/>
      <c r="O38" s="25"/>
      <c r="P38" s="25"/>
      <c r="Q38" s="25"/>
      <c r="R38" s="25"/>
      <c r="S38" s="25"/>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row>
    <row r="39" spans="1:47" s="1" customFormat="1">
      <c r="A39" s="32"/>
      <c r="B39" s="25"/>
      <c r="C39" s="25"/>
      <c r="D39" s="25"/>
      <c r="E39" s="25"/>
      <c r="F39" s="25"/>
      <c r="G39" s="33"/>
      <c r="H39" s="25"/>
      <c r="I39" s="25"/>
      <c r="J39" s="25"/>
      <c r="K39" s="25"/>
      <c r="L39" s="34"/>
      <c r="M39" s="34"/>
      <c r="N39" s="34"/>
      <c r="O39" s="25"/>
      <c r="P39" s="25"/>
      <c r="Q39" s="25"/>
      <c r="R39" s="25"/>
      <c r="S39" s="25"/>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row>
    <row r="40" spans="1:47" s="1" customFormat="1">
      <c r="A40" s="32"/>
      <c r="B40" s="25"/>
      <c r="C40" s="25"/>
      <c r="D40" s="25"/>
      <c r="E40" s="25"/>
      <c r="F40" s="25"/>
      <c r="G40" s="33"/>
      <c r="H40" s="25"/>
      <c r="I40" s="25"/>
      <c r="J40" s="25"/>
      <c r="K40" s="25"/>
      <c r="L40" s="34"/>
      <c r="M40" s="34"/>
      <c r="N40" s="34"/>
      <c r="O40" s="25"/>
      <c r="P40" s="25"/>
      <c r="Q40" s="25"/>
      <c r="R40" s="25"/>
      <c r="S40" s="25"/>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row>
    <row r="41" spans="1:47" s="1" customFormat="1">
      <c r="A41" s="32"/>
      <c r="B41" s="25"/>
      <c r="C41" s="25"/>
      <c r="D41" s="25"/>
      <c r="E41" s="25"/>
      <c r="F41" s="25"/>
      <c r="G41" s="33"/>
      <c r="H41" s="25"/>
      <c r="I41" s="25"/>
      <c r="J41" s="25"/>
      <c r="K41" s="25"/>
      <c r="L41" s="34"/>
      <c r="M41" s="34"/>
      <c r="N41" s="34"/>
      <c r="O41" s="25"/>
      <c r="P41" s="25"/>
      <c r="Q41" s="25"/>
      <c r="R41" s="25"/>
      <c r="S41" s="25"/>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row>
    <row r="42" spans="1:47" s="1" customFormat="1">
      <c r="A42" s="32"/>
      <c r="B42" s="25"/>
      <c r="C42" s="25"/>
      <c r="D42" s="25"/>
      <c r="E42" s="25"/>
      <c r="F42" s="25"/>
      <c r="G42" s="33"/>
      <c r="H42" s="25"/>
      <c r="I42" s="25"/>
      <c r="J42" s="25"/>
      <c r="K42" s="25"/>
      <c r="L42" s="34"/>
      <c r="M42" s="34"/>
      <c r="N42" s="34"/>
      <c r="O42" s="25"/>
      <c r="P42" s="25"/>
      <c r="Q42" s="25"/>
      <c r="R42" s="25"/>
      <c r="S42" s="25"/>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row>
    <row r="43" spans="1:47" s="1" customFormat="1">
      <c r="A43" s="32"/>
      <c r="B43" s="25"/>
      <c r="C43" s="25"/>
      <c r="D43" s="25"/>
      <c r="E43" s="25"/>
      <c r="F43" s="25"/>
      <c r="G43" s="33"/>
      <c r="H43" s="25"/>
      <c r="I43" s="25"/>
      <c r="J43" s="25"/>
      <c r="K43" s="25"/>
      <c r="L43" s="34"/>
      <c r="M43" s="34"/>
      <c r="N43" s="34"/>
      <c r="O43" s="25"/>
      <c r="P43" s="25"/>
      <c r="Q43" s="25"/>
      <c r="R43" s="25"/>
      <c r="S43" s="25"/>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row>
    <row r="44" spans="1:47" s="1" customFormat="1">
      <c r="A44" s="32"/>
      <c r="B44" s="25"/>
      <c r="C44" s="25"/>
      <c r="D44" s="25"/>
      <c r="E44" s="25"/>
      <c r="F44" s="25"/>
      <c r="G44" s="33"/>
      <c r="H44" s="25"/>
      <c r="I44" s="25"/>
      <c r="J44" s="25"/>
      <c r="K44" s="25"/>
      <c r="L44" s="34"/>
      <c r="M44" s="34"/>
      <c r="N44" s="34"/>
      <c r="O44" s="25"/>
      <c r="P44" s="25"/>
      <c r="Q44" s="25"/>
      <c r="R44" s="25"/>
      <c r="S44" s="25"/>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row>
    <row r="45" spans="1:47" s="1" customFormat="1">
      <c r="A45" s="32"/>
      <c r="B45" s="25"/>
      <c r="C45" s="25"/>
      <c r="D45" s="25"/>
      <c r="E45" s="25"/>
      <c r="F45" s="25"/>
      <c r="G45" s="33"/>
      <c r="H45" s="25"/>
      <c r="I45" s="25"/>
      <c r="J45" s="25"/>
      <c r="K45" s="25"/>
      <c r="L45" s="34"/>
      <c r="M45" s="34"/>
      <c r="N45" s="34"/>
      <c r="O45" s="25"/>
      <c r="P45" s="25"/>
      <c r="Q45" s="25"/>
      <c r="R45" s="25"/>
      <c r="S45" s="25"/>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row>
    <row r="46" spans="1:47" s="1" customFormat="1">
      <c r="A46" s="32"/>
      <c r="B46" s="25"/>
      <c r="C46" s="25"/>
      <c r="D46" s="25"/>
      <c r="E46" s="25"/>
      <c r="F46" s="25"/>
      <c r="G46" s="33"/>
      <c r="H46" s="25"/>
      <c r="I46" s="25"/>
      <c r="J46" s="25"/>
      <c r="K46" s="25"/>
      <c r="L46" s="34"/>
      <c r="M46" s="34"/>
      <c r="N46" s="34"/>
      <c r="O46" s="25"/>
      <c r="P46" s="25"/>
      <c r="Q46" s="25"/>
      <c r="R46" s="25"/>
      <c r="S46" s="25"/>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row>
    <row r="47" spans="1:47" s="1" customFormat="1">
      <c r="A47" s="32"/>
      <c r="B47" s="25"/>
      <c r="C47" s="25"/>
      <c r="D47" s="25"/>
      <c r="E47" s="25"/>
      <c r="F47" s="25"/>
      <c r="G47" s="33"/>
      <c r="H47" s="25"/>
      <c r="I47" s="25"/>
      <c r="J47" s="25"/>
      <c r="K47" s="25"/>
      <c r="L47" s="34"/>
      <c r="M47" s="34"/>
      <c r="N47" s="34"/>
      <c r="O47" s="25"/>
      <c r="P47" s="25"/>
      <c r="Q47" s="25"/>
      <c r="R47" s="25"/>
      <c r="S47" s="25"/>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row>
    <row r="48" spans="1:47" s="1" customFormat="1">
      <c r="A48" s="32"/>
      <c r="B48" s="25"/>
      <c r="C48" s="25"/>
      <c r="D48" s="25"/>
      <c r="E48" s="25"/>
      <c r="F48" s="25"/>
      <c r="G48" s="33"/>
      <c r="H48" s="25"/>
      <c r="I48" s="25"/>
      <c r="J48" s="25"/>
      <c r="K48" s="25"/>
      <c r="L48" s="34"/>
      <c r="M48" s="34"/>
      <c r="N48" s="34"/>
      <c r="O48" s="25"/>
      <c r="P48" s="25"/>
      <c r="Q48" s="25"/>
      <c r="R48" s="25"/>
      <c r="S48" s="25"/>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row>
    <row r="49" spans="1:47" s="1" customFormat="1">
      <c r="A49" s="32"/>
      <c r="B49" s="25"/>
      <c r="C49" s="25"/>
      <c r="D49" s="25"/>
      <c r="E49" s="25"/>
      <c r="F49" s="25"/>
      <c r="G49" s="33"/>
      <c r="H49" s="25"/>
      <c r="I49" s="25"/>
      <c r="J49" s="25"/>
      <c r="K49" s="25"/>
      <c r="L49" s="34"/>
      <c r="M49" s="34"/>
      <c r="N49" s="34"/>
      <c r="O49" s="25"/>
      <c r="P49" s="25"/>
      <c r="Q49" s="25"/>
      <c r="R49" s="25"/>
      <c r="S49" s="25"/>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row>
    <row r="50" spans="1:47" s="1" customFormat="1">
      <c r="A50" s="32"/>
      <c r="B50" s="25"/>
      <c r="C50" s="25"/>
      <c r="D50" s="25"/>
      <c r="E50" s="25"/>
      <c r="F50" s="25"/>
      <c r="G50" s="33"/>
      <c r="H50" s="25"/>
      <c r="I50" s="25"/>
      <c r="J50" s="25"/>
      <c r="K50" s="25"/>
      <c r="L50" s="34"/>
      <c r="M50" s="34"/>
      <c r="N50" s="34"/>
      <c r="O50" s="25"/>
      <c r="P50" s="25"/>
      <c r="Q50" s="25"/>
      <c r="R50" s="25"/>
      <c r="S50" s="25"/>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row>
    <row r="51" spans="1:47" s="1" customFormat="1">
      <c r="A51" s="32"/>
      <c r="B51" s="25"/>
      <c r="C51" s="25"/>
      <c r="D51" s="25"/>
      <c r="E51" s="25"/>
      <c r="F51" s="25"/>
      <c r="G51" s="33"/>
      <c r="H51" s="25"/>
      <c r="I51" s="25"/>
      <c r="J51" s="25"/>
      <c r="K51" s="25"/>
      <c r="L51" s="34"/>
      <c r="M51" s="34"/>
      <c r="N51" s="34"/>
      <c r="O51" s="25"/>
      <c r="P51" s="25"/>
      <c r="Q51" s="25"/>
      <c r="R51" s="25"/>
      <c r="S51" s="25"/>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row>
    <row r="52" spans="1:47" s="1" customFormat="1">
      <c r="A52" s="32"/>
      <c r="B52" s="25"/>
      <c r="C52" s="25"/>
      <c r="D52" s="25"/>
      <c r="E52" s="25"/>
      <c r="F52" s="25"/>
      <c r="G52" s="33"/>
      <c r="H52" s="25"/>
      <c r="I52" s="25"/>
      <c r="J52" s="25"/>
      <c r="K52" s="25"/>
      <c r="L52" s="34"/>
      <c r="M52" s="34"/>
      <c r="N52" s="34"/>
      <c r="O52" s="25"/>
      <c r="P52" s="25"/>
      <c r="Q52" s="25"/>
      <c r="R52" s="25"/>
      <c r="S52" s="25"/>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row>
    <row r="53" spans="1:47" s="1" customFormat="1">
      <c r="A53" s="32"/>
      <c r="B53" s="25"/>
      <c r="C53" s="25"/>
      <c r="D53" s="25"/>
      <c r="E53" s="25"/>
      <c r="F53" s="25"/>
      <c r="G53" s="33"/>
      <c r="H53" s="25"/>
      <c r="I53" s="25"/>
      <c r="J53" s="25"/>
      <c r="K53" s="25"/>
      <c r="L53" s="34"/>
      <c r="M53" s="34"/>
      <c r="N53" s="34"/>
      <c r="O53" s="25"/>
      <c r="P53" s="25"/>
      <c r="Q53" s="25"/>
      <c r="R53" s="25"/>
      <c r="S53" s="25"/>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row>
    <row r="54" spans="1:47" s="1" customFormat="1">
      <c r="A54" s="32"/>
      <c r="B54" s="25"/>
      <c r="C54" s="25"/>
      <c r="D54" s="25"/>
      <c r="E54" s="25"/>
      <c r="F54" s="25"/>
      <c r="G54" s="33"/>
      <c r="H54" s="25"/>
      <c r="I54" s="25"/>
      <c r="J54" s="25"/>
      <c r="K54" s="25"/>
      <c r="L54" s="34"/>
      <c r="M54" s="34"/>
      <c r="N54" s="34"/>
      <c r="O54" s="25"/>
      <c r="P54" s="25"/>
      <c r="Q54" s="25"/>
      <c r="R54" s="25"/>
      <c r="S54" s="25"/>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row>
    <row r="55" spans="1:47" s="1" customFormat="1">
      <c r="A55" s="32"/>
      <c r="B55" s="25"/>
      <c r="C55" s="25"/>
      <c r="D55" s="25"/>
      <c r="E55" s="25"/>
      <c r="F55" s="25"/>
      <c r="G55" s="33"/>
      <c r="H55" s="25"/>
      <c r="I55" s="25"/>
      <c r="J55" s="25"/>
      <c r="K55" s="25"/>
      <c r="L55" s="34"/>
      <c r="M55" s="34"/>
      <c r="N55" s="34"/>
      <c r="O55" s="25"/>
      <c r="P55" s="25"/>
      <c r="Q55" s="25"/>
      <c r="R55" s="25"/>
      <c r="S55" s="25"/>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row>
    <row r="56" spans="1:47" s="1" customFormat="1">
      <c r="A56" s="32"/>
      <c r="B56" s="25"/>
      <c r="C56" s="25"/>
      <c r="D56" s="25"/>
      <c r="E56" s="25"/>
      <c r="F56" s="25"/>
      <c r="G56" s="33"/>
      <c r="H56" s="25"/>
      <c r="I56" s="25"/>
      <c r="J56" s="25"/>
      <c r="K56" s="25"/>
      <c r="L56" s="34"/>
      <c r="M56" s="34"/>
      <c r="N56" s="34"/>
      <c r="O56" s="25"/>
      <c r="P56" s="25"/>
      <c r="Q56" s="25"/>
      <c r="R56" s="25"/>
      <c r="S56" s="25"/>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row>
    <row r="57" spans="1:47" s="1" customFormat="1">
      <c r="A57" s="32"/>
      <c r="B57" s="25"/>
      <c r="C57" s="25"/>
      <c r="D57" s="25"/>
      <c r="E57" s="25"/>
      <c r="F57" s="25"/>
      <c r="G57" s="33"/>
      <c r="H57" s="25"/>
      <c r="I57" s="25"/>
      <c r="J57" s="25"/>
      <c r="K57" s="25"/>
      <c r="L57" s="34"/>
      <c r="M57" s="34"/>
      <c r="N57" s="34"/>
      <c r="O57" s="25"/>
      <c r="P57" s="25"/>
      <c r="Q57" s="25"/>
      <c r="R57" s="25"/>
      <c r="S57" s="25"/>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row>
    <row r="58" spans="1:47" s="1" customFormat="1">
      <c r="A58" s="32"/>
      <c r="B58" s="25"/>
      <c r="C58" s="25"/>
      <c r="D58" s="25"/>
      <c r="E58" s="25"/>
      <c r="F58" s="25"/>
      <c r="G58" s="33"/>
      <c r="H58" s="25"/>
      <c r="I58" s="25"/>
      <c r="J58" s="25"/>
      <c r="K58" s="25"/>
      <c r="L58" s="34"/>
      <c r="M58" s="34"/>
      <c r="N58" s="34"/>
      <c r="O58" s="25"/>
      <c r="P58" s="25"/>
      <c r="Q58" s="25"/>
      <c r="R58" s="25"/>
      <c r="S58" s="25"/>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row>
    <row r="59" spans="1:47" s="1" customFormat="1">
      <c r="A59" s="32"/>
      <c r="B59" s="25"/>
      <c r="C59" s="25"/>
      <c r="D59" s="25"/>
      <c r="E59" s="25"/>
      <c r="F59" s="25"/>
      <c r="G59" s="33"/>
      <c r="H59" s="25"/>
      <c r="I59" s="25"/>
      <c r="J59" s="25"/>
      <c r="K59" s="25"/>
      <c r="L59" s="34"/>
      <c r="M59" s="34"/>
      <c r="N59" s="34"/>
      <c r="O59" s="25"/>
      <c r="P59" s="25"/>
      <c r="Q59" s="25"/>
      <c r="R59" s="25"/>
      <c r="S59" s="25"/>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row>
    <row r="60" spans="1:47" s="1" customFormat="1">
      <c r="A60" s="32"/>
      <c r="B60" s="25"/>
      <c r="C60" s="25"/>
      <c r="D60" s="25"/>
      <c r="E60" s="25"/>
      <c r="F60" s="25"/>
      <c r="G60" s="33"/>
      <c r="H60" s="25"/>
      <c r="I60" s="25"/>
      <c r="J60" s="25"/>
      <c r="K60" s="25"/>
      <c r="L60" s="34"/>
      <c r="M60" s="34"/>
      <c r="N60" s="34"/>
      <c r="O60" s="25"/>
      <c r="P60" s="25"/>
      <c r="Q60" s="25"/>
      <c r="R60" s="25"/>
      <c r="S60" s="25"/>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row>
    <row r="61" spans="1:47" s="1" customFormat="1">
      <c r="A61" s="32"/>
      <c r="B61" s="25"/>
      <c r="C61" s="25"/>
      <c r="D61" s="25"/>
      <c r="E61" s="25"/>
      <c r="F61" s="25"/>
      <c r="G61" s="33"/>
      <c r="H61" s="25"/>
      <c r="I61" s="25"/>
      <c r="J61" s="25"/>
      <c r="K61" s="25"/>
      <c r="L61" s="34"/>
      <c r="M61" s="34"/>
      <c r="N61" s="34"/>
      <c r="O61" s="25"/>
      <c r="P61" s="25"/>
      <c r="Q61" s="25"/>
      <c r="R61" s="25"/>
      <c r="S61" s="25"/>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row>
    <row r="62" spans="1:47" s="1" customFormat="1">
      <c r="A62" s="32"/>
      <c r="B62" s="25"/>
      <c r="C62" s="25"/>
      <c r="D62" s="25"/>
      <c r="E62" s="25"/>
      <c r="F62" s="25"/>
      <c r="G62" s="33"/>
      <c r="H62" s="25"/>
      <c r="I62" s="25"/>
      <c r="J62" s="25"/>
      <c r="K62" s="25"/>
      <c r="L62" s="34"/>
      <c r="M62" s="34"/>
      <c r="N62" s="34"/>
      <c r="O62" s="25"/>
      <c r="P62" s="25"/>
      <c r="Q62" s="25"/>
      <c r="R62" s="25"/>
      <c r="S62" s="25"/>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row>
    <row r="63" spans="1:47" s="1" customFormat="1">
      <c r="A63" s="32"/>
      <c r="B63" s="25"/>
      <c r="C63" s="25"/>
      <c r="D63" s="25"/>
      <c r="E63" s="25"/>
      <c r="F63" s="25"/>
      <c r="G63" s="33"/>
      <c r="H63" s="25"/>
      <c r="I63" s="25"/>
      <c r="J63" s="25"/>
      <c r="K63" s="25"/>
      <c r="L63" s="34"/>
      <c r="M63" s="34"/>
      <c r="N63" s="34"/>
      <c r="O63" s="25"/>
      <c r="P63" s="25"/>
      <c r="Q63" s="25"/>
      <c r="R63" s="25"/>
      <c r="S63" s="25"/>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row>
    <row r="64" spans="1:47" s="1" customFormat="1">
      <c r="A64" s="32"/>
      <c r="B64" s="25"/>
      <c r="C64" s="25"/>
      <c r="D64" s="25"/>
      <c r="E64" s="25"/>
      <c r="F64" s="25"/>
      <c r="G64" s="33"/>
      <c r="H64" s="25"/>
      <c r="I64" s="25"/>
      <c r="J64" s="25"/>
      <c r="K64" s="25"/>
      <c r="L64" s="34"/>
      <c r="M64" s="34"/>
      <c r="N64" s="34"/>
      <c r="O64" s="25"/>
      <c r="P64" s="25"/>
      <c r="Q64" s="25"/>
      <c r="R64" s="25"/>
      <c r="S64" s="25"/>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row>
    <row r="65" spans="1:47" s="1" customFormat="1">
      <c r="A65" s="32"/>
      <c r="B65" s="25"/>
      <c r="C65" s="25"/>
      <c r="D65" s="25"/>
      <c r="E65" s="25"/>
      <c r="F65" s="25"/>
      <c r="G65" s="33"/>
      <c r="H65" s="25"/>
      <c r="I65" s="25"/>
      <c r="J65" s="25"/>
      <c r="K65" s="25"/>
      <c r="L65" s="34"/>
      <c r="M65" s="34"/>
      <c r="N65" s="34"/>
      <c r="O65" s="25"/>
      <c r="P65" s="25"/>
      <c r="Q65" s="25"/>
      <c r="R65" s="25"/>
      <c r="S65" s="25"/>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row>
    <row r="66" spans="1:47" s="1" customFormat="1">
      <c r="A66" s="32"/>
      <c r="B66" s="25"/>
      <c r="C66" s="25"/>
      <c r="D66" s="25"/>
      <c r="E66" s="25"/>
      <c r="F66" s="25"/>
      <c r="G66" s="33"/>
      <c r="H66" s="25"/>
      <c r="I66" s="25"/>
      <c r="J66" s="25"/>
      <c r="K66" s="25"/>
      <c r="L66" s="34"/>
      <c r="M66" s="34"/>
      <c r="N66" s="34"/>
      <c r="O66" s="25"/>
      <c r="P66" s="25"/>
      <c r="Q66" s="25"/>
      <c r="R66" s="25"/>
      <c r="S66" s="25"/>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row>
    <row r="67" spans="1:47" s="1" customFormat="1">
      <c r="A67" s="32"/>
      <c r="B67" s="25"/>
      <c r="C67" s="25"/>
      <c r="D67" s="25"/>
      <c r="E67" s="25"/>
      <c r="F67" s="25"/>
      <c r="G67" s="33"/>
      <c r="H67" s="25"/>
      <c r="I67" s="25"/>
      <c r="J67" s="25"/>
      <c r="K67" s="25"/>
      <c r="L67" s="34"/>
      <c r="M67" s="34"/>
      <c r="N67" s="34"/>
      <c r="O67" s="25"/>
      <c r="P67" s="25"/>
      <c r="Q67" s="25"/>
      <c r="R67" s="25"/>
      <c r="S67" s="25"/>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row>
    <row r="68" spans="1:47" s="1" customFormat="1">
      <c r="A68" s="32"/>
      <c r="B68" s="25"/>
      <c r="C68" s="25"/>
      <c r="D68" s="25"/>
      <c r="E68" s="25"/>
      <c r="F68" s="25"/>
      <c r="G68" s="33"/>
      <c r="H68" s="25"/>
      <c r="I68" s="25"/>
      <c r="J68" s="25"/>
      <c r="K68" s="25"/>
      <c r="L68" s="34"/>
      <c r="M68" s="34"/>
      <c r="N68" s="34"/>
      <c r="O68" s="25"/>
      <c r="P68" s="25"/>
      <c r="Q68" s="25"/>
      <c r="R68" s="25"/>
      <c r="S68" s="25"/>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row>
    <row r="69" spans="1:47" s="1" customFormat="1">
      <c r="A69" s="32"/>
      <c r="B69" s="25"/>
      <c r="C69" s="25"/>
      <c r="D69" s="25"/>
      <c r="E69" s="25"/>
      <c r="F69" s="25"/>
      <c r="G69" s="33"/>
      <c r="H69" s="25"/>
      <c r="I69" s="25"/>
      <c r="J69" s="25"/>
      <c r="K69" s="25"/>
      <c r="L69" s="34"/>
      <c r="M69" s="34"/>
      <c r="N69" s="34"/>
      <c r="O69" s="25"/>
      <c r="P69" s="25"/>
      <c r="Q69" s="25"/>
      <c r="R69" s="25"/>
      <c r="S69" s="25"/>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row>
    <row r="70" spans="1:47" s="1" customFormat="1">
      <c r="A70" s="32"/>
      <c r="B70" s="25"/>
      <c r="C70" s="25"/>
      <c r="D70" s="25"/>
      <c r="E70" s="25"/>
      <c r="F70" s="25"/>
      <c r="G70" s="33"/>
      <c r="H70" s="25"/>
      <c r="I70" s="25"/>
      <c r="J70" s="25"/>
      <c r="K70" s="25"/>
      <c r="L70" s="34"/>
      <c r="M70" s="34"/>
      <c r="N70" s="34"/>
      <c r="O70" s="25"/>
      <c r="P70" s="25"/>
      <c r="Q70" s="25"/>
      <c r="R70" s="25"/>
      <c r="S70" s="25"/>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row>
    <row r="71" spans="1:47" s="1" customFormat="1">
      <c r="A71" s="32"/>
      <c r="B71" s="25"/>
      <c r="C71" s="25"/>
      <c r="D71" s="25"/>
      <c r="E71" s="25"/>
      <c r="F71" s="25"/>
      <c r="G71" s="33"/>
      <c r="H71" s="25"/>
      <c r="I71" s="25"/>
      <c r="J71" s="25"/>
      <c r="K71" s="25"/>
      <c r="L71" s="34"/>
      <c r="M71" s="34"/>
      <c r="N71" s="34"/>
      <c r="O71" s="25"/>
      <c r="P71" s="25"/>
      <c r="Q71" s="25"/>
      <c r="R71" s="25"/>
      <c r="S71" s="25"/>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row>
    <row r="72" spans="1:47" s="1" customFormat="1">
      <c r="A72" s="32"/>
      <c r="B72" s="25"/>
      <c r="C72" s="25"/>
      <c r="D72" s="25"/>
      <c r="E72" s="25"/>
      <c r="F72" s="25"/>
      <c r="G72" s="33"/>
      <c r="H72" s="25"/>
      <c r="I72" s="25"/>
      <c r="J72" s="25"/>
      <c r="K72" s="25"/>
      <c r="L72" s="34"/>
      <c r="M72" s="34"/>
      <c r="N72" s="34"/>
      <c r="O72" s="25"/>
      <c r="P72" s="25"/>
      <c r="Q72" s="25"/>
      <c r="R72" s="25"/>
      <c r="S72" s="25"/>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row>
    <row r="73" spans="1:47" s="1" customFormat="1">
      <c r="A73" s="32"/>
      <c r="B73" s="25"/>
      <c r="C73" s="25"/>
      <c r="D73" s="25"/>
      <c r="E73" s="25"/>
      <c r="F73" s="25"/>
      <c r="G73" s="33"/>
      <c r="H73" s="25"/>
      <c r="I73" s="25"/>
      <c r="J73" s="25"/>
      <c r="K73" s="25"/>
      <c r="L73" s="34"/>
      <c r="M73" s="34"/>
      <c r="N73" s="34"/>
      <c r="O73" s="25"/>
      <c r="P73" s="25"/>
      <c r="Q73" s="25"/>
      <c r="R73" s="25"/>
      <c r="S73" s="25"/>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row>
    <row r="74" spans="1:47" s="1" customFormat="1">
      <c r="A74" s="32"/>
      <c r="B74" s="25"/>
      <c r="C74" s="25"/>
      <c r="D74" s="25"/>
      <c r="E74" s="25"/>
      <c r="F74" s="25"/>
      <c r="G74" s="33"/>
      <c r="H74" s="25"/>
      <c r="I74" s="25"/>
      <c r="J74" s="25"/>
      <c r="K74" s="25"/>
      <c r="L74" s="34"/>
      <c r="M74" s="34"/>
      <c r="N74" s="34"/>
      <c r="O74" s="25"/>
      <c r="P74" s="25"/>
      <c r="Q74" s="25"/>
      <c r="R74" s="25"/>
      <c r="S74" s="25"/>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row>
    <row r="75" spans="1:47" s="1" customFormat="1">
      <c r="A75" s="32"/>
      <c r="B75" s="25"/>
      <c r="C75" s="25"/>
      <c r="D75" s="25"/>
      <c r="E75" s="25"/>
      <c r="F75" s="25"/>
      <c r="G75" s="33"/>
      <c r="H75" s="25"/>
      <c r="I75" s="25"/>
      <c r="J75" s="25"/>
      <c r="K75" s="25"/>
      <c r="L75" s="34"/>
      <c r="M75" s="34"/>
      <c r="N75" s="34"/>
      <c r="O75" s="25"/>
      <c r="P75" s="25"/>
      <c r="Q75" s="25"/>
      <c r="R75" s="25"/>
      <c r="S75" s="25"/>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row>
    <row r="76" spans="1:47" s="1" customFormat="1">
      <c r="A76" s="32"/>
      <c r="B76" s="25"/>
      <c r="C76" s="25"/>
      <c r="D76" s="25"/>
      <c r="E76" s="25"/>
      <c r="F76" s="25"/>
      <c r="G76" s="33"/>
      <c r="H76" s="25"/>
      <c r="I76" s="25"/>
      <c r="J76" s="25"/>
      <c r="K76" s="25"/>
      <c r="L76" s="34"/>
      <c r="M76" s="34"/>
      <c r="N76" s="34"/>
      <c r="O76" s="25"/>
      <c r="P76" s="25"/>
      <c r="Q76" s="25"/>
      <c r="R76" s="25"/>
      <c r="S76" s="25"/>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row>
    <row r="77" spans="1:47" s="1" customFormat="1">
      <c r="A77" s="32"/>
      <c r="B77" s="25"/>
      <c r="C77" s="25"/>
      <c r="D77" s="25"/>
      <c r="E77" s="25"/>
      <c r="F77" s="25"/>
      <c r="G77" s="33"/>
      <c r="H77" s="25"/>
      <c r="I77" s="25"/>
      <c r="J77" s="25"/>
      <c r="K77" s="25"/>
      <c r="L77" s="34"/>
      <c r="M77" s="34"/>
      <c r="N77" s="34"/>
      <c r="O77" s="25"/>
      <c r="P77" s="25"/>
      <c r="Q77" s="25"/>
      <c r="R77" s="25"/>
      <c r="S77" s="25"/>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row>
    <row r="78" spans="1:47" s="1" customFormat="1">
      <c r="A78" s="32"/>
      <c r="B78" s="25"/>
      <c r="C78" s="25"/>
      <c r="D78" s="25"/>
      <c r="E78" s="25"/>
      <c r="F78" s="25"/>
      <c r="G78" s="33"/>
      <c r="H78" s="25"/>
      <c r="I78" s="25"/>
      <c r="J78" s="25"/>
      <c r="K78" s="25"/>
      <c r="L78" s="34"/>
      <c r="M78" s="34"/>
      <c r="N78" s="34"/>
      <c r="O78" s="25"/>
      <c r="P78" s="25"/>
      <c r="Q78" s="25"/>
      <c r="R78" s="25"/>
      <c r="S78" s="25"/>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row>
    <row r="79" spans="1:47" s="1" customFormat="1">
      <c r="A79" s="32"/>
      <c r="B79" s="25"/>
      <c r="C79" s="25"/>
      <c r="D79" s="25"/>
      <c r="E79" s="25"/>
      <c r="F79" s="25"/>
      <c r="G79" s="33"/>
      <c r="H79" s="25"/>
      <c r="I79" s="25"/>
      <c r="J79" s="25"/>
      <c r="K79" s="25"/>
      <c r="L79" s="34"/>
      <c r="M79" s="34"/>
      <c r="N79" s="34"/>
      <c r="O79" s="25"/>
      <c r="P79" s="25"/>
      <c r="Q79" s="25"/>
      <c r="R79" s="25"/>
      <c r="S79" s="25"/>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row>
    <row r="80" spans="1:47" s="1" customFormat="1">
      <c r="A80" s="32"/>
      <c r="B80" s="25"/>
      <c r="C80" s="25"/>
      <c r="D80" s="25"/>
      <c r="E80" s="25"/>
      <c r="F80" s="25"/>
      <c r="G80" s="33"/>
      <c r="H80" s="25"/>
      <c r="I80" s="25"/>
      <c r="J80" s="25"/>
      <c r="K80" s="25"/>
      <c r="L80" s="34"/>
      <c r="M80" s="34"/>
      <c r="N80" s="34"/>
      <c r="O80" s="25"/>
      <c r="P80" s="25"/>
      <c r="Q80" s="25"/>
      <c r="R80" s="25"/>
      <c r="S80" s="25"/>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row>
    <row r="81" spans="1:47" s="1" customFormat="1">
      <c r="A81" s="32"/>
      <c r="B81" s="25"/>
      <c r="C81" s="25"/>
      <c r="D81" s="25"/>
      <c r="E81" s="25"/>
      <c r="F81" s="25"/>
      <c r="G81" s="33"/>
      <c r="H81" s="25"/>
      <c r="I81" s="25"/>
      <c r="J81" s="25"/>
      <c r="K81" s="25"/>
      <c r="L81" s="34"/>
      <c r="M81" s="34"/>
      <c r="N81" s="34"/>
      <c r="O81" s="25"/>
      <c r="P81" s="25"/>
      <c r="Q81" s="25"/>
      <c r="R81" s="25"/>
      <c r="S81" s="25"/>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row>
    <row r="82" spans="1:47" s="1" customFormat="1">
      <c r="A82" s="32"/>
      <c r="B82" s="25"/>
      <c r="C82" s="25"/>
      <c r="D82" s="25"/>
      <c r="E82" s="25"/>
      <c r="F82" s="25"/>
      <c r="G82" s="33"/>
      <c r="H82" s="25"/>
      <c r="I82" s="25"/>
      <c r="J82" s="25"/>
      <c r="K82" s="25"/>
      <c r="L82" s="34"/>
      <c r="M82" s="34"/>
      <c r="N82" s="34"/>
      <c r="O82" s="25"/>
      <c r="P82" s="25"/>
      <c r="Q82" s="25"/>
      <c r="R82" s="25"/>
      <c r="S82" s="25"/>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row>
    <row r="83" spans="1:47" s="1" customFormat="1">
      <c r="A83" s="32"/>
      <c r="B83" s="25"/>
      <c r="C83" s="25"/>
      <c r="D83" s="25"/>
      <c r="E83" s="25"/>
      <c r="F83" s="25"/>
      <c r="G83" s="33"/>
      <c r="H83" s="25"/>
      <c r="I83" s="25"/>
      <c r="J83" s="25"/>
      <c r="K83" s="25"/>
      <c r="L83" s="34"/>
      <c r="M83" s="34"/>
      <c r="N83" s="34"/>
      <c r="O83" s="25"/>
      <c r="P83" s="25"/>
      <c r="Q83" s="25"/>
      <c r="R83" s="25"/>
      <c r="S83" s="25"/>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row>
    <row r="84" spans="1:47" s="1" customFormat="1">
      <c r="A84" s="32"/>
      <c r="B84" s="25"/>
      <c r="C84" s="25"/>
      <c r="D84" s="25"/>
      <c r="E84" s="25"/>
      <c r="F84" s="25"/>
      <c r="G84" s="33"/>
      <c r="H84" s="25"/>
      <c r="I84" s="25"/>
      <c r="J84" s="25"/>
      <c r="K84" s="25"/>
      <c r="L84" s="34"/>
      <c r="M84" s="34"/>
      <c r="N84" s="34"/>
      <c r="O84" s="25"/>
      <c r="P84" s="25"/>
      <c r="Q84" s="25"/>
      <c r="R84" s="25"/>
      <c r="S84" s="25"/>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row>
    <row r="85" spans="1:47" s="1" customFormat="1">
      <c r="A85" s="32"/>
      <c r="B85" s="25"/>
      <c r="C85" s="25"/>
      <c r="D85" s="25"/>
      <c r="E85" s="25"/>
      <c r="F85" s="25"/>
      <c r="G85" s="33"/>
      <c r="H85" s="25"/>
      <c r="I85" s="25"/>
      <c r="J85" s="25"/>
      <c r="K85" s="25"/>
      <c r="L85" s="34"/>
      <c r="M85" s="34"/>
      <c r="N85" s="34"/>
      <c r="O85" s="25"/>
      <c r="P85" s="25"/>
      <c r="Q85" s="25"/>
      <c r="R85" s="25"/>
      <c r="S85" s="25"/>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row>
    <row r="86" spans="1:47" s="1" customFormat="1">
      <c r="A86" s="32"/>
      <c r="B86" s="25"/>
      <c r="C86" s="25"/>
      <c r="D86" s="25"/>
      <c r="E86" s="25"/>
      <c r="F86" s="25"/>
      <c r="G86" s="33"/>
      <c r="H86" s="25"/>
      <c r="I86" s="25"/>
      <c r="J86" s="25"/>
      <c r="K86" s="25"/>
      <c r="L86" s="34"/>
      <c r="M86" s="34"/>
      <c r="N86" s="34"/>
      <c r="O86" s="25"/>
      <c r="P86" s="25"/>
      <c r="Q86" s="25"/>
      <c r="R86" s="25"/>
      <c r="S86" s="25"/>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row>
    <row r="87" spans="1:47" s="1" customFormat="1">
      <c r="A87" s="32"/>
      <c r="B87" s="25"/>
      <c r="C87" s="25"/>
      <c r="D87" s="25"/>
      <c r="E87" s="25"/>
      <c r="F87" s="25"/>
      <c r="G87" s="33"/>
      <c r="H87" s="25"/>
      <c r="I87" s="25"/>
      <c r="J87" s="25"/>
      <c r="K87" s="25"/>
      <c r="L87" s="34"/>
      <c r="M87" s="34"/>
      <c r="N87" s="34"/>
      <c r="O87" s="25"/>
      <c r="P87" s="25"/>
      <c r="Q87" s="25"/>
      <c r="R87" s="25"/>
      <c r="S87" s="25"/>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row>
    <row r="88" spans="1:47" s="1" customFormat="1">
      <c r="A88" s="32"/>
      <c r="B88" s="25"/>
      <c r="C88" s="25"/>
      <c r="D88" s="25"/>
      <c r="E88" s="25"/>
      <c r="F88" s="25"/>
      <c r="G88" s="33"/>
      <c r="H88" s="25"/>
      <c r="I88" s="25"/>
      <c r="J88" s="25"/>
      <c r="K88" s="25"/>
      <c r="L88" s="34"/>
      <c r="M88" s="34"/>
      <c r="N88" s="34"/>
      <c r="O88" s="25"/>
      <c r="P88" s="25"/>
      <c r="Q88" s="25"/>
      <c r="R88" s="25"/>
      <c r="S88" s="25"/>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row>
    <row r="89" spans="1:47" s="1" customFormat="1">
      <c r="A89" s="32"/>
      <c r="B89" s="25"/>
      <c r="C89" s="25"/>
      <c r="D89" s="25"/>
      <c r="E89" s="25"/>
      <c r="F89" s="25"/>
      <c r="G89" s="33"/>
      <c r="H89" s="25"/>
      <c r="I89" s="25"/>
      <c r="J89" s="25"/>
      <c r="K89" s="25"/>
      <c r="L89" s="34"/>
      <c r="M89" s="34"/>
      <c r="N89" s="34"/>
      <c r="O89" s="25"/>
      <c r="P89" s="25"/>
      <c r="Q89" s="25"/>
      <c r="R89" s="25"/>
      <c r="S89" s="25"/>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row>
    <row r="90" spans="1:47" s="1" customFormat="1">
      <c r="A90" s="32"/>
      <c r="B90" s="25"/>
      <c r="C90" s="25"/>
      <c r="D90" s="25"/>
      <c r="E90" s="25"/>
      <c r="F90" s="25"/>
      <c r="G90" s="33"/>
      <c r="H90" s="25"/>
      <c r="I90" s="25"/>
      <c r="J90" s="25"/>
      <c r="K90" s="25"/>
      <c r="L90" s="34"/>
      <c r="M90" s="34"/>
      <c r="N90" s="34"/>
      <c r="O90" s="25"/>
      <c r="P90" s="25"/>
      <c r="Q90" s="25"/>
      <c r="R90" s="25"/>
      <c r="S90" s="25"/>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row>
    <row r="91" spans="1:47" s="1" customFormat="1">
      <c r="A91" s="32"/>
      <c r="B91" s="25"/>
      <c r="C91" s="25"/>
      <c r="D91" s="25"/>
      <c r="E91" s="25"/>
      <c r="F91" s="25"/>
      <c r="G91" s="33"/>
      <c r="H91" s="25"/>
      <c r="I91" s="25"/>
      <c r="J91" s="25"/>
      <c r="K91" s="25"/>
      <c r="L91" s="34"/>
      <c r="M91" s="34"/>
      <c r="N91" s="34"/>
      <c r="O91" s="25"/>
      <c r="P91" s="25"/>
      <c r="Q91" s="25"/>
      <c r="R91" s="25"/>
      <c r="S91" s="25"/>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row>
    <row r="92" spans="1:47" s="1" customFormat="1">
      <c r="A92" s="32"/>
      <c r="B92" s="25"/>
      <c r="C92" s="25"/>
      <c r="D92" s="25"/>
      <c r="E92" s="25"/>
      <c r="F92" s="25"/>
      <c r="G92" s="33"/>
      <c r="H92" s="25"/>
      <c r="I92" s="25"/>
      <c r="J92" s="25"/>
      <c r="K92" s="25"/>
      <c r="L92" s="34"/>
      <c r="M92" s="34"/>
      <c r="N92" s="34"/>
      <c r="O92" s="25"/>
      <c r="P92" s="25"/>
      <c r="Q92" s="25"/>
      <c r="R92" s="25"/>
      <c r="S92" s="25"/>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row>
    <row r="93" spans="1:47" s="1" customFormat="1">
      <c r="A93" s="32"/>
      <c r="B93" s="25"/>
      <c r="C93" s="25"/>
      <c r="D93" s="25"/>
      <c r="E93" s="25"/>
      <c r="F93" s="25"/>
      <c r="G93" s="33"/>
      <c r="H93" s="25"/>
      <c r="I93" s="25"/>
      <c r="J93" s="25"/>
      <c r="K93" s="25"/>
      <c r="L93" s="34"/>
      <c r="M93" s="34"/>
      <c r="N93" s="34"/>
      <c r="O93" s="25"/>
      <c r="P93" s="25"/>
      <c r="Q93" s="25"/>
      <c r="R93" s="25"/>
      <c r="S93" s="25"/>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row>
    <row r="94" spans="1:47" s="1" customFormat="1">
      <c r="A94" s="32"/>
      <c r="B94" s="25"/>
      <c r="C94" s="25"/>
      <c r="D94" s="25"/>
      <c r="E94" s="25"/>
      <c r="F94" s="25"/>
      <c r="G94" s="33"/>
      <c r="H94" s="25"/>
      <c r="I94" s="25"/>
      <c r="J94" s="25"/>
      <c r="K94" s="25"/>
      <c r="L94" s="34"/>
      <c r="M94" s="34"/>
      <c r="N94" s="34"/>
      <c r="O94" s="25"/>
      <c r="P94" s="25"/>
      <c r="Q94" s="25"/>
      <c r="R94" s="25"/>
      <c r="S94" s="25"/>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row>
    <row r="95" spans="1:47" s="1" customFormat="1">
      <c r="A95" s="32"/>
      <c r="B95" s="25"/>
      <c r="C95" s="25"/>
      <c r="D95" s="25"/>
      <c r="E95" s="25"/>
      <c r="F95" s="25"/>
      <c r="G95" s="33"/>
      <c r="H95" s="25"/>
      <c r="I95" s="25"/>
      <c r="J95" s="25"/>
      <c r="K95" s="25"/>
      <c r="L95" s="34"/>
      <c r="M95" s="34"/>
      <c r="N95" s="34"/>
      <c r="O95" s="25"/>
      <c r="P95" s="25"/>
      <c r="Q95" s="25"/>
      <c r="R95" s="25"/>
      <c r="S95" s="25"/>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row>
    <row r="96" spans="1:47" s="1" customFormat="1">
      <c r="A96" s="32"/>
      <c r="B96" s="25"/>
      <c r="C96" s="25"/>
      <c r="D96" s="25"/>
      <c r="E96" s="25"/>
      <c r="F96" s="25"/>
      <c r="G96" s="33"/>
      <c r="H96" s="25"/>
      <c r="I96" s="25"/>
      <c r="J96" s="25"/>
      <c r="K96" s="25"/>
      <c r="L96" s="34"/>
      <c r="M96" s="34"/>
      <c r="N96" s="34"/>
      <c r="O96" s="25"/>
      <c r="P96" s="25"/>
      <c r="Q96" s="25"/>
      <c r="R96" s="25"/>
      <c r="S96" s="25"/>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row>
    <row r="97" spans="1:47" s="1" customFormat="1">
      <c r="A97" s="32"/>
      <c r="B97" s="25"/>
      <c r="C97" s="25"/>
      <c r="D97" s="25"/>
      <c r="E97" s="25"/>
      <c r="F97" s="25"/>
      <c r="G97" s="33"/>
      <c r="H97" s="25"/>
      <c r="I97" s="25"/>
      <c r="J97" s="25"/>
      <c r="K97" s="25"/>
      <c r="L97" s="34"/>
      <c r="M97" s="34"/>
      <c r="N97" s="34"/>
      <c r="O97" s="25"/>
      <c r="P97" s="25"/>
      <c r="Q97" s="25"/>
      <c r="R97" s="25"/>
      <c r="S97" s="25"/>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row>
    <row r="98" spans="1:47" s="1" customFormat="1">
      <c r="A98" s="32"/>
      <c r="B98" s="25"/>
      <c r="C98" s="25"/>
      <c r="D98" s="25"/>
      <c r="E98" s="25"/>
      <c r="F98" s="25"/>
      <c r="G98" s="33"/>
      <c r="H98" s="25"/>
      <c r="I98" s="25"/>
      <c r="J98" s="25"/>
      <c r="K98" s="25"/>
      <c r="L98" s="34"/>
      <c r="M98" s="34"/>
      <c r="N98" s="34"/>
      <c r="O98" s="25"/>
      <c r="P98" s="25"/>
      <c r="Q98" s="25"/>
      <c r="R98" s="25"/>
      <c r="S98" s="25"/>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row>
    <row r="99" spans="1:47" s="1" customFormat="1">
      <c r="A99" s="32"/>
      <c r="B99" s="25"/>
      <c r="C99" s="25"/>
      <c r="D99" s="25"/>
      <c r="E99" s="25"/>
      <c r="F99" s="25"/>
      <c r="G99" s="33"/>
      <c r="H99" s="25"/>
      <c r="I99" s="25"/>
      <c r="J99" s="25"/>
      <c r="K99" s="25"/>
      <c r="L99" s="34"/>
      <c r="M99" s="34"/>
      <c r="N99" s="34"/>
      <c r="O99" s="25"/>
      <c r="P99" s="25"/>
      <c r="Q99" s="25"/>
      <c r="R99" s="25"/>
      <c r="S99" s="25"/>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row>
    <row r="100" spans="1:47" s="1" customFormat="1">
      <c r="A100" s="32"/>
      <c r="B100" s="25"/>
      <c r="C100" s="25"/>
      <c r="D100" s="25"/>
      <c r="E100" s="25"/>
      <c r="F100" s="25"/>
      <c r="G100" s="33"/>
      <c r="H100" s="25"/>
      <c r="I100" s="25"/>
      <c r="J100" s="25"/>
      <c r="K100" s="25"/>
      <c r="L100" s="34"/>
      <c r="M100" s="34"/>
      <c r="N100" s="34"/>
      <c r="O100" s="25"/>
      <c r="P100" s="25"/>
      <c r="Q100" s="25"/>
      <c r="R100" s="25"/>
      <c r="S100" s="25"/>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row>
    <row r="101" spans="1:47" s="1" customFormat="1">
      <c r="A101" s="32"/>
      <c r="B101" s="25"/>
      <c r="C101" s="25"/>
      <c r="D101" s="25"/>
      <c r="E101" s="25"/>
      <c r="F101" s="25"/>
      <c r="G101" s="33"/>
      <c r="H101" s="25"/>
      <c r="I101" s="25"/>
      <c r="J101" s="25"/>
      <c r="K101" s="25"/>
      <c r="L101" s="34"/>
      <c r="M101" s="34"/>
      <c r="N101" s="34"/>
      <c r="O101" s="25"/>
      <c r="P101" s="25"/>
      <c r="Q101" s="25"/>
      <c r="R101" s="25"/>
      <c r="S101" s="25"/>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row>
    <row r="102" spans="1:47" s="1" customFormat="1">
      <c r="A102" s="32"/>
      <c r="B102" s="25"/>
      <c r="C102" s="25"/>
      <c r="D102" s="25"/>
      <c r="E102" s="25"/>
      <c r="F102" s="25"/>
      <c r="G102" s="33"/>
      <c r="H102" s="25"/>
      <c r="I102" s="25"/>
      <c r="J102" s="25"/>
      <c r="K102" s="25"/>
      <c r="L102" s="34"/>
      <c r="M102" s="34"/>
      <c r="N102" s="34"/>
      <c r="O102" s="25"/>
      <c r="P102" s="25"/>
      <c r="Q102" s="25"/>
      <c r="R102" s="25"/>
      <c r="S102" s="25"/>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row>
    <row r="103" spans="1:47" s="1" customFormat="1">
      <c r="A103" s="32"/>
      <c r="B103" s="25"/>
      <c r="C103" s="25"/>
      <c r="D103" s="25"/>
      <c r="E103" s="25"/>
      <c r="F103" s="25"/>
      <c r="G103" s="33"/>
      <c r="H103" s="25"/>
      <c r="I103" s="25"/>
      <c r="J103" s="25"/>
      <c r="K103" s="25"/>
      <c r="L103" s="34"/>
      <c r="M103" s="34"/>
      <c r="N103" s="34"/>
      <c r="O103" s="25"/>
      <c r="P103" s="25"/>
      <c r="Q103" s="25"/>
      <c r="R103" s="25"/>
      <c r="S103" s="25"/>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row>
    <row r="104" spans="1:47" s="1" customFormat="1">
      <c r="A104" s="32"/>
      <c r="B104" s="25"/>
      <c r="C104" s="25"/>
      <c r="D104" s="25"/>
      <c r="E104" s="25"/>
      <c r="F104" s="25"/>
      <c r="G104" s="33"/>
      <c r="H104" s="25"/>
      <c r="I104" s="25"/>
      <c r="J104" s="25"/>
      <c r="K104" s="25"/>
      <c r="L104" s="34"/>
      <c r="M104" s="34"/>
      <c r="N104" s="34"/>
      <c r="O104" s="25"/>
      <c r="P104" s="25"/>
      <c r="Q104" s="25"/>
      <c r="R104" s="25"/>
      <c r="S104" s="25"/>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row>
    <row r="105" spans="1:47" s="1" customFormat="1">
      <c r="A105" s="32"/>
      <c r="B105" s="25"/>
      <c r="C105" s="25"/>
      <c r="D105" s="25"/>
      <c r="E105" s="25"/>
      <c r="F105" s="25"/>
      <c r="G105" s="33"/>
      <c r="H105" s="25"/>
      <c r="I105" s="25"/>
      <c r="J105" s="25"/>
      <c r="K105" s="25"/>
      <c r="L105" s="34"/>
      <c r="M105" s="34"/>
      <c r="N105" s="34"/>
      <c r="O105" s="25"/>
      <c r="P105" s="25"/>
      <c r="Q105" s="25"/>
      <c r="R105" s="25"/>
      <c r="S105" s="25"/>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row>
    <row r="106" spans="1:47" s="1" customFormat="1">
      <c r="A106" s="32"/>
      <c r="B106" s="25"/>
      <c r="C106" s="25"/>
      <c r="D106" s="25"/>
      <c r="E106" s="25"/>
      <c r="F106" s="25"/>
      <c r="G106" s="33"/>
      <c r="H106" s="25"/>
      <c r="I106" s="25"/>
      <c r="J106" s="25"/>
      <c r="K106" s="25"/>
      <c r="L106" s="34"/>
      <c r="M106" s="34"/>
      <c r="N106" s="34"/>
      <c r="O106" s="25"/>
      <c r="P106" s="25"/>
      <c r="Q106" s="25"/>
      <c r="R106" s="25"/>
      <c r="S106" s="25"/>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row>
    <row r="107" spans="1:47" s="1" customFormat="1">
      <c r="A107" s="32"/>
      <c r="B107" s="25"/>
      <c r="C107" s="25"/>
      <c r="D107" s="25"/>
      <c r="E107" s="25"/>
      <c r="F107" s="25"/>
      <c r="G107" s="33"/>
      <c r="H107" s="25"/>
      <c r="I107" s="25"/>
      <c r="J107" s="25"/>
      <c r="K107" s="25"/>
      <c r="L107" s="34"/>
      <c r="M107" s="34"/>
      <c r="N107" s="34"/>
      <c r="O107" s="25"/>
      <c r="P107" s="25"/>
      <c r="Q107" s="25"/>
      <c r="R107" s="25"/>
      <c r="S107" s="25"/>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row>
    <row r="108" spans="1:47" s="1" customFormat="1">
      <c r="A108" s="32"/>
      <c r="B108" s="25"/>
      <c r="C108" s="25"/>
      <c r="D108" s="25"/>
      <c r="E108" s="25"/>
      <c r="F108" s="25"/>
      <c r="G108" s="33"/>
      <c r="H108" s="25"/>
      <c r="I108" s="25"/>
      <c r="J108" s="25"/>
      <c r="K108" s="25"/>
      <c r="L108" s="34"/>
      <c r="M108" s="34"/>
      <c r="N108" s="34"/>
      <c r="O108" s="25"/>
      <c r="P108" s="25"/>
      <c r="Q108" s="25"/>
      <c r="R108" s="25"/>
      <c r="S108" s="25"/>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row>
    <row r="109" spans="1:47" s="1" customFormat="1">
      <c r="A109" s="32"/>
      <c r="B109" s="25"/>
      <c r="C109" s="25"/>
      <c r="D109" s="25"/>
      <c r="E109" s="25"/>
      <c r="F109" s="25"/>
      <c r="G109" s="33"/>
      <c r="H109" s="25"/>
      <c r="I109" s="25"/>
      <c r="J109" s="25"/>
      <c r="K109" s="25"/>
      <c r="L109" s="34"/>
      <c r="M109" s="34"/>
      <c r="N109" s="34"/>
      <c r="O109" s="25"/>
      <c r="P109" s="25"/>
      <c r="Q109" s="25"/>
      <c r="R109" s="25"/>
      <c r="S109" s="25"/>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row>
    <row r="110" spans="1:47" s="1" customFormat="1">
      <c r="A110" s="32"/>
      <c r="B110" s="25"/>
      <c r="C110" s="25"/>
      <c r="D110" s="25"/>
      <c r="E110" s="25"/>
      <c r="F110" s="25"/>
      <c r="G110" s="33"/>
      <c r="H110" s="25"/>
      <c r="I110" s="25"/>
      <c r="J110" s="25"/>
      <c r="K110" s="25"/>
      <c r="L110" s="34"/>
      <c r="M110" s="34"/>
      <c r="N110" s="34"/>
      <c r="O110" s="25"/>
      <c r="P110" s="25"/>
      <c r="Q110" s="25"/>
      <c r="R110" s="25"/>
      <c r="S110" s="25"/>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row>
    <row r="111" spans="1:47" s="1" customFormat="1">
      <c r="A111" s="32"/>
      <c r="B111" s="25"/>
      <c r="C111" s="25"/>
      <c r="D111" s="25"/>
      <c r="E111" s="25"/>
      <c r="F111" s="25"/>
      <c r="G111" s="33"/>
      <c r="H111" s="25"/>
      <c r="I111" s="25"/>
      <c r="J111" s="25"/>
      <c r="K111" s="25"/>
      <c r="L111" s="34"/>
      <c r="M111" s="34"/>
      <c r="N111" s="34"/>
      <c r="O111" s="25"/>
      <c r="P111" s="25"/>
      <c r="Q111" s="25"/>
      <c r="R111" s="25"/>
      <c r="S111" s="25"/>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row>
    <row r="112" spans="1:47" s="1" customFormat="1">
      <c r="A112" s="32"/>
      <c r="B112" s="25"/>
      <c r="C112" s="25"/>
      <c r="D112" s="25"/>
      <c r="E112" s="25"/>
      <c r="F112" s="25"/>
      <c r="G112" s="33"/>
      <c r="H112" s="25"/>
      <c r="I112" s="25"/>
      <c r="J112" s="25"/>
      <c r="K112" s="25"/>
      <c r="L112" s="34"/>
      <c r="M112" s="34"/>
      <c r="N112" s="34"/>
      <c r="O112" s="25"/>
      <c r="P112" s="25"/>
      <c r="Q112" s="25"/>
      <c r="R112" s="25"/>
      <c r="S112" s="25"/>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row>
    <row r="113" spans="1:47" s="1" customFormat="1">
      <c r="A113" s="32"/>
      <c r="B113" s="25"/>
      <c r="C113" s="25"/>
      <c r="D113" s="25"/>
      <c r="E113" s="25"/>
      <c r="F113" s="25"/>
      <c r="G113" s="33"/>
      <c r="H113" s="25"/>
      <c r="I113" s="25"/>
      <c r="J113" s="25"/>
      <c r="K113" s="25"/>
      <c r="L113" s="34"/>
      <c r="M113" s="34"/>
      <c r="N113" s="34"/>
      <c r="O113" s="25"/>
      <c r="P113" s="25"/>
      <c r="Q113" s="25"/>
      <c r="R113" s="25"/>
      <c r="S113" s="25"/>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row>
    <row r="114" spans="1:47" s="1" customFormat="1">
      <c r="A114" s="32"/>
      <c r="B114" s="25"/>
      <c r="C114" s="25"/>
      <c r="D114" s="25"/>
      <c r="E114" s="25"/>
      <c r="F114" s="25"/>
      <c r="G114" s="33"/>
      <c r="H114" s="25"/>
      <c r="I114" s="25"/>
      <c r="J114" s="25"/>
      <c r="K114" s="25"/>
      <c r="L114" s="34"/>
      <c r="M114" s="34"/>
      <c r="N114" s="34"/>
      <c r="O114" s="25"/>
      <c r="P114" s="25"/>
      <c r="Q114" s="25"/>
      <c r="R114" s="25"/>
      <c r="S114" s="25"/>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row>
    <row r="115" spans="1:47" s="1" customFormat="1">
      <c r="A115" s="32"/>
      <c r="B115" s="25"/>
      <c r="C115" s="25"/>
      <c r="D115" s="25"/>
      <c r="E115" s="25"/>
      <c r="F115" s="25"/>
      <c r="G115" s="33"/>
      <c r="H115" s="25"/>
      <c r="I115" s="25"/>
      <c r="J115" s="25"/>
      <c r="K115" s="25"/>
      <c r="L115" s="34"/>
      <c r="M115" s="34"/>
      <c r="N115" s="34"/>
      <c r="O115" s="25"/>
      <c r="P115" s="25"/>
      <c r="Q115" s="25"/>
      <c r="R115" s="25"/>
      <c r="S115" s="25"/>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row>
  </sheetData>
  <mergeCells count="81">
    <mergeCell ref="A24:S24"/>
    <mergeCell ref="R10:R11"/>
    <mergeCell ref="P10:Q11"/>
    <mergeCell ref="A22:B22"/>
    <mergeCell ref="D22:E22"/>
    <mergeCell ref="F22:G22"/>
    <mergeCell ref="I22:R22"/>
    <mergeCell ref="A23:B23"/>
    <mergeCell ref="D23:E23"/>
    <mergeCell ref="F23:G23"/>
    <mergeCell ref="I23:O23"/>
    <mergeCell ref="P23:Q23"/>
    <mergeCell ref="A20:E20"/>
    <mergeCell ref="F20:G20"/>
    <mergeCell ref="I20:O20"/>
    <mergeCell ref="P20:Q20"/>
    <mergeCell ref="A21:E21"/>
    <mergeCell ref="F21:G21"/>
    <mergeCell ref="I21:O21"/>
    <mergeCell ref="P21:Q21"/>
    <mergeCell ref="A18:E18"/>
    <mergeCell ref="F18:G18"/>
    <mergeCell ref="I18:O18"/>
    <mergeCell ref="P18:Q18"/>
    <mergeCell ref="A19:E19"/>
    <mergeCell ref="F19:G19"/>
    <mergeCell ref="I19:O19"/>
    <mergeCell ref="P19:Q19"/>
    <mergeCell ref="A16:E16"/>
    <mergeCell ref="F16:G16"/>
    <mergeCell ref="I16:O16"/>
    <mergeCell ref="P16:Q16"/>
    <mergeCell ref="A17:E17"/>
    <mergeCell ref="F17:G17"/>
    <mergeCell ref="I17:O17"/>
    <mergeCell ref="P17:Q17"/>
    <mergeCell ref="A14:E14"/>
    <mergeCell ref="F14:G14"/>
    <mergeCell ref="I14:O14"/>
    <mergeCell ref="P14:Q14"/>
    <mergeCell ref="A15:E15"/>
    <mergeCell ref="F15:G15"/>
    <mergeCell ref="I15:O15"/>
    <mergeCell ref="P15:Q15"/>
    <mergeCell ref="P12:Q12"/>
    <mergeCell ref="D13:E13"/>
    <mergeCell ref="F13:G13"/>
    <mergeCell ref="I13:O13"/>
    <mergeCell ref="P13:Q13"/>
    <mergeCell ref="A11:E11"/>
    <mergeCell ref="F11:G11"/>
    <mergeCell ref="I11:N11"/>
    <mergeCell ref="A12:D12"/>
    <mergeCell ref="F12:G12"/>
    <mergeCell ref="I12:O12"/>
    <mergeCell ref="A7:S7"/>
    <mergeCell ref="A8:S8"/>
    <mergeCell ref="A9:G9"/>
    <mergeCell ref="I9:R9"/>
    <mergeCell ref="A10:E10"/>
    <mergeCell ref="F10:G10"/>
    <mergeCell ref="I10:N10"/>
    <mergeCell ref="A5:C5"/>
    <mergeCell ref="D5:J5"/>
    <mergeCell ref="K5:N5"/>
    <mergeCell ref="O5:S5"/>
    <mergeCell ref="A6:S6"/>
    <mergeCell ref="A3:C3"/>
    <mergeCell ref="D3:J3"/>
    <mergeCell ref="K3:N3"/>
    <mergeCell ref="O3:S3"/>
    <mergeCell ref="A4:C4"/>
    <mergeCell ref="D4:J4"/>
    <mergeCell ref="K4:N4"/>
    <mergeCell ref="O4:S4"/>
    <mergeCell ref="A1:S1"/>
    <mergeCell ref="U1:W1"/>
    <mergeCell ref="A2:C2"/>
    <mergeCell ref="D2:J2"/>
    <mergeCell ref="K2:N2"/>
    <mergeCell ref="O2:S2"/>
  </mergeCells>
  <conditionalFormatting sqref="S25:S29">
    <cfRule type="dataBar" priority="89">
      <dataBar>
        <cfvo type="min"/>
        <cfvo type="max"/>
        <color rgb="FF008AEF"/>
      </dataBar>
      <extLst>
        <ext xmlns:x14="http://schemas.microsoft.com/office/spreadsheetml/2009/9/main" uri="{B025F937-C7B1-47D3-B67F-A62EFF666E3E}">
          <x14:id>{6163FEE9-33DC-4FE7-A3ED-738B1C2289EC}</x14:id>
        </ext>
      </extLst>
    </cfRule>
  </conditionalFormatting>
  <conditionalFormatting sqref="U3:U5">
    <cfRule type="dataBar" priority="1">
      <dataBar>
        <cfvo type="min"/>
        <cfvo type="max"/>
        <color rgb="FF008AEF"/>
      </dataBar>
      <extLst>
        <ext xmlns:x14="http://schemas.microsoft.com/office/spreadsheetml/2009/9/main" uri="{B025F937-C7B1-47D3-B67F-A62EFF666E3E}">
          <x14:id>{C7456211-8439-4A5D-A591-9BA65788E835}</x14:id>
        </ext>
      </extLst>
    </cfRule>
  </conditionalFormatting>
  <conditionalFormatting sqref="S30:T15029 S9:T23 T24:T29">
    <cfRule type="dataBar" priority="24">
      <dataBar>
        <cfvo type="min"/>
        <cfvo type="max"/>
        <color rgb="FFFF555A"/>
      </dataBar>
      <extLst>
        <ext xmlns:x14="http://schemas.microsoft.com/office/spreadsheetml/2009/9/main" uri="{B025F937-C7B1-47D3-B67F-A62EFF666E3E}">
          <x14:id>{6E1368CC-5A36-4710-B9D3-46E9F647A1BF}</x14:id>
        </ext>
      </extLst>
    </cfRule>
  </conditionalFormatting>
  <conditionalFormatting sqref="A25:L29">
    <cfRule type="cellIs" dxfId="9" priority="22" operator="equal">
      <formula>$F$15</formula>
    </cfRule>
  </conditionalFormatting>
  <conditionalFormatting sqref="A25:S115">
    <cfRule type="notContainsBlanks" dxfId="8" priority="19">
      <formula>LEN(TRIM(A25))&gt;0</formula>
    </cfRule>
  </conditionalFormatting>
  <dataValidations count="3">
    <dataValidation type="list" allowBlank="1" showInputMessage="1" showErrorMessage="1" sqref="F12:G12">
      <formula1>B1.Loaicoc</formula1>
    </dataValidation>
    <dataValidation type="list" allowBlank="1" showInputMessage="1" showErrorMessage="1" sqref="D13:E13">
      <formula1>"Cọc Vuông,Cọc Tròn"</formula1>
    </dataValidation>
    <dataValidation type="list" allowBlank="1" showInputMessage="1" showErrorMessage="1" sqref="F21">
      <formula1>B2.Capdoben</formula1>
    </dataValidation>
  </dataValidations>
  <pageMargins left="0.6" right="0.4" top="0.4" bottom="0.4" header="0.157" footer="0.157"/>
  <pageSetup paperSize="9" scale="99"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dataBar" id="{6163FEE9-33DC-4FE7-A3ED-738B1C2289EC}">
            <x14:dataBar minLength="0" maxLength="100" gradient="0">
              <x14:cfvo type="autoMin"/>
              <x14:cfvo type="autoMax"/>
              <x14:negativeFillColor rgb="FFFF0000"/>
              <x14:axisColor rgb="FF000000"/>
            </x14:dataBar>
          </x14:cfRule>
          <xm:sqref>S25:S29</xm:sqref>
        </x14:conditionalFormatting>
        <x14:conditionalFormatting xmlns:xm="http://schemas.microsoft.com/office/excel/2006/main">
          <x14:cfRule type="dataBar" id="{C7456211-8439-4A5D-A591-9BA65788E835}">
            <x14:dataBar minLength="0" maxLength="100" gradient="0">
              <x14:cfvo type="autoMin"/>
              <x14:cfvo type="autoMax"/>
              <x14:negativeFillColor rgb="FFFF0000"/>
              <x14:axisColor rgb="FF000000"/>
            </x14:dataBar>
          </x14:cfRule>
          <xm:sqref>U3:U5</xm:sqref>
        </x14:conditionalFormatting>
        <x14:conditionalFormatting xmlns:xm="http://schemas.microsoft.com/office/excel/2006/main">
          <x14:cfRule type="dataBar" id="{6E1368CC-5A36-4710-B9D3-46E9F647A1BF}">
            <x14:dataBar minLength="0" maxLength="100" gradient="0">
              <x14:cfvo type="autoMin"/>
              <x14:cfvo type="autoMax"/>
              <x14:negativeFillColor rgb="FFFF0000"/>
              <x14:axisColor rgb="FF000000"/>
            </x14:dataBar>
          </x14:cfRule>
          <xm:sqref>S30:T15029 S9:T23 T24:T29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BANGTRA!$G$12:$G$25</xm:f>
          </x14:formula1>
          <xm:sqref>C23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22</vt:i4>
      </vt:variant>
    </vt:vector>
  </HeadingPairs>
  <TitlesOfParts>
    <vt:vector size="43" baseType="lpstr">
      <vt:lpstr>LYTHUYET</vt:lpstr>
      <vt:lpstr>BANGTRA</vt:lpstr>
      <vt:lpstr>PIERFORCES</vt:lpstr>
      <vt:lpstr>PIERSECTION</vt:lpstr>
      <vt:lpstr>HK1</vt:lpstr>
      <vt:lpstr>OGAreas01</vt:lpstr>
      <vt:lpstr>Chon_SL_Coc</vt:lpstr>
      <vt:lpstr>Point Coordinates</vt:lpstr>
      <vt:lpstr>Nodal Reactions</vt:lpstr>
      <vt:lpstr>Point Spring Assignments</vt:lpstr>
      <vt:lpstr>TM SCT Coc</vt:lpstr>
      <vt:lpstr>SPT 9386-2012</vt:lpstr>
      <vt:lpstr>LT 10304-2025</vt:lpstr>
      <vt:lpstr>SPT 10304-2025</vt:lpstr>
      <vt:lpstr>SPT 10304-2025 EQ</vt:lpstr>
      <vt:lpstr>7.2.1-10304-Cọc Chống</vt:lpstr>
      <vt:lpstr>7.2.2-10304-Không moi đất</vt:lpstr>
      <vt:lpstr>7.2.2-10304-Không moi đất EQ</vt:lpstr>
      <vt:lpstr>7.2.3-10304-Có moi đất</vt:lpstr>
      <vt:lpstr>7.2.3-10304-Có moi đất EQ</vt:lpstr>
      <vt:lpstr>SCT VatLieu</vt:lpstr>
      <vt:lpstr>B1.Loaicoc</vt:lpstr>
      <vt:lpstr>B1.Loaicockyhieu</vt:lpstr>
      <vt:lpstr>B2.Betongcoc</vt:lpstr>
      <vt:lpstr>B2.Capdoben</vt:lpstr>
      <vt:lpstr>B3.Loaithep</vt:lpstr>
      <vt:lpstr>B3.Thepcoc</vt:lpstr>
      <vt:lpstr>'HK1'!B4.CHITIEUCOLY</vt:lpstr>
      <vt:lpstr>'7.2.1-10304-Cọc Chống'!Print_Area</vt:lpstr>
      <vt:lpstr>'7.2.2-10304-Không moi đất'!Print_Area</vt:lpstr>
      <vt:lpstr>'7.2.2-10304-Không moi đất EQ'!Print_Area</vt:lpstr>
      <vt:lpstr>'7.2.3-10304-Có moi đất'!Print_Area</vt:lpstr>
      <vt:lpstr>'7.2.3-10304-Có moi đất EQ'!Print_Area</vt:lpstr>
      <vt:lpstr>Chon_SL_Coc!Print_Area</vt:lpstr>
      <vt:lpstr>'HK1'!Print_Area</vt:lpstr>
      <vt:lpstr>LYTHUYET!Print_Area</vt:lpstr>
      <vt:lpstr>'SCT VatLieu'!Print_Area</vt:lpstr>
      <vt:lpstr>'SPT 10304-2025'!Print_Area</vt:lpstr>
      <vt:lpstr>'SPT 10304-2025 EQ'!Print_Area</vt:lpstr>
      <vt:lpstr>'TM SCT Coc'!Print_Area</vt:lpstr>
      <vt:lpstr>Chon_SL_Coc!Print_Titles</vt:lpstr>
      <vt:lpstr>LYTHUYET!Print_Titles</vt:lpstr>
      <vt:lpstr>'TM SCT Coc'!Print_Titles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Phat ,Pham Vinh</dc:creator>
  <cp:lastModifiedBy>C P</cp:lastModifiedBy>
  <cp:lastPrinted>2025-12-24T04:09:00Z</cp:lastPrinted>
  <dcterms:created xsi:type="dcterms:W3CDTF">2016-07-07T03:48:00Z</dcterms:created>
  <dcterms:modified xsi:type="dcterms:W3CDTF">2026-09-16T07:24:30Z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849D7AA1E42A47A9BB68D1A4D53450FA_12</vt:lpwstr>
  </property>
  <property fmtid="{D5CDD505-2E9C-101B-9397-08002B2CF9AE}" pid="3" name="KSOProductBuildVer">
    <vt:lpwstr>1033-12.1.0.27458</vt:lpwstr>
  </property>
  <property fmtid="{D5CDD505-2E9C-101B-9397-08002B2CF9AE}" pid="4" name="CalculationRule">
    <vt:i4>0</vt:i4>
  </property>
</Properties>
</file>