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P:\CESI CPIA2\Bloc Signaux\Livrable N°3\Fichier Finaux\"/>
    </mc:Choice>
  </mc:AlternateContent>
  <xr:revisionPtr revIDLastSave="0" documentId="13_ncr:1_{72ED5A10-4DC5-4C43-B6EE-7A6EA0F562FA}" xr6:coauthVersionLast="47" xr6:coauthVersionMax="47" xr10:uidLastSave="{00000000-0000-0000-0000-000000000000}"/>
  <bookViews>
    <workbookView xWindow="-108" yWindow="-108" windowWidth="23256" windowHeight="12456" tabRatio="656" xr2:uid="{F64E335C-E7C3-4526-9B46-AABB28EEEEDB}"/>
  </bookViews>
  <sheets>
    <sheet name="Filtre Passe_Bas" sheetId="1" r:id="rId1"/>
    <sheet name="Filtre Passe_Haut" sheetId="2" r:id="rId2"/>
    <sheet name="Fréquence Coupure" sheetId="3" r:id="rId3"/>
    <sheet name="Adaption_Automatique_R" sheetId="13" r:id="rId4"/>
    <sheet name="Point de repos" sheetId="11" r:id="rId5"/>
    <sheet name="Amplificateur_valeurs" sheetId="12" r:id="rId6"/>
    <sheet name="Gain Ampli OP" sheetId="7" r:id="rId7"/>
    <sheet name="Dimensionnement R Gain" sheetId="6" r:id="rId8"/>
    <sheet name="Gantt" sheetId="8" r:id="rId9"/>
    <sheet name="Liste" sheetId="9" r:id="rId10"/>
    <sheet name="BOM"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4" l="1"/>
  <c r="L4" i="13"/>
  <c r="L5" i="13"/>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 i="13"/>
  <c r="K7" i="13"/>
  <c r="K8" i="13"/>
  <c r="K11" i="13" s="1"/>
  <c r="K9" i="13"/>
  <c r="K12" i="13" s="1"/>
  <c r="K10" i="13"/>
  <c r="K6" i="13"/>
  <c r="I4" i="13"/>
  <c r="I5" i="13"/>
  <c r="I6" i="13"/>
  <c r="I7" i="13"/>
  <c r="I8" i="13"/>
  <c r="I9" i="13"/>
  <c r="I10" i="13"/>
  <c r="I11" i="13"/>
  <c r="I12" i="13"/>
  <c r="I13" i="13"/>
  <c r="I14" i="13"/>
  <c r="I15" i="13"/>
  <c r="I3" i="13"/>
  <c r="H16" i="13"/>
  <c r="I16" i="13" s="1"/>
  <c r="H17" i="13"/>
  <c r="I17" i="13" s="1"/>
  <c r="H18" i="13"/>
  <c r="I18" i="13" s="1"/>
  <c r="H19" i="13"/>
  <c r="H31" i="13" s="1"/>
  <c r="H20" i="13"/>
  <c r="H32" i="13" s="1"/>
  <c r="H44" i="13" s="1"/>
  <c r="H56" i="13" s="1"/>
  <c r="H68" i="13" s="1"/>
  <c r="H80" i="13" s="1"/>
  <c r="I80" i="13" s="1"/>
  <c r="H21" i="13"/>
  <c r="H33" i="13" s="1"/>
  <c r="H45" i="13" s="1"/>
  <c r="H57" i="13" s="1"/>
  <c r="H69" i="13" s="1"/>
  <c r="H81" i="13" s="1"/>
  <c r="I81" i="13" s="1"/>
  <c r="H22" i="13"/>
  <c r="H34" i="13" s="1"/>
  <c r="H46" i="13" s="1"/>
  <c r="H58" i="13" s="1"/>
  <c r="H70" i="13" s="1"/>
  <c r="H82" i="13" s="1"/>
  <c r="I82" i="13" s="1"/>
  <c r="H23" i="13"/>
  <c r="H35" i="13" s="1"/>
  <c r="H47" i="13" s="1"/>
  <c r="H59" i="13" s="1"/>
  <c r="H71" i="13" s="1"/>
  <c r="I71" i="13" s="1"/>
  <c r="H24" i="13"/>
  <c r="H36" i="13" s="1"/>
  <c r="H48" i="13" s="1"/>
  <c r="H60" i="13" s="1"/>
  <c r="H72" i="13" s="1"/>
  <c r="I72" i="13" s="1"/>
  <c r="H25" i="13"/>
  <c r="H37" i="13" s="1"/>
  <c r="H49" i="13" s="1"/>
  <c r="H61" i="13" s="1"/>
  <c r="H73" i="13" s="1"/>
  <c r="I73" i="13" s="1"/>
  <c r="H26" i="13"/>
  <c r="H38" i="13" s="1"/>
  <c r="H50" i="13" s="1"/>
  <c r="H62" i="13" s="1"/>
  <c r="H74" i="13" s="1"/>
  <c r="I74" i="13" s="1"/>
  <c r="H27" i="13"/>
  <c r="H39" i="13" s="1"/>
  <c r="H51" i="13" s="1"/>
  <c r="H63" i="13" s="1"/>
  <c r="H75" i="13" s="1"/>
  <c r="I75" i="13" s="1"/>
  <c r="H15" i="13"/>
  <c r="L27" i="7"/>
  <c r="L28" i="7"/>
  <c r="L31" i="7"/>
  <c r="L32" i="7" s="1"/>
  <c r="L33" i="7" s="1"/>
  <c r="B23" i="7"/>
  <c r="J20" i="7"/>
  <c r="B19" i="7"/>
  <c r="E5" i="12"/>
  <c r="B7" i="12" s="1"/>
  <c r="B8" i="12" s="1"/>
  <c r="B6" i="12"/>
  <c r="B10" i="12"/>
  <c r="B1" i="11"/>
  <c r="B2" i="11"/>
  <c r="B3" i="11" s="1"/>
  <c r="B4" i="11"/>
  <c r="B5" i="11" s="1"/>
  <c r="K14" i="13" l="1"/>
  <c r="K15" i="13"/>
  <c r="K13" i="13"/>
  <c r="H43" i="13"/>
  <c r="I31" i="13"/>
  <c r="I46" i="13"/>
  <c r="I34" i="13"/>
  <c r="H30" i="13"/>
  <c r="H42" i="13" s="1"/>
  <c r="H54" i="13" s="1"/>
  <c r="H66" i="13" s="1"/>
  <c r="H78" i="13" s="1"/>
  <c r="I78" i="13" s="1"/>
  <c r="I19" i="13"/>
  <c r="H29" i="13"/>
  <c r="H41" i="13" s="1"/>
  <c r="H53" i="13" s="1"/>
  <c r="H65" i="13" s="1"/>
  <c r="H77" i="13" s="1"/>
  <c r="I77" i="13" s="1"/>
  <c r="I49" i="13"/>
  <c r="I47" i="13"/>
  <c r="I45" i="13"/>
  <c r="I44" i="13"/>
  <c r="I33" i="13"/>
  <c r="I32" i="13"/>
  <c r="H28" i="13"/>
  <c r="H40" i="13" s="1"/>
  <c r="H52" i="13" s="1"/>
  <c r="H64" i="13" s="1"/>
  <c r="H76" i="13" s="1"/>
  <c r="I76" i="13" s="1"/>
  <c r="I50" i="13"/>
  <c r="I48" i="13"/>
  <c r="I66" i="13"/>
  <c r="I62" i="13"/>
  <c r="I61" i="13"/>
  <c r="I60" i="13"/>
  <c r="I27" i="13"/>
  <c r="I58" i="13"/>
  <c r="I57" i="13"/>
  <c r="I40" i="13"/>
  <c r="I39" i="13"/>
  <c r="I23" i="13"/>
  <c r="I70" i="13"/>
  <c r="I54" i="13"/>
  <c r="I38" i="13"/>
  <c r="I22" i="13"/>
  <c r="I65" i="13"/>
  <c r="I63" i="13"/>
  <c r="I42" i="13"/>
  <c r="I26" i="13"/>
  <c r="I41" i="13"/>
  <c r="I25" i="13"/>
  <c r="I56" i="13"/>
  <c r="I24" i="13"/>
  <c r="I69" i="13"/>
  <c r="I37" i="13"/>
  <c r="I21" i="13"/>
  <c r="I68" i="13"/>
  <c r="I52" i="13"/>
  <c r="I36" i="13"/>
  <c r="I20" i="13"/>
  <c r="I64" i="13"/>
  <c r="I30" i="13"/>
  <c r="I29" i="13"/>
  <c r="I28" i="13"/>
  <c r="I59" i="13"/>
  <c r="I51" i="13"/>
  <c r="I35" i="13"/>
  <c r="B9" i="12"/>
  <c r="L14" i="7"/>
  <c r="B4" i="8"/>
  <c r="B5" i="8"/>
  <c r="B6" i="8"/>
  <c r="B7" i="8"/>
  <c r="B8" i="8"/>
  <c r="B9" i="8"/>
  <c r="B10" i="8"/>
  <c r="B11" i="8"/>
  <c r="B12" i="8"/>
  <c r="B13" i="8"/>
  <c r="B14" i="8"/>
  <c r="B15" i="8"/>
  <c r="B16" i="8"/>
  <c r="B17" i="8"/>
  <c r="B18" i="8"/>
  <c r="B19" i="8"/>
  <c r="B20" i="8"/>
  <c r="B21" i="8"/>
  <c r="B22" i="8"/>
  <c r="B23" i="8"/>
  <c r="B3" i="8"/>
  <c r="G7" i="6"/>
  <c r="G1" i="6"/>
  <c r="J3" i="7"/>
  <c r="L11" i="7"/>
  <c r="L10" i="7" s="1"/>
  <c r="D28" i="6"/>
  <c r="D29" i="6"/>
  <c r="D30" i="6"/>
  <c r="D31" i="6"/>
  <c r="D32" i="6"/>
  <c r="D5" i="6"/>
  <c r="D6" i="6"/>
  <c r="D7" i="6"/>
  <c r="D8" i="6"/>
  <c r="D9" i="6"/>
  <c r="D10" i="6"/>
  <c r="D11" i="6"/>
  <c r="D12" i="6"/>
  <c r="D13" i="6"/>
  <c r="D14" i="6"/>
  <c r="D15" i="6"/>
  <c r="D16" i="6"/>
  <c r="D17" i="6"/>
  <c r="D18" i="6"/>
  <c r="D19" i="6"/>
  <c r="D20" i="6"/>
  <c r="D21" i="6"/>
  <c r="D22" i="6"/>
  <c r="D23" i="6"/>
  <c r="D24" i="6"/>
  <c r="D25" i="6"/>
  <c r="D26" i="6"/>
  <c r="D27" i="6"/>
  <c r="D4" i="6"/>
  <c r="B2" i="7"/>
  <c r="B6" i="7"/>
  <c r="N15" i="2"/>
  <c r="F4" i="2"/>
  <c r="F4" i="1"/>
  <c r="E4" i="1" s="1"/>
  <c r="O4" i="1"/>
  <c r="A4" i="1"/>
  <c r="F3" i="3"/>
  <c r="G3" i="3"/>
  <c r="E3" i="3"/>
  <c r="A3" i="3"/>
  <c r="C3" i="3"/>
  <c r="B3" i="3"/>
  <c r="G2" i="3"/>
  <c r="E2" i="3"/>
  <c r="C2" i="3"/>
  <c r="A2" i="3"/>
  <c r="M28" i="2"/>
  <c r="P28" i="2" s="1"/>
  <c r="M27" i="2"/>
  <c r="P27" i="2" s="1"/>
  <c r="F27" i="2"/>
  <c r="G27" i="2" s="1"/>
  <c r="E27" i="2"/>
  <c r="C27" i="2"/>
  <c r="A27" i="2"/>
  <c r="M26" i="2"/>
  <c r="P26" i="2" s="1"/>
  <c r="F26" i="2"/>
  <c r="E26" i="2" s="1"/>
  <c r="C26" i="2"/>
  <c r="A26" i="2"/>
  <c r="M25" i="2"/>
  <c r="P25" i="2" s="1"/>
  <c r="F25" i="2"/>
  <c r="G25" i="2" s="1"/>
  <c r="E25" i="2"/>
  <c r="C25" i="2"/>
  <c r="A25" i="2"/>
  <c r="P24" i="2"/>
  <c r="O24" i="2"/>
  <c r="N24" i="2"/>
  <c r="M24" i="2"/>
  <c r="F24" i="2"/>
  <c r="G24" i="2" s="1"/>
  <c r="E24" i="2"/>
  <c r="C24" i="2"/>
  <c r="A24" i="2"/>
  <c r="M23" i="2"/>
  <c r="P23" i="2" s="1"/>
  <c r="F23" i="2"/>
  <c r="G23" i="2" s="1"/>
  <c r="C23" i="2"/>
  <c r="A23" i="2"/>
  <c r="F22" i="2"/>
  <c r="E22" i="2" s="1"/>
  <c r="C22" i="2"/>
  <c r="A22" i="2"/>
  <c r="M21" i="2"/>
  <c r="P21" i="2" s="1"/>
  <c r="F21" i="2"/>
  <c r="G21" i="2" s="1"/>
  <c r="E21" i="2"/>
  <c r="C21" i="2"/>
  <c r="A21" i="2"/>
  <c r="M20" i="2"/>
  <c r="O20" i="2" s="1"/>
  <c r="F20" i="2"/>
  <c r="G20" i="2" s="1"/>
  <c r="C20" i="2"/>
  <c r="A20" i="2"/>
  <c r="M19" i="2"/>
  <c r="O19" i="2" s="1"/>
  <c r="F19" i="2"/>
  <c r="G19" i="2" s="1"/>
  <c r="C19" i="2"/>
  <c r="A19" i="2"/>
  <c r="M18" i="2"/>
  <c r="P18" i="2" s="1"/>
  <c r="F18" i="2"/>
  <c r="G18" i="2" s="1"/>
  <c r="E18" i="2"/>
  <c r="C18" i="2"/>
  <c r="A18" i="2"/>
  <c r="M17" i="2"/>
  <c r="O17" i="2" s="1"/>
  <c r="F17" i="2"/>
  <c r="E17" i="2" s="1"/>
  <c r="C17" i="2"/>
  <c r="A17" i="2"/>
  <c r="M16" i="2"/>
  <c r="P16" i="2" s="1"/>
  <c r="F16" i="2"/>
  <c r="G16" i="2" s="1"/>
  <c r="E16" i="2"/>
  <c r="C16" i="2"/>
  <c r="A16" i="2"/>
  <c r="M15" i="2"/>
  <c r="P15" i="2" s="1"/>
  <c r="K15" i="2"/>
  <c r="I15" i="2"/>
  <c r="F15" i="2"/>
  <c r="G15" i="2" s="1"/>
  <c r="E15" i="2"/>
  <c r="C15" i="2"/>
  <c r="A15" i="2"/>
  <c r="M14" i="2"/>
  <c r="N14" i="2" s="1"/>
  <c r="K14" i="2"/>
  <c r="I14" i="2"/>
  <c r="F14" i="2"/>
  <c r="G14" i="2" s="1"/>
  <c r="E14" i="2"/>
  <c r="C14" i="2"/>
  <c r="A14" i="2"/>
  <c r="M13" i="2"/>
  <c r="P13" i="2" s="1"/>
  <c r="K13" i="2"/>
  <c r="I13" i="2"/>
  <c r="F13" i="2"/>
  <c r="G13" i="2" s="1"/>
  <c r="C13" i="2"/>
  <c r="A13" i="2"/>
  <c r="M12" i="2"/>
  <c r="P12" i="2" s="1"/>
  <c r="K12" i="2"/>
  <c r="I12" i="2"/>
  <c r="F12" i="2"/>
  <c r="G12" i="2" s="1"/>
  <c r="E12" i="2"/>
  <c r="C12" i="2"/>
  <c r="A12" i="2"/>
  <c r="M11" i="2"/>
  <c r="N11" i="2" s="1"/>
  <c r="K11" i="2"/>
  <c r="I11" i="2"/>
  <c r="F11" i="2"/>
  <c r="E11" i="2" s="1"/>
  <c r="C11" i="2"/>
  <c r="A11" i="2"/>
  <c r="M10" i="2"/>
  <c r="P10" i="2" s="1"/>
  <c r="K10" i="2"/>
  <c r="I10" i="2"/>
  <c r="F10" i="2"/>
  <c r="G10" i="2" s="1"/>
  <c r="C10" i="2"/>
  <c r="A10" i="2"/>
  <c r="K9" i="2"/>
  <c r="I9" i="2"/>
  <c r="F9" i="2"/>
  <c r="G9" i="2" s="1"/>
  <c r="C9" i="2"/>
  <c r="A9" i="2"/>
  <c r="M8" i="2"/>
  <c r="P8" i="2" s="1"/>
  <c r="K8" i="2"/>
  <c r="I8" i="2"/>
  <c r="F8" i="2"/>
  <c r="G8" i="2" s="1"/>
  <c r="E8" i="2"/>
  <c r="C8" i="2"/>
  <c r="A8" i="2"/>
  <c r="P7" i="2"/>
  <c r="O7" i="2"/>
  <c r="M7" i="2"/>
  <c r="N7" i="2" s="1"/>
  <c r="K7" i="2"/>
  <c r="I7" i="2"/>
  <c r="F7" i="2"/>
  <c r="G7" i="2" s="1"/>
  <c r="E7" i="2"/>
  <c r="C7" i="2"/>
  <c r="A7" i="2"/>
  <c r="M6" i="2"/>
  <c r="P6" i="2" s="1"/>
  <c r="K6" i="2"/>
  <c r="I6" i="2"/>
  <c r="F6" i="2"/>
  <c r="E6" i="2" s="1"/>
  <c r="C6" i="2"/>
  <c r="A6" i="2"/>
  <c r="M5" i="2"/>
  <c r="P5" i="2" s="1"/>
  <c r="K5" i="2"/>
  <c r="I5" i="2"/>
  <c r="F5" i="2"/>
  <c r="G5" i="2" s="1"/>
  <c r="E5" i="2"/>
  <c r="C5" i="2"/>
  <c r="A5" i="2"/>
  <c r="M4" i="2"/>
  <c r="O4" i="2" s="1"/>
  <c r="K4" i="2"/>
  <c r="I4" i="2"/>
  <c r="G4" i="2"/>
  <c r="E4" i="2"/>
  <c r="C4" i="2"/>
  <c r="A4" i="2"/>
  <c r="M3" i="2"/>
  <c r="P3" i="2" s="1"/>
  <c r="P24" i="1"/>
  <c r="P25" i="1"/>
  <c r="P26" i="1"/>
  <c r="P27" i="1"/>
  <c r="P28" i="1"/>
  <c r="P23" i="1"/>
  <c r="O24" i="1"/>
  <c r="O25" i="1"/>
  <c r="O26" i="1"/>
  <c r="O27" i="1"/>
  <c r="O28" i="1"/>
  <c r="O23" i="1"/>
  <c r="N24" i="1"/>
  <c r="N25" i="1"/>
  <c r="N26" i="1"/>
  <c r="N27" i="1"/>
  <c r="N28" i="1"/>
  <c r="N23" i="1"/>
  <c r="N11" i="1"/>
  <c r="O11" i="1"/>
  <c r="P11" i="1"/>
  <c r="N12" i="1"/>
  <c r="O12" i="1"/>
  <c r="P12" i="1"/>
  <c r="O17" i="1"/>
  <c r="P17" i="1"/>
  <c r="N18" i="1"/>
  <c r="N21" i="1"/>
  <c r="O21" i="1"/>
  <c r="P21" i="1"/>
  <c r="P10" i="1"/>
  <c r="O10" i="1"/>
  <c r="N10" i="1"/>
  <c r="P4" i="1"/>
  <c r="P5" i="1"/>
  <c r="O5" i="1"/>
  <c r="O6" i="1"/>
  <c r="O7" i="1"/>
  <c r="O8" i="1"/>
  <c r="O3" i="1"/>
  <c r="N3" i="1"/>
  <c r="N4" i="1"/>
  <c r="N5" i="1"/>
  <c r="N6" i="1"/>
  <c r="N7" i="1"/>
  <c r="N8" i="1"/>
  <c r="M4" i="1"/>
  <c r="M5" i="1"/>
  <c r="M6" i="1"/>
  <c r="P6" i="1" s="1"/>
  <c r="M7" i="1"/>
  <c r="P7" i="1" s="1"/>
  <c r="M8" i="1"/>
  <c r="P8" i="1" s="1"/>
  <c r="M10" i="1"/>
  <c r="M11" i="1"/>
  <c r="M12" i="1"/>
  <c r="M13" i="1"/>
  <c r="N13" i="1" s="1"/>
  <c r="M14" i="1"/>
  <c r="N14" i="1" s="1"/>
  <c r="M15" i="1"/>
  <c r="N15" i="1" s="1"/>
  <c r="M16" i="1"/>
  <c r="N16" i="1" s="1"/>
  <c r="M17" i="1"/>
  <c r="N17" i="1" s="1"/>
  <c r="M18" i="1"/>
  <c r="O18" i="1" s="1"/>
  <c r="M19" i="1"/>
  <c r="N19" i="1" s="1"/>
  <c r="M20" i="1"/>
  <c r="N20" i="1" s="1"/>
  <c r="M21" i="1"/>
  <c r="M23" i="1"/>
  <c r="M24" i="1"/>
  <c r="M25" i="1"/>
  <c r="M26" i="1"/>
  <c r="M27" i="1"/>
  <c r="M28" i="1"/>
  <c r="M3" i="1"/>
  <c r="P3" i="1" s="1"/>
  <c r="F5" i="1"/>
  <c r="E5" i="1" s="1"/>
  <c r="F6" i="1"/>
  <c r="G6" i="1" s="1"/>
  <c r="F7" i="1"/>
  <c r="E7" i="1" s="1"/>
  <c r="G7" i="1"/>
  <c r="F8" i="1"/>
  <c r="E8" i="1" s="1"/>
  <c r="F9" i="1"/>
  <c r="E9" i="1" s="1"/>
  <c r="G9" i="1"/>
  <c r="F10" i="1"/>
  <c r="E10" i="1" s="1"/>
  <c r="G10" i="1"/>
  <c r="F11" i="1"/>
  <c r="E11" i="1" s="1"/>
  <c r="F12" i="1"/>
  <c r="E12" i="1" s="1"/>
  <c r="F13" i="1"/>
  <c r="E13" i="1" s="1"/>
  <c r="G13" i="1"/>
  <c r="F14" i="1"/>
  <c r="E14" i="1" s="1"/>
  <c r="G14" i="1"/>
  <c r="F15" i="1"/>
  <c r="G15" i="1" s="1"/>
  <c r="F16" i="1"/>
  <c r="E16" i="1" s="1"/>
  <c r="F17" i="1"/>
  <c r="G17" i="1" s="1"/>
  <c r="F18" i="1"/>
  <c r="E18" i="1" s="1"/>
  <c r="G18" i="1"/>
  <c r="F19" i="1"/>
  <c r="E19" i="1" s="1"/>
  <c r="G19" i="1"/>
  <c r="F20" i="1"/>
  <c r="E20" i="1" s="1"/>
  <c r="G20" i="1"/>
  <c r="F21" i="1"/>
  <c r="E21" i="1" s="1"/>
  <c r="G21" i="1"/>
  <c r="F22" i="1"/>
  <c r="G22" i="1" s="1"/>
  <c r="F23" i="1"/>
  <c r="E23" i="1" s="1"/>
  <c r="G23" i="1"/>
  <c r="F24" i="1"/>
  <c r="E24" i="1" s="1"/>
  <c r="G24" i="1"/>
  <c r="F25" i="1"/>
  <c r="E25" i="1" s="1"/>
  <c r="G25" i="1"/>
  <c r="F26" i="1"/>
  <c r="E26" i="1" s="1"/>
  <c r="G26" i="1"/>
  <c r="F27" i="1"/>
  <c r="E27" i="1" s="1"/>
  <c r="C11" i="1"/>
  <c r="C15" i="1"/>
  <c r="A15" i="1"/>
  <c r="C14" i="1"/>
  <c r="A14" i="1"/>
  <c r="C13" i="1"/>
  <c r="A13" i="1"/>
  <c r="C12" i="1"/>
  <c r="A12" i="1"/>
  <c r="C10" i="1"/>
  <c r="A10" i="1"/>
  <c r="C9" i="1"/>
  <c r="A9" i="1"/>
  <c r="C8" i="1"/>
  <c r="A8" i="1"/>
  <c r="C7" i="1"/>
  <c r="A7" i="1"/>
  <c r="C6" i="1"/>
  <c r="A6" i="1"/>
  <c r="C5" i="1"/>
  <c r="A5" i="1"/>
  <c r="C4" i="1"/>
  <c r="K5" i="1"/>
  <c r="K6" i="1"/>
  <c r="K7" i="1"/>
  <c r="K8" i="1"/>
  <c r="K9" i="1"/>
  <c r="K10" i="1"/>
  <c r="K11" i="1"/>
  <c r="K12" i="1"/>
  <c r="K13" i="1"/>
  <c r="K14" i="1"/>
  <c r="K15" i="1"/>
  <c r="K4" i="1"/>
  <c r="I5" i="1"/>
  <c r="I6" i="1"/>
  <c r="I7" i="1"/>
  <c r="I8" i="1"/>
  <c r="I9" i="1"/>
  <c r="I10" i="1"/>
  <c r="I11" i="1"/>
  <c r="I12" i="1"/>
  <c r="I13" i="1"/>
  <c r="I14" i="1"/>
  <c r="I15" i="1"/>
  <c r="I4" i="1"/>
  <c r="C17" i="1"/>
  <c r="C18" i="1"/>
  <c r="C19" i="1"/>
  <c r="C20" i="1"/>
  <c r="C21" i="1"/>
  <c r="C22" i="1"/>
  <c r="C23" i="1"/>
  <c r="C24" i="1"/>
  <c r="C25" i="1"/>
  <c r="C26" i="1"/>
  <c r="C27" i="1"/>
  <c r="C16" i="1"/>
  <c r="A17" i="1"/>
  <c r="A18" i="1"/>
  <c r="A19" i="1"/>
  <c r="A20" i="1"/>
  <c r="A21" i="1"/>
  <c r="A22" i="1"/>
  <c r="A23" i="1"/>
  <c r="A24" i="1"/>
  <c r="A25" i="1"/>
  <c r="A26" i="1"/>
  <c r="A27" i="1"/>
  <c r="A16" i="1"/>
  <c r="K16" i="13" l="1"/>
  <c r="K18" i="13"/>
  <c r="K17" i="13"/>
  <c r="I53" i="13"/>
  <c r="H55" i="13"/>
  <c r="I43" i="13"/>
  <c r="B11" i="12"/>
  <c r="B12" i="12"/>
  <c r="B13" i="12"/>
  <c r="P20" i="2"/>
  <c r="N26" i="2"/>
  <c r="O26" i="2"/>
  <c r="E13" i="2"/>
  <c r="N12" i="2"/>
  <c r="O12" i="2"/>
  <c r="N20" i="2"/>
  <c r="G26" i="2"/>
  <c r="G6" i="2"/>
  <c r="P4" i="2"/>
  <c r="E19" i="2"/>
  <c r="G22" i="2"/>
  <c r="N28" i="2"/>
  <c r="O28" i="2"/>
  <c r="E10" i="2"/>
  <c r="E20" i="2"/>
  <c r="N3" i="2"/>
  <c r="G11" i="2"/>
  <c r="E23" i="2"/>
  <c r="O3" i="2"/>
  <c r="N6" i="2"/>
  <c r="O15" i="2"/>
  <c r="O6" i="2"/>
  <c r="N17" i="2"/>
  <c r="P17" i="2"/>
  <c r="N19" i="2"/>
  <c r="N23" i="2"/>
  <c r="O11" i="2"/>
  <c r="O23" i="2"/>
  <c r="N5" i="2"/>
  <c r="P11" i="2"/>
  <c r="O14" i="2"/>
  <c r="P19" i="2"/>
  <c r="N21" i="2"/>
  <c r="N25" i="2"/>
  <c r="O5" i="2"/>
  <c r="N8" i="2"/>
  <c r="P14" i="2"/>
  <c r="O8" i="2"/>
  <c r="N27" i="2"/>
  <c r="N10" i="2"/>
  <c r="N16" i="2"/>
  <c r="O27" i="2"/>
  <c r="O10" i="2"/>
  <c r="N13" i="2"/>
  <c r="O16" i="2"/>
  <c r="N4" i="2"/>
  <c r="O13" i="2"/>
  <c r="N18" i="2"/>
  <c r="O21" i="2"/>
  <c r="E9" i="2"/>
  <c r="O18" i="2"/>
  <c r="G17" i="2"/>
  <c r="O25" i="2"/>
  <c r="E17" i="1"/>
  <c r="P16" i="1"/>
  <c r="E6" i="1"/>
  <c r="O16" i="1"/>
  <c r="E22" i="1"/>
  <c r="P15" i="1"/>
  <c r="P20" i="1"/>
  <c r="O15" i="1"/>
  <c r="O20" i="1"/>
  <c r="P14" i="1"/>
  <c r="P19" i="1"/>
  <c r="O14" i="1"/>
  <c r="O19" i="1"/>
  <c r="P13" i="1"/>
  <c r="P18" i="1"/>
  <c r="O13" i="1"/>
  <c r="G8" i="1"/>
  <c r="G12" i="1"/>
  <c r="E15" i="1"/>
  <c r="G27" i="1"/>
  <c r="G11" i="1"/>
  <c r="G16" i="1"/>
  <c r="G5" i="1"/>
  <c r="A11" i="1"/>
  <c r="G4" i="1"/>
  <c r="K20" i="13" l="1"/>
  <c r="K21" i="13"/>
  <c r="K19" i="13"/>
  <c r="H67" i="13"/>
  <c r="I55" i="13"/>
  <c r="K23" i="13" l="1"/>
  <c r="K24" i="13"/>
  <c r="K22" i="13"/>
  <c r="H79" i="13"/>
  <c r="I79" i="13" s="1"/>
  <c r="I67" i="13"/>
  <c r="C3" i="13" l="1"/>
  <c r="K27" i="13"/>
  <c r="K26" i="13"/>
  <c r="K25" i="13"/>
  <c r="K29" i="13" l="1"/>
  <c r="K28" i="13"/>
  <c r="K30" i="13"/>
  <c r="K31" i="13" l="1"/>
  <c r="K32" i="13"/>
  <c r="C8" i="13" l="1"/>
</calcChain>
</file>

<file path=xl/sharedStrings.xml><?xml version="1.0" encoding="utf-8"?>
<sst xmlns="http://schemas.openxmlformats.org/spreadsheetml/2006/main" count="296" uniqueCount="142">
  <si>
    <t>Valeur Exacte</t>
  </si>
  <si>
    <t>Résistances</t>
  </si>
  <si>
    <t>Filtre Passe-Bas pour les Graves (E9)</t>
  </si>
  <si>
    <t>Hertz</t>
  </si>
  <si>
    <t>Condensateur</t>
  </si>
  <si>
    <t>Valeur Calculée</t>
  </si>
  <si>
    <t>Écart valeur</t>
  </si>
  <si>
    <t>Filtre Passe-Haut pour les Aigus (E10)</t>
  </si>
  <si>
    <t>Pour le Filtre Passe-bas</t>
  </si>
  <si>
    <t>Pour le Filtre Passe-haut</t>
  </si>
  <si>
    <t>En Hertz</t>
  </si>
  <si>
    <t>R2</t>
  </si>
  <si>
    <t>C2</t>
  </si>
  <si>
    <t>Formule :</t>
  </si>
  <si>
    <t>R1 (Valeur normalisée)</t>
  </si>
  <si>
    <t>Vs</t>
  </si>
  <si>
    <t>Ve</t>
  </si>
  <si>
    <t>R1</t>
  </si>
  <si>
    <t>V</t>
  </si>
  <si>
    <t>Ohm</t>
  </si>
  <si>
    <t>Gain en fonction de R1/R2</t>
  </si>
  <si>
    <t>La valeur semble incorrect.</t>
  </si>
  <si>
    <t>Recalcul avec la prise en compte du gain du filtre :</t>
  </si>
  <si>
    <t>Gain du filtre :</t>
  </si>
  <si>
    <t>R</t>
  </si>
  <si>
    <t>Soit une entrée à 200mV :</t>
  </si>
  <si>
    <t>Il y a toujours une différence avec la simulation mais le résultat est plus correct.</t>
  </si>
  <si>
    <t>Gain en dB :</t>
  </si>
  <si>
    <t>Jours depuis le début</t>
  </si>
  <si>
    <t>T1.1</t>
  </si>
  <si>
    <t>T1</t>
  </si>
  <si>
    <t>T1.2</t>
  </si>
  <si>
    <t>T1.3</t>
  </si>
  <si>
    <t>T2</t>
  </si>
  <si>
    <t>T2.1</t>
  </si>
  <si>
    <t>T2.2</t>
  </si>
  <si>
    <t>T3</t>
  </si>
  <si>
    <t>T3.1</t>
  </si>
  <si>
    <t>T3.2</t>
  </si>
  <si>
    <t>T4</t>
  </si>
  <si>
    <t>T3.3</t>
  </si>
  <si>
    <t>Tâche</t>
  </si>
  <si>
    <t>Nom</t>
  </si>
  <si>
    <t>Durée (jours)</t>
  </si>
  <si>
    <t>Dépendance</t>
  </si>
  <si>
    <t>Analyse des Besoins et du Cahier des Charges</t>
  </si>
  <si>
    <t>Choix Techniques et Sélection des Composants</t>
  </si>
  <si>
    <t>Réalisation des schémas</t>
  </si>
  <si>
    <t>Mise en place du potentiomètre</t>
  </si>
  <si>
    <t>Explication et calcul point de repos et polarisation</t>
  </si>
  <si>
    <t>Observation sur le module audio USB</t>
  </si>
  <si>
    <t>Simulation LTSpice</t>
  </si>
  <si>
    <t>Modéliser le système initiale (emetteur commun)</t>
  </si>
  <si>
    <t>Rédaction</t>
  </si>
  <si>
    <t>Ajout d'un montage push pull</t>
  </si>
  <si>
    <t>Simulation et calculs (courant/tension/gain)</t>
  </si>
  <si>
    <t xml:space="preserve">Choix final montage </t>
  </si>
  <si>
    <t>Schéma AOP et filtres</t>
  </si>
  <si>
    <t>Choix filtres</t>
  </si>
  <si>
    <t>Calcul final des composants</t>
  </si>
  <si>
    <t>Simulation</t>
  </si>
  <si>
    <t>Finalisation Gantt</t>
  </si>
  <si>
    <t>Retour Collectif et individuel</t>
  </si>
  <si>
    <t>KiCad</t>
  </si>
  <si>
    <t>BOM</t>
  </si>
  <si>
    <t>Présentation</t>
  </si>
  <si>
    <t>T1.4</t>
  </si>
  <si>
    <t>T1.5</t>
  </si>
  <si>
    <t>T1.6</t>
  </si>
  <si>
    <t>T1.7</t>
  </si>
  <si>
    <t>T3.4</t>
  </si>
  <si>
    <t>T3.5</t>
  </si>
  <si>
    <t>T3.6</t>
  </si>
  <si>
    <t>VBE</t>
  </si>
  <si>
    <t>mA</t>
  </si>
  <si>
    <t>Ic</t>
  </si>
  <si>
    <t>VCC</t>
  </si>
  <si>
    <t>Vce</t>
  </si>
  <si>
    <t>R4</t>
  </si>
  <si>
    <t>Urc</t>
  </si>
  <si>
    <t>R3</t>
  </si>
  <si>
    <t>A</t>
  </si>
  <si>
    <t>Ie</t>
  </si>
  <si>
    <t>Vb</t>
  </si>
  <si>
    <r>
      <t>I</t>
    </r>
    <r>
      <rPr>
        <sz val="6"/>
        <color theme="1"/>
        <rFont val="Aptos Narrow"/>
        <family val="2"/>
        <scheme val="minor"/>
      </rPr>
      <t>BQ</t>
    </r>
  </si>
  <si>
    <r>
      <t>R</t>
    </r>
    <r>
      <rPr>
        <sz val="8"/>
        <color theme="1"/>
        <rFont val="Aptos Narrow"/>
        <family val="2"/>
        <scheme val="minor"/>
      </rPr>
      <t>B1</t>
    </r>
  </si>
  <si>
    <r>
      <t>R</t>
    </r>
    <r>
      <rPr>
        <sz val="8"/>
        <color theme="1"/>
        <rFont val="Aptos Narrow"/>
        <family val="2"/>
        <scheme val="minor"/>
      </rPr>
      <t>B2</t>
    </r>
  </si>
  <si>
    <t>0.6 pour le transistor silicium</t>
  </si>
  <si>
    <r>
      <t>V</t>
    </r>
    <r>
      <rPr>
        <sz val="6"/>
        <color theme="1"/>
        <rFont val="Aptos Narrow"/>
        <family val="2"/>
        <scheme val="minor"/>
      </rPr>
      <t>BM</t>
    </r>
  </si>
  <si>
    <t>Ip</t>
  </si>
  <si>
    <r>
      <t>R</t>
    </r>
    <r>
      <rPr>
        <sz val="6"/>
        <color theme="1"/>
        <rFont val="Aptos Narrow"/>
        <family val="2"/>
        <scheme val="minor"/>
      </rPr>
      <t>C</t>
    </r>
  </si>
  <si>
    <r>
      <t>R</t>
    </r>
    <r>
      <rPr>
        <sz val="6"/>
        <color theme="1"/>
        <rFont val="Aptos Narrow"/>
        <family val="2"/>
        <scheme val="minor"/>
      </rPr>
      <t>E</t>
    </r>
  </si>
  <si>
    <r>
      <t>V</t>
    </r>
    <r>
      <rPr>
        <sz val="6"/>
        <color theme="1"/>
        <rFont val="Aptos Narrow"/>
        <family val="2"/>
        <scheme val="minor"/>
      </rPr>
      <t>EM</t>
    </r>
  </si>
  <si>
    <r>
      <t>I</t>
    </r>
    <r>
      <rPr>
        <sz val="6"/>
        <color theme="1"/>
        <rFont val="Aptos Narrow"/>
        <family val="2"/>
        <scheme val="minor"/>
      </rPr>
      <t>CQ</t>
    </r>
  </si>
  <si>
    <r>
      <t>h</t>
    </r>
    <r>
      <rPr>
        <sz val="6"/>
        <color theme="1"/>
        <rFont val="Aptos Narrow"/>
        <family val="2"/>
        <scheme val="minor"/>
      </rPr>
      <t>FE</t>
    </r>
  </si>
  <si>
    <t>BC546</t>
  </si>
  <si>
    <r>
      <t>V</t>
    </r>
    <r>
      <rPr>
        <sz val="9"/>
        <color theme="1"/>
        <rFont val="Aptos Narrow"/>
        <family val="2"/>
        <scheme val="minor"/>
      </rPr>
      <t>cc</t>
    </r>
  </si>
  <si>
    <t>Recalcul :</t>
  </si>
  <si>
    <t>Soit une entrée à 600mV :</t>
  </si>
  <si>
    <t>Mais il faut prendre en compte la gain du filtre</t>
  </si>
  <si>
    <t>Gain après filtre</t>
  </si>
  <si>
    <t>Vs final</t>
  </si>
  <si>
    <t>Nous trouvons en effet 4,5V en sortie (le gain de push pull en un peu inférieur à 1)</t>
  </si>
  <si>
    <t>Valeur</t>
  </si>
  <si>
    <t>Écart</t>
  </si>
  <si>
    <t>R équivalente</t>
  </si>
  <si>
    <t>Série Normalisée E12</t>
  </si>
  <si>
    <t>Série Normalisée E3 ©</t>
  </si>
  <si>
    <t>Pour les résistances :</t>
  </si>
  <si>
    <t>Pour les condensateurs :</t>
  </si>
  <si>
    <t>C équivalent</t>
  </si>
  <si>
    <t>Identifiants</t>
  </si>
  <si>
    <t xml:space="preserve">Valeurs </t>
  </si>
  <si>
    <t>Datasheet</t>
  </si>
  <si>
    <t>Footprint</t>
  </si>
  <si>
    <t xml:space="preserve">Boitier </t>
  </si>
  <si>
    <t>&gt;  C1, C2</t>
  </si>
  <si>
    <t>10u</t>
  </si>
  <si>
    <t>~</t>
  </si>
  <si>
    <t>Capacitor_SMD:C_Elec_5x5.4</t>
  </si>
  <si>
    <t>5mm*5,4mm</t>
  </si>
  <si>
    <t xml:space="preserve">    C3</t>
  </si>
  <si>
    <t>1u</t>
  </si>
  <si>
    <t xml:space="preserve">    Q1</t>
  </si>
  <si>
    <t>https://www.onsemi.com/pub/Collateral/BC550-D.pdf</t>
  </si>
  <si>
    <t>Package_TO_SOT_THT:TO-92L_HandSolder</t>
  </si>
  <si>
    <t xml:space="preserve">    R1</t>
  </si>
  <si>
    <t>Resistor_SMD:R_0805_2012Metric_Pad1.20x1.40mm_HandSolder</t>
  </si>
  <si>
    <t>2mm*1,25mm</t>
  </si>
  <si>
    <t xml:space="preserve">    R2</t>
  </si>
  <si>
    <t>33k</t>
  </si>
  <si>
    <t xml:space="preserve">    R3</t>
  </si>
  <si>
    <t>104k</t>
  </si>
  <si>
    <t xml:space="preserve">    R4</t>
  </si>
  <si>
    <t>2k</t>
  </si>
  <si>
    <t xml:space="preserve">    R5</t>
  </si>
  <si>
    <t>0.5k</t>
  </si>
  <si>
    <t xml:space="preserve">    RV1</t>
  </si>
  <si>
    <t>Potentiometer_THT:Potentiometer_Bourns_3005_Horizontal</t>
  </si>
  <si>
    <t>7,87mm x 4,06mm</t>
  </si>
  <si>
    <t>5,2mm*5,33mm</t>
  </si>
  <si>
    <t>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</si>
</sst>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E+00"/>
    <numFmt numFmtId="165" formatCode="0.0"/>
    <numFmt numFmtId="166" formatCode="0.000"/>
    <numFmt numFmtId="167" formatCode="0.00000"/>
  </numFmts>
  <fonts count="25" x14ac:knownFonts="1">
    <font>
      <sz val="11"/>
      <color theme="1"/>
      <name val="Aptos Narrow"/>
      <family val="2"/>
      <scheme val="minor"/>
    </font>
    <font>
      <sz val="11"/>
      <color theme="0"/>
      <name val="Aptos Narrow"/>
      <family val="2"/>
      <scheme val="minor"/>
    </font>
    <font>
      <b/>
      <sz val="8"/>
      <color rgb="FF1F1F1F"/>
      <name val="Arial"/>
      <family val="2"/>
    </font>
    <font>
      <sz val="11"/>
      <color theme="7"/>
      <name val="Aptos Narrow"/>
      <family val="2"/>
      <scheme val="minor"/>
    </font>
    <font>
      <sz val="11"/>
      <color rgb="FF00B050"/>
      <name val="Aptos Narrow"/>
      <family val="2"/>
      <scheme val="minor"/>
    </font>
    <font>
      <sz val="11"/>
      <name val="Aptos Narrow"/>
      <family val="2"/>
      <scheme val="minor"/>
    </font>
    <font>
      <sz val="11"/>
      <color rgb="FF0070C0"/>
      <name val="Aptos Narrow"/>
      <family val="2"/>
      <scheme val="minor"/>
    </font>
    <font>
      <sz val="11"/>
      <color rgb="FFFF0000"/>
      <name val="Aptos Narrow"/>
      <family val="2"/>
      <scheme val="minor"/>
    </font>
    <font>
      <sz val="11"/>
      <color rgb="FFFFC000"/>
      <name val="Aptos Narrow"/>
      <family val="2"/>
      <scheme val="minor"/>
    </font>
    <font>
      <sz val="11"/>
      <color rgb="FF282523"/>
      <name val="Arial"/>
      <family val="2"/>
    </font>
    <font>
      <sz val="11"/>
      <color rgb="FFFF0000"/>
      <name val="Arial"/>
      <family val="2"/>
    </font>
    <font>
      <b/>
      <sz val="8"/>
      <color rgb="FF000000"/>
      <name val="Arial"/>
      <family val="2"/>
    </font>
    <font>
      <sz val="8"/>
      <color rgb="FF000000"/>
      <name val="Arial"/>
      <family val="2"/>
    </font>
    <font>
      <sz val="11"/>
      <color rgb="FF282523"/>
      <name val="Aptos"/>
      <family val="2"/>
    </font>
    <font>
      <sz val="12"/>
      <color rgb="FF282523"/>
      <name val="Aptos"/>
      <family val="2"/>
    </font>
    <font>
      <sz val="12"/>
      <color theme="1"/>
      <name val="Aptos"/>
      <family val="2"/>
    </font>
    <font>
      <sz val="11"/>
      <color theme="1"/>
      <name val="Aptos"/>
      <family val="2"/>
    </font>
    <font>
      <sz val="8"/>
      <name val="Aptos Narrow"/>
      <family val="2"/>
      <scheme val="minor"/>
    </font>
    <font>
      <sz val="11"/>
      <color rgb="FFFFC000"/>
      <name val="Aptos"/>
      <family val="2"/>
    </font>
    <font>
      <sz val="11"/>
      <color rgb="FF00B050"/>
      <name val="Aptos"/>
      <family val="2"/>
    </font>
    <font>
      <sz val="11"/>
      <color rgb="FF00B0F0"/>
      <name val="Aptos"/>
      <family val="2"/>
    </font>
    <font>
      <sz val="6"/>
      <color theme="1"/>
      <name val="Aptos Narrow"/>
      <family val="2"/>
      <scheme val="minor"/>
    </font>
    <font>
      <sz val="8"/>
      <color theme="1"/>
      <name val="Aptos Narrow"/>
      <family val="2"/>
      <scheme val="minor"/>
    </font>
    <font>
      <sz val="9"/>
      <color theme="1"/>
      <name val="Aptos Narrow"/>
      <family val="2"/>
      <scheme val="minor"/>
    </font>
    <font>
      <sz val="9"/>
      <name val="Arial"/>
      <family val="2"/>
    </font>
  </fonts>
  <fills count="10">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rgb="FFFFFFFF"/>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86">
    <xf numFmtId="0" fontId="0" fillId="0" borderId="0" xfId="0"/>
    <xf numFmtId="0" fontId="2" fillId="0" borderId="0" xfId="0" applyFont="1"/>
    <xf numFmtId="0" fontId="0" fillId="0" borderId="0" xfId="0" applyAlignment="1">
      <alignment horizontal="center"/>
    </xf>
    <xf numFmtId="164" fontId="0" fillId="0" borderId="0" xfId="0" applyNumberFormat="1"/>
    <xf numFmtId="0" fontId="0" fillId="0" borderId="1" xfId="0" applyBorder="1"/>
    <xf numFmtId="9" fontId="0" fillId="0" borderId="1" xfId="0" applyNumberFormat="1" applyBorder="1" applyAlignment="1">
      <alignment horizontal="center"/>
    </xf>
    <xf numFmtId="0" fontId="0" fillId="0" borderId="1" xfId="0" applyBorder="1" applyAlignment="1">
      <alignment horizontal="center"/>
    </xf>
    <xf numFmtId="9" fontId="0" fillId="0" borderId="2" xfId="0" applyNumberFormat="1" applyBorder="1" applyAlignment="1">
      <alignment horizontal="center"/>
    </xf>
    <xf numFmtId="0" fontId="0" fillId="2" borderId="1" xfId="0" applyFill="1" applyBorder="1" applyAlignment="1">
      <alignment horizontal="center"/>
    </xf>
    <xf numFmtId="164" fontId="0" fillId="0" borderId="1" xfId="0" applyNumberFormat="1" applyBorder="1" applyAlignment="1">
      <alignment horizontal="center"/>
    </xf>
    <xf numFmtId="0" fontId="0" fillId="2" borderId="1" xfId="0" applyFill="1" applyBorder="1" applyAlignment="1">
      <alignment horizontal="left"/>
    </xf>
    <xf numFmtId="2" fontId="0" fillId="0" borderId="0" xfId="0" applyNumberFormat="1"/>
    <xf numFmtId="164" fontId="0" fillId="0" borderId="0" xfId="0" applyNumberFormat="1" applyAlignment="1">
      <alignment horizontal="center"/>
    </xf>
    <xf numFmtId="164" fontId="0" fillId="3" borderId="0" xfId="0" applyNumberFormat="1" applyFill="1" applyAlignment="1">
      <alignment horizontal="center"/>
    </xf>
    <xf numFmtId="164" fontId="3" fillId="0" borderId="1" xfId="0" applyNumberFormat="1" applyFont="1" applyBorder="1" applyAlignment="1">
      <alignment horizontal="center"/>
    </xf>
    <xf numFmtId="164" fontId="1" fillId="4" borderId="1" xfId="0" applyNumberFormat="1" applyFont="1" applyFill="1" applyBorder="1" applyAlignment="1">
      <alignment horizontal="center"/>
    </xf>
    <xf numFmtId="164" fontId="0" fillId="3" borderId="1" xfId="0" applyNumberFormat="1" applyFill="1" applyBorder="1" applyAlignment="1">
      <alignment horizontal="center"/>
    </xf>
    <xf numFmtId="164" fontId="4" fillId="3" borderId="1" xfId="0" applyNumberFormat="1" applyFont="1" applyFill="1" applyBorder="1" applyAlignment="1">
      <alignment horizontal="center"/>
    </xf>
    <xf numFmtId="164" fontId="0" fillId="3" borderId="3" xfId="0" applyNumberFormat="1" applyFill="1" applyBorder="1" applyAlignment="1">
      <alignment horizontal="center"/>
    </xf>
    <xf numFmtId="164" fontId="4" fillId="0" borderId="1" xfId="0" applyNumberFormat="1" applyFont="1" applyBorder="1" applyAlignment="1">
      <alignment horizontal="center"/>
    </xf>
    <xf numFmtId="2" fontId="0" fillId="5" borderId="0" xfId="0" applyNumberFormat="1" applyFill="1"/>
    <xf numFmtId="2" fontId="1" fillId="6" borderId="0" xfId="0" applyNumberFormat="1" applyFont="1" applyFill="1"/>
    <xf numFmtId="2" fontId="0" fillId="7" borderId="0" xfId="0" applyNumberFormat="1" applyFill="1"/>
    <xf numFmtId="164" fontId="0" fillId="0" borderId="2" xfId="0" applyNumberFormat="1" applyBorder="1" applyAlignment="1">
      <alignment horizontal="center"/>
    </xf>
    <xf numFmtId="0" fontId="0" fillId="0" borderId="4" xfId="0" applyBorder="1" applyAlignment="1">
      <alignment horizontal="center"/>
    </xf>
    <xf numFmtId="2" fontId="0" fillId="0" borderId="5" xfId="0" applyNumberFormat="1" applyBorder="1" applyAlignment="1">
      <alignment horizontal="center"/>
    </xf>
    <xf numFmtId="164" fontId="5" fillId="0" borderId="1" xfId="0" applyNumberFormat="1" applyFont="1" applyBorder="1" applyAlignment="1">
      <alignment horizontal="center"/>
    </xf>
    <xf numFmtId="2" fontId="5" fillId="0" borderId="0" xfId="0" applyNumberFormat="1" applyFont="1"/>
    <xf numFmtId="0" fontId="5" fillId="0" borderId="1" xfId="0" applyFont="1" applyBorder="1" applyAlignment="1">
      <alignment horizontal="center"/>
    </xf>
    <xf numFmtId="164" fontId="5" fillId="3" borderId="3" xfId="0" applyNumberFormat="1" applyFont="1" applyFill="1" applyBorder="1" applyAlignment="1">
      <alignment horizontal="center"/>
    </xf>
    <xf numFmtId="164" fontId="5" fillId="3" borderId="1" xfId="0" applyNumberFormat="1" applyFont="1" applyFill="1" applyBorder="1" applyAlignment="1">
      <alignment horizontal="center"/>
    </xf>
    <xf numFmtId="2" fontId="5" fillId="3" borderId="0" xfId="0" applyNumberFormat="1" applyFont="1" applyFill="1"/>
    <xf numFmtId="2" fontId="6" fillId="3" borderId="0" xfId="0" applyNumberFormat="1" applyFont="1" applyFill="1"/>
    <xf numFmtId="2" fontId="5" fillId="7" borderId="0" xfId="0" applyNumberFormat="1" applyFont="1" applyFill="1"/>
    <xf numFmtId="165" fontId="0" fillId="0" borderId="1" xfId="0" applyNumberFormat="1" applyBorder="1"/>
    <xf numFmtId="11" fontId="0" fillId="0" borderId="0" xfId="0" applyNumberFormat="1"/>
    <xf numFmtId="2" fontId="0" fillId="0" borderId="1" xfId="0" applyNumberFormat="1" applyBorder="1"/>
    <xf numFmtId="0" fontId="0" fillId="3" borderId="1" xfId="0" applyFill="1" applyBorder="1" applyAlignment="1">
      <alignment horizontal="center"/>
    </xf>
    <xf numFmtId="0" fontId="0" fillId="3" borderId="0" xfId="0" applyFill="1"/>
    <xf numFmtId="0" fontId="7" fillId="0" borderId="0" xfId="0" applyFont="1"/>
    <xf numFmtId="0" fontId="8" fillId="0" borderId="0" xfId="0" applyFont="1"/>
    <xf numFmtId="0" fontId="8" fillId="0" borderId="1" xfId="0" applyFont="1" applyBorder="1" applyAlignment="1">
      <alignment horizontal="center"/>
    </xf>
    <xf numFmtId="2" fontId="8" fillId="0" borderId="1" xfId="0" applyNumberFormat="1" applyFont="1" applyBorder="1"/>
    <xf numFmtId="0" fontId="9" fillId="0" borderId="1" xfId="0" applyFont="1" applyBorder="1" applyAlignment="1">
      <alignment horizontal="left" vertical="center" wrapText="1"/>
    </xf>
    <xf numFmtId="0" fontId="9" fillId="0" borderId="0" xfId="0" applyFont="1" applyAlignment="1">
      <alignment horizontal="left" vertical="center" wrapText="1"/>
    </xf>
    <xf numFmtId="0" fontId="0" fillId="0" borderId="1" xfId="0" applyBorder="1" applyAlignment="1">
      <alignment horizontal="left"/>
    </xf>
    <xf numFmtId="0" fontId="10" fillId="0" borderId="0" xfId="0" applyFont="1" applyAlignment="1">
      <alignment horizontal="left" vertical="center" wrapText="1"/>
    </xf>
    <xf numFmtId="0" fontId="12" fillId="8" borderId="0" xfId="0" applyFont="1" applyFill="1" applyAlignment="1">
      <alignment vertical="center" wrapText="1"/>
    </xf>
    <xf numFmtId="0" fontId="15" fillId="0" borderId="1" xfId="0" applyFont="1" applyBorder="1"/>
    <xf numFmtId="0" fontId="14" fillId="0" borderId="1" xfId="0" applyFont="1" applyBorder="1" applyAlignment="1">
      <alignment horizontal="left" vertical="center" wrapText="1"/>
    </xf>
    <xf numFmtId="0" fontId="15" fillId="0" borderId="1" xfId="0" applyFont="1" applyBorder="1" applyAlignment="1">
      <alignment horizontal="center"/>
    </xf>
    <xf numFmtId="0" fontId="14" fillId="0" borderId="1" xfId="0" applyFont="1" applyBorder="1" applyAlignment="1">
      <alignment horizontal="center" vertical="center" wrapText="1"/>
    </xf>
    <xf numFmtId="0" fontId="15" fillId="0" borderId="0" xfId="0" applyFont="1"/>
    <xf numFmtId="0" fontId="15" fillId="0" borderId="0" xfId="0" applyFont="1" applyAlignment="1">
      <alignment horizontal="center"/>
    </xf>
    <xf numFmtId="0" fontId="16" fillId="0" borderId="1" xfId="0" applyFont="1" applyBorder="1"/>
    <xf numFmtId="0" fontId="18" fillId="0" borderId="1" xfId="0" applyFont="1" applyBorder="1"/>
    <xf numFmtId="0" fontId="18" fillId="0" borderId="1" xfId="0" applyFont="1" applyBorder="1" applyAlignment="1">
      <alignment horizontal="left" vertical="center" wrapText="1"/>
    </xf>
    <xf numFmtId="0" fontId="13" fillId="0" borderId="1" xfId="0" applyFont="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20" fillId="0" borderId="6" xfId="0" applyFont="1" applyBorder="1" applyAlignment="1">
      <alignment horizontal="left" vertical="center" wrapText="1"/>
    </xf>
    <xf numFmtId="166" fontId="0" fillId="0" borderId="1" xfId="0" applyNumberFormat="1" applyBorder="1" applyAlignment="1">
      <alignment horizontal="center"/>
    </xf>
    <xf numFmtId="11" fontId="0" fillId="0" borderId="1" xfId="0" applyNumberFormat="1" applyBorder="1" applyAlignment="1">
      <alignment horizontal="center"/>
    </xf>
    <xf numFmtId="167" fontId="0" fillId="0" borderId="1" xfId="0" applyNumberFormat="1" applyBorder="1" applyAlignment="1">
      <alignment horizontal="center"/>
    </xf>
    <xf numFmtId="0" fontId="0" fillId="0" borderId="1" xfId="0" applyBorder="1" applyAlignment="1">
      <alignment horizontal="right"/>
    </xf>
    <xf numFmtId="0" fontId="0" fillId="0" borderId="1" xfId="0" applyBorder="1" applyAlignment="1">
      <alignment vertical="center"/>
    </xf>
    <xf numFmtId="11" fontId="0" fillId="0" borderId="1" xfId="0" applyNumberFormat="1" applyBorder="1" applyAlignment="1">
      <alignment vertical="center"/>
    </xf>
    <xf numFmtId="0" fontId="0" fillId="3" borderId="1" xfId="0" applyFill="1" applyBorder="1" applyAlignment="1">
      <alignment horizontal="right" vertical="center"/>
    </xf>
    <xf numFmtId="11" fontId="0" fillId="3" borderId="1" xfId="0" applyNumberFormat="1" applyFill="1" applyBorder="1" applyAlignment="1">
      <alignment vertical="center"/>
    </xf>
    <xf numFmtId="0" fontId="0" fillId="3" borderId="1" xfId="0" applyFill="1" applyBorder="1" applyAlignment="1">
      <alignment vertical="center"/>
    </xf>
    <xf numFmtId="0" fontId="0" fillId="3" borderId="1" xfId="0" applyFill="1" applyBorder="1" applyAlignment="1">
      <alignment horizontal="right"/>
    </xf>
    <xf numFmtId="0" fontId="0" fillId="4" borderId="0" xfId="0" applyFill="1"/>
    <xf numFmtId="0" fontId="0" fillId="9" borderId="0" xfId="0" applyFill="1"/>
    <xf numFmtId="11" fontId="0" fillId="4" borderId="0" xfId="0" applyNumberFormat="1" applyFill="1"/>
    <xf numFmtId="11" fontId="0" fillId="9" borderId="0" xfId="0" applyNumberFormat="1" applyFill="1"/>
    <xf numFmtId="0" fontId="0" fillId="0" borderId="7" xfId="0" applyBorder="1"/>
    <xf numFmtId="0" fontId="0" fillId="0" borderId="2" xfId="0" applyBorder="1"/>
    <xf numFmtId="0" fontId="0" fillId="0" borderId="8" xfId="0" applyBorder="1"/>
    <xf numFmtId="0" fontId="0" fillId="0" borderId="3" xfId="0" applyBorder="1"/>
    <xf numFmtId="0" fontId="0" fillId="0" borderId="9" xfId="0" applyBorder="1"/>
    <xf numFmtId="49" fontId="0" fillId="0" borderId="9" xfId="0" applyNumberFormat="1" applyBorder="1"/>
    <xf numFmtId="0" fontId="0" fillId="0" borderId="10" xfId="0" applyBorder="1"/>
    <xf numFmtId="0" fontId="0" fillId="0" borderId="11" xfId="0" applyBorder="1"/>
    <xf numFmtId="0" fontId="0" fillId="0" borderId="11" xfId="0" applyBorder="1" applyAlignment="1">
      <alignment horizontal="left"/>
    </xf>
    <xf numFmtId="0" fontId="24" fillId="0" borderId="0" xfId="0" applyFont="1"/>
    <xf numFmtId="0" fontId="11" fillId="8" borderId="0" xfId="0" applyFont="1" applyFill="1" applyAlignment="1">
      <alignment horizontal="center" vertical="center" wrapText="1"/>
    </xf>
  </cellXfs>
  <cellStyles count="1">
    <cellStyle name="Normal" xfId="0" builtinId="0"/>
  </cellStyles>
  <dxfs count="9">
    <dxf>
      <numFmt numFmtId="30" formatCode="@"/>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Gantt!$B$1</c:f>
              <c:strCache>
                <c:ptCount val="1"/>
                <c:pt idx="0">
                  <c:v>Jours depuis le début</c:v>
                </c:pt>
              </c:strCache>
            </c:strRef>
          </c:tx>
          <c:spPr>
            <a:solidFill>
              <a:schemeClr val="bg1"/>
            </a:solidFill>
            <a:ln>
              <a:noFill/>
            </a:ln>
            <a:effectLst/>
          </c:spPr>
          <c:invertIfNegative val="0"/>
          <c:cat>
            <c:strRef>
              <c:f>Gantt!$A$2:$A$23</c:f>
              <c:strCache>
                <c:ptCount val="22"/>
                <c:pt idx="0">
                  <c:v>T1</c:v>
                </c:pt>
                <c:pt idx="1">
                  <c:v>T1.1</c:v>
                </c:pt>
                <c:pt idx="2">
                  <c:v>T1.2</c:v>
                </c:pt>
                <c:pt idx="3">
                  <c:v>T2</c:v>
                </c:pt>
                <c:pt idx="4">
                  <c:v>T1.3</c:v>
                </c:pt>
                <c:pt idx="5">
                  <c:v>T1.4</c:v>
                </c:pt>
                <c:pt idx="6">
                  <c:v>T1.5</c:v>
                </c:pt>
                <c:pt idx="7">
                  <c:v>T1.6</c:v>
                </c:pt>
                <c:pt idx="8">
                  <c:v>T1.7</c:v>
                </c:pt>
                <c:pt idx="9">
                  <c:v>T2</c:v>
                </c:pt>
                <c:pt idx="10">
                  <c:v>T2.1</c:v>
                </c:pt>
                <c:pt idx="11">
                  <c:v>T2.2</c:v>
                </c:pt>
                <c:pt idx="12">
                  <c:v>T3</c:v>
                </c:pt>
                <c:pt idx="13">
                  <c:v>T3.1</c:v>
                </c:pt>
                <c:pt idx="14">
                  <c:v>T3.2</c:v>
                </c:pt>
                <c:pt idx="15">
                  <c:v>T4</c:v>
                </c:pt>
                <c:pt idx="16">
                  <c:v>T3.3</c:v>
                </c:pt>
                <c:pt idx="17">
                  <c:v>T3.4</c:v>
                </c:pt>
                <c:pt idx="18">
                  <c:v>T1</c:v>
                </c:pt>
                <c:pt idx="19">
                  <c:v>T3.5</c:v>
                </c:pt>
                <c:pt idx="20">
                  <c:v>T3.6</c:v>
                </c:pt>
                <c:pt idx="21">
                  <c:v>T4</c:v>
                </c:pt>
              </c:strCache>
            </c:strRef>
          </c:cat>
          <c:val>
            <c:numRef>
              <c:f>Gantt!$B$2:$B$23</c:f>
              <c:numCache>
                <c:formatCode>General</c:formatCode>
                <c:ptCount val="22"/>
                <c:pt idx="0">
                  <c:v>0</c:v>
                </c:pt>
                <c:pt idx="1">
                  <c:v>1</c:v>
                </c:pt>
                <c:pt idx="2">
                  <c:v>2</c:v>
                </c:pt>
                <c:pt idx="3">
                  <c:v>3</c:v>
                </c:pt>
                <c:pt idx="4">
                  <c:v>4</c:v>
                </c:pt>
                <c:pt idx="5">
                  <c:v>5</c:v>
                </c:pt>
                <c:pt idx="6">
                  <c:v>6</c:v>
                </c:pt>
                <c:pt idx="7">
                  <c:v>8</c:v>
                </c:pt>
                <c:pt idx="8">
                  <c:v>9</c:v>
                </c:pt>
                <c:pt idx="9">
                  <c:v>11</c:v>
                </c:pt>
                <c:pt idx="10">
                  <c:v>13</c:v>
                </c:pt>
                <c:pt idx="11">
                  <c:v>15</c:v>
                </c:pt>
                <c:pt idx="12">
                  <c:v>16</c:v>
                </c:pt>
                <c:pt idx="13">
                  <c:v>17</c:v>
                </c:pt>
                <c:pt idx="14">
                  <c:v>18</c:v>
                </c:pt>
                <c:pt idx="15">
                  <c:v>19</c:v>
                </c:pt>
                <c:pt idx="16">
                  <c:v>20</c:v>
                </c:pt>
                <c:pt idx="17">
                  <c:v>21</c:v>
                </c:pt>
                <c:pt idx="18">
                  <c:v>22</c:v>
                </c:pt>
                <c:pt idx="19">
                  <c:v>23</c:v>
                </c:pt>
                <c:pt idx="20">
                  <c:v>24</c:v>
                </c:pt>
                <c:pt idx="21">
                  <c:v>25</c:v>
                </c:pt>
              </c:numCache>
            </c:numRef>
          </c:val>
          <c:extLst>
            <c:ext xmlns:c16="http://schemas.microsoft.com/office/drawing/2014/chart" uri="{C3380CC4-5D6E-409C-BE32-E72D297353CC}">
              <c16:uniqueId val="{00000000-DCD3-489C-ABA2-DA78C9D53E67}"/>
            </c:ext>
          </c:extLst>
        </c:ser>
        <c:ser>
          <c:idx val="1"/>
          <c:order val="1"/>
          <c:tx>
            <c:strRef>
              <c:f>Gantt!$C$1</c:f>
              <c:strCache>
                <c:ptCount val="1"/>
                <c:pt idx="0">
                  <c:v>Durée (jours)</c:v>
                </c:pt>
              </c:strCache>
            </c:strRef>
          </c:tx>
          <c:spPr>
            <a:solidFill>
              <a:schemeClr val="tx1"/>
            </a:solidFill>
            <a:ln>
              <a:noFill/>
            </a:ln>
            <a:effectLst/>
          </c:spPr>
          <c:invertIfNegative val="0"/>
          <c:cat>
            <c:strRef>
              <c:f>Gantt!$A$2:$A$23</c:f>
              <c:strCache>
                <c:ptCount val="22"/>
                <c:pt idx="0">
                  <c:v>T1</c:v>
                </c:pt>
                <c:pt idx="1">
                  <c:v>T1.1</c:v>
                </c:pt>
                <c:pt idx="2">
                  <c:v>T1.2</c:v>
                </c:pt>
                <c:pt idx="3">
                  <c:v>T2</c:v>
                </c:pt>
                <c:pt idx="4">
                  <c:v>T1.3</c:v>
                </c:pt>
                <c:pt idx="5">
                  <c:v>T1.4</c:v>
                </c:pt>
                <c:pt idx="6">
                  <c:v>T1.5</c:v>
                </c:pt>
                <c:pt idx="7">
                  <c:v>T1.6</c:v>
                </c:pt>
                <c:pt idx="8">
                  <c:v>T1.7</c:v>
                </c:pt>
                <c:pt idx="9">
                  <c:v>T2</c:v>
                </c:pt>
                <c:pt idx="10">
                  <c:v>T2.1</c:v>
                </c:pt>
                <c:pt idx="11">
                  <c:v>T2.2</c:v>
                </c:pt>
                <c:pt idx="12">
                  <c:v>T3</c:v>
                </c:pt>
                <c:pt idx="13">
                  <c:v>T3.1</c:v>
                </c:pt>
                <c:pt idx="14">
                  <c:v>T3.2</c:v>
                </c:pt>
                <c:pt idx="15">
                  <c:v>T4</c:v>
                </c:pt>
                <c:pt idx="16">
                  <c:v>T3.3</c:v>
                </c:pt>
                <c:pt idx="17">
                  <c:v>T3.4</c:v>
                </c:pt>
                <c:pt idx="18">
                  <c:v>T1</c:v>
                </c:pt>
                <c:pt idx="19">
                  <c:v>T3.5</c:v>
                </c:pt>
                <c:pt idx="20">
                  <c:v>T3.6</c:v>
                </c:pt>
                <c:pt idx="21">
                  <c:v>T4</c:v>
                </c:pt>
              </c:strCache>
            </c:strRef>
          </c:cat>
          <c:val>
            <c:numRef>
              <c:f>Gantt!$C$2:$C$23</c:f>
              <c:numCache>
                <c:formatCode>General</c:formatCode>
                <c:ptCount val="22"/>
                <c:pt idx="0">
                  <c:v>1</c:v>
                </c:pt>
                <c:pt idx="1">
                  <c:v>1</c:v>
                </c:pt>
                <c:pt idx="2">
                  <c:v>1</c:v>
                </c:pt>
                <c:pt idx="3">
                  <c:v>1</c:v>
                </c:pt>
                <c:pt idx="4">
                  <c:v>1</c:v>
                </c:pt>
                <c:pt idx="5">
                  <c:v>1</c:v>
                </c:pt>
                <c:pt idx="6">
                  <c:v>1</c:v>
                </c:pt>
                <c:pt idx="7">
                  <c:v>2</c:v>
                </c:pt>
                <c:pt idx="8">
                  <c:v>1</c:v>
                </c:pt>
                <c:pt idx="9">
                  <c:v>2</c:v>
                </c:pt>
                <c:pt idx="10">
                  <c:v>2</c:v>
                </c:pt>
                <c:pt idx="11">
                  <c:v>2</c:v>
                </c:pt>
                <c:pt idx="12">
                  <c:v>1</c:v>
                </c:pt>
                <c:pt idx="13">
                  <c:v>1</c:v>
                </c:pt>
                <c:pt idx="14">
                  <c:v>1</c:v>
                </c:pt>
                <c:pt idx="15">
                  <c:v>1</c:v>
                </c:pt>
                <c:pt idx="16">
                  <c:v>1</c:v>
                </c:pt>
                <c:pt idx="17">
                  <c:v>1</c:v>
                </c:pt>
                <c:pt idx="18">
                  <c:v>1</c:v>
                </c:pt>
                <c:pt idx="19">
                  <c:v>1</c:v>
                </c:pt>
                <c:pt idx="20">
                  <c:v>1</c:v>
                </c:pt>
                <c:pt idx="21">
                  <c:v>1</c:v>
                </c:pt>
              </c:numCache>
            </c:numRef>
          </c:val>
          <c:extLst>
            <c:ext xmlns:c16="http://schemas.microsoft.com/office/drawing/2014/chart" uri="{C3380CC4-5D6E-409C-BE32-E72D297353CC}">
              <c16:uniqueId val="{00000001-DCD3-489C-ABA2-DA78C9D53E67}"/>
            </c:ext>
          </c:extLst>
        </c:ser>
        <c:dLbls>
          <c:showLegendKey val="0"/>
          <c:showVal val="0"/>
          <c:showCatName val="0"/>
          <c:showSerName val="0"/>
          <c:showPercent val="0"/>
          <c:showBubbleSize val="0"/>
        </c:dLbls>
        <c:gapWidth val="150"/>
        <c:overlap val="100"/>
        <c:axId val="1172206191"/>
        <c:axId val="1059970527"/>
      </c:barChart>
      <c:catAx>
        <c:axId val="11722061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059970527"/>
        <c:crosses val="autoZero"/>
        <c:auto val="1"/>
        <c:lblAlgn val="ctr"/>
        <c:lblOffset val="100"/>
        <c:noMultiLvlLbl val="0"/>
      </c:catAx>
      <c:valAx>
        <c:axId val="105997052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72206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13252</xdr:colOff>
      <xdr:row>16</xdr:row>
      <xdr:rowOff>39757</xdr:rowOff>
    </xdr:from>
    <xdr:to>
      <xdr:col>11</xdr:col>
      <xdr:colOff>6626</xdr:colOff>
      <xdr:row>23</xdr:row>
      <xdr:rowOff>106017</xdr:rowOff>
    </xdr:to>
    <xdr:sp macro="" textlink="">
      <xdr:nvSpPr>
        <xdr:cNvPr id="2" name="ZoneTexte 1">
          <a:extLst>
            <a:ext uri="{FF2B5EF4-FFF2-40B4-BE49-F238E27FC236}">
              <a16:creationId xmlns:a16="http://schemas.microsoft.com/office/drawing/2014/main" id="{AA5B3169-B9B4-CBDB-736B-8D960EEB971D}"/>
            </a:ext>
          </a:extLst>
        </xdr:cNvPr>
        <xdr:cNvSpPr txBox="1"/>
      </xdr:nvSpPr>
      <xdr:spPr>
        <a:xfrm>
          <a:off x="7626626" y="3014870"/>
          <a:ext cx="2378765" cy="136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kern="1200"/>
            <a:t>Il faut une résistance de 68 Ohm et un condensateur</a:t>
          </a:r>
          <a:r>
            <a:rPr lang="fr-FR" sz="1100" kern="1200" baseline="0"/>
            <a:t> de 4,7E-6 Farad soit 4,7uF. Nous aurions pu prendre une résistance de 680 Ohm également pour un condensateur de 4,7E-7 Farad.</a:t>
          </a:r>
          <a:endParaRPr lang="fr-FR"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13252</xdr:colOff>
      <xdr:row>16</xdr:row>
      <xdr:rowOff>39757</xdr:rowOff>
    </xdr:from>
    <xdr:to>
      <xdr:col>11</xdr:col>
      <xdr:colOff>6626</xdr:colOff>
      <xdr:row>23</xdr:row>
      <xdr:rowOff>106017</xdr:rowOff>
    </xdr:to>
    <xdr:sp macro="" textlink="">
      <xdr:nvSpPr>
        <xdr:cNvPr id="2" name="ZoneTexte 1">
          <a:extLst>
            <a:ext uri="{FF2B5EF4-FFF2-40B4-BE49-F238E27FC236}">
              <a16:creationId xmlns:a16="http://schemas.microsoft.com/office/drawing/2014/main" id="{865A06B1-3CC7-4AFF-81BF-E8034720D668}"/>
            </a:ext>
          </a:extLst>
        </xdr:cNvPr>
        <xdr:cNvSpPr txBox="1"/>
      </xdr:nvSpPr>
      <xdr:spPr>
        <a:xfrm>
          <a:off x="7610392" y="2973457"/>
          <a:ext cx="2370814" cy="1346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kern="1200"/>
            <a:t>Il faut une résistance de 82 Ohm et un condensateur</a:t>
          </a:r>
          <a:r>
            <a:rPr lang="fr-FR" sz="1100" kern="1200" baseline="0"/>
            <a:t> de 1E-6 Farad soit 1uF. Nous aurions pu prendre une résistance de 820 Ohm également pour un condensateur de 1E-7 Farad.</a:t>
          </a:r>
          <a:endParaRPr lang="fr-FR" sz="1100" kern="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1318260</xdr:colOff>
      <xdr:row>6</xdr:row>
      <xdr:rowOff>129540</xdr:rowOff>
    </xdr:from>
    <xdr:to>
      <xdr:col>5</xdr:col>
      <xdr:colOff>1028700</xdr:colOff>
      <xdr:row>8</xdr:row>
      <xdr:rowOff>114300</xdr:rowOff>
    </xdr:to>
    <xdr:sp macro="" textlink="">
      <xdr:nvSpPr>
        <xdr:cNvPr id="2" name="ZoneTexte 1">
          <a:extLst>
            <a:ext uri="{FF2B5EF4-FFF2-40B4-BE49-F238E27FC236}">
              <a16:creationId xmlns:a16="http://schemas.microsoft.com/office/drawing/2014/main" id="{A7C23977-3A95-66BC-7737-9A3929457E94}"/>
            </a:ext>
          </a:extLst>
        </xdr:cNvPr>
        <xdr:cNvSpPr txBox="1"/>
      </xdr:nvSpPr>
      <xdr:spPr>
        <a:xfrm>
          <a:off x="1318260" y="1226820"/>
          <a:ext cx="6065520" cy="350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kern="1200"/>
            <a:t>Par rapport à la simulation, nous sommes un petit peu moins précis dû au facteur de qualité</a:t>
          </a:r>
          <a:r>
            <a:rPr lang="fr-FR" sz="1100" kern="1200" baseline="0"/>
            <a:t> et à l'ordre 2.</a:t>
          </a:r>
          <a:endParaRPr lang="fr-FR"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251460</xdr:colOff>
      <xdr:row>10</xdr:row>
      <xdr:rowOff>53340</xdr:rowOff>
    </xdr:from>
    <xdr:to>
      <xdr:col>5</xdr:col>
      <xdr:colOff>640080</xdr:colOff>
      <xdr:row>16</xdr:row>
      <xdr:rowOff>106680</xdr:rowOff>
    </xdr:to>
    <xdr:sp macro="" textlink="">
      <xdr:nvSpPr>
        <xdr:cNvPr id="2" name="ZoneTexte 1">
          <a:extLst>
            <a:ext uri="{FF2B5EF4-FFF2-40B4-BE49-F238E27FC236}">
              <a16:creationId xmlns:a16="http://schemas.microsoft.com/office/drawing/2014/main" id="{821F604F-7F0A-816E-DFA3-3FD7B210436A}"/>
            </a:ext>
          </a:extLst>
        </xdr:cNvPr>
        <xdr:cNvSpPr txBox="1"/>
      </xdr:nvSpPr>
      <xdr:spPr>
        <a:xfrm>
          <a:off x="251460" y="1882140"/>
          <a:ext cx="4625340" cy="1150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kern="1200"/>
            <a:t>Pour être sûr</a:t>
          </a:r>
          <a:r>
            <a:rPr lang="fr-FR" sz="1100" kern="1200" baseline="0"/>
            <a:t> d'utiliser les bonnes valeurs pour R et C dans les séries normalisées, nous avonsmis en place un calculateur automatique. Nous rentrons notre valeur dans la case en orange, et nous trouvons la valeur la plus proche dans la série dans la case verte.</a:t>
          </a:r>
          <a:endParaRPr lang="fr-FR" sz="1100" kern="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xdr:colOff>
      <xdr:row>7</xdr:row>
      <xdr:rowOff>15240</xdr:rowOff>
    </xdr:from>
    <xdr:to>
      <xdr:col>4</xdr:col>
      <xdr:colOff>739140</xdr:colOff>
      <xdr:row>14</xdr:row>
      <xdr:rowOff>60960</xdr:rowOff>
    </xdr:to>
    <xdr:sp macro="" textlink="">
      <xdr:nvSpPr>
        <xdr:cNvPr id="2" name="ZoneTexte 1">
          <a:extLst>
            <a:ext uri="{FF2B5EF4-FFF2-40B4-BE49-F238E27FC236}">
              <a16:creationId xmlns:a16="http://schemas.microsoft.com/office/drawing/2014/main" id="{DF3A73C2-1482-41B4-AC02-9AB52B2D3CCB}"/>
            </a:ext>
          </a:extLst>
        </xdr:cNvPr>
        <xdr:cNvSpPr txBox="1"/>
      </xdr:nvSpPr>
      <xdr:spPr>
        <a:xfrm>
          <a:off x="7620" y="1295400"/>
          <a:ext cx="3901440" cy="1325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kern="1200"/>
            <a:t>Le point de repos est tel que Vce_repos=2,5V</a:t>
          </a:r>
          <a:r>
            <a:rPr lang="fr-FR" sz="1100" kern="1200" baseline="0"/>
            <a:t> et Ic_repos = 1mA, les mêmes valeurs que calculées avec la méthode précédente.</a:t>
          </a:r>
          <a:endParaRPr lang="fr-FR" sz="1100" kern="12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3</xdr:col>
      <xdr:colOff>369277</xdr:colOff>
      <xdr:row>13</xdr:row>
      <xdr:rowOff>134815</xdr:rowOff>
    </xdr:from>
    <xdr:ext cx="4414356" cy="3559627"/>
    <xdr:pic>
      <xdr:nvPicPr>
        <xdr:cNvPr id="2" name="Image 1">
          <a:extLst>
            <a:ext uri="{FF2B5EF4-FFF2-40B4-BE49-F238E27FC236}">
              <a16:creationId xmlns:a16="http://schemas.microsoft.com/office/drawing/2014/main" id="{487BFB5F-E579-4422-AFE9-25DB14DF98DA}"/>
            </a:ext>
          </a:extLst>
        </xdr:cNvPr>
        <xdr:cNvPicPr>
          <a:picLocks noChangeAspect="1"/>
        </xdr:cNvPicPr>
      </xdr:nvPicPr>
      <xdr:blipFill>
        <a:blip xmlns:r="http://schemas.openxmlformats.org/officeDocument/2006/relationships" r:embed="rId1"/>
        <a:stretch>
          <a:fillRect/>
        </a:stretch>
      </xdr:blipFill>
      <xdr:spPr>
        <a:xfrm>
          <a:off x="2746717" y="2512255"/>
          <a:ext cx="4414356" cy="3559627"/>
        </a:xfrm>
        <a:prstGeom prst="rect">
          <a:avLst/>
        </a:prstGeom>
      </xdr:spPr>
    </xdr:pic>
    <xdr:clientData/>
  </xdr:oneCellAnchor>
  <xdr:twoCellAnchor>
    <xdr:from>
      <xdr:col>9</xdr:col>
      <xdr:colOff>694592</xdr:colOff>
      <xdr:row>27</xdr:row>
      <xdr:rowOff>63890</xdr:rowOff>
    </xdr:from>
    <xdr:to>
      <xdr:col>9</xdr:col>
      <xdr:colOff>786032</xdr:colOff>
      <xdr:row>27</xdr:row>
      <xdr:rowOff>154157</xdr:rowOff>
    </xdr:to>
    <xdr:sp macro="" textlink="">
      <xdr:nvSpPr>
        <xdr:cNvPr id="3" name="Ellipse 2">
          <a:extLst>
            <a:ext uri="{FF2B5EF4-FFF2-40B4-BE49-F238E27FC236}">
              <a16:creationId xmlns:a16="http://schemas.microsoft.com/office/drawing/2014/main" id="{6279E1D8-3C6A-4714-80D0-87B13CB04EB0}"/>
            </a:ext>
          </a:extLst>
        </xdr:cNvPr>
        <xdr:cNvSpPr/>
      </xdr:nvSpPr>
      <xdr:spPr>
        <a:xfrm>
          <a:off x="7826912" y="5001650"/>
          <a:ext cx="91440" cy="90267"/>
        </a:xfrm>
        <a:prstGeom prst="ellipse">
          <a:avLst/>
        </a:prstGeom>
        <a:solidFill>
          <a:schemeClr val="accent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kern="1200"/>
        </a:p>
      </xdr:txBody>
    </xdr:sp>
    <xdr:clientData/>
  </xdr:twoCellAnchor>
  <xdr:twoCellAnchor>
    <xdr:from>
      <xdr:col>10</xdr:col>
      <xdr:colOff>759069</xdr:colOff>
      <xdr:row>31</xdr:row>
      <xdr:rowOff>22860</xdr:rowOff>
    </xdr:from>
    <xdr:to>
      <xdr:col>11</xdr:col>
      <xdr:colOff>59202</xdr:colOff>
      <xdr:row>31</xdr:row>
      <xdr:rowOff>113127</xdr:rowOff>
    </xdr:to>
    <xdr:sp macro="" textlink="">
      <xdr:nvSpPr>
        <xdr:cNvPr id="4" name="Ellipse 3">
          <a:extLst>
            <a:ext uri="{FF2B5EF4-FFF2-40B4-BE49-F238E27FC236}">
              <a16:creationId xmlns:a16="http://schemas.microsoft.com/office/drawing/2014/main" id="{AA21CB29-172B-43B9-B0C0-9E006DBB7152}"/>
            </a:ext>
          </a:extLst>
        </xdr:cNvPr>
        <xdr:cNvSpPr/>
      </xdr:nvSpPr>
      <xdr:spPr>
        <a:xfrm>
          <a:off x="8683869" y="5692140"/>
          <a:ext cx="92613" cy="90267"/>
        </a:xfrm>
        <a:prstGeom prst="ellipse">
          <a:avLst/>
        </a:prstGeom>
        <a:solidFill>
          <a:schemeClr val="accent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kern="1200"/>
        </a:p>
      </xdr:txBody>
    </xdr:sp>
    <xdr:clientData/>
  </xdr:twoCellAnchor>
  <xdr:twoCellAnchor>
    <xdr:from>
      <xdr:col>9</xdr:col>
      <xdr:colOff>528638</xdr:colOff>
      <xdr:row>26</xdr:row>
      <xdr:rowOff>114300</xdr:rowOff>
    </xdr:from>
    <xdr:to>
      <xdr:col>11</xdr:col>
      <xdr:colOff>304800</xdr:colOff>
      <xdr:row>32</xdr:row>
      <xdr:rowOff>123825</xdr:rowOff>
    </xdr:to>
    <xdr:cxnSp macro="">
      <xdr:nvCxnSpPr>
        <xdr:cNvPr id="5" name="Connecteur droit 4">
          <a:extLst>
            <a:ext uri="{FF2B5EF4-FFF2-40B4-BE49-F238E27FC236}">
              <a16:creationId xmlns:a16="http://schemas.microsoft.com/office/drawing/2014/main" id="{324B5000-005E-4D17-BAED-2B925FB04E90}"/>
            </a:ext>
          </a:extLst>
        </xdr:cNvPr>
        <xdr:cNvCxnSpPr/>
      </xdr:nvCxnSpPr>
      <xdr:spPr>
        <a:xfrm>
          <a:off x="7660958" y="4869180"/>
          <a:ext cx="1361122" cy="1106805"/>
        </a:xfrm>
        <a:prstGeom prst="line">
          <a:avLst/>
        </a:prstGeom>
        <a:ln>
          <a:solidFill>
            <a:srgbClr val="FFFF00"/>
          </a:solidFill>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22860</xdr:colOff>
      <xdr:row>3</xdr:row>
      <xdr:rowOff>7620</xdr:rowOff>
    </xdr:from>
    <xdr:to>
      <xdr:col>6</xdr:col>
      <xdr:colOff>266700</xdr:colOff>
      <xdr:row>5</xdr:row>
      <xdr:rowOff>175260</xdr:rowOff>
    </xdr:to>
    <mc:AlternateContent xmlns:mc="http://schemas.openxmlformats.org/markup-compatibility/2006" xmlns:a14="http://schemas.microsoft.com/office/drawing/2010/main">
      <mc:Choice Requires="a14">
        <xdr:sp macro="" textlink="">
          <xdr:nvSpPr>
            <xdr:cNvPr id="2" name="ZoneTexte 1">
              <a:extLst>
                <a:ext uri="{FF2B5EF4-FFF2-40B4-BE49-F238E27FC236}">
                  <a16:creationId xmlns:a16="http://schemas.microsoft.com/office/drawing/2014/main" id="{570A9FFC-FE93-66B6-0E96-42BF10CC76DE}"/>
                </a:ext>
              </a:extLst>
            </xdr:cNvPr>
            <xdr:cNvSpPr txBox="1"/>
          </xdr:nvSpPr>
          <xdr:spPr>
            <a:xfrm>
              <a:off x="3063240" y="556260"/>
              <a:ext cx="26212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fr-FR" sz="1100" i="1">
                        <a:solidFill>
                          <a:schemeClr val="dk1"/>
                        </a:solidFill>
                        <a:effectLst/>
                        <a:latin typeface="Cambria Math" panose="02040503050406030204" pitchFamily="18" charset="0"/>
                        <a:ea typeface="+mn-ea"/>
                        <a:cs typeface="+mn-cs"/>
                      </a:rPr>
                      <m:t>𝑉𝑠</m:t>
                    </m:r>
                    <m:r>
                      <a:rPr lang="fr-FR" sz="1100">
                        <a:solidFill>
                          <a:schemeClr val="dk1"/>
                        </a:solidFill>
                        <a:effectLst/>
                        <a:latin typeface="Cambria Math" panose="02040503050406030204" pitchFamily="18" charset="0"/>
                        <a:ea typeface="+mn-ea"/>
                        <a:cs typeface="+mn-cs"/>
                      </a:rPr>
                      <m:t>=</m:t>
                    </m:r>
                    <m:d>
                      <m:dPr>
                        <m:ctrlPr>
                          <a:rPr lang="fr-FR" sz="1100" i="1">
                            <a:solidFill>
                              <a:schemeClr val="dk1"/>
                            </a:solidFill>
                            <a:effectLst/>
                            <a:latin typeface="Cambria Math" panose="02040503050406030204" pitchFamily="18" charset="0"/>
                            <a:ea typeface="+mn-ea"/>
                            <a:cs typeface="+mn-cs"/>
                          </a:rPr>
                        </m:ctrlPr>
                      </m:dPr>
                      <m:e>
                        <m:r>
                          <a:rPr lang="fr-FR" sz="1100">
                            <a:solidFill>
                              <a:schemeClr val="dk1"/>
                            </a:solidFill>
                            <a:effectLst/>
                            <a:latin typeface="Cambria Math" panose="02040503050406030204" pitchFamily="18" charset="0"/>
                            <a:ea typeface="+mn-ea"/>
                            <a:cs typeface="+mn-cs"/>
                          </a:rPr>
                          <m:t>1+</m:t>
                        </m:r>
                        <m:f>
                          <m:fPr>
                            <m:ctrlPr>
                              <a:rPr lang="fr-FR" sz="1100" i="1">
                                <a:solidFill>
                                  <a:schemeClr val="dk1"/>
                                </a:solidFill>
                                <a:effectLst/>
                                <a:latin typeface="Cambria Math" panose="02040503050406030204" pitchFamily="18" charset="0"/>
                                <a:ea typeface="+mn-ea"/>
                                <a:cs typeface="+mn-cs"/>
                              </a:rPr>
                            </m:ctrlPr>
                          </m:fPr>
                          <m:num>
                            <m:r>
                              <a:rPr lang="fr-FR" sz="1100" i="1">
                                <a:solidFill>
                                  <a:schemeClr val="dk1"/>
                                </a:solidFill>
                                <a:effectLst/>
                                <a:latin typeface="Cambria Math" panose="02040503050406030204" pitchFamily="18" charset="0"/>
                                <a:ea typeface="+mn-ea"/>
                                <a:cs typeface="+mn-cs"/>
                              </a:rPr>
                              <m:t>𝑅</m:t>
                            </m:r>
                            <m:r>
                              <a:rPr lang="fr-FR" sz="1100">
                                <a:solidFill>
                                  <a:schemeClr val="dk1"/>
                                </a:solidFill>
                                <a:effectLst/>
                                <a:latin typeface="Cambria Math" panose="02040503050406030204" pitchFamily="18" charset="0"/>
                                <a:ea typeface="+mn-ea"/>
                                <a:cs typeface="+mn-cs"/>
                              </a:rPr>
                              <m:t>2</m:t>
                            </m:r>
                          </m:num>
                          <m:den>
                            <m:r>
                              <a:rPr lang="fr-FR" sz="1100" i="1">
                                <a:solidFill>
                                  <a:schemeClr val="dk1"/>
                                </a:solidFill>
                                <a:effectLst/>
                                <a:latin typeface="Cambria Math" panose="02040503050406030204" pitchFamily="18" charset="0"/>
                                <a:ea typeface="+mn-ea"/>
                                <a:cs typeface="+mn-cs"/>
                              </a:rPr>
                              <m:t>𝑅</m:t>
                            </m:r>
                            <m:r>
                              <a:rPr lang="fr-FR" sz="1100">
                                <a:solidFill>
                                  <a:schemeClr val="dk1"/>
                                </a:solidFill>
                                <a:effectLst/>
                                <a:latin typeface="Cambria Math" panose="02040503050406030204" pitchFamily="18" charset="0"/>
                                <a:ea typeface="+mn-ea"/>
                                <a:cs typeface="+mn-cs"/>
                              </a:rPr>
                              <m:t>1</m:t>
                            </m:r>
                          </m:den>
                        </m:f>
                      </m:e>
                    </m:d>
                    <m:r>
                      <a:rPr lang="fr-FR" sz="1100">
                        <a:solidFill>
                          <a:schemeClr val="dk1"/>
                        </a:solidFill>
                        <a:effectLst/>
                        <a:latin typeface="Cambria Math" panose="02040503050406030204" pitchFamily="18" charset="0"/>
                        <a:ea typeface="+mn-ea"/>
                        <a:cs typeface="+mn-cs"/>
                      </a:rPr>
                      <m:t>⋅</m:t>
                    </m:r>
                    <m:r>
                      <a:rPr lang="fr-FR" sz="1100" i="1">
                        <a:solidFill>
                          <a:schemeClr val="dk1"/>
                        </a:solidFill>
                        <a:effectLst/>
                        <a:latin typeface="Cambria Math" panose="02040503050406030204" pitchFamily="18" charset="0"/>
                        <a:ea typeface="+mn-ea"/>
                        <a:cs typeface="+mn-cs"/>
                      </a:rPr>
                      <m:t>𝑉𝑒</m:t>
                    </m:r>
                  </m:oMath>
                </m:oMathPara>
              </a14:m>
              <a:endParaRPr lang="fr-FR" sz="1100">
                <a:solidFill>
                  <a:schemeClr val="dk1"/>
                </a:solidFill>
                <a:effectLst/>
                <a:latin typeface="+mn-lt"/>
                <a:ea typeface="+mn-ea"/>
                <a:cs typeface="+mn-cs"/>
              </a:endParaRPr>
            </a:p>
            <a:p>
              <a:endParaRPr lang="fr-FR" sz="1100" kern="1200"/>
            </a:p>
          </xdr:txBody>
        </xdr:sp>
      </mc:Choice>
      <mc:Fallback xmlns="">
        <xdr:sp macro="" textlink="">
          <xdr:nvSpPr>
            <xdr:cNvPr id="2" name="ZoneTexte 1">
              <a:extLst>
                <a:ext uri="{FF2B5EF4-FFF2-40B4-BE49-F238E27FC236}">
                  <a16:creationId xmlns:a16="http://schemas.microsoft.com/office/drawing/2014/main" id="{570A9FFC-FE93-66B6-0E96-42BF10CC76DE}"/>
                </a:ext>
              </a:extLst>
            </xdr:cNvPr>
            <xdr:cNvSpPr txBox="1"/>
          </xdr:nvSpPr>
          <xdr:spPr>
            <a:xfrm>
              <a:off x="3063240" y="556260"/>
              <a:ext cx="26212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i="0">
                  <a:solidFill>
                    <a:schemeClr val="dk1"/>
                  </a:solidFill>
                  <a:effectLst/>
                  <a:latin typeface="+mn-lt"/>
                  <a:ea typeface="+mn-ea"/>
                  <a:cs typeface="+mn-cs"/>
                </a:rPr>
                <a:t>𝑉𝑠=(1+𝑅2/𝑅1)⋅𝑉𝑒</a:t>
              </a:r>
              <a:endParaRPr lang="fr-FR" sz="1100">
                <a:solidFill>
                  <a:schemeClr val="dk1"/>
                </a:solidFill>
                <a:effectLst/>
                <a:latin typeface="+mn-lt"/>
                <a:ea typeface="+mn-ea"/>
                <a:cs typeface="+mn-cs"/>
              </a:endParaRPr>
            </a:p>
            <a:p>
              <a:endParaRPr lang="fr-FR" sz="1100" kern="1200"/>
            </a:p>
          </xdr:txBody>
        </xdr:sp>
      </mc:Fallback>
    </mc:AlternateContent>
    <xdr:clientData/>
  </xdr:twoCellAnchor>
  <xdr:twoCellAnchor>
    <xdr:from>
      <xdr:col>3</xdr:col>
      <xdr:colOff>22860</xdr:colOff>
      <xdr:row>20</xdr:row>
      <xdr:rowOff>7620</xdr:rowOff>
    </xdr:from>
    <xdr:to>
      <xdr:col>6</xdr:col>
      <xdr:colOff>266700</xdr:colOff>
      <xdr:row>22</xdr:row>
      <xdr:rowOff>175260</xdr:rowOff>
    </xdr:to>
    <mc:AlternateContent xmlns:mc="http://schemas.openxmlformats.org/markup-compatibility/2006" xmlns:a14="http://schemas.microsoft.com/office/drawing/2010/main">
      <mc:Choice Requires="a14">
        <xdr:sp macro="" textlink="">
          <xdr:nvSpPr>
            <xdr:cNvPr id="3" name="ZoneTexte 2">
              <a:extLst>
                <a:ext uri="{FF2B5EF4-FFF2-40B4-BE49-F238E27FC236}">
                  <a16:creationId xmlns:a16="http://schemas.microsoft.com/office/drawing/2014/main" id="{03CC9646-F184-4ACC-929A-659C98DD98CE}"/>
                </a:ext>
              </a:extLst>
            </xdr:cNvPr>
            <xdr:cNvSpPr txBox="1"/>
          </xdr:nvSpPr>
          <xdr:spPr>
            <a:xfrm>
              <a:off x="3063240" y="556260"/>
              <a:ext cx="26212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fr-FR" sz="1100" i="1">
                        <a:solidFill>
                          <a:schemeClr val="dk1"/>
                        </a:solidFill>
                        <a:effectLst/>
                        <a:latin typeface="Cambria Math" panose="02040503050406030204" pitchFamily="18" charset="0"/>
                        <a:ea typeface="+mn-ea"/>
                        <a:cs typeface="+mn-cs"/>
                      </a:rPr>
                      <m:t>𝑉𝑠</m:t>
                    </m:r>
                    <m:r>
                      <a:rPr lang="fr-FR" sz="1100">
                        <a:solidFill>
                          <a:schemeClr val="dk1"/>
                        </a:solidFill>
                        <a:effectLst/>
                        <a:latin typeface="Cambria Math" panose="02040503050406030204" pitchFamily="18" charset="0"/>
                        <a:ea typeface="+mn-ea"/>
                        <a:cs typeface="+mn-cs"/>
                      </a:rPr>
                      <m:t>=</m:t>
                    </m:r>
                    <m:d>
                      <m:dPr>
                        <m:ctrlPr>
                          <a:rPr lang="fr-FR" sz="1100" i="1">
                            <a:solidFill>
                              <a:schemeClr val="dk1"/>
                            </a:solidFill>
                            <a:effectLst/>
                            <a:latin typeface="Cambria Math" panose="02040503050406030204" pitchFamily="18" charset="0"/>
                            <a:ea typeface="+mn-ea"/>
                            <a:cs typeface="+mn-cs"/>
                          </a:rPr>
                        </m:ctrlPr>
                      </m:dPr>
                      <m:e>
                        <m:r>
                          <a:rPr lang="fr-FR" sz="1100">
                            <a:solidFill>
                              <a:schemeClr val="dk1"/>
                            </a:solidFill>
                            <a:effectLst/>
                            <a:latin typeface="Cambria Math" panose="02040503050406030204" pitchFamily="18" charset="0"/>
                            <a:ea typeface="+mn-ea"/>
                            <a:cs typeface="+mn-cs"/>
                          </a:rPr>
                          <m:t>1+</m:t>
                        </m:r>
                        <m:f>
                          <m:fPr>
                            <m:ctrlPr>
                              <a:rPr lang="fr-FR" sz="1100" i="1">
                                <a:solidFill>
                                  <a:schemeClr val="dk1"/>
                                </a:solidFill>
                                <a:effectLst/>
                                <a:latin typeface="Cambria Math" panose="02040503050406030204" pitchFamily="18" charset="0"/>
                                <a:ea typeface="+mn-ea"/>
                                <a:cs typeface="+mn-cs"/>
                              </a:rPr>
                            </m:ctrlPr>
                          </m:fPr>
                          <m:num>
                            <m:r>
                              <a:rPr lang="fr-FR" sz="1100" i="1">
                                <a:solidFill>
                                  <a:schemeClr val="dk1"/>
                                </a:solidFill>
                                <a:effectLst/>
                                <a:latin typeface="Cambria Math" panose="02040503050406030204" pitchFamily="18" charset="0"/>
                                <a:ea typeface="+mn-ea"/>
                                <a:cs typeface="+mn-cs"/>
                              </a:rPr>
                              <m:t>𝑅</m:t>
                            </m:r>
                            <m:r>
                              <a:rPr lang="fr-FR" sz="1100">
                                <a:solidFill>
                                  <a:schemeClr val="dk1"/>
                                </a:solidFill>
                                <a:effectLst/>
                                <a:latin typeface="Cambria Math" panose="02040503050406030204" pitchFamily="18" charset="0"/>
                                <a:ea typeface="+mn-ea"/>
                                <a:cs typeface="+mn-cs"/>
                              </a:rPr>
                              <m:t>2</m:t>
                            </m:r>
                          </m:num>
                          <m:den>
                            <m:r>
                              <a:rPr lang="fr-FR" sz="1100" i="1">
                                <a:solidFill>
                                  <a:schemeClr val="dk1"/>
                                </a:solidFill>
                                <a:effectLst/>
                                <a:latin typeface="Cambria Math" panose="02040503050406030204" pitchFamily="18" charset="0"/>
                                <a:ea typeface="+mn-ea"/>
                                <a:cs typeface="+mn-cs"/>
                              </a:rPr>
                              <m:t>𝑅</m:t>
                            </m:r>
                            <m:r>
                              <a:rPr lang="fr-FR" sz="1100">
                                <a:solidFill>
                                  <a:schemeClr val="dk1"/>
                                </a:solidFill>
                                <a:effectLst/>
                                <a:latin typeface="Cambria Math" panose="02040503050406030204" pitchFamily="18" charset="0"/>
                                <a:ea typeface="+mn-ea"/>
                                <a:cs typeface="+mn-cs"/>
                              </a:rPr>
                              <m:t>1</m:t>
                            </m:r>
                          </m:den>
                        </m:f>
                      </m:e>
                    </m:d>
                    <m:r>
                      <a:rPr lang="fr-FR" sz="1100">
                        <a:solidFill>
                          <a:schemeClr val="dk1"/>
                        </a:solidFill>
                        <a:effectLst/>
                        <a:latin typeface="Cambria Math" panose="02040503050406030204" pitchFamily="18" charset="0"/>
                        <a:ea typeface="+mn-ea"/>
                        <a:cs typeface="+mn-cs"/>
                      </a:rPr>
                      <m:t>⋅</m:t>
                    </m:r>
                    <m:r>
                      <a:rPr lang="fr-FR" sz="1100" i="1">
                        <a:solidFill>
                          <a:schemeClr val="dk1"/>
                        </a:solidFill>
                        <a:effectLst/>
                        <a:latin typeface="Cambria Math" panose="02040503050406030204" pitchFamily="18" charset="0"/>
                        <a:ea typeface="+mn-ea"/>
                        <a:cs typeface="+mn-cs"/>
                      </a:rPr>
                      <m:t>𝑉𝑒</m:t>
                    </m:r>
                  </m:oMath>
                </m:oMathPara>
              </a14:m>
              <a:endParaRPr lang="fr-FR" sz="1100">
                <a:solidFill>
                  <a:schemeClr val="dk1"/>
                </a:solidFill>
                <a:effectLst/>
                <a:latin typeface="+mn-lt"/>
                <a:ea typeface="+mn-ea"/>
                <a:cs typeface="+mn-cs"/>
              </a:endParaRPr>
            </a:p>
            <a:p>
              <a:endParaRPr lang="fr-FR" sz="1100" kern="1200"/>
            </a:p>
          </xdr:txBody>
        </xdr:sp>
      </mc:Choice>
      <mc:Fallback xmlns="">
        <xdr:sp macro="" textlink="">
          <xdr:nvSpPr>
            <xdr:cNvPr id="3" name="ZoneTexte 2">
              <a:extLst>
                <a:ext uri="{FF2B5EF4-FFF2-40B4-BE49-F238E27FC236}">
                  <a16:creationId xmlns:a16="http://schemas.microsoft.com/office/drawing/2014/main" id="{03CC9646-F184-4ACC-929A-659C98DD98CE}"/>
                </a:ext>
              </a:extLst>
            </xdr:cNvPr>
            <xdr:cNvSpPr txBox="1"/>
          </xdr:nvSpPr>
          <xdr:spPr>
            <a:xfrm>
              <a:off x="3063240" y="556260"/>
              <a:ext cx="26212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i="0">
                  <a:solidFill>
                    <a:schemeClr val="dk1"/>
                  </a:solidFill>
                  <a:effectLst/>
                  <a:latin typeface="Cambria Math" panose="02040503050406030204" pitchFamily="18" charset="0"/>
                  <a:ea typeface="+mn-ea"/>
                  <a:cs typeface="+mn-cs"/>
                </a:rPr>
                <a:t>𝑉𝑠=(1+𝑅2/𝑅1)⋅𝑉𝑒</a:t>
              </a:r>
              <a:endParaRPr lang="fr-FR" sz="1100">
                <a:solidFill>
                  <a:schemeClr val="dk1"/>
                </a:solidFill>
                <a:effectLst/>
                <a:latin typeface="+mn-lt"/>
                <a:ea typeface="+mn-ea"/>
                <a:cs typeface="+mn-cs"/>
              </a:endParaRPr>
            </a:p>
            <a:p>
              <a:endParaRPr lang="fr-FR" sz="1100" kern="1200"/>
            </a:p>
          </xdr:txBody>
        </xdr:sp>
      </mc:Fallback>
    </mc:AlternateContent>
    <xdr:clientData/>
  </xdr:twoCellAnchor>
  <xdr:twoCellAnchor editAs="oneCell">
    <xdr:from>
      <xdr:col>10</xdr:col>
      <xdr:colOff>1</xdr:colOff>
      <xdr:row>36</xdr:row>
      <xdr:rowOff>92221</xdr:rowOff>
    </xdr:from>
    <xdr:to>
      <xdr:col>19</xdr:col>
      <xdr:colOff>460042</xdr:colOff>
      <xdr:row>56</xdr:row>
      <xdr:rowOff>177931</xdr:rowOff>
    </xdr:to>
    <xdr:pic>
      <xdr:nvPicPr>
        <xdr:cNvPr id="4" name="Image 3">
          <a:extLst>
            <a:ext uri="{FF2B5EF4-FFF2-40B4-BE49-F238E27FC236}">
              <a16:creationId xmlns:a16="http://schemas.microsoft.com/office/drawing/2014/main" id="{4D54905C-2819-EDAB-6870-94312913398A}"/>
            </a:ext>
          </a:extLst>
        </xdr:cNvPr>
        <xdr:cNvPicPr>
          <a:picLocks noChangeAspect="1"/>
        </xdr:cNvPicPr>
      </xdr:nvPicPr>
      <xdr:blipFill>
        <a:blip xmlns:r="http://schemas.openxmlformats.org/officeDocument/2006/relationships" r:embed="rId1"/>
        <a:stretch>
          <a:fillRect/>
        </a:stretch>
      </xdr:blipFill>
      <xdr:spPr>
        <a:xfrm>
          <a:off x="8549899" y="6601509"/>
          <a:ext cx="8222109" cy="37019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175260</xdr:colOff>
      <xdr:row>0</xdr:row>
      <xdr:rowOff>45720</xdr:rowOff>
    </xdr:from>
    <xdr:to>
      <xdr:col>9</xdr:col>
      <xdr:colOff>22860</xdr:colOff>
      <xdr:row>23</xdr:row>
      <xdr:rowOff>152400</xdr:rowOff>
    </xdr:to>
    <xdr:grpSp>
      <xdr:nvGrpSpPr>
        <xdr:cNvPr id="5" name="Groupe 4">
          <a:extLst>
            <a:ext uri="{FF2B5EF4-FFF2-40B4-BE49-F238E27FC236}">
              <a16:creationId xmlns:a16="http://schemas.microsoft.com/office/drawing/2014/main" id="{778DFFBD-DDA6-F9C5-89D4-EE3CEDB4F0DB}"/>
            </a:ext>
          </a:extLst>
        </xdr:cNvPr>
        <xdr:cNvGrpSpPr/>
      </xdr:nvGrpSpPr>
      <xdr:grpSpPr>
        <a:xfrm>
          <a:off x="3444240" y="45720"/>
          <a:ext cx="4602480" cy="4716780"/>
          <a:chOff x="3444240" y="45720"/>
          <a:chExt cx="4602480" cy="4716780"/>
        </a:xfrm>
      </xdr:grpSpPr>
      <xdr:graphicFrame macro="">
        <xdr:nvGraphicFramePr>
          <xdr:cNvPr id="3" name="Graphique 2">
            <a:extLst>
              <a:ext uri="{FF2B5EF4-FFF2-40B4-BE49-F238E27FC236}">
                <a16:creationId xmlns:a16="http://schemas.microsoft.com/office/drawing/2014/main" id="{8D62C25A-6E19-FF41-C187-748588321C15}"/>
              </a:ext>
            </a:extLst>
          </xdr:cNvPr>
          <xdr:cNvGraphicFramePr/>
        </xdr:nvGraphicFramePr>
        <xdr:xfrm>
          <a:off x="3459480" y="323850"/>
          <a:ext cx="4572000" cy="443865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4" name="ZoneTexte 3">
            <a:extLst>
              <a:ext uri="{FF2B5EF4-FFF2-40B4-BE49-F238E27FC236}">
                <a16:creationId xmlns:a16="http://schemas.microsoft.com/office/drawing/2014/main" id="{8B257F3C-C3A0-15D8-984C-0F0015330C31}"/>
              </a:ext>
            </a:extLst>
          </xdr:cNvPr>
          <xdr:cNvSpPr txBox="1"/>
        </xdr:nvSpPr>
        <xdr:spPr>
          <a:xfrm>
            <a:off x="3444240" y="45720"/>
            <a:ext cx="460248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fr-FR" sz="1400" b="0" i="0" baseline="0">
                <a:solidFill>
                  <a:schemeClr val="dk1"/>
                </a:solidFill>
                <a:effectLst/>
                <a:latin typeface="+mn-lt"/>
                <a:ea typeface="+mn-ea"/>
                <a:cs typeface="+mn-cs"/>
              </a:rPr>
              <a:t>Diagramme de GANTT</a:t>
            </a:r>
            <a:endParaRPr lang="fr-FR" sz="1400">
              <a:effectLst/>
            </a:endParaRPr>
          </a:p>
          <a:p>
            <a:endParaRPr lang="fr-FR" sz="1100" kern="12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C8AE9F-3ED8-4B57-A4C7-5A1FB9E2A214}" name="Tableau2" displayName="Tableau2" ref="A1:E10" totalsRowShown="0" headerRowDxfId="8" headerRowBorderDxfId="7" tableBorderDxfId="6" totalsRowBorderDxfId="5">
  <autoFilter ref="A1:E10" xr:uid="{F8C8AE9F-3ED8-4B57-A4C7-5A1FB9E2A214}"/>
  <tableColumns count="5">
    <tableColumn id="1" xr3:uid="{54E0F793-9788-4185-AB0C-611823F17B18}" name="Identifiants" dataDxfId="4"/>
    <tableColumn id="2" xr3:uid="{E992EDD5-7375-4CEE-A092-26CE9FDF5505}" name="Valeurs " dataDxfId="3"/>
    <tableColumn id="3" xr3:uid="{AF908517-C535-475E-8D81-F27E58DE2E61}" name="Datasheet" dataDxfId="2"/>
    <tableColumn id="4" xr3:uid="{7760F0E9-7216-488E-BC64-1FEE193AAE2D}" name="Footprint" dataDxfId="1"/>
    <tableColumn id="5" xr3:uid="{BE6D0C39-0105-4185-92A6-8DBCC6F797F2}" name="Boitier "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8D465-D88A-4435-8F4F-07C032107DBB}">
  <dimension ref="A1:P32"/>
  <sheetViews>
    <sheetView tabSelected="1" topLeftCell="A3" zoomScale="115" zoomScaleNormal="115" workbookViewId="0">
      <selection activeCell="D14" sqref="D14"/>
    </sheetView>
  </sheetViews>
  <sheetFormatPr baseColWidth="10" defaultRowHeight="14.4" x14ac:dyDescent="0.3"/>
  <cols>
    <col min="6" max="6" width="29.88671875" customWidth="1"/>
    <col min="13" max="13" width="16.109375" customWidth="1"/>
  </cols>
  <sheetData>
    <row r="1" spans="1:16" x14ac:dyDescent="0.3">
      <c r="A1" s="1"/>
      <c r="D1" t="s">
        <v>2</v>
      </c>
      <c r="M1" s="24" t="s">
        <v>6</v>
      </c>
      <c r="N1" s="18">
        <v>1E-4</v>
      </c>
      <c r="O1" s="16">
        <v>2.2000000000000001E-4</v>
      </c>
      <c r="P1" s="16">
        <v>4.6999999999999999E-4</v>
      </c>
    </row>
    <row r="2" spans="1:16" ht="15" thickBot="1" x14ac:dyDescent="0.35">
      <c r="A2" s="4"/>
      <c r="B2" s="4" t="s">
        <v>1</v>
      </c>
      <c r="C2" s="4"/>
      <c r="E2" s="6"/>
      <c r="F2" s="6" t="s">
        <v>4</v>
      </c>
      <c r="G2" s="8">
        <v>500</v>
      </c>
      <c r="H2" s="10" t="s">
        <v>3</v>
      </c>
      <c r="I2" s="4"/>
      <c r="J2" s="4" t="s">
        <v>4</v>
      </c>
      <c r="K2" s="4"/>
      <c r="M2" s="25" t="s">
        <v>4</v>
      </c>
      <c r="N2" s="18">
        <v>1.0000000000000001E-5</v>
      </c>
      <c r="O2" s="16">
        <v>2.1999999999999999E-5</v>
      </c>
      <c r="P2" s="16">
        <v>4.6999999999999997E-5</v>
      </c>
    </row>
    <row r="3" spans="1:16" x14ac:dyDescent="0.3">
      <c r="A3" s="5">
        <v>-0.1</v>
      </c>
      <c r="B3" s="6" t="s">
        <v>0</v>
      </c>
      <c r="C3" s="5">
        <v>0.1</v>
      </c>
      <c r="E3" s="5">
        <v>-0.2</v>
      </c>
      <c r="F3" s="6" t="s">
        <v>5</v>
      </c>
      <c r="G3" s="7">
        <v>0.2</v>
      </c>
      <c r="H3" s="2"/>
      <c r="I3" s="5">
        <v>-0.2</v>
      </c>
      <c r="J3" s="6" t="s">
        <v>0</v>
      </c>
      <c r="K3" s="5">
        <v>0.2</v>
      </c>
      <c r="M3" s="23">
        <f t="shared" ref="M3:M8" si="0">1/(2*PI()*$G$2*B4)</f>
        <v>3.1830988618379074E-5</v>
      </c>
      <c r="N3" s="11">
        <f t="shared" ref="N3:N8" si="1">(M3-$N$2)/M3</f>
        <v>0.6858407346410208</v>
      </c>
      <c r="O3" s="11">
        <f t="shared" ref="O3:O8" si="2">(M3-$O$2)/M3</f>
        <v>0.30884961621024565</v>
      </c>
      <c r="P3" s="11">
        <f t="shared" ref="P3:P8" si="3">(M3-$P$2)/M3</f>
        <v>-0.47654854718720241</v>
      </c>
    </row>
    <row r="4" spans="1:16" x14ac:dyDescent="0.3">
      <c r="A4" s="6">
        <f>B4*0.9</f>
        <v>9</v>
      </c>
      <c r="B4" s="6">
        <v>10</v>
      </c>
      <c r="C4" s="6">
        <f>B4*1.1</f>
        <v>11</v>
      </c>
      <c r="E4" s="9">
        <f>F4*0.8</f>
        <v>2.546479089470326E-5</v>
      </c>
      <c r="F4" s="14">
        <f>1/(2*PI()*$G$2*B4)</f>
        <v>3.1830988618379074E-5</v>
      </c>
      <c r="G4" s="9">
        <f>F4*1.2</f>
        <v>3.8197186342054885E-5</v>
      </c>
      <c r="H4" s="2"/>
      <c r="I4" s="9">
        <f>J4*0.8</f>
        <v>8.0000000000000002E-8</v>
      </c>
      <c r="J4" s="16">
        <v>9.9999999999999995E-8</v>
      </c>
      <c r="K4" s="9">
        <f>J4*1.2</f>
        <v>1.1999999999999999E-7</v>
      </c>
      <c r="M4" s="9">
        <f t="shared" si="0"/>
        <v>2.6525823848649224E-5</v>
      </c>
      <c r="N4" s="11">
        <f t="shared" si="1"/>
        <v>0.62300888156922474</v>
      </c>
      <c r="O4" s="11">
        <f>(M4-$O$2)/M4</f>
        <v>0.17061953945229466</v>
      </c>
      <c r="P4" s="11">
        <f t="shared" si="3"/>
        <v>-0.77185825662464325</v>
      </c>
    </row>
    <row r="5" spans="1:16" x14ac:dyDescent="0.3">
      <c r="A5" s="6">
        <f t="shared" ref="A5:A15" si="4">B5*0.9</f>
        <v>10.8</v>
      </c>
      <c r="B5" s="6">
        <v>12</v>
      </c>
      <c r="C5" s="6">
        <f t="shared" ref="C5:C15" si="5">B5*1.1</f>
        <v>13.200000000000001</v>
      </c>
      <c r="E5" s="9">
        <f t="shared" ref="E5:E27" si="6">F5*0.8</f>
        <v>2.1220659078919381E-5</v>
      </c>
      <c r="F5" s="14">
        <f t="shared" ref="F5:F27" si="7">1/(2*PI()*$G$2*B5)</f>
        <v>2.6525823848649224E-5</v>
      </c>
      <c r="G5" s="9">
        <f t="shared" ref="G5:G27" si="8">F5*1.2</f>
        <v>3.1830988618379067E-5</v>
      </c>
      <c r="H5" s="2"/>
      <c r="I5" s="9">
        <f t="shared" ref="I5:I15" si="9">J5*0.8</f>
        <v>1.7600000000000001E-7</v>
      </c>
      <c r="J5" s="16">
        <v>2.2000000000000001E-7</v>
      </c>
      <c r="K5" s="9">
        <f t="shared" ref="K5:K15" si="10">J5*1.2</f>
        <v>2.6399999999999998E-7</v>
      </c>
      <c r="M5" s="9">
        <f t="shared" si="0"/>
        <v>2.1220659078919381E-5</v>
      </c>
      <c r="N5" s="11">
        <f t="shared" si="1"/>
        <v>0.52876110196153103</v>
      </c>
      <c r="O5" s="11">
        <f t="shared" si="2"/>
        <v>-3.6725575684631626E-2</v>
      </c>
      <c r="P5" s="11">
        <f t="shared" si="3"/>
        <v>-1.2148228207808038</v>
      </c>
    </row>
    <row r="6" spans="1:16" x14ac:dyDescent="0.3">
      <c r="A6" s="6">
        <f t="shared" si="4"/>
        <v>13.5</v>
      </c>
      <c r="B6" s="6">
        <v>15</v>
      </c>
      <c r="C6" s="6">
        <f t="shared" si="5"/>
        <v>16.5</v>
      </c>
      <c r="E6" s="9">
        <f t="shared" si="6"/>
        <v>1.6976527263135504E-5</v>
      </c>
      <c r="F6" s="14">
        <f t="shared" si="7"/>
        <v>2.1220659078919381E-5</v>
      </c>
      <c r="G6" s="9">
        <f t="shared" si="8"/>
        <v>2.5464790894703257E-5</v>
      </c>
      <c r="H6" s="2"/>
      <c r="I6" s="9">
        <f t="shared" si="9"/>
        <v>3.7600000000000003E-7</v>
      </c>
      <c r="J6" s="16">
        <v>4.7E-7</v>
      </c>
      <c r="K6" s="9">
        <f t="shared" si="10"/>
        <v>5.6400000000000002E-7</v>
      </c>
      <c r="M6" s="9">
        <f t="shared" si="0"/>
        <v>1.7683882565766149E-5</v>
      </c>
      <c r="N6" s="11">
        <f t="shared" si="1"/>
        <v>0.43451332235383722</v>
      </c>
      <c r="O6" s="11">
        <f t="shared" si="2"/>
        <v>-0.24407069082155802</v>
      </c>
      <c r="P6" s="11">
        <f t="shared" si="3"/>
        <v>-1.6577873849369649</v>
      </c>
    </row>
    <row r="7" spans="1:16" x14ac:dyDescent="0.3">
      <c r="A7" s="6">
        <f t="shared" si="4"/>
        <v>16.2</v>
      </c>
      <c r="B7" s="6">
        <v>18</v>
      </c>
      <c r="C7" s="6">
        <f t="shared" si="5"/>
        <v>19.8</v>
      </c>
      <c r="E7" s="9">
        <f t="shared" si="6"/>
        <v>1.414710605261292E-5</v>
      </c>
      <c r="F7" s="14">
        <f t="shared" si="7"/>
        <v>1.7683882565766149E-5</v>
      </c>
      <c r="G7" s="9">
        <f t="shared" si="8"/>
        <v>2.1220659078919377E-5</v>
      </c>
      <c r="H7" s="2"/>
      <c r="I7" s="9">
        <f t="shared" si="9"/>
        <v>7.9999999999999996E-7</v>
      </c>
      <c r="J7" s="16">
        <v>9.9999999999999995E-7</v>
      </c>
      <c r="K7" s="9">
        <f t="shared" si="10"/>
        <v>1.1999999999999999E-6</v>
      </c>
      <c r="M7" s="9">
        <f t="shared" si="0"/>
        <v>1.4468631190172306E-5</v>
      </c>
      <c r="N7" s="11">
        <f t="shared" si="1"/>
        <v>0.30884961621024554</v>
      </c>
      <c r="O7" s="11">
        <f t="shared" si="2"/>
        <v>-0.52053084433745966</v>
      </c>
      <c r="P7" s="11">
        <f t="shared" si="3"/>
        <v>-2.2484068038118457</v>
      </c>
    </row>
    <row r="8" spans="1:16" x14ac:dyDescent="0.3">
      <c r="A8" s="6">
        <f t="shared" si="4"/>
        <v>19.8</v>
      </c>
      <c r="B8" s="6">
        <v>22</v>
      </c>
      <c r="C8" s="6">
        <f t="shared" si="5"/>
        <v>24.200000000000003</v>
      </c>
      <c r="E8" s="9">
        <f t="shared" si="6"/>
        <v>1.1574904952137845E-5</v>
      </c>
      <c r="F8" s="14">
        <f t="shared" si="7"/>
        <v>1.4468631190172306E-5</v>
      </c>
      <c r="G8" s="9">
        <f t="shared" si="8"/>
        <v>1.7362357428206767E-5</v>
      </c>
      <c r="H8" s="2"/>
      <c r="I8" s="9">
        <f t="shared" si="9"/>
        <v>1.7600000000000001E-6</v>
      </c>
      <c r="J8" s="16">
        <v>2.2000000000000001E-6</v>
      </c>
      <c r="K8" s="9">
        <f t="shared" si="10"/>
        <v>2.6400000000000001E-6</v>
      </c>
      <c r="M8" s="9">
        <f t="shared" si="0"/>
        <v>1.17892550438441E-5</v>
      </c>
      <c r="N8" s="11">
        <f t="shared" si="1"/>
        <v>0.15176998353075585</v>
      </c>
      <c r="O8" s="11">
        <f t="shared" si="2"/>
        <v>-0.86610603623233695</v>
      </c>
      <c r="P8" s="11">
        <f t="shared" si="3"/>
        <v>-2.9866810774054469</v>
      </c>
    </row>
    <row r="9" spans="1:16" x14ac:dyDescent="0.3">
      <c r="A9" s="6">
        <f t="shared" si="4"/>
        <v>24.3</v>
      </c>
      <c r="B9" s="6">
        <v>27</v>
      </c>
      <c r="C9" s="6">
        <f t="shared" si="5"/>
        <v>29.700000000000003</v>
      </c>
      <c r="E9" s="9">
        <f t="shared" si="6"/>
        <v>9.4314040350752804E-6</v>
      </c>
      <c r="F9" s="14">
        <f t="shared" si="7"/>
        <v>1.17892550438441E-5</v>
      </c>
      <c r="G9" s="9">
        <f t="shared" si="8"/>
        <v>1.414710605261292E-5</v>
      </c>
      <c r="H9" s="2"/>
      <c r="I9" s="9">
        <f t="shared" si="9"/>
        <v>3.76E-6</v>
      </c>
      <c r="J9" s="17">
        <v>4.6999999999999999E-6</v>
      </c>
      <c r="K9" s="9">
        <f t="shared" si="10"/>
        <v>5.6399999999999994E-6</v>
      </c>
      <c r="M9" s="6"/>
      <c r="N9" s="18">
        <v>9.9999999999999995E-7</v>
      </c>
      <c r="O9" s="16">
        <v>2.2000000000000001E-6</v>
      </c>
      <c r="P9" s="17">
        <v>4.6999999999999999E-6</v>
      </c>
    </row>
    <row r="10" spans="1:16" x14ac:dyDescent="0.3">
      <c r="A10" s="6">
        <f t="shared" si="4"/>
        <v>29.7</v>
      </c>
      <c r="B10" s="6">
        <v>33</v>
      </c>
      <c r="C10" s="6">
        <f t="shared" si="5"/>
        <v>36.300000000000004</v>
      </c>
      <c r="E10" s="9">
        <f t="shared" si="6"/>
        <v>7.7166033014252308E-6</v>
      </c>
      <c r="F10" s="14">
        <f t="shared" si="7"/>
        <v>9.6457541267815377E-6</v>
      </c>
      <c r="G10" s="9">
        <f t="shared" si="8"/>
        <v>1.1574904952137845E-5</v>
      </c>
      <c r="H10" s="2"/>
      <c r="I10" s="9">
        <f t="shared" si="9"/>
        <v>8.0000000000000013E-6</v>
      </c>
      <c r="J10" s="16">
        <v>1.0000000000000001E-5</v>
      </c>
      <c r="K10" s="9">
        <f t="shared" si="10"/>
        <v>1.2E-5</v>
      </c>
      <c r="M10" s="9">
        <f t="shared" ref="M10:M21" si="11">1/(2*PI()*$G$2*B10)</f>
        <v>9.6457541267815377E-6</v>
      </c>
      <c r="N10" s="11">
        <f t="shared" ref="N10:N21" si="12">(M10-$N$9)/M10</f>
        <v>0.89632744243153684</v>
      </c>
      <c r="O10" s="11">
        <f t="shared" ref="O10:O21" si="13">(M10-$O$9)/M10</f>
        <v>0.77192037334938102</v>
      </c>
      <c r="P10" s="20">
        <f t="shared" ref="P10:P21" si="14">(M10-$P$9)/M10</f>
        <v>0.51273897942822322</v>
      </c>
    </row>
    <row r="11" spans="1:16" x14ac:dyDescent="0.3">
      <c r="A11" s="6">
        <f t="shared" si="4"/>
        <v>35.1</v>
      </c>
      <c r="B11" s="6">
        <v>39</v>
      </c>
      <c r="C11" s="6">
        <f t="shared" si="5"/>
        <v>42.900000000000006</v>
      </c>
      <c r="E11" s="9">
        <f t="shared" si="6"/>
        <v>6.5294335627444243E-6</v>
      </c>
      <c r="F11" s="14">
        <f t="shared" si="7"/>
        <v>8.1617919534305302E-6</v>
      </c>
      <c r="G11" s="9">
        <f t="shared" si="8"/>
        <v>9.7941503441166352E-6</v>
      </c>
      <c r="H11" s="2"/>
      <c r="I11" s="9">
        <f t="shared" si="9"/>
        <v>1.7600000000000001E-5</v>
      </c>
      <c r="J11" s="16">
        <v>2.1999999999999999E-5</v>
      </c>
      <c r="K11" s="9">
        <f t="shared" si="10"/>
        <v>2.6399999999999998E-5</v>
      </c>
      <c r="M11" s="9">
        <f t="shared" si="11"/>
        <v>8.1617919534305302E-6</v>
      </c>
      <c r="N11" s="11">
        <f t="shared" si="12"/>
        <v>0.87747788650999814</v>
      </c>
      <c r="O11" s="11">
        <f t="shared" si="13"/>
        <v>0.73045135032199571</v>
      </c>
      <c r="P11" s="20">
        <f t="shared" si="14"/>
        <v>0.42414606659699094</v>
      </c>
    </row>
    <row r="12" spans="1:16" x14ac:dyDescent="0.3">
      <c r="A12" s="6">
        <f t="shared" si="4"/>
        <v>42.300000000000004</v>
      </c>
      <c r="B12" s="6">
        <v>47</v>
      </c>
      <c r="C12" s="6">
        <f t="shared" si="5"/>
        <v>51.7</v>
      </c>
      <c r="E12" s="9">
        <f t="shared" si="6"/>
        <v>5.4180406158943093E-6</v>
      </c>
      <c r="F12" s="14">
        <f t="shared" si="7"/>
        <v>6.7725507698678867E-6</v>
      </c>
      <c r="G12" s="9">
        <f t="shared" si="8"/>
        <v>8.127060923841464E-6</v>
      </c>
      <c r="H12" s="2"/>
      <c r="I12" s="9">
        <f t="shared" si="9"/>
        <v>3.7599999999999999E-5</v>
      </c>
      <c r="J12" s="16">
        <v>4.6999999999999997E-5</v>
      </c>
      <c r="K12" s="9">
        <f t="shared" si="10"/>
        <v>5.6399999999999995E-5</v>
      </c>
      <c r="M12" s="9">
        <f t="shared" si="11"/>
        <v>6.7725507698678867E-6</v>
      </c>
      <c r="N12" s="11">
        <f t="shared" si="12"/>
        <v>0.8523451452812798</v>
      </c>
      <c r="O12" s="11">
        <f t="shared" si="13"/>
        <v>0.67515931961881537</v>
      </c>
      <c r="P12" s="20">
        <f t="shared" si="14"/>
        <v>0.30602218282201471</v>
      </c>
    </row>
    <row r="13" spans="1:16" x14ac:dyDescent="0.3">
      <c r="A13" s="6">
        <f t="shared" si="4"/>
        <v>50.4</v>
      </c>
      <c r="B13" s="6">
        <v>56</v>
      </c>
      <c r="C13" s="6">
        <f t="shared" si="5"/>
        <v>61.600000000000009</v>
      </c>
      <c r="E13" s="9">
        <f t="shared" si="6"/>
        <v>4.5472840883398673E-6</v>
      </c>
      <c r="F13" s="14">
        <f t="shared" si="7"/>
        <v>5.6841051104248341E-6</v>
      </c>
      <c r="G13" s="9">
        <f t="shared" si="8"/>
        <v>6.8209261325098009E-6</v>
      </c>
      <c r="H13" s="2"/>
      <c r="I13" s="9">
        <f t="shared" si="9"/>
        <v>8.0000000000000007E-5</v>
      </c>
      <c r="J13" s="16">
        <v>1E-4</v>
      </c>
      <c r="K13" s="9">
        <f t="shared" si="10"/>
        <v>1.2E-4</v>
      </c>
      <c r="M13" s="9">
        <f t="shared" si="11"/>
        <v>5.6841051104248341E-6</v>
      </c>
      <c r="N13" s="11">
        <f t="shared" si="12"/>
        <v>0.82407081139897165</v>
      </c>
      <c r="O13" s="11">
        <f t="shared" si="13"/>
        <v>0.61295578507773751</v>
      </c>
      <c r="P13" s="20">
        <f t="shared" si="14"/>
        <v>0.17313281357516652</v>
      </c>
    </row>
    <row r="14" spans="1:16" x14ac:dyDescent="0.3">
      <c r="A14" s="6">
        <f t="shared" si="4"/>
        <v>61.2</v>
      </c>
      <c r="B14" s="6">
        <v>68</v>
      </c>
      <c r="C14" s="6">
        <f t="shared" si="5"/>
        <v>74.800000000000011</v>
      </c>
      <c r="E14" s="9">
        <f t="shared" si="6"/>
        <v>3.7448221903975379E-6</v>
      </c>
      <c r="F14" s="15">
        <f t="shared" si="7"/>
        <v>4.6810277379969221E-6</v>
      </c>
      <c r="G14" s="9">
        <f t="shared" si="8"/>
        <v>5.6172332855963067E-6</v>
      </c>
      <c r="H14" s="2"/>
      <c r="I14" s="9">
        <f t="shared" si="9"/>
        <v>1.7600000000000002E-4</v>
      </c>
      <c r="J14" s="16">
        <v>2.2000000000000001E-4</v>
      </c>
      <c r="K14" s="9">
        <f t="shared" si="10"/>
        <v>2.6400000000000002E-4</v>
      </c>
      <c r="M14" s="19">
        <f t="shared" si="11"/>
        <v>4.6810277379969221E-6</v>
      </c>
      <c r="N14" s="20">
        <f t="shared" si="12"/>
        <v>0.78637169955589414</v>
      </c>
      <c r="O14" s="20">
        <f t="shared" si="13"/>
        <v>0.530017739022967</v>
      </c>
      <c r="P14" s="21">
        <f t="shared" si="14"/>
        <v>-4.0530120872978026E-3</v>
      </c>
    </row>
    <row r="15" spans="1:16" x14ac:dyDescent="0.3">
      <c r="A15" s="6">
        <f t="shared" si="4"/>
        <v>73.8</v>
      </c>
      <c r="B15" s="6">
        <v>82</v>
      </c>
      <c r="C15" s="6">
        <f t="shared" si="5"/>
        <v>90.2</v>
      </c>
      <c r="E15" s="9">
        <f t="shared" si="6"/>
        <v>3.1054623042321042E-6</v>
      </c>
      <c r="F15" s="14">
        <f t="shared" si="7"/>
        <v>3.8818278802901301E-6</v>
      </c>
      <c r="G15" s="9">
        <f t="shared" si="8"/>
        <v>4.6581934563481556E-6</v>
      </c>
      <c r="H15" s="2"/>
      <c r="I15" s="9">
        <f t="shared" si="9"/>
        <v>3.7600000000000003E-4</v>
      </c>
      <c r="J15" s="16">
        <v>4.6999999999999999E-4</v>
      </c>
      <c r="K15" s="9">
        <f t="shared" si="10"/>
        <v>5.6399999999999994E-4</v>
      </c>
      <c r="M15" s="9">
        <f t="shared" si="11"/>
        <v>3.8818278802901301E-6</v>
      </c>
      <c r="N15" s="11">
        <f t="shared" si="12"/>
        <v>0.742389402405637</v>
      </c>
      <c r="O15" s="11">
        <f t="shared" si="13"/>
        <v>0.43325668529240124</v>
      </c>
      <c r="P15" s="11">
        <f t="shared" si="14"/>
        <v>-0.21076980869350628</v>
      </c>
    </row>
    <row r="16" spans="1:16" x14ac:dyDescent="0.3">
      <c r="A16" s="6">
        <f>B16*0.9</f>
        <v>90</v>
      </c>
      <c r="B16" s="6">
        <v>100</v>
      </c>
      <c r="C16" s="6">
        <f>B16*1.1</f>
        <v>110.00000000000001</v>
      </c>
      <c r="E16" s="9">
        <f t="shared" si="6"/>
        <v>2.546479089470326E-6</v>
      </c>
      <c r="F16" s="14">
        <f t="shared" si="7"/>
        <v>3.1830988618379071E-6</v>
      </c>
      <c r="G16" s="9">
        <f t="shared" si="8"/>
        <v>3.8197186342054882E-6</v>
      </c>
      <c r="M16" s="9">
        <f t="shared" si="11"/>
        <v>3.1830988618379071E-6</v>
      </c>
      <c r="N16" s="11">
        <f t="shared" si="12"/>
        <v>0.6858407346410208</v>
      </c>
      <c r="O16" s="11">
        <f t="shared" si="13"/>
        <v>0.30884961621024554</v>
      </c>
      <c r="P16" s="11">
        <f t="shared" si="14"/>
        <v>-0.47654854718720263</v>
      </c>
    </row>
    <row r="17" spans="1:16" x14ac:dyDescent="0.3">
      <c r="A17" s="6">
        <f t="shared" ref="A17:A27" si="15">B17*0.9</f>
        <v>108</v>
      </c>
      <c r="B17" s="6">
        <v>120</v>
      </c>
      <c r="C17" s="6">
        <f t="shared" ref="C17:C27" si="16">B17*1.1</f>
        <v>132</v>
      </c>
      <c r="E17" s="9">
        <f t="shared" si="6"/>
        <v>2.1220659078919381E-6</v>
      </c>
      <c r="F17" s="14">
        <f t="shared" si="7"/>
        <v>2.6525823848649226E-6</v>
      </c>
      <c r="G17" s="9">
        <f t="shared" si="8"/>
        <v>3.1830988618379071E-6</v>
      </c>
      <c r="K17" s="12"/>
      <c r="M17" s="9">
        <f t="shared" si="11"/>
        <v>2.6525823848649226E-6</v>
      </c>
      <c r="N17" s="11">
        <f t="shared" si="12"/>
        <v>0.62300888156922485</v>
      </c>
      <c r="O17" s="11">
        <f t="shared" si="13"/>
        <v>0.17061953945229463</v>
      </c>
      <c r="P17" s="11">
        <f t="shared" si="14"/>
        <v>-0.77185825662464314</v>
      </c>
    </row>
    <row r="18" spans="1:16" x14ac:dyDescent="0.3">
      <c r="A18" s="6">
        <f t="shared" si="15"/>
        <v>135</v>
      </c>
      <c r="B18" s="6">
        <v>150</v>
      </c>
      <c r="C18" s="6">
        <f t="shared" si="16"/>
        <v>165</v>
      </c>
      <c r="E18" s="9">
        <f t="shared" si="6"/>
        <v>1.6976527263135505E-6</v>
      </c>
      <c r="F18" s="14">
        <f t="shared" si="7"/>
        <v>2.1220659078919381E-6</v>
      </c>
      <c r="G18" s="9">
        <f t="shared" si="8"/>
        <v>2.5464790894703256E-6</v>
      </c>
      <c r="K18" s="12"/>
      <c r="M18" s="9">
        <f t="shared" si="11"/>
        <v>2.1220659078919381E-6</v>
      </c>
      <c r="N18" s="11">
        <f t="shared" si="12"/>
        <v>0.52876110196153114</v>
      </c>
      <c r="O18" s="11">
        <f t="shared" si="13"/>
        <v>-3.6725575684631702E-2</v>
      </c>
      <c r="P18" s="11">
        <f t="shared" si="14"/>
        <v>-1.2148228207808038</v>
      </c>
    </row>
    <row r="19" spans="1:16" x14ac:dyDescent="0.3">
      <c r="A19" s="6">
        <f t="shared" si="15"/>
        <v>162</v>
      </c>
      <c r="B19" s="6">
        <v>180</v>
      </c>
      <c r="C19" s="6">
        <f t="shared" si="16"/>
        <v>198.00000000000003</v>
      </c>
      <c r="E19" s="9">
        <f t="shared" si="6"/>
        <v>1.4147106052612923E-6</v>
      </c>
      <c r="F19" s="14">
        <f t="shared" si="7"/>
        <v>1.7683882565766152E-6</v>
      </c>
      <c r="G19" s="9">
        <f t="shared" si="8"/>
        <v>2.1220659078919381E-6</v>
      </c>
      <c r="K19" s="12"/>
      <c r="M19" s="9">
        <f t="shared" si="11"/>
        <v>1.7683882565766152E-6</v>
      </c>
      <c r="N19" s="11">
        <f t="shared" si="12"/>
        <v>0.43451332235383733</v>
      </c>
      <c r="O19" s="11">
        <f t="shared" si="13"/>
        <v>-0.24407069082155794</v>
      </c>
      <c r="P19" s="11">
        <f t="shared" si="14"/>
        <v>-1.6577873849369644</v>
      </c>
    </row>
    <row r="20" spans="1:16" x14ac:dyDescent="0.3">
      <c r="A20" s="6">
        <f t="shared" si="15"/>
        <v>198</v>
      </c>
      <c r="B20" s="6">
        <v>220</v>
      </c>
      <c r="C20" s="6">
        <f t="shared" si="16"/>
        <v>242.00000000000003</v>
      </c>
      <c r="E20" s="9">
        <f t="shared" si="6"/>
        <v>1.1574904952137844E-6</v>
      </c>
      <c r="F20" s="14">
        <f t="shared" si="7"/>
        <v>1.4468631190172304E-6</v>
      </c>
      <c r="G20" s="9">
        <f t="shared" si="8"/>
        <v>1.7362357428206763E-6</v>
      </c>
      <c r="K20" s="12"/>
      <c r="M20" s="9">
        <f t="shared" si="11"/>
        <v>1.4468631190172304E-6</v>
      </c>
      <c r="N20" s="11">
        <f t="shared" si="12"/>
        <v>0.30884961621024554</v>
      </c>
      <c r="O20" s="11">
        <f t="shared" si="13"/>
        <v>-0.52053084433746</v>
      </c>
      <c r="P20" s="11">
        <f t="shared" si="14"/>
        <v>-2.2484068038118461</v>
      </c>
    </row>
    <row r="21" spans="1:16" x14ac:dyDescent="0.3">
      <c r="A21" s="6">
        <f t="shared" si="15"/>
        <v>243</v>
      </c>
      <c r="B21" s="6">
        <v>270</v>
      </c>
      <c r="C21" s="6">
        <f t="shared" si="16"/>
        <v>297</v>
      </c>
      <c r="E21" s="9">
        <f t="shared" si="6"/>
        <v>9.4314040350752811E-7</v>
      </c>
      <c r="F21" s="14">
        <f t="shared" si="7"/>
        <v>1.1789255043844101E-6</v>
      </c>
      <c r="G21" s="9">
        <f t="shared" si="8"/>
        <v>1.4147106052612921E-6</v>
      </c>
      <c r="H21" s="12"/>
      <c r="K21" s="12"/>
      <c r="M21" s="9">
        <f t="shared" si="11"/>
        <v>1.1789255043844101E-6</v>
      </c>
      <c r="N21" s="11">
        <f t="shared" si="12"/>
        <v>0.15176998353075596</v>
      </c>
      <c r="O21" s="11">
        <f t="shared" si="13"/>
        <v>-0.86610603623233706</v>
      </c>
      <c r="P21" s="11">
        <f t="shared" si="14"/>
        <v>-2.9866810774054473</v>
      </c>
    </row>
    <row r="22" spans="1:16" x14ac:dyDescent="0.3">
      <c r="A22" s="6">
        <f t="shared" si="15"/>
        <v>297</v>
      </c>
      <c r="B22" s="6">
        <v>330</v>
      </c>
      <c r="C22" s="6">
        <f t="shared" si="16"/>
        <v>363.00000000000006</v>
      </c>
      <c r="E22" s="9">
        <f t="shared" si="6"/>
        <v>7.7166033014252298E-7</v>
      </c>
      <c r="F22" s="14">
        <f t="shared" si="7"/>
        <v>9.6457541267815364E-7</v>
      </c>
      <c r="G22" s="9">
        <f t="shared" si="8"/>
        <v>1.1574904952137844E-6</v>
      </c>
      <c r="H22" s="12"/>
      <c r="K22" s="12"/>
      <c r="M22" s="6"/>
      <c r="N22" s="18">
        <v>9.9999999999999995E-8</v>
      </c>
      <c r="O22" s="16">
        <v>2.2000000000000001E-7</v>
      </c>
      <c r="P22" s="17">
        <v>4.7E-7</v>
      </c>
    </row>
    <row r="23" spans="1:16" x14ac:dyDescent="0.3">
      <c r="A23" s="6">
        <f t="shared" si="15"/>
        <v>351</v>
      </c>
      <c r="B23" s="6">
        <v>390</v>
      </c>
      <c r="C23" s="6">
        <f t="shared" si="16"/>
        <v>429.00000000000006</v>
      </c>
      <c r="E23" s="9">
        <f t="shared" si="6"/>
        <v>6.5294335627444245E-7</v>
      </c>
      <c r="F23" s="14">
        <f t="shared" si="7"/>
        <v>8.1617919534305304E-7</v>
      </c>
      <c r="G23" s="9">
        <f t="shared" si="8"/>
        <v>9.7941503441166352E-7</v>
      </c>
      <c r="H23" s="12"/>
      <c r="K23" s="12"/>
      <c r="M23" s="9">
        <f t="shared" ref="M23:M28" si="17">1/(2*PI()*$G$2*B22)</f>
        <v>9.6457541267815364E-7</v>
      </c>
      <c r="N23" s="11">
        <f t="shared" ref="N23:N28" si="18">(M23-$N$22)/M23</f>
        <v>0.89632744243153684</v>
      </c>
      <c r="O23" s="11">
        <f t="shared" ref="O23:O28" si="19">(M23-$O$22)/M23</f>
        <v>0.77192037334938102</v>
      </c>
      <c r="P23" s="22">
        <f t="shared" ref="P23:P28" si="20">(M23-$P$22)/M23</f>
        <v>0.51273897942822322</v>
      </c>
    </row>
    <row r="24" spans="1:16" x14ac:dyDescent="0.3">
      <c r="A24" s="6">
        <f t="shared" si="15"/>
        <v>423</v>
      </c>
      <c r="B24" s="6">
        <v>470</v>
      </c>
      <c r="C24" s="6">
        <f t="shared" si="16"/>
        <v>517</v>
      </c>
      <c r="E24" s="9">
        <f t="shared" si="6"/>
        <v>5.4180406158943102E-7</v>
      </c>
      <c r="F24" s="14">
        <f t="shared" si="7"/>
        <v>6.7725507698678877E-7</v>
      </c>
      <c r="G24" s="9">
        <f t="shared" si="8"/>
        <v>8.1270609238414653E-7</v>
      </c>
      <c r="H24" s="12"/>
      <c r="K24" s="12"/>
      <c r="M24" s="9">
        <f t="shared" si="17"/>
        <v>8.1617919534305304E-7</v>
      </c>
      <c r="N24" s="11">
        <f t="shared" si="18"/>
        <v>0.87747788650999803</v>
      </c>
      <c r="O24" s="11">
        <f t="shared" si="19"/>
        <v>0.73045135032199571</v>
      </c>
      <c r="P24" s="22">
        <f t="shared" si="20"/>
        <v>0.42414606659699094</v>
      </c>
    </row>
    <row r="25" spans="1:16" x14ac:dyDescent="0.3">
      <c r="A25" s="6">
        <f t="shared" si="15"/>
        <v>504</v>
      </c>
      <c r="B25" s="6">
        <v>560</v>
      </c>
      <c r="C25" s="6">
        <f t="shared" si="16"/>
        <v>616</v>
      </c>
      <c r="E25" s="9">
        <f t="shared" si="6"/>
        <v>4.5472840883398673E-7</v>
      </c>
      <c r="F25" s="14">
        <f t="shared" si="7"/>
        <v>5.6841051104248341E-7</v>
      </c>
      <c r="G25" s="9">
        <f t="shared" si="8"/>
        <v>6.8209261325098009E-7</v>
      </c>
      <c r="H25" s="12"/>
      <c r="K25" s="12"/>
      <c r="M25" s="9">
        <f t="shared" si="17"/>
        <v>6.7725507698678877E-7</v>
      </c>
      <c r="N25" s="11">
        <f t="shared" si="18"/>
        <v>0.8523451452812798</v>
      </c>
      <c r="O25" s="11">
        <f t="shared" si="19"/>
        <v>0.67515931961881537</v>
      </c>
      <c r="P25" s="22">
        <f t="shared" si="20"/>
        <v>0.30602218282201477</v>
      </c>
    </row>
    <row r="26" spans="1:16" x14ac:dyDescent="0.3">
      <c r="A26" s="6">
        <f t="shared" si="15"/>
        <v>612</v>
      </c>
      <c r="B26" s="6">
        <v>680</v>
      </c>
      <c r="C26" s="6">
        <f t="shared" si="16"/>
        <v>748.00000000000011</v>
      </c>
      <c r="E26" s="9">
        <f t="shared" si="6"/>
        <v>3.7448221903975375E-7</v>
      </c>
      <c r="F26" s="14">
        <f t="shared" si="7"/>
        <v>4.6810277379969219E-7</v>
      </c>
      <c r="G26" s="9">
        <f t="shared" si="8"/>
        <v>5.6172332855963062E-7</v>
      </c>
      <c r="H26" s="12"/>
      <c r="K26" s="12"/>
      <c r="M26" s="9">
        <f t="shared" si="17"/>
        <v>5.6841051104248341E-7</v>
      </c>
      <c r="N26" s="11">
        <f t="shared" si="18"/>
        <v>0.82407081139897165</v>
      </c>
      <c r="O26" s="11">
        <f t="shared" si="19"/>
        <v>0.61295578507773751</v>
      </c>
      <c r="P26" s="22">
        <f t="shared" si="20"/>
        <v>0.17313281357516652</v>
      </c>
    </row>
    <row r="27" spans="1:16" x14ac:dyDescent="0.3">
      <c r="A27" s="6">
        <f t="shared" si="15"/>
        <v>738</v>
      </c>
      <c r="B27" s="6">
        <v>820</v>
      </c>
      <c r="C27" s="6">
        <f t="shared" si="16"/>
        <v>902.00000000000011</v>
      </c>
      <c r="E27" s="9">
        <f t="shared" si="6"/>
        <v>3.105462304232105E-7</v>
      </c>
      <c r="F27" s="14">
        <f t="shared" si="7"/>
        <v>3.8818278802901308E-7</v>
      </c>
      <c r="G27" s="9">
        <f t="shared" si="8"/>
        <v>4.6581934563481565E-7</v>
      </c>
      <c r="H27" s="12"/>
      <c r="K27" s="12"/>
      <c r="M27" s="19">
        <f t="shared" si="17"/>
        <v>4.6810277379969219E-7</v>
      </c>
      <c r="N27" s="22">
        <f t="shared" si="18"/>
        <v>0.78637169955589403</v>
      </c>
      <c r="O27" s="22">
        <f t="shared" si="19"/>
        <v>0.53001773902296689</v>
      </c>
      <c r="P27" s="21">
        <f t="shared" si="20"/>
        <v>-4.0530120872978711E-3</v>
      </c>
    </row>
    <row r="28" spans="1:16" x14ac:dyDescent="0.3">
      <c r="G28" s="3"/>
      <c r="H28" s="12"/>
      <c r="K28" s="12"/>
      <c r="M28" s="9">
        <f t="shared" si="17"/>
        <v>3.8818278802901308E-7</v>
      </c>
      <c r="N28" s="11">
        <f t="shared" si="18"/>
        <v>0.742389402405637</v>
      </c>
      <c r="O28" s="11">
        <f t="shared" si="19"/>
        <v>0.43325668529240136</v>
      </c>
      <c r="P28" s="11">
        <f t="shared" si="20"/>
        <v>-0.21076980869350612</v>
      </c>
    </row>
    <row r="29" spans="1:16" x14ac:dyDescent="0.3">
      <c r="G29" s="3"/>
      <c r="H29" s="13"/>
    </row>
    <row r="30" spans="1:16" x14ac:dyDescent="0.3">
      <c r="G30" s="3"/>
      <c r="H30" s="12"/>
    </row>
    <row r="31" spans="1:16" x14ac:dyDescent="0.3">
      <c r="G31" s="3"/>
      <c r="H31" s="12"/>
    </row>
    <row r="32" spans="1:16" x14ac:dyDescent="0.3">
      <c r="G32" s="3"/>
      <c r="H32" s="1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1F2D7-243E-4284-B63E-57F0E779CAD8}">
  <dimension ref="A1:P32"/>
  <sheetViews>
    <sheetView workbookViewId="0">
      <selection activeCell="N16" sqref="N16"/>
    </sheetView>
  </sheetViews>
  <sheetFormatPr baseColWidth="10" defaultRowHeight="14.4" x14ac:dyDescent="0.3"/>
  <cols>
    <col min="6" max="6" width="29.88671875" customWidth="1"/>
    <col min="13" max="13" width="16.109375" customWidth="1"/>
  </cols>
  <sheetData>
    <row r="1" spans="1:16" x14ac:dyDescent="0.3">
      <c r="A1" s="1"/>
      <c r="D1" t="s">
        <v>7</v>
      </c>
      <c r="M1" s="24" t="s">
        <v>6</v>
      </c>
      <c r="N1" s="18">
        <v>1E-4</v>
      </c>
      <c r="O1" s="16">
        <v>2.2000000000000001E-4</v>
      </c>
      <c r="P1" s="16">
        <v>4.6999999999999999E-4</v>
      </c>
    </row>
    <row r="2" spans="1:16" ht="15" thickBot="1" x14ac:dyDescent="0.35">
      <c r="A2" s="4"/>
      <c r="B2" s="4" t="s">
        <v>1</v>
      </c>
      <c r="C2" s="4"/>
      <c r="E2" s="6"/>
      <c r="F2" s="6" t="s">
        <v>4</v>
      </c>
      <c r="G2" s="8">
        <v>2000</v>
      </c>
      <c r="H2" s="10" t="s">
        <v>3</v>
      </c>
      <c r="I2" s="4"/>
      <c r="J2" s="4" t="s">
        <v>4</v>
      </c>
      <c r="K2" s="4"/>
      <c r="M2" s="25" t="s">
        <v>4</v>
      </c>
      <c r="N2" s="18">
        <v>1.0000000000000001E-5</v>
      </c>
      <c r="O2" s="16">
        <v>2.1999999999999999E-5</v>
      </c>
      <c r="P2" s="16">
        <v>4.6999999999999997E-5</v>
      </c>
    </row>
    <row r="3" spans="1:16" x14ac:dyDescent="0.3">
      <c r="A3" s="5">
        <v>-0.1</v>
      </c>
      <c r="B3" s="6" t="s">
        <v>0</v>
      </c>
      <c r="C3" s="5">
        <v>0.1</v>
      </c>
      <c r="E3" s="5">
        <v>-0.2</v>
      </c>
      <c r="F3" s="6" t="s">
        <v>5</v>
      </c>
      <c r="G3" s="7">
        <v>0.2</v>
      </c>
      <c r="H3" s="2"/>
      <c r="I3" s="5">
        <v>-0.2</v>
      </c>
      <c r="J3" s="6" t="s">
        <v>0</v>
      </c>
      <c r="K3" s="5">
        <v>0.2</v>
      </c>
      <c r="M3" s="23">
        <f t="shared" ref="M3:M8" si="0">1/(2*PI()*$G$2*B4)</f>
        <v>7.9577471545947685E-6</v>
      </c>
      <c r="N3" s="11">
        <f t="shared" ref="N3:N8" si="1">(M3-$N$2)/M3</f>
        <v>-0.25663706143591714</v>
      </c>
      <c r="O3" s="11">
        <f t="shared" ref="O3:O8" si="2">(M3-$O$2)/M3</f>
        <v>-1.7646015351590174</v>
      </c>
      <c r="P3" s="11">
        <f t="shared" ref="P3:P8" si="3">(M3-$P$2)/M3</f>
        <v>-4.9061941887488096</v>
      </c>
    </row>
    <row r="4" spans="1:16" x14ac:dyDescent="0.3">
      <c r="A4" s="6">
        <f>B4*0.9</f>
        <v>9</v>
      </c>
      <c r="B4" s="6">
        <v>10</v>
      </c>
      <c r="C4" s="6">
        <f>B4*1.1</f>
        <v>11</v>
      </c>
      <c r="E4" s="9">
        <f>F4*0.8</f>
        <v>6.366197723675815E-6</v>
      </c>
      <c r="F4" s="30">
        <f>1/(2*PI()*$G$2*B4)</f>
        <v>7.9577471545947685E-6</v>
      </c>
      <c r="G4" s="9">
        <f>F4*1.2</f>
        <v>9.5492965855137212E-6</v>
      </c>
      <c r="H4" s="2"/>
      <c r="I4" s="9">
        <f>J4*0.8</f>
        <v>8.0000000000000002E-8</v>
      </c>
      <c r="J4" s="16">
        <v>9.9999999999999995E-8</v>
      </c>
      <c r="K4" s="9">
        <f>J4*1.2</f>
        <v>1.1999999999999999E-7</v>
      </c>
      <c r="M4" s="9">
        <f t="shared" si="0"/>
        <v>6.631455962162306E-6</v>
      </c>
      <c r="N4" s="11">
        <f t="shared" si="1"/>
        <v>-0.50796447372310083</v>
      </c>
      <c r="O4" s="11">
        <f t="shared" si="2"/>
        <v>-2.3175218421908217</v>
      </c>
      <c r="P4" s="11">
        <f t="shared" si="3"/>
        <v>-6.087433026498573</v>
      </c>
    </row>
    <row r="5" spans="1:16" x14ac:dyDescent="0.3">
      <c r="A5" s="6">
        <f t="shared" ref="A5:A15" si="4">B5*0.9</f>
        <v>10.8</v>
      </c>
      <c r="B5" s="6">
        <v>12</v>
      </c>
      <c r="C5" s="6">
        <f t="shared" ref="C5:C15" si="5">B5*1.1</f>
        <v>13.200000000000001</v>
      </c>
      <c r="E5" s="9">
        <f t="shared" ref="E5:E27" si="6">F5*0.8</f>
        <v>5.3051647697298451E-6</v>
      </c>
      <c r="F5" s="30">
        <f t="shared" ref="F5:F27" si="7">1/(2*PI()*$G$2*B5)</f>
        <v>6.631455962162306E-6</v>
      </c>
      <c r="G5" s="9">
        <f t="shared" ref="G5:G27" si="8">F5*1.2</f>
        <v>7.9577471545947669E-6</v>
      </c>
      <c r="H5" s="2"/>
      <c r="I5" s="9">
        <f t="shared" ref="I5:I15" si="9">J5*0.8</f>
        <v>1.7600000000000001E-7</v>
      </c>
      <c r="J5" s="16">
        <v>2.2000000000000001E-7</v>
      </c>
      <c r="K5" s="9">
        <f t="shared" ref="K5:K15" si="10">J5*1.2</f>
        <v>2.6399999999999998E-7</v>
      </c>
      <c r="M5" s="9">
        <f t="shared" si="0"/>
        <v>5.3051647697298451E-6</v>
      </c>
      <c r="N5" s="11">
        <f t="shared" si="1"/>
        <v>-0.88495559215387587</v>
      </c>
      <c r="O5" s="11">
        <f t="shared" si="2"/>
        <v>-3.1469023027385261</v>
      </c>
      <c r="P5" s="11">
        <f t="shared" si="3"/>
        <v>-7.8592912831232153</v>
      </c>
    </row>
    <row r="6" spans="1:16" x14ac:dyDescent="0.3">
      <c r="A6" s="6">
        <f t="shared" si="4"/>
        <v>13.5</v>
      </c>
      <c r="B6" s="6">
        <v>15</v>
      </c>
      <c r="C6" s="6">
        <f t="shared" si="5"/>
        <v>16.5</v>
      </c>
      <c r="E6" s="9">
        <f t="shared" si="6"/>
        <v>4.2441318157838761E-6</v>
      </c>
      <c r="F6" s="30">
        <f t="shared" si="7"/>
        <v>5.3051647697298451E-6</v>
      </c>
      <c r="G6" s="9">
        <f t="shared" si="8"/>
        <v>6.3661977236758142E-6</v>
      </c>
      <c r="H6" s="2"/>
      <c r="I6" s="9">
        <f t="shared" si="9"/>
        <v>3.7600000000000003E-7</v>
      </c>
      <c r="J6" s="16">
        <v>4.7E-7</v>
      </c>
      <c r="K6" s="9">
        <f t="shared" si="10"/>
        <v>5.6400000000000002E-7</v>
      </c>
      <c r="M6" s="9">
        <f t="shared" si="0"/>
        <v>4.4209706414415373E-6</v>
      </c>
      <c r="N6" s="11">
        <f t="shared" si="1"/>
        <v>-1.2619467105846511</v>
      </c>
      <c r="O6" s="11">
        <f t="shared" si="2"/>
        <v>-3.9762827632862319</v>
      </c>
      <c r="P6" s="11">
        <f t="shared" si="3"/>
        <v>-9.6311495397478595</v>
      </c>
    </row>
    <row r="7" spans="1:16" x14ac:dyDescent="0.3">
      <c r="A7" s="6">
        <f t="shared" si="4"/>
        <v>16.2</v>
      </c>
      <c r="B7" s="6">
        <v>18</v>
      </c>
      <c r="C7" s="6">
        <f t="shared" si="5"/>
        <v>19.8</v>
      </c>
      <c r="E7" s="9">
        <f t="shared" si="6"/>
        <v>3.5367765131532299E-6</v>
      </c>
      <c r="F7" s="30">
        <f t="shared" si="7"/>
        <v>4.4209706414415373E-6</v>
      </c>
      <c r="G7" s="9">
        <f t="shared" si="8"/>
        <v>5.3051647697298443E-6</v>
      </c>
      <c r="H7" s="2"/>
      <c r="I7" s="9">
        <f t="shared" si="9"/>
        <v>7.9999999999999996E-7</v>
      </c>
      <c r="J7" s="17">
        <v>9.9999999999999995E-7</v>
      </c>
      <c r="K7" s="9">
        <f t="shared" si="10"/>
        <v>1.1999999999999999E-6</v>
      </c>
      <c r="M7" s="26">
        <f t="shared" si="0"/>
        <v>3.6171577975430764E-6</v>
      </c>
      <c r="N7" s="27">
        <f t="shared" si="1"/>
        <v>-1.7646015351590179</v>
      </c>
      <c r="O7" s="27">
        <f t="shared" si="2"/>
        <v>-5.0821233773498378</v>
      </c>
      <c r="P7" s="27">
        <f t="shared" si="3"/>
        <v>-11.993627215247383</v>
      </c>
    </row>
    <row r="8" spans="1:16" x14ac:dyDescent="0.3">
      <c r="A8" s="6">
        <f t="shared" si="4"/>
        <v>19.8</v>
      </c>
      <c r="B8" s="6">
        <v>22</v>
      </c>
      <c r="C8" s="6">
        <f t="shared" si="5"/>
        <v>24.200000000000003</v>
      </c>
      <c r="E8" s="9">
        <f t="shared" si="6"/>
        <v>2.8937262380344611E-6</v>
      </c>
      <c r="F8" s="30">
        <f t="shared" si="7"/>
        <v>3.6171577975430764E-6</v>
      </c>
      <c r="G8" s="9">
        <f t="shared" si="8"/>
        <v>4.3405893570516917E-6</v>
      </c>
      <c r="H8" s="2"/>
      <c r="I8" s="9">
        <f t="shared" si="9"/>
        <v>1.7600000000000001E-6</v>
      </c>
      <c r="J8" s="16">
        <v>2.2000000000000001E-6</v>
      </c>
      <c r="K8" s="9">
        <f t="shared" si="10"/>
        <v>2.6400000000000001E-6</v>
      </c>
      <c r="M8" s="26">
        <f t="shared" si="0"/>
        <v>2.947313760961025E-6</v>
      </c>
      <c r="N8" s="27">
        <f t="shared" si="1"/>
        <v>-2.3929200658769765</v>
      </c>
      <c r="O8" s="27">
        <f t="shared" si="2"/>
        <v>-6.4644241449293478</v>
      </c>
      <c r="P8" s="27">
        <f t="shared" si="3"/>
        <v>-14.946724309621789</v>
      </c>
    </row>
    <row r="9" spans="1:16" x14ac:dyDescent="0.3">
      <c r="A9" s="6">
        <f t="shared" si="4"/>
        <v>24.3</v>
      </c>
      <c r="B9" s="6">
        <v>27</v>
      </c>
      <c r="C9" s="6">
        <f t="shared" si="5"/>
        <v>29.700000000000003</v>
      </c>
      <c r="E9" s="9">
        <f t="shared" si="6"/>
        <v>2.3578510087688201E-6</v>
      </c>
      <c r="F9" s="30">
        <f t="shared" si="7"/>
        <v>2.947313760961025E-6</v>
      </c>
      <c r="G9" s="9">
        <f t="shared" si="8"/>
        <v>3.5367765131532299E-6</v>
      </c>
      <c r="H9" s="2"/>
      <c r="I9" s="9">
        <f t="shared" si="9"/>
        <v>3.76E-6</v>
      </c>
      <c r="J9" s="30">
        <v>4.6999999999999999E-6</v>
      </c>
      <c r="K9" s="9">
        <f t="shared" si="10"/>
        <v>5.6399999999999994E-6</v>
      </c>
      <c r="M9" s="28"/>
      <c r="N9" s="29">
        <v>9.9999999999999995E-7</v>
      </c>
      <c r="O9" s="30">
        <v>2.2000000000000001E-6</v>
      </c>
      <c r="P9" s="30">
        <v>4.6999999999999999E-6</v>
      </c>
    </row>
    <row r="10" spans="1:16" x14ac:dyDescent="0.3">
      <c r="A10" s="6">
        <f t="shared" si="4"/>
        <v>29.7</v>
      </c>
      <c r="B10" s="6">
        <v>33</v>
      </c>
      <c r="C10" s="6">
        <f t="shared" si="5"/>
        <v>36.300000000000004</v>
      </c>
      <c r="E10" s="9">
        <f t="shared" si="6"/>
        <v>1.9291508253563077E-6</v>
      </c>
      <c r="F10" s="30">
        <f t="shared" si="7"/>
        <v>2.4114385316953844E-6</v>
      </c>
      <c r="G10" s="9">
        <f t="shared" si="8"/>
        <v>2.8937262380344611E-6</v>
      </c>
      <c r="H10" s="2"/>
      <c r="I10" s="9">
        <f t="shared" si="9"/>
        <v>8.0000000000000013E-6</v>
      </c>
      <c r="J10" s="16">
        <v>1.0000000000000001E-5</v>
      </c>
      <c r="K10" s="9">
        <f t="shared" si="10"/>
        <v>1.2E-5</v>
      </c>
      <c r="M10" s="26">
        <f t="shared" ref="M10:M21" si="11">1/(2*PI()*$G$2*B10)</f>
        <v>2.4114385316953844E-6</v>
      </c>
      <c r="N10" s="33">
        <f t="shared" ref="N10:N21" si="12">(M10-$N$9)/M10</f>
        <v>0.58530976972614746</v>
      </c>
      <c r="O10" s="31">
        <f t="shared" ref="O10:O21" si="13">(M10-$O$9)/M10</f>
        <v>8.7681493397524207E-2</v>
      </c>
      <c r="P10" s="31">
        <f t="shared" ref="P10:P21" si="14">(M10-$P$9)/M10</f>
        <v>-0.94904408228710724</v>
      </c>
    </row>
    <row r="11" spans="1:16" x14ac:dyDescent="0.3">
      <c r="A11" s="6">
        <f t="shared" si="4"/>
        <v>35.1</v>
      </c>
      <c r="B11" s="6">
        <v>39</v>
      </c>
      <c r="C11" s="6">
        <f t="shared" si="5"/>
        <v>42.900000000000006</v>
      </c>
      <c r="E11" s="9">
        <f t="shared" si="6"/>
        <v>1.6323583906861061E-6</v>
      </c>
      <c r="F11" s="30">
        <f t="shared" si="7"/>
        <v>2.0404479883576325E-6</v>
      </c>
      <c r="G11" s="9">
        <f t="shared" si="8"/>
        <v>2.4485375860291588E-6</v>
      </c>
      <c r="H11" s="2"/>
      <c r="I11" s="9">
        <f t="shared" si="9"/>
        <v>1.7600000000000001E-5</v>
      </c>
      <c r="J11" s="16">
        <v>2.1999999999999999E-5</v>
      </c>
      <c r="K11" s="9">
        <f t="shared" si="10"/>
        <v>2.6399999999999998E-5</v>
      </c>
      <c r="M11" s="26">
        <f t="shared" si="11"/>
        <v>2.0404479883576325E-6</v>
      </c>
      <c r="N11" s="33">
        <f t="shared" si="12"/>
        <v>0.50991154603999234</v>
      </c>
      <c r="O11" s="31">
        <f t="shared" si="13"/>
        <v>-7.8194598712017074E-2</v>
      </c>
      <c r="P11" s="31">
        <f t="shared" si="14"/>
        <v>-1.3034157336120362</v>
      </c>
    </row>
    <row r="12" spans="1:16" x14ac:dyDescent="0.3">
      <c r="A12" s="6">
        <f t="shared" si="4"/>
        <v>42.300000000000004</v>
      </c>
      <c r="B12" s="6">
        <v>47</v>
      </c>
      <c r="C12" s="6">
        <f t="shared" si="5"/>
        <v>51.7</v>
      </c>
      <c r="E12" s="9">
        <f t="shared" si="6"/>
        <v>1.3545101539735773E-6</v>
      </c>
      <c r="F12" s="30">
        <f t="shared" si="7"/>
        <v>1.6931376924669717E-6</v>
      </c>
      <c r="G12" s="9">
        <f t="shared" si="8"/>
        <v>2.031765230960366E-6</v>
      </c>
      <c r="H12" s="2"/>
      <c r="I12" s="9">
        <f t="shared" si="9"/>
        <v>3.7599999999999999E-5</v>
      </c>
      <c r="J12" s="16">
        <v>4.6999999999999997E-5</v>
      </c>
      <c r="K12" s="9">
        <f t="shared" si="10"/>
        <v>5.6399999999999995E-5</v>
      </c>
      <c r="M12" s="26">
        <f t="shared" si="11"/>
        <v>1.6931376924669717E-6</v>
      </c>
      <c r="N12" s="33">
        <f t="shared" si="12"/>
        <v>0.40938058112511888</v>
      </c>
      <c r="O12" s="31">
        <f t="shared" si="13"/>
        <v>-0.29936272152473853</v>
      </c>
      <c r="P12" s="31">
        <f t="shared" si="14"/>
        <v>-1.7759112687119412</v>
      </c>
    </row>
    <row r="13" spans="1:16" x14ac:dyDescent="0.3">
      <c r="A13" s="6">
        <f t="shared" si="4"/>
        <v>50.4</v>
      </c>
      <c r="B13" s="6">
        <v>56</v>
      </c>
      <c r="C13" s="6">
        <f t="shared" si="5"/>
        <v>61.600000000000009</v>
      </c>
      <c r="E13" s="9">
        <f t="shared" si="6"/>
        <v>1.1368210220849668E-6</v>
      </c>
      <c r="F13" s="30">
        <f t="shared" si="7"/>
        <v>1.4210262776062085E-6</v>
      </c>
      <c r="G13" s="9">
        <f t="shared" si="8"/>
        <v>1.7052315331274502E-6</v>
      </c>
      <c r="H13" s="2"/>
      <c r="I13" s="9">
        <f t="shared" si="9"/>
        <v>8.0000000000000007E-5</v>
      </c>
      <c r="J13" s="16">
        <v>1E-4</v>
      </c>
      <c r="K13" s="9">
        <f t="shared" si="10"/>
        <v>1.2E-4</v>
      </c>
      <c r="M13" s="26">
        <f t="shared" si="11"/>
        <v>1.4210262776062085E-6</v>
      </c>
      <c r="N13" s="33">
        <f t="shared" si="12"/>
        <v>0.29628324559588642</v>
      </c>
      <c r="O13" s="31">
        <f t="shared" si="13"/>
        <v>-0.54817685968905006</v>
      </c>
      <c r="P13" s="31">
        <f t="shared" si="14"/>
        <v>-2.3074687456993339</v>
      </c>
    </row>
    <row r="14" spans="1:16" x14ac:dyDescent="0.3">
      <c r="A14" s="6">
        <f t="shared" si="4"/>
        <v>61.2</v>
      </c>
      <c r="B14" s="6">
        <v>68</v>
      </c>
      <c r="C14" s="6">
        <f t="shared" si="5"/>
        <v>74.800000000000011</v>
      </c>
      <c r="E14" s="9">
        <f t="shared" si="6"/>
        <v>9.3620554759938448E-7</v>
      </c>
      <c r="F14" s="30">
        <f t="shared" si="7"/>
        <v>1.1702569344992305E-6</v>
      </c>
      <c r="G14" s="9">
        <f t="shared" si="8"/>
        <v>1.4043083213990767E-6</v>
      </c>
      <c r="H14" s="2"/>
      <c r="I14" s="9">
        <f t="shared" si="9"/>
        <v>1.7600000000000002E-4</v>
      </c>
      <c r="J14" s="16">
        <v>2.2000000000000001E-4</v>
      </c>
      <c r="K14" s="9">
        <f t="shared" si="10"/>
        <v>2.6400000000000002E-4</v>
      </c>
      <c r="M14" s="26">
        <f t="shared" si="11"/>
        <v>1.1702569344992305E-6</v>
      </c>
      <c r="N14" s="33">
        <f t="shared" si="12"/>
        <v>0.14548679822357635</v>
      </c>
      <c r="O14" s="31">
        <f t="shared" si="13"/>
        <v>-0.8799290439081322</v>
      </c>
      <c r="P14" s="31">
        <f t="shared" si="14"/>
        <v>-3.0162120483491912</v>
      </c>
    </row>
    <row r="15" spans="1:16" x14ac:dyDescent="0.3">
      <c r="A15" s="6">
        <f t="shared" si="4"/>
        <v>73.8</v>
      </c>
      <c r="B15" s="6">
        <v>82</v>
      </c>
      <c r="C15" s="6">
        <f t="shared" si="5"/>
        <v>90.2</v>
      </c>
      <c r="E15" s="9">
        <f t="shared" si="6"/>
        <v>7.7636557605802605E-7</v>
      </c>
      <c r="F15" s="17">
        <f t="shared" si="7"/>
        <v>9.7045697007253253E-7</v>
      </c>
      <c r="G15" s="9">
        <f t="shared" si="8"/>
        <v>1.1645483640870389E-6</v>
      </c>
      <c r="H15" s="2"/>
      <c r="I15" s="9">
        <f t="shared" si="9"/>
        <v>3.7600000000000003E-4</v>
      </c>
      <c r="J15" s="16">
        <v>4.6999999999999999E-4</v>
      </c>
      <c r="K15" s="9">
        <f t="shared" si="10"/>
        <v>5.6399999999999994E-4</v>
      </c>
      <c r="M15" s="26">
        <f t="shared" si="11"/>
        <v>9.7045697007253253E-7</v>
      </c>
      <c r="N15" s="21">
        <f>(M15-$N$9)/M15</f>
        <v>-3.0442390377452139E-2</v>
      </c>
      <c r="O15" s="31">
        <f t="shared" si="13"/>
        <v>-1.266973258830395</v>
      </c>
      <c r="P15" s="31">
        <f t="shared" si="14"/>
        <v>-3.843079234774025</v>
      </c>
    </row>
    <row r="16" spans="1:16" x14ac:dyDescent="0.3">
      <c r="A16" s="6">
        <f>B16*0.9</f>
        <v>90</v>
      </c>
      <c r="B16" s="6">
        <v>100</v>
      </c>
      <c r="C16" s="6">
        <f>B16*1.1</f>
        <v>110.00000000000001</v>
      </c>
      <c r="E16" s="9">
        <f t="shared" si="6"/>
        <v>6.366197723675815E-7</v>
      </c>
      <c r="F16" s="30">
        <f t="shared" si="7"/>
        <v>7.9577471545947677E-7</v>
      </c>
      <c r="G16" s="9">
        <f t="shared" si="8"/>
        <v>9.5492965855137204E-7</v>
      </c>
      <c r="M16" s="26">
        <f t="shared" si="11"/>
        <v>7.9577471545947677E-7</v>
      </c>
      <c r="N16" s="31">
        <f t="shared" si="12"/>
        <v>-0.25663706143591708</v>
      </c>
      <c r="O16" s="31">
        <f t="shared" si="13"/>
        <v>-1.7646015351590179</v>
      </c>
      <c r="P16" s="31">
        <f t="shared" si="14"/>
        <v>-4.9061941887488096</v>
      </c>
    </row>
    <row r="17" spans="1:16" x14ac:dyDescent="0.3">
      <c r="A17" s="6">
        <f t="shared" ref="A17:A27" si="15">B17*0.9</f>
        <v>108</v>
      </c>
      <c r="B17" s="6">
        <v>120</v>
      </c>
      <c r="C17" s="6">
        <f t="shared" ref="C17:C27" si="16">B17*1.1</f>
        <v>132</v>
      </c>
      <c r="E17" s="9">
        <f t="shared" si="6"/>
        <v>5.3051647697298451E-7</v>
      </c>
      <c r="F17" s="30">
        <f t="shared" si="7"/>
        <v>6.6314559621623064E-7</v>
      </c>
      <c r="G17" s="9">
        <f t="shared" si="8"/>
        <v>7.9577471545947677E-7</v>
      </c>
      <c r="K17" s="12"/>
      <c r="M17" s="26">
        <f t="shared" si="11"/>
        <v>6.6314559621623064E-7</v>
      </c>
      <c r="N17" s="31">
        <f t="shared" si="12"/>
        <v>-0.5079644737231005</v>
      </c>
      <c r="O17" s="31">
        <f t="shared" si="13"/>
        <v>-2.3175218421908212</v>
      </c>
      <c r="P17" s="31">
        <f t="shared" si="14"/>
        <v>-6.0874330264985721</v>
      </c>
    </row>
    <row r="18" spans="1:16" x14ac:dyDescent="0.3">
      <c r="A18" s="6">
        <f t="shared" si="15"/>
        <v>135</v>
      </c>
      <c r="B18" s="6">
        <v>150</v>
      </c>
      <c r="C18" s="6">
        <f t="shared" si="16"/>
        <v>165</v>
      </c>
      <c r="E18" s="9">
        <f t="shared" si="6"/>
        <v>4.2441318157838763E-7</v>
      </c>
      <c r="F18" s="30">
        <f t="shared" si="7"/>
        <v>5.3051647697298451E-7</v>
      </c>
      <c r="G18" s="9">
        <f t="shared" si="8"/>
        <v>6.3661977236758139E-7</v>
      </c>
      <c r="K18" s="12"/>
      <c r="M18" s="26">
        <f t="shared" si="11"/>
        <v>5.3051647697298451E-7</v>
      </c>
      <c r="N18" s="31">
        <f t="shared" si="12"/>
        <v>-0.88495559215387565</v>
      </c>
      <c r="O18" s="31">
        <f t="shared" si="13"/>
        <v>-3.146902302738527</v>
      </c>
      <c r="P18" s="31">
        <f t="shared" si="14"/>
        <v>-7.8592912831232153</v>
      </c>
    </row>
    <row r="19" spans="1:16" x14ac:dyDescent="0.3">
      <c r="A19" s="6">
        <f t="shared" si="15"/>
        <v>162</v>
      </c>
      <c r="B19" s="6">
        <v>180</v>
      </c>
      <c r="C19" s="6">
        <f t="shared" si="16"/>
        <v>198.00000000000003</v>
      </c>
      <c r="E19" s="9">
        <f t="shared" si="6"/>
        <v>3.5367765131532308E-7</v>
      </c>
      <c r="F19" s="30">
        <f t="shared" si="7"/>
        <v>4.420970641441538E-7</v>
      </c>
      <c r="G19" s="9">
        <f t="shared" si="8"/>
        <v>5.3051647697298451E-7</v>
      </c>
      <c r="K19" s="12"/>
      <c r="M19" s="26">
        <f t="shared" si="11"/>
        <v>4.420970641441538E-7</v>
      </c>
      <c r="N19" s="31">
        <f t="shared" si="12"/>
        <v>-1.2619467105846507</v>
      </c>
      <c r="O19" s="31">
        <f t="shared" si="13"/>
        <v>-3.9762827632862314</v>
      </c>
      <c r="P19" s="31">
        <f t="shared" si="14"/>
        <v>-9.6311495397478577</v>
      </c>
    </row>
    <row r="20" spans="1:16" x14ac:dyDescent="0.3">
      <c r="A20" s="6">
        <f t="shared" si="15"/>
        <v>198</v>
      </c>
      <c r="B20" s="6">
        <v>220</v>
      </c>
      <c r="C20" s="6">
        <f t="shared" si="16"/>
        <v>242.00000000000003</v>
      </c>
      <c r="E20" s="9">
        <f t="shared" si="6"/>
        <v>2.893726238034461E-7</v>
      </c>
      <c r="F20" s="30">
        <f t="shared" si="7"/>
        <v>3.6171577975430759E-7</v>
      </c>
      <c r="G20" s="9">
        <f t="shared" si="8"/>
        <v>4.3405893570516908E-7</v>
      </c>
      <c r="K20" s="12"/>
      <c r="M20" s="26">
        <f t="shared" si="11"/>
        <v>3.6171577975430759E-7</v>
      </c>
      <c r="N20" s="31">
        <f t="shared" si="12"/>
        <v>-1.7646015351590176</v>
      </c>
      <c r="O20" s="31">
        <f t="shared" si="13"/>
        <v>-5.0821233773498395</v>
      </c>
      <c r="P20" s="31">
        <f t="shared" si="14"/>
        <v>-11.993627215247384</v>
      </c>
    </row>
    <row r="21" spans="1:16" x14ac:dyDescent="0.3">
      <c r="A21" s="6">
        <f t="shared" si="15"/>
        <v>243</v>
      </c>
      <c r="B21" s="6">
        <v>270</v>
      </c>
      <c r="C21" s="6">
        <f t="shared" si="16"/>
        <v>297</v>
      </c>
      <c r="E21" s="9">
        <f t="shared" si="6"/>
        <v>2.3578510087688203E-7</v>
      </c>
      <c r="F21" s="30">
        <f t="shared" si="7"/>
        <v>2.9473137609610251E-7</v>
      </c>
      <c r="G21" s="9">
        <f t="shared" si="8"/>
        <v>3.5367765131532303E-7</v>
      </c>
      <c r="H21" s="12"/>
      <c r="K21" s="12"/>
      <c r="M21" s="26">
        <f t="shared" si="11"/>
        <v>2.9473137609610251E-7</v>
      </c>
      <c r="N21" s="31">
        <f t="shared" si="12"/>
        <v>-2.3929200658769765</v>
      </c>
      <c r="O21" s="31">
        <f t="shared" si="13"/>
        <v>-6.4644241449293487</v>
      </c>
      <c r="P21" s="31">
        <f t="shared" si="14"/>
        <v>-14.946724309621787</v>
      </c>
    </row>
    <row r="22" spans="1:16" x14ac:dyDescent="0.3">
      <c r="A22" s="6">
        <f t="shared" si="15"/>
        <v>297</v>
      </c>
      <c r="B22" s="6">
        <v>330</v>
      </c>
      <c r="C22" s="6">
        <f t="shared" si="16"/>
        <v>363.00000000000006</v>
      </c>
      <c r="E22" s="9">
        <f t="shared" si="6"/>
        <v>1.9291508253563074E-7</v>
      </c>
      <c r="F22" s="30">
        <f t="shared" si="7"/>
        <v>2.4114385316953841E-7</v>
      </c>
      <c r="G22" s="9">
        <f t="shared" si="8"/>
        <v>2.893726238034461E-7</v>
      </c>
      <c r="H22" s="12"/>
      <c r="K22" s="12"/>
      <c r="M22" s="28"/>
      <c r="N22" s="29">
        <v>9.9999999999999995E-8</v>
      </c>
      <c r="O22" s="30">
        <v>2.2000000000000001E-7</v>
      </c>
      <c r="P22" s="30">
        <v>4.7E-7</v>
      </c>
    </row>
    <row r="23" spans="1:16" x14ac:dyDescent="0.3">
      <c r="A23" s="6">
        <f t="shared" si="15"/>
        <v>351</v>
      </c>
      <c r="B23" s="6">
        <v>390</v>
      </c>
      <c r="C23" s="6">
        <f t="shared" si="16"/>
        <v>429.00000000000006</v>
      </c>
      <c r="E23" s="9">
        <f t="shared" si="6"/>
        <v>1.6323583906861061E-7</v>
      </c>
      <c r="F23" s="30">
        <f t="shared" si="7"/>
        <v>2.0404479883576326E-7</v>
      </c>
      <c r="G23" s="9">
        <f t="shared" si="8"/>
        <v>2.4485375860291588E-7</v>
      </c>
      <c r="H23" s="12"/>
      <c r="K23" s="12"/>
      <c r="M23" s="26">
        <f t="shared" ref="M23:M28" si="17">1/(2*PI()*$G$2*B22)</f>
        <v>2.4114385316953841E-7</v>
      </c>
      <c r="N23" s="31">
        <f t="shared" ref="N23:N28" si="18">(M23-$N$22)/M23</f>
        <v>0.58530976972614734</v>
      </c>
      <c r="O23" s="31">
        <f t="shared" ref="O23:O28" si="19">(M23-$O$22)/M23</f>
        <v>8.7681493397524082E-2</v>
      </c>
      <c r="P23" s="31">
        <f t="shared" ref="P23:P28" si="20">(M23-$P$22)/M23</f>
        <v>-0.94904408228710757</v>
      </c>
    </row>
    <row r="24" spans="1:16" x14ac:dyDescent="0.3">
      <c r="A24" s="6">
        <f t="shared" si="15"/>
        <v>423</v>
      </c>
      <c r="B24" s="6">
        <v>470</v>
      </c>
      <c r="C24" s="6">
        <f t="shared" si="16"/>
        <v>517</v>
      </c>
      <c r="E24" s="9">
        <f t="shared" si="6"/>
        <v>1.3545101539735775E-7</v>
      </c>
      <c r="F24" s="30">
        <f t="shared" si="7"/>
        <v>1.6931376924669719E-7</v>
      </c>
      <c r="G24" s="9">
        <f t="shared" si="8"/>
        <v>2.0317652309603663E-7</v>
      </c>
      <c r="H24" s="12"/>
      <c r="K24" s="12"/>
      <c r="M24" s="26">
        <f t="shared" si="17"/>
        <v>2.0404479883576326E-7</v>
      </c>
      <c r="N24" s="31">
        <f t="shared" si="18"/>
        <v>0.50991154603999234</v>
      </c>
      <c r="O24" s="31">
        <f t="shared" si="19"/>
        <v>-7.8194598712017047E-2</v>
      </c>
      <c r="P24" s="31">
        <f t="shared" si="20"/>
        <v>-1.3034157336120362</v>
      </c>
    </row>
    <row r="25" spans="1:16" x14ac:dyDescent="0.3">
      <c r="A25" s="6">
        <f t="shared" si="15"/>
        <v>504</v>
      </c>
      <c r="B25" s="6">
        <v>560</v>
      </c>
      <c r="C25" s="6">
        <f t="shared" si="16"/>
        <v>616</v>
      </c>
      <c r="E25" s="9">
        <f t="shared" si="6"/>
        <v>1.1368210220849668E-7</v>
      </c>
      <c r="F25" s="30">
        <f t="shared" si="7"/>
        <v>1.4210262776062085E-7</v>
      </c>
      <c r="G25" s="9">
        <f t="shared" si="8"/>
        <v>1.7052315331274502E-7</v>
      </c>
      <c r="H25" s="12"/>
      <c r="K25" s="12"/>
      <c r="M25" s="26">
        <f t="shared" si="17"/>
        <v>1.6931376924669719E-7</v>
      </c>
      <c r="N25" s="31">
        <f t="shared" si="18"/>
        <v>0.40938058112511899</v>
      </c>
      <c r="O25" s="31">
        <f t="shared" si="19"/>
        <v>-0.29936272152473836</v>
      </c>
      <c r="P25" s="31">
        <f t="shared" si="20"/>
        <v>-1.7759112687119407</v>
      </c>
    </row>
    <row r="26" spans="1:16" x14ac:dyDescent="0.3">
      <c r="A26" s="6">
        <f t="shared" si="15"/>
        <v>612</v>
      </c>
      <c r="B26" s="6">
        <v>680</v>
      </c>
      <c r="C26" s="6">
        <f t="shared" si="16"/>
        <v>748.00000000000011</v>
      </c>
      <c r="E26" s="9">
        <f t="shared" si="6"/>
        <v>9.3620554759938437E-8</v>
      </c>
      <c r="F26" s="30">
        <f t="shared" si="7"/>
        <v>1.1702569344992305E-7</v>
      </c>
      <c r="G26" s="9">
        <f t="shared" si="8"/>
        <v>1.4043083213990766E-7</v>
      </c>
      <c r="H26" s="12"/>
      <c r="K26" s="12"/>
      <c r="M26" s="26">
        <f t="shared" si="17"/>
        <v>1.4210262776062085E-7</v>
      </c>
      <c r="N26" s="31">
        <f t="shared" si="18"/>
        <v>0.29628324559588642</v>
      </c>
      <c r="O26" s="31">
        <f t="shared" si="19"/>
        <v>-0.54817685968905006</v>
      </c>
      <c r="P26" s="31">
        <f t="shared" si="20"/>
        <v>-2.3074687456993339</v>
      </c>
    </row>
    <row r="27" spans="1:16" x14ac:dyDescent="0.3">
      <c r="A27" s="6">
        <f t="shared" si="15"/>
        <v>738</v>
      </c>
      <c r="B27" s="6">
        <v>820</v>
      </c>
      <c r="C27" s="6">
        <f t="shared" si="16"/>
        <v>902.00000000000011</v>
      </c>
      <c r="E27" s="9">
        <f t="shared" si="6"/>
        <v>7.7636557605802626E-8</v>
      </c>
      <c r="F27" s="30">
        <f t="shared" si="7"/>
        <v>9.7045697007253269E-8</v>
      </c>
      <c r="G27" s="9">
        <f t="shared" si="8"/>
        <v>1.1645483640870391E-7</v>
      </c>
      <c r="H27" s="12"/>
      <c r="K27" s="12"/>
      <c r="M27" s="26">
        <f t="shared" si="17"/>
        <v>1.1702569344992305E-7</v>
      </c>
      <c r="N27" s="31">
        <f t="shared" si="18"/>
        <v>0.14548679822357632</v>
      </c>
      <c r="O27" s="31">
        <f t="shared" si="19"/>
        <v>-0.87992904390813231</v>
      </c>
      <c r="P27" s="31">
        <f t="shared" si="20"/>
        <v>-3.0162120483491917</v>
      </c>
    </row>
    <row r="28" spans="1:16" x14ac:dyDescent="0.3">
      <c r="G28" s="3"/>
      <c r="H28" s="12"/>
      <c r="K28" s="12"/>
      <c r="M28" s="26">
        <f t="shared" si="17"/>
        <v>9.7045697007253269E-8</v>
      </c>
      <c r="N28" s="32">
        <f t="shared" si="18"/>
        <v>-3.0442390377451969E-2</v>
      </c>
      <c r="O28" s="31">
        <f t="shared" si="19"/>
        <v>-1.2669732588303946</v>
      </c>
      <c r="P28" s="31">
        <f t="shared" si="20"/>
        <v>-3.8430792347740246</v>
      </c>
    </row>
    <row r="29" spans="1:16" x14ac:dyDescent="0.3">
      <c r="G29" s="3"/>
      <c r="H29" s="13"/>
    </row>
    <row r="30" spans="1:16" x14ac:dyDescent="0.3">
      <c r="G30" s="3"/>
      <c r="H30" s="12"/>
    </row>
    <row r="31" spans="1:16" x14ac:dyDescent="0.3">
      <c r="G31" s="3"/>
      <c r="H31" s="12"/>
    </row>
    <row r="32" spans="1:16" x14ac:dyDescent="0.3">
      <c r="G32" s="3"/>
      <c r="H32" s="1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97EF5-4B88-4824-AC2D-94C9AD2FC720}">
  <dimension ref="A1:G5"/>
  <sheetViews>
    <sheetView workbookViewId="0">
      <selection activeCell="D11" sqref="D11"/>
    </sheetView>
  </sheetViews>
  <sheetFormatPr baseColWidth="10" defaultRowHeight="14.4" x14ac:dyDescent="0.3"/>
  <cols>
    <col min="1" max="1" width="19.5546875" customWidth="1"/>
    <col min="2" max="2" width="19.88671875" customWidth="1"/>
    <col min="3" max="3" width="20.88671875" customWidth="1"/>
    <col min="5" max="5" width="20.77734375" customWidth="1"/>
    <col min="6" max="6" width="20.5546875" customWidth="1"/>
    <col min="7" max="7" width="16.77734375" customWidth="1"/>
  </cols>
  <sheetData>
    <row r="1" spans="1:7" x14ac:dyDescent="0.3">
      <c r="B1" t="s">
        <v>8</v>
      </c>
      <c r="F1" t="s">
        <v>9</v>
      </c>
    </row>
    <row r="2" spans="1:7" x14ac:dyDescent="0.3">
      <c r="A2" s="5" t="str">
        <f>"-précision %"</f>
        <v>-précision %</v>
      </c>
      <c r="B2" s="6" t="s">
        <v>0</v>
      </c>
      <c r="C2" s="5" t="str">
        <f>"+précision%"</f>
        <v>+précision%</v>
      </c>
      <c r="E2" s="5" t="str">
        <f>"-précision %"</f>
        <v>-précision %</v>
      </c>
      <c r="F2" s="6" t="s">
        <v>0</v>
      </c>
      <c r="G2" s="5" t="str">
        <f>"+précision%"</f>
        <v>+précision%</v>
      </c>
    </row>
    <row r="3" spans="1:7" x14ac:dyDescent="0.3">
      <c r="A3" s="34">
        <f>1/(2*PI()*'Filtre Passe_Bas'!A14*'Filtre Passe_Bas'!I9)</f>
        <v>691.64121424304392</v>
      </c>
      <c r="B3" s="34">
        <f>1/(2*PI()*'Filtre Passe_Bas'!B14*'Filtre Passe_Bas'!J9)</f>
        <v>497.98167425499167</v>
      </c>
      <c r="C3" s="34">
        <f>1/(2*PI()*'Filtre Passe_Bas'!C14*'Filtre Passe_Bas'!K9)</f>
        <v>377.25884413256944</v>
      </c>
      <c r="E3" s="34">
        <f>1/(2*PI()*'Filtre Passe_Haut'!I7*'Filtre Passe_Haut'!A15)</f>
        <v>2695.7138057570351</v>
      </c>
      <c r="F3" s="34">
        <f>1/(2*PI()*'Filtre Passe_Haut'!J7*'Filtre Passe_Haut'!B15)</f>
        <v>1940.9139401450652</v>
      </c>
      <c r="G3" s="34">
        <f>1/(2*PI()*'Filtre Passe_Haut'!K7*'Filtre Passe_Haut'!C15)</f>
        <v>1470.3893485947463</v>
      </c>
    </row>
    <row r="5" spans="1:7" x14ac:dyDescent="0.3">
      <c r="B5" s="2" t="s">
        <v>10</v>
      </c>
      <c r="C5" s="2"/>
      <c r="D5" s="2"/>
      <c r="E5" s="2"/>
      <c r="F5" s="2" t="s">
        <v>10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6F3B9-7F98-44F8-9732-AE8BC13A9EB5}">
  <dimension ref="A1:L82"/>
  <sheetViews>
    <sheetView workbookViewId="0">
      <selection activeCell="D20" sqref="D20"/>
    </sheetView>
  </sheetViews>
  <sheetFormatPr baseColWidth="10" defaultRowHeight="14.4" x14ac:dyDescent="0.3"/>
  <cols>
    <col min="1" max="1" width="15.5546875" customWidth="1"/>
    <col min="8" max="8" width="19" customWidth="1"/>
    <col min="11" max="11" width="21.77734375" customWidth="1"/>
    <col min="12" max="12" width="18.33203125" customWidth="1"/>
  </cols>
  <sheetData>
    <row r="1" spans="1:12" x14ac:dyDescent="0.3">
      <c r="A1" t="s">
        <v>108</v>
      </c>
    </row>
    <row r="2" spans="1:12" x14ac:dyDescent="0.3">
      <c r="A2" t="s">
        <v>103</v>
      </c>
      <c r="C2" t="s">
        <v>105</v>
      </c>
      <c r="H2" t="s">
        <v>106</v>
      </c>
      <c r="I2" t="s">
        <v>104</v>
      </c>
      <c r="K2" t="s">
        <v>107</v>
      </c>
      <c r="L2" t="s">
        <v>104</v>
      </c>
    </row>
    <row r="3" spans="1:12" x14ac:dyDescent="0.3">
      <c r="A3" s="72">
        <v>85</v>
      </c>
      <c r="C3" s="71">
        <f>INDEX(H3:H82, MATCH(MIN(I3:I82),I3:I82, 0))</f>
        <v>82</v>
      </c>
      <c r="H3">
        <v>10</v>
      </c>
      <c r="I3">
        <f t="shared" ref="I3:I34" si="0">ABS(H3-$A$3)</f>
        <v>75</v>
      </c>
      <c r="K3" s="35">
        <v>1.0000000000000001E-9</v>
      </c>
      <c r="L3">
        <f>ABS(K3-$A$8)</f>
        <v>5.99E-7</v>
      </c>
    </row>
    <row r="4" spans="1:12" x14ac:dyDescent="0.3">
      <c r="H4">
        <v>12</v>
      </c>
      <c r="I4">
        <f t="shared" si="0"/>
        <v>73</v>
      </c>
      <c r="K4" s="35">
        <v>2.1999999999999998E-9</v>
      </c>
      <c r="L4">
        <f t="shared" ref="L4:L32" si="1">ABS(K4-$A$8)</f>
        <v>5.9780000000000002E-7</v>
      </c>
    </row>
    <row r="5" spans="1:12" x14ac:dyDescent="0.3">
      <c r="H5">
        <v>15</v>
      </c>
      <c r="I5">
        <f t="shared" si="0"/>
        <v>70</v>
      </c>
      <c r="K5" s="35">
        <v>4.6999999999999999E-9</v>
      </c>
      <c r="L5">
        <f t="shared" si="1"/>
        <v>5.9529999999999994E-7</v>
      </c>
    </row>
    <row r="6" spans="1:12" x14ac:dyDescent="0.3">
      <c r="A6" t="s">
        <v>109</v>
      </c>
      <c r="H6">
        <v>18</v>
      </c>
      <c r="I6">
        <f t="shared" si="0"/>
        <v>67</v>
      </c>
      <c r="K6" s="35">
        <f>K3*10</f>
        <v>1E-8</v>
      </c>
      <c r="L6">
        <f t="shared" si="1"/>
        <v>5.8999999999999996E-7</v>
      </c>
    </row>
    <row r="7" spans="1:12" x14ac:dyDescent="0.3">
      <c r="A7" t="s">
        <v>103</v>
      </c>
      <c r="C7" t="s">
        <v>110</v>
      </c>
      <c r="H7">
        <v>22</v>
      </c>
      <c r="I7">
        <f t="shared" si="0"/>
        <v>63</v>
      </c>
      <c r="K7" s="35">
        <f t="shared" ref="K7:K32" si="2">K4*10</f>
        <v>2.1999999999999998E-8</v>
      </c>
      <c r="L7">
        <f t="shared" si="1"/>
        <v>5.7800000000000001E-7</v>
      </c>
    </row>
    <row r="8" spans="1:12" x14ac:dyDescent="0.3">
      <c r="A8" s="74">
        <v>5.9999999999999997E-7</v>
      </c>
      <c r="C8" s="73">
        <f>INDEX(K3:K32, MATCH(MIN(L3:L38),L3:L38, 0))</f>
        <v>4.6999999999999995E-7</v>
      </c>
      <c r="H8">
        <v>27</v>
      </c>
      <c r="I8">
        <f t="shared" si="0"/>
        <v>58</v>
      </c>
      <c r="K8" s="35">
        <f t="shared" si="2"/>
        <v>4.6999999999999997E-8</v>
      </c>
      <c r="L8">
        <f t="shared" si="1"/>
        <v>5.5299999999999994E-7</v>
      </c>
    </row>
    <row r="9" spans="1:12" x14ac:dyDescent="0.3">
      <c r="H9">
        <v>33</v>
      </c>
      <c r="I9">
        <f t="shared" si="0"/>
        <v>52</v>
      </c>
      <c r="K9" s="35">
        <f t="shared" si="2"/>
        <v>9.9999999999999995E-8</v>
      </c>
      <c r="L9">
        <f t="shared" si="1"/>
        <v>4.9999999999999998E-7</v>
      </c>
    </row>
    <row r="10" spans="1:12" x14ac:dyDescent="0.3">
      <c r="H10">
        <v>39</v>
      </c>
      <c r="I10">
        <f t="shared" si="0"/>
        <v>46</v>
      </c>
      <c r="K10" s="35">
        <f t="shared" si="2"/>
        <v>2.1999999999999998E-7</v>
      </c>
      <c r="L10">
        <f t="shared" si="1"/>
        <v>3.7999999999999996E-7</v>
      </c>
    </row>
    <row r="11" spans="1:12" x14ac:dyDescent="0.3">
      <c r="H11">
        <v>47</v>
      </c>
      <c r="I11">
        <f t="shared" si="0"/>
        <v>38</v>
      </c>
      <c r="K11" s="35">
        <f t="shared" si="2"/>
        <v>4.6999999999999995E-7</v>
      </c>
      <c r="L11">
        <f t="shared" si="1"/>
        <v>1.3000000000000003E-7</v>
      </c>
    </row>
    <row r="12" spans="1:12" x14ac:dyDescent="0.3">
      <c r="H12">
        <v>56</v>
      </c>
      <c r="I12">
        <f t="shared" si="0"/>
        <v>29</v>
      </c>
      <c r="K12" s="35">
        <f t="shared" si="2"/>
        <v>9.9999999999999995E-7</v>
      </c>
      <c r="L12">
        <f t="shared" si="1"/>
        <v>3.9999999999999998E-7</v>
      </c>
    </row>
    <row r="13" spans="1:12" x14ac:dyDescent="0.3">
      <c r="H13">
        <v>68</v>
      </c>
      <c r="I13">
        <f t="shared" si="0"/>
        <v>17</v>
      </c>
      <c r="K13" s="35">
        <f t="shared" si="2"/>
        <v>2.1999999999999997E-6</v>
      </c>
      <c r="L13">
        <f t="shared" si="1"/>
        <v>1.5999999999999997E-6</v>
      </c>
    </row>
    <row r="14" spans="1:12" x14ac:dyDescent="0.3">
      <c r="H14">
        <v>82</v>
      </c>
      <c r="I14">
        <f t="shared" si="0"/>
        <v>3</v>
      </c>
      <c r="K14" s="35">
        <f t="shared" si="2"/>
        <v>4.699999999999999E-6</v>
      </c>
      <c r="L14">
        <f t="shared" si="1"/>
        <v>4.0999999999999989E-6</v>
      </c>
    </row>
    <row r="15" spans="1:12" x14ac:dyDescent="0.3">
      <c r="H15">
        <f>H3*10</f>
        <v>100</v>
      </c>
      <c r="I15">
        <f t="shared" si="0"/>
        <v>15</v>
      </c>
      <c r="K15" s="35">
        <f t="shared" si="2"/>
        <v>9.9999999999999991E-6</v>
      </c>
      <c r="L15">
        <f t="shared" si="1"/>
        <v>9.3999999999999998E-6</v>
      </c>
    </row>
    <row r="16" spans="1:12" x14ac:dyDescent="0.3">
      <c r="H16">
        <f t="shared" ref="H16:H79" si="3">H4*10</f>
        <v>120</v>
      </c>
      <c r="I16">
        <f t="shared" si="0"/>
        <v>35</v>
      </c>
      <c r="K16" s="35">
        <f t="shared" si="2"/>
        <v>2.1999999999999996E-5</v>
      </c>
      <c r="L16">
        <f t="shared" si="1"/>
        <v>2.1399999999999995E-5</v>
      </c>
    </row>
    <row r="17" spans="8:12" x14ac:dyDescent="0.3">
      <c r="H17">
        <f t="shared" si="3"/>
        <v>150</v>
      </c>
      <c r="I17">
        <f t="shared" si="0"/>
        <v>65</v>
      </c>
      <c r="K17" s="35">
        <f t="shared" si="2"/>
        <v>4.699999999999999E-5</v>
      </c>
      <c r="L17">
        <f t="shared" si="1"/>
        <v>4.6399999999999989E-5</v>
      </c>
    </row>
    <row r="18" spans="8:12" x14ac:dyDescent="0.3">
      <c r="H18">
        <f t="shared" si="3"/>
        <v>180</v>
      </c>
      <c r="I18">
        <f t="shared" si="0"/>
        <v>95</v>
      </c>
      <c r="K18" s="35">
        <f t="shared" si="2"/>
        <v>9.9999999999999991E-5</v>
      </c>
      <c r="L18">
        <f t="shared" si="1"/>
        <v>9.939999999999999E-5</v>
      </c>
    </row>
    <row r="19" spans="8:12" x14ac:dyDescent="0.3">
      <c r="H19">
        <f t="shared" si="3"/>
        <v>220</v>
      </c>
      <c r="I19">
        <f t="shared" si="0"/>
        <v>135</v>
      </c>
      <c r="K19" s="35">
        <f t="shared" si="2"/>
        <v>2.1999999999999995E-4</v>
      </c>
      <c r="L19">
        <f t="shared" si="1"/>
        <v>2.1939999999999997E-4</v>
      </c>
    </row>
    <row r="20" spans="8:12" x14ac:dyDescent="0.3">
      <c r="H20">
        <f t="shared" si="3"/>
        <v>270</v>
      </c>
      <c r="I20">
        <f t="shared" si="0"/>
        <v>185</v>
      </c>
      <c r="K20" s="35">
        <f t="shared" si="2"/>
        <v>4.6999999999999993E-4</v>
      </c>
      <c r="L20">
        <f t="shared" si="1"/>
        <v>4.6939999999999992E-4</v>
      </c>
    </row>
    <row r="21" spans="8:12" x14ac:dyDescent="0.3">
      <c r="H21">
        <f t="shared" si="3"/>
        <v>330</v>
      </c>
      <c r="I21">
        <f t="shared" si="0"/>
        <v>245</v>
      </c>
      <c r="K21" s="35">
        <f t="shared" si="2"/>
        <v>1E-3</v>
      </c>
      <c r="L21">
        <f t="shared" si="1"/>
        <v>9.9940000000000011E-4</v>
      </c>
    </row>
    <row r="22" spans="8:12" x14ac:dyDescent="0.3">
      <c r="H22">
        <f t="shared" si="3"/>
        <v>390</v>
      </c>
      <c r="I22">
        <f t="shared" si="0"/>
        <v>305</v>
      </c>
      <c r="K22" s="35">
        <f t="shared" si="2"/>
        <v>2.1999999999999997E-3</v>
      </c>
      <c r="L22">
        <f t="shared" si="1"/>
        <v>2.1993999999999998E-3</v>
      </c>
    </row>
    <row r="23" spans="8:12" x14ac:dyDescent="0.3">
      <c r="H23">
        <f t="shared" si="3"/>
        <v>470</v>
      </c>
      <c r="I23">
        <f t="shared" si="0"/>
        <v>385</v>
      </c>
      <c r="K23" s="35">
        <f t="shared" si="2"/>
        <v>4.6999999999999993E-3</v>
      </c>
      <c r="L23">
        <f t="shared" si="1"/>
        <v>4.6993999999999994E-3</v>
      </c>
    </row>
    <row r="24" spans="8:12" x14ac:dyDescent="0.3">
      <c r="H24">
        <f t="shared" si="3"/>
        <v>560</v>
      </c>
      <c r="I24">
        <f t="shared" si="0"/>
        <v>475</v>
      </c>
      <c r="K24" s="35">
        <f t="shared" si="2"/>
        <v>0.01</v>
      </c>
      <c r="L24">
        <f t="shared" si="1"/>
        <v>9.9994000000000003E-3</v>
      </c>
    </row>
    <row r="25" spans="8:12" x14ac:dyDescent="0.3">
      <c r="H25">
        <f t="shared" si="3"/>
        <v>680</v>
      </c>
      <c r="I25">
        <f t="shared" si="0"/>
        <v>595</v>
      </c>
      <c r="K25" s="35">
        <f t="shared" si="2"/>
        <v>2.1999999999999999E-2</v>
      </c>
      <c r="L25">
        <f t="shared" si="1"/>
        <v>2.1999399999999999E-2</v>
      </c>
    </row>
    <row r="26" spans="8:12" x14ac:dyDescent="0.3">
      <c r="H26">
        <f t="shared" si="3"/>
        <v>820</v>
      </c>
      <c r="I26">
        <f t="shared" si="0"/>
        <v>735</v>
      </c>
      <c r="K26" s="35">
        <f t="shared" si="2"/>
        <v>4.6999999999999993E-2</v>
      </c>
      <c r="L26">
        <f t="shared" si="1"/>
        <v>4.699939999999999E-2</v>
      </c>
    </row>
    <row r="27" spans="8:12" x14ac:dyDescent="0.3">
      <c r="H27">
        <f t="shared" si="3"/>
        <v>1000</v>
      </c>
      <c r="I27">
        <f t="shared" si="0"/>
        <v>915</v>
      </c>
      <c r="K27" s="35">
        <f t="shared" si="2"/>
        <v>0.1</v>
      </c>
      <c r="L27">
        <f t="shared" si="1"/>
        <v>9.9999400000000002E-2</v>
      </c>
    </row>
    <row r="28" spans="8:12" x14ac:dyDescent="0.3">
      <c r="H28">
        <f t="shared" si="3"/>
        <v>1200</v>
      </c>
      <c r="I28">
        <f t="shared" si="0"/>
        <v>1115</v>
      </c>
      <c r="K28" s="35">
        <f t="shared" si="2"/>
        <v>0.21999999999999997</v>
      </c>
      <c r="L28">
        <f t="shared" si="1"/>
        <v>0.21999939999999998</v>
      </c>
    </row>
    <row r="29" spans="8:12" x14ac:dyDescent="0.3">
      <c r="H29">
        <f t="shared" si="3"/>
        <v>1500</v>
      </c>
      <c r="I29">
        <f t="shared" si="0"/>
        <v>1415</v>
      </c>
      <c r="K29" s="35">
        <f t="shared" si="2"/>
        <v>0.46999999999999992</v>
      </c>
      <c r="L29">
        <f t="shared" si="1"/>
        <v>0.4699993999999999</v>
      </c>
    </row>
    <row r="30" spans="8:12" x14ac:dyDescent="0.3">
      <c r="H30">
        <f t="shared" si="3"/>
        <v>1800</v>
      </c>
      <c r="I30">
        <f t="shared" si="0"/>
        <v>1715</v>
      </c>
      <c r="K30" s="35">
        <f t="shared" si="2"/>
        <v>1</v>
      </c>
      <c r="L30">
        <f t="shared" si="1"/>
        <v>0.99999939999999998</v>
      </c>
    </row>
    <row r="31" spans="8:12" x14ac:dyDescent="0.3">
      <c r="H31">
        <f t="shared" si="3"/>
        <v>2200</v>
      </c>
      <c r="I31">
        <f t="shared" si="0"/>
        <v>2115</v>
      </c>
      <c r="K31" s="35">
        <f t="shared" si="2"/>
        <v>2.1999999999999997</v>
      </c>
      <c r="L31">
        <f t="shared" si="1"/>
        <v>2.1999993999999998</v>
      </c>
    </row>
    <row r="32" spans="8:12" x14ac:dyDescent="0.3">
      <c r="H32">
        <f t="shared" si="3"/>
        <v>2700</v>
      </c>
      <c r="I32">
        <f t="shared" si="0"/>
        <v>2615</v>
      </c>
      <c r="K32" s="35">
        <f t="shared" si="2"/>
        <v>4.6999999999999993</v>
      </c>
      <c r="L32">
        <f t="shared" si="1"/>
        <v>4.6999993999999994</v>
      </c>
    </row>
    <row r="33" spans="8:11" x14ac:dyDescent="0.3">
      <c r="H33">
        <f t="shared" si="3"/>
        <v>3300</v>
      </c>
      <c r="I33">
        <f t="shared" si="0"/>
        <v>3215</v>
      </c>
      <c r="K33" s="35"/>
    </row>
    <row r="34" spans="8:11" x14ac:dyDescent="0.3">
      <c r="H34">
        <f t="shared" si="3"/>
        <v>3900</v>
      </c>
      <c r="I34">
        <f t="shared" si="0"/>
        <v>3815</v>
      </c>
      <c r="K34" s="35"/>
    </row>
    <row r="35" spans="8:11" x14ac:dyDescent="0.3">
      <c r="H35">
        <f t="shared" si="3"/>
        <v>4700</v>
      </c>
      <c r="I35">
        <f t="shared" ref="I35:I66" si="4">ABS(H35-$A$3)</f>
        <v>4615</v>
      </c>
      <c r="K35" s="35"/>
    </row>
    <row r="36" spans="8:11" x14ac:dyDescent="0.3">
      <c r="H36">
        <f t="shared" si="3"/>
        <v>5600</v>
      </c>
      <c r="I36">
        <f t="shared" si="4"/>
        <v>5515</v>
      </c>
      <c r="K36" s="35"/>
    </row>
    <row r="37" spans="8:11" x14ac:dyDescent="0.3">
      <c r="H37">
        <f t="shared" si="3"/>
        <v>6800</v>
      </c>
      <c r="I37">
        <f t="shared" si="4"/>
        <v>6715</v>
      </c>
      <c r="K37" s="35"/>
    </row>
    <row r="38" spans="8:11" x14ac:dyDescent="0.3">
      <c r="H38">
        <f t="shared" si="3"/>
        <v>8200</v>
      </c>
      <c r="I38">
        <f t="shared" si="4"/>
        <v>8115</v>
      </c>
      <c r="K38" s="35"/>
    </row>
    <row r="39" spans="8:11" x14ac:dyDescent="0.3">
      <c r="H39">
        <f t="shared" si="3"/>
        <v>10000</v>
      </c>
      <c r="I39">
        <f t="shared" si="4"/>
        <v>9915</v>
      </c>
      <c r="K39" s="35"/>
    </row>
    <row r="40" spans="8:11" x14ac:dyDescent="0.3">
      <c r="H40">
        <f t="shared" si="3"/>
        <v>12000</v>
      </c>
      <c r="I40">
        <f t="shared" si="4"/>
        <v>11915</v>
      </c>
      <c r="K40" s="35"/>
    </row>
    <row r="41" spans="8:11" x14ac:dyDescent="0.3">
      <c r="H41">
        <f t="shared" si="3"/>
        <v>15000</v>
      </c>
      <c r="I41">
        <f t="shared" si="4"/>
        <v>14915</v>
      </c>
      <c r="K41" s="35"/>
    </row>
    <row r="42" spans="8:11" x14ac:dyDescent="0.3">
      <c r="H42">
        <f t="shared" si="3"/>
        <v>18000</v>
      </c>
      <c r="I42">
        <f t="shared" si="4"/>
        <v>17915</v>
      </c>
      <c r="K42" s="35"/>
    </row>
    <row r="43" spans="8:11" x14ac:dyDescent="0.3">
      <c r="H43">
        <f t="shared" si="3"/>
        <v>22000</v>
      </c>
      <c r="I43">
        <f t="shared" si="4"/>
        <v>21915</v>
      </c>
      <c r="K43" s="35"/>
    </row>
    <row r="44" spans="8:11" x14ac:dyDescent="0.3">
      <c r="H44">
        <f t="shared" si="3"/>
        <v>27000</v>
      </c>
      <c r="I44">
        <f t="shared" si="4"/>
        <v>26915</v>
      </c>
      <c r="K44" s="35"/>
    </row>
    <row r="45" spans="8:11" x14ac:dyDescent="0.3">
      <c r="H45">
        <f t="shared" si="3"/>
        <v>33000</v>
      </c>
      <c r="I45">
        <f t="shared" si="4"/>
        <v>32915</v>
      </c>
      <c r="K45" s="35"/>
    </row>
    <row r="46" spans="8:11" x14ac:dyDescent="0.3">
      <c r="H46">
        <f t="shared" si="3"/>
        <v>39000</v>
      </c>
      <c r="I46">
        <f t="shared" si="4"/>
        <v>38915</v>
      </c>
      <c r="K46" s="35"/>
    </row>
    <row r="47" spans="8:11" x14ac:dyDescent="0.3">
      <c r="H47">
        <f t="shared" si="3"/>
        <v>47000</v>
      </c>
      <c r="I47">
        <f t="shared" si="4"/>
        <v>46915</v>
      </c>
      <c r="K47" s="35"/>
    </row>
    <row r="48" spans="8:11" x14ac:dyDescent="0.3">
      <c r="H48">
        <f t="shared" si="3"/>
        <v>56000</v>
      </c>
      <c r="I48">
        <f t="shared" si="4"/>
        <v>55915</v>
      </c>
      <c r="K48" s="35"/>
    </row>
    <row r="49" spans="8:11" x14ac:dyDescent="0.3">
      <c r="H49">
        <f t="shared" si="3"/>
        <v>68000</v>
      </c>
      <c r="I49">
        <f t="shared" si="4"/>
        <v>67915</v>
      </c>
      <c r="K49" s="35"/>
    </row>
    <row r="50" spans="8:11" x14ac:dyDescent="0.3">
      <c r="H50">
        <f t="shared" si="3"/>
        <v>82000</v>
      </c>
      <c r="I50">
        <f t="shared" si="4"/>
        <v>81915</v>
      </c>
      <c r="K50" s="35"/>
    </row>
    <row r="51" spans="8:11" x14ac:dyDescent="0.3">
      <c r="H51">
        <f t="shared" si="3"/>
        <v>100000</v>
      </c>
      <c r="I51">
        <f t="shared" si="4"/>
        <v>99915</v>
      </c>
      <c r="K51" s="35"/>
    </row>
    <row r="52" spans="8:11" x14ac:dyDescent="0.3">
      <c r="H52">
        <f t="shared" si="3"/>
        <v>120000</v>
      </c>
      <c r="I52">
        <f t="shared" si="4"/>
        <v>119915</v>
      </c>
      <c r="K52" s="35"/>
    </row>
    <row r="53" spans="8:11" x14ac:dyDescent="0.3">
      <c r="H53">
        <f t="shared" si="3"/>
        <v>150000</v>
      </c>
      <c r="I53">
        <f t="shared" si="4"/>
        <v>149915</v>
      </c>
      <c r="K53" s="35"/>
    </row>
    <row r="54" spans="8:11" x14ac:dyDescent="0.3">
      <c r="H54">
        <f t="shared" si="3"/>
        <v>180000</v>
      </c>
      <c r="I54">
        <f t="shared" si="4"/>
        <v>179915</v>
      </c>
      <c r="K54" s="35"/>
    </row>
    <row r="55" spans="8:11" x14ac:dyDescent="0.3">
      <c r="H55">
        <f t="shared" si="3"/>
        <v>220000</v>
      </c>
      <c r="I55">
        <f t="shared" si="4"/>
        <v>219915</v>
      </c>
      <c r="K55" s="35"/>
    </row>
    <row r="56" spans="8:11" x14ac:dyDescent="0.3">
      <c r="H56">
        <f t="shared" si="3"/>
        <v>270000</v>
      </c>
      <c r="I56">
        <f t="shared" si="4"/>
        <v>269915</v>
      </c>
      <c r="K56" s="35"/>
    </row>
    <row r="57" spans="8:11" x14ac:dyDescent="0.3">
      <c r="H57">
        <f t="shared" si="3"/>
        <v>330000</v>
      </c>
      <c r="I57">
        <f t="shared" si="4"/>
        <v>329915</v>
      </c>
      <c r="K57" s="35"/>
    </row>
    <row r="58" spans="8:11" x14ac:dyDescent="0.3">
      <c r="H58">
        <f t="shared" si="3"/>
        <v>390000</v>
      </c>
      <c r="I58">
        <f t="shared" si="4"/>
        <v>389915</v>
      </c>
      <c r="K58" s="35"/>
    </row>
    <row r="59" spans="8:11" x14ac:dyDescent="0.3">
      <c r="H59">
        <f t="shared" si="3"/>
        <v>470000</v>
      </c>
      <c r="I59">
        <f t="shared" si="4"/>
        <v>469915</v>
      </c>
      <c r="K59" s="35"/>
    </row>
    <row r="60" spans="8:11" x14ac:dyDescent="0.3">
      <c r="H60">
        <f t="shared" si="3"/>
        <v>560000</v>
      </c>
      <c r="I60">
        <f t="shared" si="4"/>
        <v>559915</v>
      </c>
      <c r="K60" s="35"/>
    </row>
    <row r="61" spans="8:11" x14ac:dyDescent="0.3">
      <c r="H61">
        <f t="shared" si="3"/>
        <v>680000</v>
      </c>
      <c r="I61">
        <f t="shared" si="4"/>
        <v>679915</v>
      </c>
      <c r="K61" s="35"/>
    </row>
    <row r="62" spans="8:11" x14ac:dyDescent="0.3">
      <c r="H62">
        <f t="shared" si="3"/>
        <v>820000</v>
      </c>
      <c r="I62">
        <f t="shared" si="4"/>
        <v>819915</v>
      </c>
      <c r="K62" s="35"/>
    </row>
    <row r="63" spans="8:11" x14ac:dyDescent="0.3">
      <c r="H63">
        <f t="shared" si="3"/>
        <v>1000000</v>
      </c>
      <c r="I63">
        <f t="shared" si="4"/>
        <v>999915</v>
      </c>
      <c r="K63" s="35"/>
    </row>
    <row r="64" spans="8:11" x14ac:dyDescent="0.3">
      <c r="H64">
        <f t="shared" si="3"/>
        <v>1200000</v>
      </c>
      <c r="I64">
        <f t="shared" si="4"/>
        <v>1199915</v>
      </c>
      <c r="K64" s="35"/>
    </row>
    <row r="65" spans="8:11" x14ac:dyDescent="0.3">
      <c r="H65">
        <f t="shared" si="3"/>
        <v>1500000</v>
      </c>
      <c r="I65">
        <f t="shared" si="4"/>
        <v>1499915</v>
      </c>
      <c r="K65" s="35"/>
    </row>
    <row r="66" spans="8:11" x14ac:dyDescent="0.3">
      <c r="H66">
        <f t="shared" si="3"/>
        <v>1800000</v>
      </c>
      <c r="I66">
        <f t="shared" si="4"/>
        <v>1799915</v>
      </c>
      <c r="K66" s="35"/>
    </row>
    <row r="67" spans="8:11" x14ac:dyDescent="0.3">
      <c r="H67">
        <f t="shared" si="3"/>
        <v>2200000</v>
      </c>
      <c r="I67">
        <f t="shared" ref="I67:I82" si="5">ABS(H67-$A$3)</f>
        <v>2199915</v>
      </c>
      <c r="K67" s="35"/>
    </row>
    <row r="68" spans="8:11" x14ac:dyDescent="0.3">
      <c r="H68">
        <f t="shared" si="3"/>
        <v>2700000</v>
      </c>
      <c r="I68">
        <f t="shared" si="5"/>
        <v>2699915</v>
      </c>
      <c r="K68" s="35"/>
    </row>
    <row r="69" spans="8:11" x14ac:dyDescent="0.3">
      <c r="H69">
        <f t="shared" si="3"/>
        <v>3300000</v>
      </c>
      <c r="I69">
        <f t="shared" si="5"/>
        <v>3299915</v>
      </c>
      <c r="K69" s="35"/>
    </row>
    <row r="70" spans="8:11" x14ac:dyDescent="0.3">
      <c r="H70">
        <f t="shared" si="3"/>
        <v>3900000</v>
      </c>
      <c r="I70">
        <f t="shared" si="5"/>
        <v>3899915</v>
      </c>
      <c r="K70" s="35"/>
    </row>
    <row r="71" spans="8:11" x14ac:dyDescent="0.3">
      <c r="H71">
        <f t="shared" si="3"/>
        <v>4700000</v>
      </c>
      <c r="I71">
        <f t="shared" si="5"/>
        <v>4699915</v>
      </c>
      <c r="K71" s="35"/>
    </row>
    <row r="72" spans="8:11" x14ac:dyDescent="0.3">
      <c r="H72">
        <f t="shared" si="3"/>
        <v>5600000</v>
      </c>
      <c r="I72">
        <f t="shared" si="5"/>
        <v>5599915</v>
      </c>
      <c r="K72" s="35"/>
    </row>
    <row r="73" spans="8:11" x14ac:dyDescent="0.3">
      <c r="H73">
        <f t="shared" si="3"/>
        <v>6800000</v>
      </c>
      <c r="I73">
        <f t="shared" si="5"/>
        <v>6799915</v>
      </c>
      <c r="K73" s="35"/>
    </row>
    <row r="74" spans="8:11" x14ac:dyDescent="0.3">
      <c r="H74">
        <f t="shared" si="3"/>
        <v>8200000</v>
      </c>
      <c r="I74">
        <f t="shared" si="5"/>
        <v>8199915</v>
      </c>
      <c r="K74" s="35"/>
    </row>
    <row r="75" spans="8:11" x14ac:dyDescent="0.3">
      <c r="H75">
        <f t="shared" si="3"/>
        <v>10000000</v>
      </c>
      <c r="I75">
        <f t="shared" si="5"/>
        <v>9999915</v>
      </c>
      <c r="K75" s="35"/>
    </row>
    <row r="76" spans="8:11" x14ac:dyDescent="0.3">
      <c r="H76">
        <f t="shared" si="3"/>
        <v>12000000</v>
      </c>
      <c r="I76">
        <f t="shared" si="5"/>
        <v>11999915</v>
      </c>
      <c r="K76" s="35"/>
    </row>
    <row r="77" spans="8:11" x14ac:dyDescent="0.3">
      <c r="H77">
        <f t="shared" si="3"/>
        <v>15000000</v>
      </c>
      <c r="I77">
        <f t="shared" si="5"/>
        <v>14999915</v>
      </c>
      <c r="K77" s="35"/>
    </row>
    <row r="78" spans="8:11" x14ac:dyDescent="0.3">
      <c r="H78">
        <f t="shared" si="3"/>
        <v>18000000</v>
      </c>
      <c r="I78">
        <f t="shared" si="5"/>
        <v>17999915</v>
      </c>
      <c r="K78" s="35"/>
    </row>
    <row r="79" spans="8:11" x14ac:dyDescent="0.3">
      <c r="H79">
        <f t="shared" si="3"/>
        <v>22000000</v>
      </c>
      <c r="I79">
        <f t="shared" si="5"/>
        <v>21999915</v>
      </c>
      <c r="K79" s="35"/>
    </row>
    <row r="80" spans="8:11" x14ac:dyDescent="0.3">
      <c r="H80">
        <f>H68*10</f>
        <v>27000000</v>
      </c>
      <c r="I80">
        <f t="shared" si="5"/>
        <v>26999915</v>
      </c>
      <c r="K80" s="35"/>
    </row>
    <row r="81" spans="8:11" x14ac:dyDescent="0.3">
      <c r="H81">
        <f>H69*10</f>
        <v>33000000</v>
      </c>
      <c r="I81">
        <f t="shared" si="5"/>
        <v>32999915</v>
      </c>
      <c r="K81" s="35"/>
    </row>
    <row r="82" spans="8:11" x14ac:dyDescent="0.3">
      <c r="H82">
        <f>H70*10</f>
        <v>39000000</v>
      </c>
      <c r="I82">
        <f t="shared" si="5"/>
        <v>38999915</v>
      </c>
      <c r="K82" s="3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E549-A50A-4AE8-BDC8-A460A78B56ED}">
  <dimension ref="A1:G6"/>
  <sheetViews>
    <sheetView workbookViewId="0">
      <selection activeCell="I9" sqref="I9"/>
    </sheetView>
  </sheetViews>
  <sheetFormatPr baseColWidth="10" defaultRowHeight="14.4" x14ac:dyDescent="0.3"/>
  <sheetData>
    <row r="1" spans="1:7" x14ac:dyDescent="0.3">
      <c r="A1" s="62" t="s">
        <v>83</v>
      </c>
      <c r="B1" s="61">
        <f>F4/(F4+F3)*F5</f>
        <v>1.1839530332681016</v>
      </c>
      <c r="C1" s="6" t="s">
        <v>18</v>
      </c>
      <c r="E1" s="6" t="s">
        <v>17</v>
      </c>
      <c r="F1" s="6">
        <v>2000</v>
      </c>
      <c r="G1" s="6" t="s">
        <v>19</v>
      </c>
    </row>
    <row r="2" spans="1:7" x14ac:dyDescent="0.3">
      <c r="A2" s="62" t="s">
        <v>16</v>
      </c>
      <c r="B2" s="61">
        <f>B1-F6</f>
        <v>0.48395303326810168</v>
      </c>
      <c r="C2" s="6" t="s">
        <v>18</v>
      </c>
      <c r="E2" s="6" t="s">
        <v>11</v>
      </c>
      <c r="F2" s="6">
        <v>500</v>
      </c>
      <c r="G2" s="6" t="s">
        <v>19</v>
      </c>
    </row>
    <row r="3" spans="1:7" x14ac:dyDescent="0.3">
      <c r="A3" s="62" t="s">
        <v>82</v>
      </c>
      <c r="B3" s="63">
        <f>B2/F1</f>
        <v>2.4197651663405084E-4</v>
      </c>
      <c r="C3" s="6" t="s">
        <v>81</v>
      </c>
      <c r="E3" s="6" t="s">
        <v>80</v>
      </c>
      <c r="F3" s="6">
        <v>39000</v>
      </c>
      <c r="G3" s="6" t="s">
        <v>19</v>
      </c>
    </row>
    <row r="4" spans="1:7" x14ac:dyDescent="0.3">
      <c r="A4" s="62" t="s">
        <v>79</v>
      </c>
      <c r="B4" s="61">
        <f>F1*0.001</f>
        <v>2</v>
      </c>
      <c r="C4" s="6" t="s">
        <v>18</v>
      </c>
      <c r="E4" s="6" t="s">
        <v>78</v>
      </c>
      <c r="F4" s="6">
        <v>12100</v>
      </c>
      <c r="G4" s="6" t="s">
        <v>19</v>
      </c>
    </row>
    <row r="5" spans="1:7" x14ac:dyDescent="0.3">
      <c r="A5" s="62" t="s">
        <v>77</v>
      </c>
      <c r="B5" s="61">
        <f>F5-B4-B2</f>
        <v>2.5160469667318983</v>
      </c>
      <c r="C5" s="6" t="s">
        <v>18</v>
      </c>
      <c r="E5" s="6" t="s">
        <v>76</v>
      </c>
      <c r="F5" s="6">
        <v>5</v>
      </c>
      <c r="G5" s="6" t="s">
        <v>18</v>
      </c>
    </row>
    <row r="6" spans="1:7" x14ac:dyDescent="0.3">
      <c r="A6" s="62" t="s">
        <v>75</v>
      </c>
      <c r="B6" s="61">
        <v>1</v>
      </c>
      <c r="C6" s="6" t="s">
        <v>74</v>
      </c>
      <c r="E6" s="6" t="s">
        <v>73</v>
      </c>
      <c r="F6" s="6">
        <v>0.7</v>
      </c>
      <c r="G6" s="6" t="s">
        <v>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7D6CC-9820-418F-A357-AD3628FBF6CE}">
  <dimension ref="A1:F17"/>
  <sheetViews>
    <sheetView topLeftCell="A2" zoomScale="130" zoomScaleNormal="130" workbookViewId="0">
      <selection activeCell="H9" sqref="H9"/>
    </sheetView>
  </sheetViews>
  <sheetFormatPr baseColWidth="10" defaultRowHeight="14.4" x14ac:dyDescent="0.3"/>
  <cols>
    <col min="1" max="1" width="16.33203125" customWidth="1"/>
    <col min="2" max="2" width="12" bestFit="1" customWidth="1"/>
  </cols>
  <sheetData>
    <row r="1" spans="1:6" x14ac:dyDescent="0.3">
      <c r="A1" s="69" t="s">
        <v>96</v>
      </c>
      <c r="B1" s="69">
        <v>5</v>
      </c>
      <c r="C1" s="70" t="s">
        <v>18</v>
      </c>
      <c r="D1" s="69"/>
      <c r="E1" s="69"/>
      <c r="F1" s="69"/>
    </row>
    <row r="2" spans="1:6" x14ac:dyDescent="0.3">
      <c r="A2" s="69"/>
      <c r="B2" s="69"/>
      <c r="C2" s="70"/>
      <c r="D2" s="69"/>
      <c r="E2" s="69"/>
      <c r="F2" s="69"/>
    </row>
    <row r="3" spans="1:6" x14ac:dyDescent="0.3">
      <c r="A3" s="69" t="s">
        <v>95</v>
      </c>
      <c r="B3" s="69"/>
      <c r="C3" s="70"/>
      <c r="D3" s="69"/>
      <c r="E3" s="69"/>
      <c r="F3" s="69"/>
    </row>
    <row r="4" spans="1:6" x14ac:dyDescent="0.3">
      <c r="A4" s="69" t="s">
        <v>94</v>
      </c>
      <c r="B4" s="69">
        <v>294.3</v>
      </c>
      <c r="C4" s="70"/>
      <c r="D4" s="69"/>
      <c r="E4" s="69"/>
      <c r="F4" s="69"/>
    </row>
    <row r="5" spans="1:6" x14ac:dyDescent="0.3">
      <c r="A5" s="69" t="s">
        <v>75</v>
      </c>
      <c r="B5" s="68">
        <v>2E-3</v>
      </c>
      <c r="C5" s="70" t="s">
        <v>81</v>
      </c>
      <c r="D5" s="69" t="s">
        <v>93</v>
      </c>
      <c r="E5" s="68">
        <f>B5/2</f>
        <v>1E-3</v>
      </c>
      <c r="F5" s="67" t="s">
        <v>81</v>
      </c>
    </row>
    <row r="6" spans="1:6" x14ac:dyDescent="0.3">
      <c r="A6" s="65" t="s">
        <v>92</v>
      </c>
      <c r="B6" s="65">
        <f>0.1*B1</f>
        <v>0.5</v>
      </c>
      <c r="C6" s="64" t="s">
        <v>18</v>
      </c>
      <c r="D6" s="65"/>
      <c r="E6" s="65"/>
      <c r="F6" s="65"/>
    </row>
    <row r="7" spans="1:6" x14ac:dyDescent="0.3">
      <c r="A7" s="65" t="s">
        <v>91</v>
      </c>
      <c r="B7" s="65">
        <f>B6/E5</f>
        <v>500</v>
      </c>
      <c r="C7" s="64" t="s">
        <v>19</v>
      </c>
      <c r="D7" s="65"/>
      <c r="E7" s="65"/>
      <c r="F7" s="65"/>
    </row>
    <row r="8" spans="1:6" x14ac:dyDescent="0.3">
      <c r="A8" s="65" t="s">
        <v>90</v>
      </c>
      <c r="B8" s="65">
        <f>4*B7</f>
        <v>2000</v>
      </c>
      <c r="C8" s="64" t="s">
        <v>19</v>
      </c>
      <c r="D8" s="65"/>
      <c r="E8" s="65"/>
      <c r="F8" s="65"/>
    </row>
    <row r="9" spans="1:6" x14ac:dyDescent="0.3">
      <c r="A9" s="65" t="s">
        <v>89</v>
      </c>
      <c r="B9" s="66">
        <f>10*(E5/B4)</f>
        <v>3.3978933061501867E-5</v>
      </c>
      <c r="C9" s="64" t="s">
        <v>81</v>
      </c>
      <c r="D9" s="65"/>
      <c r="E9" s="65"/>
      <c r="F9" s="65"/>
    </row>
    <row r="10" spans="1:6" x14ac:dyDescent="0.3">
      <c r="A10" s="65" t="s">
        <v>88</v>
      </c>
      <c r="B10" s="65">
        <f>B6+0.6</f>
        <v>1.1000000000000001</v>
      </c>
      <c r="C10" s="64" t="s">
        <v>18</v>
      </c>
      <c r="D10" s="65" t="s">
        <v>87</v>
      </c>
      <c r="E10" s="65"/>
      <c r="F10" s="65"/>
    </row>
    <row r="11" spans="1:6" x14ac:dyDescent="0.3">
      <c r="A11" s="65" t="s">
        <v>86</v>
      </c>
      <c r="B11" s="65">
        <f>B10/B9</f>
        <v>32373.000000000004</v>
      </c>
      <c r="C11" s="64" t="s">
        <v>19</v>
      </c>
      <c r="D11" s="65"/>
      <c r="E11" s="65"/>
      <c r="F11" s="65"/>
    </row>
    <row r="12" spans="1:6" x14ac:dyDescent="0.3">
      <c r="A12" s="65" t="s">
        <v>85</v>
      </c>
      <c r="B12" s="65">
        <f>(B1-B10)/(B9+B13)</f>
        <v>104342.72727272726</v>
      </c>
      <c r="C12" s="64" t="s">
        <v>19</v>
      </c>
      <c r="D12" s="65"/>
      <c r="E12" s="65"/>
      <c r="F12" s="65"/>
    </row>
    <row r="13" spans="1:6" x14ac:dyDescent="0.3">
      <c r="A13" s="65" t="s">
        <v>84</v>
      </c>
      <c r="B13" s="65">
        <f>B9/10</f>
        <v>3.3978933061501867E-6</v>
      </c>
      <c r="C13" s="64"/>
      <c r="D13" s="65"/>
      <c r="E13" s="65"/>
      <c r="F13" s="65"/>
    </row>
    <row r="15" spans="1:6" x14ac:dyDescent="0.3">
      <c r="A15" s="4"/>
      <c r="B15" s="4"/>
      <c r="C15" s="4"/>
    </row>
    <row r="16" spans="1:6" x14ac:dyDescent="0.3">
      <c r="A16" s="65"/>
      <c r="B16" s="4"/>
      <c r="C16" s="64"/>
    </row>
    <row r="17" spans="1:3" x14ac:dyDescent="0.3">
      <c r="A17" s="65"/>
      <c r="B17" s="4"/>
      <c r="C17" s="64"/>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F8335-9F04-419E-AB56-F9F97FC2805D}">
  <dimension ref="A1:N36"/>
  <sheetViews>
    <sheetView topLeftCell="B1" zoomScale="87" workbookViewId="0">
      <selection activeCell="U53" sqref="U53"/>
    </sheetView>
  </sheetViews>
  <sheetFormatPr baseColWidth="10" defaultRowHeight="14.4" x14ac:dyDescent="0.3"/>
  <cols>
    <col min="1" max="1" width="21.21875" customWidth="1"/>
    <col min="11" max="11" width="21.33203125" customWidth="1"/>
  </cols>
  <sheetData>
    <row r="1" spans="1:14" x14ac:dyDescent="0.3">
      <c r="B1" s="11"/>
    </row>
    <row r="2" spans="1:14" x14ac:dyDescent="0.3">
      <c r="A2" t="s">
        <v>15</v>
      </c>
      <c r="B2" s="11">
        <f>(1+(B5/B4))*B3</f>
        <v>9.0500000000000007</v>
      </c>
      <c r="C2" t="s">
        <v>18</v>
      </c>
      <c r="D2" t="s">
        <v>21</v>
      </c>
      <c r="I2" t="s">
        <v>22</v>
      </c>
    </row>
    <row r="3" spans="1:14" x14ac:dyDescent="0.3">
      <c r="A3" t="s">
        <v>16</v>
      </c>
      <c r="B3" s="11">
        <v>0.05</v>
      </c>
      <c r="C3" t="s">
        <v>18</v>
      </c>
      <c r="I3" t="s">
        <v>23</v>
      </c>
      <c r="J3">
        <f>((J4+J5)/J4)*(1/(1+J7*0.00000047))</f>
        <v>4.0896020540926026</v>
      </c>
    </row>
    <row r="4" spans="1:14" x14ac:dyDescent="0.3">
      <c r="A4" t="s">
        <v>17</v>
      </c>
      <c r="B4" s="11">
        <v>1</v>
      </c>
      <c r="C4" t="s">
        <v>19</v>
      </c>
      <c r="I4" t="s">
        <v>17</v>
      </c>
      <c r="J4">
        <v>220</v>
      </c>
    </row>
    <row r="5" spans="1:14" x14ac:dyDescent="0.3">
      <c r="A5" t="s">
        <v>11</v>
      </c>
      <c r="B5" s="11">
        <v>180</v>
      </c>
      <c r="C5" t="s">
        <v>19</v>
      </c>
      <c r="I5" t="s">
        <v>11</v>
      </c>
      <c r="J5">
        <v>680</v>
      </c>
    </row>
    <row r="6" spans="1:14" x14ac:dyDescent="0.3">
      <c r="A6" t="s">
        <v>20</v>
      </c>
      <c r="B6">
        <f>1+(B5/B4)</f>
        <v>181</v>
      </c>
      <c r="I6" t="s">
        <v>16</v>
      </c>
      <c r="J6" s="35">
        <v>0.05</v>
      </c>
    </row>
    <row r="7" spans="1:14" x14ac:dyDescent="0.3">
      <c r="B7" s="11"/>
      <c r="I7" t="s">
        <v>24</v>
      </c>
      <c r="J7">
        <v>680</v>
      </c>
    </row>
    <row r="9" spans="1:14" x14ac:dyDescent="0.3">
      <c r="I9" t="s">
        <v>25</v>
      </c>
      <c r="L9" s="11"/>
    </row>
    <row r="10" spans="1:14" x14ac:dyDescent="0.3">
      <c r="K10" t="s">
        <v>15</v>
      </c>
      <c r="L10" s="11">
        <f>(1+(L13/L12))*L11</f>
        <v>8.383684210889836</v>
      </c>
      <c r="M10" t="s">
        <v>18</v>
      </c>
      <c r="N10" t="s">
        <v>26</v>
      </c>
    </row>
    <row r="11" spans="1:14" x14ac:dyDescent="0.3">
      <c r="K11" t="s">
        <v>16</v>
      </c>
      <c r="L11" s="11">
        <f>0.05*J3</f>
        <v>0.20448010270463013</v>
      </c>
      <c r="M11" t="s">
        <v>18</v>
      </c>
    </row>
    <row r="12" spans="1:14" x14ac:dyDescent="0.3">
      <c r="K12" t="s">
        <v>17</v>
      </c>
      <c r="L12" s="11">
        <v>1</v>
      </c>
      <c r="M12" t="s">
        <v>19</v>
      </c>
    </row>
    <row r="13" spans="1:14" x14ac:dyDescent="0.3">
      <c r="K13" t="s">
        <v>11</v>
      </c>
      <c r="L13" s="11">
        <v>40</v>
      </c>
      <c r="M13" t="s">
        <v>19</v>
      </c>
    </row>
    <row r="14" spans="1:14" x14ac:dyDescent="0.3">
      <c r="K14" t="s">
        <v>20</v>
      </c>
      <c r="L14">
        <f>1+(L13/L12)</f>
        <v>41</v>
      </c>
    </row>
    <row r="17" spans="1:14" x14ac:dyDescent="0.3">
      <c r="A17" s="39" t="s">
        <v>97</v>
      </c>
    </row>
    <row r="18" spans="1:14" x14ac:dyDescent="0.3">
      <c r="B18" s="11"/>
    </row>
    <row r="19" spans="1:14" x14ac:dyDescent="0.3">
      <c r="A19" t="s">
        <v>15</v>
      </c>
      <c r="B19" s="11">
        <f>(1+(B22/B21))*B20</f>
        <v>9.0500000000000007</v>
      </c>
      <c r="C19" t="s">
        <v>18</v>
      </c>
      <c r="D19" t="s">
        <v>21</v>
      </c>
      <c r="I19" t="s">
        <v>22</v>
      </c>
    </row>
    <row r="20" spans="1:14" x14ac:dyDescent="0.3">
      <c r="A20" t="s">
        <v>16</v>
      </c>
      <c r="B20" s="11">
        <v>0.05</v>
      </c>
      <c r="C20" t="s">
        <v>18</v>
      </c>
      <c r="I20" t="s">
        <v>23</v>
      </c>
      <c r="J20">
        <f>((J21+J22)/J21)*(1/(1+J24*0.00000047))</f>
        <v>4.0896020540926026</v>
      </c>
    </row>
    <row r="21" spans="1:14" x14ac:dyDescent="0.3">
      <c r="A21" t="s">
        <v>17</v>
      </c>
      <c r="B21" s="11">
        <v>1</v>
      </c>
      <c r="C21" t="s">
        <v>19</v>
      </c>
      <c r="I21" t="s">
        <v>17</v>
      </c>
      <c r="J21">
        <v>220</v>
      </c>
    </row>
    <row r="22" spans="1:14" x14ac:dyDescent="0.3">
      <c r="A22" t="s">
        <v>11</v>
      </c>
      <c r="B22" s="11">
        <v>180</v>
      </c>
      <c r="C22" t="s">
        <v>19</v>
      </c>
      <c r="I22" t="s">
        <v>11</v>
      </c>
      <c r="J22">
        <v>680</v>
      </c>
    </row>
    <row r="23" spans="1:14" x14ac:dyDescent="0.3">
      <c r="A23" t="s">
        <v>20</v>
      </c>
      <c r="B23">
        <f>1+(B22/B21)</f>
        <v>181</v>
      </c>
      <c r="I23" t="s">
        <v>16</v>
      </c>
      <c r="J23" s="35">
        <v>0.05</v>
      </c>
    </row>
    <row r="24" spans="1:14" x14ac:dyDescent="0.3">
      <c r="B24" s="11"/>
      <c r="I24" t="s">
        <v>24</v>
      </c>
      <c r="J24">
        <v>680</v>
      </c>
    </row>
    <row r="26" spans="1:14" x14ac:dyDescent="0.3">
      <c r="I26" t="s">
        <v>98</v>
      </c>
      <c r="L26" s="11"/>
    </row>
    <row r="27" spans="1:14" x14ac:dyDescent="0.3">
      <c r="K27" t="s">
        <v>15</v>
      </c>
      <c r="L27" s="11">
        <f>(1+(L30/L29))*L28</f>
        <v>2.4</v>
      </c>
      <c r="M27" t="s">
        <v>18</v>
      </c>
      <c r="N27" t="s">
        <v>26</v>
      </c>
    </row>
    <row r="28" spans="1:14" x14ac:dyDescent="0.3">
      <c r="K28" t="s">
        <v>16</v>
      </c>
      <c r="L28" s="11">
        <f>0.6</f>
        <v>0.6</v>
      </c>
      <c r="M28" t="s">
        <v>18</v>
      </c>
    </row>
    <row r="29" spans="1:14" x14ac:dyDescent="0.3">
      <c r="K29" t="s">
        <v>17</v>
      </c>
      <c r="L29" s="11">
        <v>1</v>
      </c>
      <c r="M29" t="s">
        <v>19</v>
      </c>
    </row>
    <row r="30" spans="1:14" x14ac:dyDescent="0.3">
      <c r="K30" t="s">
        <v>11</v>
      </c>
      <c r="L30" s="11">
        <v>3</v>
      </c>
      <c r="M30" t="s">
        <v>19</v>
      </c>
      <c r="N30" t="s">
        <v>99</v>
      </c>
    </row>
    <row r="31" spans="1:14" x14ac:dyDescent="0.3">
      <c r="K31" t="s">
        <v>20</v>
      </c>
      <c r="L31">
        <f>1+(L30/L29)</f>
        <v>4</v>
      </c>
    </row>
    <row r="32" spans="1:14" x14ac:dyDescent="0.3">
      <c r="K32" t="s">
        <v>100</v>
      </c>
      <c r="L32">
        <f>L31+J20</f>
        <v>8.0896020540926017</v>
      </c>
    </row>
    <row r="33" spans="11:12" x14ac:dyDescent="0.3">
      <c r="K33" t="s">
        <v>101</v>
      </c>
      <c r="L33">
        <f>L28*L32</f>
        <v>4.853761232455561</v>
      </c>
    </row>
    <row r="36" spans="11:12" x14ac:dyDescent="0.3">
      <c r="K36" t="s">
        <v>102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74F3-5AAF-483E-BF3E-F3E170A96EB4}">
  <dimension ref="A1:G32"/>
  <sheetViews>
    <sheetView zoomScaleNormal="100" workbookViewId="0">
      <selection activeCell="H11" sqref="H11"/>
    </sheetView>
  </sheetViews>
  <sheetFormatPr baseColWidth="10" defaultRowHeight="14.4" x14ac:dyDescent="0.3"/>
  <cols>
    <col min="1" max="1" width="20.5546875" customWidth="1"/>
    <col min="4" max="4" width="11.5546875" style="11"/>
  </cols>
  <sheetData>
    <row r="1" spans="1:7" x14ac:dyDescent="0.3">
      <c r="A1" t="s">
        <v>11</v>
      </c>
      <c r="B1">
        <v>680</v>
      </c>
      <c r="D1" s="11" t="s">
        <v>13</v>
      </c>
      <c r="F1" t="s">
        <v>23</v>
      </c>
      <c r="G1">
        <f>((G2+G3)/G2)*(1/(1+G5*0.00000047))</f>
        <v>4.0896020540926026</v>
      </c>
    </row>
    <row r="2" spans="1:7" x14ac:dyDescent="0.3">
      <c r="A2" t="s">
        <v>12</v>
      </c>
      <c r="B2" s="35">
        <v>3.9999999999999998E-7</v>
      </c>
      <c r="F2" t="s">
        <v>17</v>
      </c>
      <c r="G2">
        <v>220</v>
      </c>
    </row>
    <row r="3" spans="1:7" x14ac:dyDescent="0.3">
      <c r="F3" t="s">
        <v>11</v>
      </c>
      <c r="G3">
        <v>680</v>
      </c>
    </row>
    <row r="4" spans="1:7" x14ac:dyDescent="0.3">
      <c r="A4" t="s">
        <v>14</v>
      </c>
      <c r="B4" s="6">
        <v>10</v>
      </c>
      <c r="D4" s="36">
        <f t="shared" ref="D4:D32" si="0">20*LOG(($B$1+B4)/B4)-10*LOG(1+($B$1*$B$2)^2)</f>
        <v>36.776981493436686</v>
      </c>
      <c r="F4" t="s">
        <v>16</v>
      </c>
      <c r="G4" s="35">
        <v>0.05</v>
      </c>
    </row>
    <row r="5" spans="1:7" x14ac:dyDescent="0.3">
      <c r="B5" s="6">
        <v>12</v>
      </c>
      <c r="D5" s="36">
        <f t="shared" si="0"/>
        <v>35.218496646874236</v>
      </c>
      <c r="F5" t="s">
        <v>24</v>
      </c>
      <c r="G5">
        <v>680</v>
      </c>
    </row>
    <row r="6" spans="1:7" x14ac:dyDescent="0.3">
      <c r="B6" s="6">
        <v>15</v>
      </c>
      <c r="D6" s="36">
        <f t="shared" si="0"/>
        <v>33.317870589380234</v>
      </c>
    </row>
    <row r="7" spans="1:7" x14ac:dyDescent="0.3">
      <c r="B7" s="6">
        <v>18</v>
      </c>
      <c r="D7" s="36">
        <f t="shared" si="0"/>
        <v>31.77165802908868</v>
      </c>
      <c r="F7" t="s">
        <v>27</v>
      </c>
      <c r="G7">
        <f>20*LOG((G2+G3)/G2)-10*LOG(1+(G5*0.00000047)^2)</f>
        <v>12.236396128735944</v>
      </c>
    </row>
    <row r="8" spans="1:7" x14ac:dyDescent="0.3">
      <c r="B8" s="6">
        <v>22</v>
      </c>
      <c r="D8" s="36">
        <f t="shared" si="0"/>
        <v>30.078288304843568</v>
      </c>
    </row>
    <row r="9" spans="1:7" x14ac:dyDescent="0.3">
      <c r="B9" s="6">
        <v>27</v>
      </c>
      <c r="D9" s="36">
        <f t="shared" si="0"/>
        <v>28.361112671449828</v>
      </c>
    </row>
    <row r="10" spans="1:7" x14ac:dyDescent="0.3">
      <c r="B10" s="6">
        <v>33</v>
      </c>
      <c r="D10" s="36">
        <f t="shared" si="0"/>
        <v>26.691511478171144</v>
      </c>
    </row>
    <row r="11" spans="1:7" x14ac:dyDescent="0.3">
      <c r="B11" s="6">
        <v>39</v>
      </c>
      <c r="D11" s="36">
        <f t="shared" si="0"/>
        <v>25.313285345819249</v>
      </c>
    </row>
    <row r="12" spans="1:7" x14ac:dyDescent="0.3">
      <c r="B12" s="6">
        <v>47</v>
      </c>
      <c r="D12" s="36">
        <f t="shared" si="0"/>
        <v>23.788730737157991</v>
      </c>
    </row>
    <row r="13" spans="1:7" x14ac:dyDescent="0.3">
      <c r="B13" s="37">
        <v>56</v>
      </c>
      <c r="C13" s="38"/>
      <c r="D13" s="36">
        <f t="shared" si="0"/>
        <v>22.373795425317553</v>
      </c>
    </row>
    <row r="14" spans="1:7" x14ac:dyDescent="0.3">
      <c r="B14" s="6">
        <v>68</v>
      </c>
      <c r="D14" s="36">
        <f t="shared" si="0"/>
        <v>20.827853381856087</v>
      </c>
    </row>
    <row r="15" spans="1:7" x14ac:dyDescent="0.3">
      <c r="B15" s="6">
        <v>82</v>
      </c>
      <c r="D15" s="36">
        <f t="shared" si="0"/>
        <v>19.362822057809261</v>
      </c>
    </row>
    <row r="16" spans="1:7" x14ac:dyDescent="0.3">
      <c r="B16" s="6">
        <v>100</v>
      </c>
      <c r="D16" s="36">
        <f t="shared" si="0"/>
        <v>17.841891732501193</v>
      </c>
    </row>
    <row r="17" spans="2:4" x14ac:dyDescent="0.3">
      <c r="B17" s="6">
        <v>120</v>
      </c>
      <c r="D17" s="36">
        <f t="shared" si="0"/>
        <v>16.47817449757796</v>
      </c>
    </row>
    <row r="18" spans="2:4" x14ac:dyDescent="0.3">
      <c r="B18" s="28">
        <v>150</v>
      </c>
      <c r="C18" s="39"/>
      <c r="D18" s="36">
        <f t="shared" si="0"/>
        <v>14.859736345099433</v>
      </c>
    </row>
    <row r="19" spans="2:4" x14ac:dyDescent="0.3">
      <c r="B19" s="6">
        <v>180</v>
      </c>
      <c r="D19" s="36">
        <f t="shared" si="0"/>
        <v>13.584518601496816</v>
      </c>
    </row>
    <row r="20" spans="2:4" x14ac:dyDescent="0.3">
      <c r="B20" s="41">
        <v>220</v>
      </c>
      <c r="C20" s="40"/>
      <c r="D20" s="42">
        <f t="shared" si="0"/>
        <v>12.236396251033954</v>
      </c>
    </row>
    <row r="21" spans="2:4" x14ac:dyDescent="0.3">
      <c r="B21" s="6">
        <v>270</v>
      </c>
      <c r="D21" s="36">
        <f t="shared" si="0"/>
        <v>10.927196501288792</v>
      </c>
    </row>
    <row r="22" spans="2:4" x14ac:dyDescent="0.3">
      <c r="B22" s="6">
        <v>330</v>
      </c>
      <c r="D22" s="36">
        <f t="shared" si="0"/>
        <v>9.7161483567866842</v>
      </c>
    </row>
    <row r="23" spans="2:4" x14ac:dyDescent="0.3">
      <c r="B23" s="6">
        <v>390</v>
      </c>
      <c r="D23" s="36">
        <f t="shared" si="0"/>
        <v>8.7663830918657908</v>
      </c>
    </row>
    <row r="24" spans="2:4" x14ac:dyDescent="0.3">
      <c r="B24" s="6">
        <v>470</v>
      </c>
      <c r="D24" s="36">
        <f t="shared" si="0"/>
        <v>7.7719993270494658</v>
      </c>
    </row>
    <row r="25" spans="2:4" x14ac:dyDescent="0.3">
      <c r="B25" s="6">
        <v>560</v>
      </c>
      <c r="D25" s="36">
        <f t="shared" si="0"/>
        <v>6.9046728418122756</v>
      </c>
    </row>
    <row r="26" spans="2:4" x14ac:dyDescent="0.3">
      <c r="B26" s="6">
        <v>680</v>
      </c>
      <c r="D26" s="36">
        <f t="shared" si="0"/>
        <v>6.0205995919712061</v>
      </c>
    </row>
    <row r="27" spans="2:4" x14ac:dyDescent="0.3">
      <c r="B27" s="6">
        <v>820</v>
      </c>
      <c r="D27" s="36">
        <f t="shared" si="0"/>
        <v>5.2455478121308738</v>
      </c>
    </row>
    <row r="28" spans="2:4" x14ac:dyDescent="0.3">
      <c r="B28" s="6">
        <v>821</v>
      </c>
      <c r="D28" s="36">
        <f t="shared" si="0"/>
        <v>5.2407503811681737</v>
      </c>
    </row>
    <row r="29" spans="2:4" x14ac:dyDescent="0.3">
      <c r="B29" s="6">
        <v>822</v>
      </c>
      <c r="D29" s="36">
        <f t="shared" si="0"/>
        <v>5.235961981253566</v>
      </c>
    </row>
    <row r="30" spans="2:4" x14ac:dyDescent="0.3">
      <c r="B30" s="6">
        <v>823</v>
      </c>
      <c r="D30" s="36">
        <f t="shared" si="0"/>
        <v>5.2311825861843477</v>
      </c>
    </row>
    <row r="31" spans="2:4" x14ac:dyDescent="0.3">
      <c r="B31" s="6">
        <v>824</v>
      </c>
      <c r="D31" s="36">
        <f t="shared" si="0"/>
        <v>5.2264121698617352</v>
      </c>
    </row>
    <row r="32" spans="2:4" x14ac:dyDescent="0.3">
      <c r="B32" s="6">
        <v>825</v>
      </c>
      <c r="D32" s="36">
        <f t="shared" si="0"/>
        <v>5.2216507062903235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8D0B8-C521-4453-B935-D3B57D83ED71}">
  <dimension ref="A1:K23"/>
  <sheetViews>
    <sheetView zoomScaleNormal="100" workbookViewId="0">
      <selection activeCell="B24" sqref="B24"/>
    </sheetView>
  </sheetViews>
  <sheetFormatPr baseColWidth="10" defaultRowHeight="14.4" x14ac:dyDescent="0.3"/>
  <cols>
    <col min="2" max="2" width="22" customWidth="1"/>
    <col min="3" max="3" width="14.109375" customWidth="1"/>
    <col min="13" max="13" width="11.5546875" customWidth="1"/>
  </cols>
  <sheetData>
    <row r="1" spans="1:11" ht="19.8" customHeight="1" x14ac:dyDescent="0.3">
      <c r="A1" s="48" t="s">
        <v>41</v>
      </c>
      <c r="B1" s="43" t="s">
        <v>28</v>
      </c>
      <c r="C1" s="48" t="s">
        <v>43</v>
      </c>
      <c r="D1" s="44"/>
      <c r="E1" s="44"/>
    </row>
    <row r="2" spans="1:11" ht="15.6" x14ac:dyDescent="0.3">
      <c r="A2" s="48" t="s">
        <v>30</v>
      </c>
      <c r="B2" s="45">
        <v>0</v>
      </c>
      <c r="C2" s="50">
        <v>1</v>
      </c>
      <c r="K2" s="46"/>
    </row>
    <row r="3" spans="1:11" ht="15.6" x14ac:dyDescent="0.3">
      <c r="A3" s="48" t="s">
        <v>29</v>
      </c>
      <c r="B3" s="43">
        <f>SUM($C$3:C3)</f>
        <v>1</v>
      </c>
      <c r="C3" s="50">
        <v>1</v>
      </c>
      <c r="K3" s="46"/>
    </row>
    <row r="4" spans="1:11" ht="15.6" x14ac:dyDescent="0.3">
      <c r="A4" s="48" t="s">
        <v>31</v>
      </c>
      <c r="B4" s="43">
        <f>SUM($C$3:C4)</f>
        <v>2</v>
      </c>
      <c r="C4" s="50">
        <v>1</v>
      </c>
      <c r="K4" s="46"/>
    </row>
    <row r="5" spans="1:11" ht="15.6" x14ac:dyDescent="0.3">
      <c r="A5" s="48" t="s">
        <v>33</v>
      </c>
      <c r="B5" s="43">
        <f>SUM($C$3:C5)</f>
        <v>3</v>
      </c>
      <c r="C5" s="50">
        <v>1</v>
      </c>
      <c r="K5" s="46"/>
    </row>
    <row r="6" spans="1:11" ht="15.6" x14ac:dyDescent="0.3">
      <c r="A6" s="48" t="s">
        <v>32</v>
      </c>
      <c r="B6" s="43">
        <f>SUM($C$3:C6)</f>
        <v>4</v>
      </c>
      <c r="C6" s="51">
        <v>1</v>
      </c>
      <c r="K6" s="46"/>
    </row>
    <row r="7" spans="1:11" ht="15.6" x14ac:dyDescent="0.3">
      <c r="A7" s="48" t="s">
        <v>66</v>
      </c>
      <c r="B7" s="43">
        <f>SUM($C$3:C7)</f>
        <v>5</v>
      </c>
      <c r="C7" s="51">
        <v>1</v>
      </c>
      <c r="K7" s="46"/>
    </row>
    <row r="8" spans="1:11" ht="15.6" x14ac:dyDescent="0.3">
      <c r="A8" s="48" t="s">
        <v>67</v>
      </c>
      <c r="B8" s="43">
        <f>SUM($C$3:C8)</f>
        <v>6</v>
      </c>
      <c r="C8" s="51">
        <v>1</v>
      </c>
      <c r="K8" s="46"/>
    </row>
    <row r="9" spans="1:11" ht="15.6" x14ac:dyDescent="0.3">
      <c r="A9" s="48" t="s">
        <v>68</v>
      </c>
      <c r="B9" s="43">
        <f>SUM($C$3:C9)</f>
        <v>8</v>
      </c>
      <c r="C9" s="51">
        <v>2</v>
      </c>
      <c r="K9" s="46"/>
    </row>
    <row r="10" spans="1:11" ht="15.6" x14ac:dyDescent="0.3">
      <c r="A10" s="48" t="s">
        <v>69</v>
      </c>
      <c r="B10" s="43">
        <f>SUM($C$3:C10)</f>
        <v>9</v>
      </c>
      <c r="C10" s="51">
        <v>1</v>
      </c>
      <c r="K10" s="46"/>
    </row>
    <row r="11" spans="1:11" ht="15.6" x14ac:dyDescent="0.3">
      <c r="A11" s="49" t="s">
        <v>33</v>
      </c>
      <c r="B11" s="43">
        <f>SUM($C$3:C11)</f>
        <v>11</v>
      </c>
      <c r="C11" s="51">
        <v>2</v>
      </c>
      <c r="K11" s="46"/>
    </row>
    <row r="12" spans="1:11" ht="15.6" x14ac:dyDescent="0.3">
      <c r="A12" s="49" t="s">
        <v>34</v>
      </c>
      <c r="B12" s="43">
        <f>SUM($C$3:C12)</f>
        <v>13</v>
      </c>
      <c r="C12" s="51">
        <v>2</v>
      </c>
      <c r="K12" s="46"/>
    </row>
    <row r="13" spans="1:11" ht="15.6" x14ac:dyDescent="0.3">
      <c r="A13" s="49" t="s">
        <v>35</v>
      </c>
      <c r="B13" s="43">
        <f>SUM($C$3:C13)</f>
        <v>15</v>
      </c>
      <c r="C13" s="51">
        <v>2</v>
      </c>
      <c r="K13" s="46"/>
    </row>
    <row r="14" spans="1:11" ht="15.6" x14ac:dyDescent="0.3">
      <c r="A14" s="49" t="s">
        <v>36</v>
      </c>
      <c r="B14" s="43">
        <f>SUM($C$3:C14)</f>
        <v>16</v>
      </c>
      <c r="C14" s="51">
        <v>1</v>
      </c>
      <c r="K14" s="46"/>
    </row>
    <row r="15" spans="1:11" ht="15.6" x14ac:dyDescent="0.3">
      <c r="A15" s="49" t="s">
        <v>37</v>
      </c>
      <c r="B15" s="43">
        <f>SUM($C$3:C15)</f>
        <v>17</v>
      </c>
      <c r="C15" s="51">
        <v>1</v>
      </c>
      <c r="K15" s="46"/>
    </row>
    <row r="16" spans="1:11" ht="15.6" x14ac:dyDescent="0.3">
      <c r="A16" s="49" t="s">
        <v>38</v>
      </c>
      <c r="B16" s="43">
        <f>SUM($C$3:C16)</f>
        <v>18</v>
      </c>
      <c r="C16" s="51">
        <v>1</v>
      </c>
      <c r="K16" s="46"/>
    </row>
    <row r="17" spans="1:11" ht="15.6" x14ac:dyDescent="0.3">
      <c r="A17" s="49" t="s">
        <v>39</v>
      </c>
      <c r="B17" s="43">
        <f>SUM($C$3:C17)</f>
        <v>19</v>
      </c>
      <c r="C17" s="51">
        <v>1</v>
      </c>
      <c r="K17" s="46"/>
    </row>
    <row r="18" spans="1:11" ht="15.6" x14ac:dyDescent="0.3">
      <c r="A18" s="49" t="s">
        <v>40</v>
      </c>
      <c r="B18" s="43">
        <f>SUM($C$3:C18)</f>
        <v>20</v>
      </c>
      <c r="C18" s="51">
        <v>1</v>
      </c>
      <c r="K18" s="46"/>
    </row>
    <row r="19" spans="1:11" ht="15.6" x14ac:dyDescent="0.3">
      <c r="A19" s="49" t="s">
        <v>70</v>
      </c>
      <c r="B19" s="43">
        <f>SUM($C$3:C19)</f>
        <v>21</v>
      </c>
      <c r="C19" s="51">
        <v>1</v>
      </c>
      <c r="K19" s="46"/>
    </row>
    <row r="20" spans="1:11" ht="15.6" x14ac:dyDescent="0.3">
      <c r="A20" s="49" t="s">
        <v>30</v>
      </c>
      <c r="B20" s="43">
        <f>SUM($C$3:C20)</f>
        <v>22</v>
      </c>
      <c r="C20" s="51">
        <v>1</v>
      </c>
    </row>
    <row r="21" spans="1:11" ht="15.6" x14ac:dyDescent="0.3">
      <c r="A21" s="49" t="s">
        <v>71</v>
      </c>
      <c r="B21" s="43">
        <f>SUM($C$3:C21)</f>
        <v>23</v>
      </c>
      <c r="C21" s="51">
        <v>1</v>
      </c>
    </row>
    <row r="22" spans="1:11" ht="15.6" x14ac:dyDescent="0.3">
      <c r="A22" s="49" t="s">
        <v>72</v>
      </c>
      <c r="B22" s="43">
        <f>SUM($C$3:C22)</f>
        <v>24</v>
      </c>
      <c r="C22" s="51">
        <v>1</v>
      </c>
    </row>
    <row r="23" spans="1:11" ht="15.6" x14ac:dyDescent="0.3">
      <c r="A23" s="49" t="s">
        <v>39</v>
      </c>
      <c r="B23" s="43">
        <f>SUM($C$3:C23)</f>
        <v>25</v>
      </c>
      <c r="C23" s="51">
        <v>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0681-4C72-490A-A2DE-A14C4E00EB44}">
  <dimension ref="A1:F64"/>
  <sheetViews>
    <sheetView zoomScaleNormal="100" workbookViewId="0">
      <selection activeCell="F13" sqref="F13"/>
    </sheetView>
  </sheetViews>
  <sheetFormatPr baseColWidth="10" defaultRowHeight="14.4" x14ac:dyDescent="0.3"/>
  <cols>
    <col min="1" max="1" width="9.21875" customWidth="1"/>
    <col min="2" max="2" width="46" customWidth="1"/>
    <col min="3" max="3" width="22.6640625" customWidth="1"/>
    <col min="4" max="4" width="12.21875" customWidth="1"/>
    <col min="5" max="5" width="11.109375" customWidth="1"/>
    <col min="6" max="6" width="15.21875" customWidth="1"/>
  </cols>
  <sheetData>
    <row r="1" spans="1:6" ht="15.6" x14ac:dyDescent="0.3">
      <c r="A1" s="54" t="s">
        <v>41</v>
      </c>
      <c r="B1" s="54" t="s">
        <v>42</v>
      </c>
      <c r="C1" s="48" t="s">
        <v>43</v>
      </c>
      <c r="D1" s="48" t="s">
        <v>44</v>
      </c>
      <c r="E1" s="85"/>
      <c r="F1" s="85"/>
    </row>
    <row r="2" spans="1:6" ht="15.6" x14ac:dyDescent="0.3">
      <c r="A2" s="54" t="s">
        <v>30</v>
      </c>
      <c r="B2" s="55" t="s">
        <v>52</v>
      </c>
      <c r="C2" s="50">
        <v>1</v>
      </c>
      <c r="D2" s="50"/>
      <c r="E2" s="85"/>
      <c r="F2" s="85"/>
    </row>
    <row r="3" spans="1:6" ht="15.6" x14ac:dyDescent="0.3">
      <c r="A3" s="54" t="s">
        <v>29</v>
      </c>
      <c r="B3" s="55" t="s">
        <v>45</v>
      </c>
      <c r="C3" s="50">
        <v>1</v>
      </c>
      <c r="D3" s="48" t="s">
        <v>30</v>
      </c>
      <c r="E3" s="85"/>
      <c r="F3" s="85"/>
    </row>
    <row r="4" spans="1:6" ht="15.6" x14ac:dyDescent="0.3">
      <c r="A4" s="54" t="s">
        <v>31</v>
      </c>
      <c r="B4" s="55" t="s">
        <v>46</v>
      </c>
      <c r="C4" s="50">
        <v>1</v>
      </c>
      <c r="D4" s="48" t="s">
        <v>29</v>
      </c>
      <c r="E4" s="47"/>
      <c r="F4" s="47"/>
    </row>
    <row r="5" spans="1:6" ht="15.6" x14ac:dyDescent="0.3">
      <c r="A5" s="54" t="s">
        <v>33</v>
      </c>
      <c r="B5" s="55" t="s">
        <v>47</v>
      </c>
      <c r="C5" s="50">
        <v>1</v>
      </c>
      <c r="D5" s="48" t="s">
        <v>31</v>
      </c>
      <c r="E5" s="47"/>
      <c r="F5" s="47"/>
    </row>
    <row r="6" spans="1:6" ht="15.6" x14ac:dyDescent="0.3">
      <c r="A6" s="54" t="s">
        <v>32</v>
      </c>
      <c r="B6" s="56" t="s">
        <v>48</v>
      </c>
      <c r="C6" s="51">
        <v>1</v>
      </c>
      <c r="D6" s="48" t="s">
        <v>33</v>
      </c>
      <c r="E6" s="47"/>
      <c r="F6" s="47"/>
    </row>
    <row r="7" spans="1:6" ht="15.6" x14ac:dyDescent="0.3">
      <c r="A7" s="54" t="s">
        <v>66</v>
      </c>
      <c r="B7" s="56" t="s">
        <v>49</v>
      </c>
      <c r="C7" s="51">
        <v>1</v>
      </c>
      <c r="D7" s="48" t="s">
        <v>32</v>
      </c>
      <c r="E7" s="47"/>
      <c r="F7" s="47"/>
    </row>
    <row r="8" spans="1:6" ht="15.6" x14ac:dyDescent="0.3">
      <c r="A8" s="54" t="s">
        <v>67</v>
      </c>
      <c r="B8" s="56" t="s">
        <v>50</v>
      </c>
      <c r="C8" s="51">
        <v>1</v>
      </c>
      <c r="D8" s="48" t="s">
        <v>66</v>
      </c>
      <c r="E8" s="47"/>
      <c r="F8" s="47"/>
    </row>
    <row r="9" spans="1:6" ht="15.6" x14ac:dyDescent="0.3">
      <c r="A9" s="54" t="s">
        <v>68</v>
      </c>
      <c r="B9" s="56" t="s">
        <v>51</v>
      </c>
      <c r="C9" s="51">
        <v>2</v>
      </c>
      <c r="D9" s="48" t="s">
        <v>67</v>
      </c>
      <c r="E9" s="47"/>
      <c r="F9" s="47"/>
    </row>
    <row r="10" spans="1:6" ht="15.6" x14ac:dyDescent="0.3">
      <c r="A10" s="54" t="s">
        <v>69</v>
      </c>
      <c r="B10" s="56" t="s">
        <v>53</v>
      </c>
      <c r="C10" s="51">
        <v>1</v>
      </c>
      <c r="D10" s="48" t="s">
        <v>68</v>
      </c>
      <c r="E10" s="47"/>
      <c r="F10" s="47"/>
    </row>
    <row r="11" spans="1:6" ht="15.6" x14ac:dyDescent="0.3">
      <c r="A11" s="57" t="s">
        <v>33</v>
      </c>
      <c r="B11" s="58" t="s">
        <v>54</v>
      </c>
      <c r="C11" s="51">
        <v>2</v>
      </c>
      <c r="D11" s="48" t="s">
        <v>69</v>
      </c>
    </row>
    <row r="12" spans="1:6" ht="15.6" x14ac:dyDescent="0.3">
      <c r="A12" s="57" t="s">
        <v>34</v>
      </c>
      <c r="B12" s="58" t="s">
        <v>53</v>
      </c>
      <c r="C12" s="51">
        <v>2</v>
      </c>
      <c r="D12" s="49" t="s">
        <v>33</v>
      </c>
    </row>
    <row r="13" spans="1:6" ht="15.6" x14ac:dyDescent="0.3">
      <c r="A13" s="57" t="s">
        <v>35</v>
      </c>
      <c r="B13" s="58" t="s">
        <v>55</v>
      </c>
      <c r="C13" s="51">
        <v>2</v>
      </c>
      <c r="D13" s="49" t="s">
        <v>34</v>
      </c>
    </row>
    <row r="14" spans="1:6" ht="15.6" x14ac:dyDescent="0.3">
      <c r="A14" s="57" t="s">
        <v>36</v>
      </c>
      <c r="B14" s="59" t="s">
        <v>56</v>
      </c>
      <c r="C14" s="51">
        <v>1</v>
      </c>
      <c r="D14" s="49" t="s">
        <v>35</v>
      </c>
    </row>
    <row r="15" spans="1:6" ht="15.6" x14ac:dyDescent="0.3">
      <c r="A15" s="57" t="s">
        <v>37</v>
      </c>
      <c r="B15" s="59" t="s">
        <v>58</v>
      </c>
      <c r="C15" s="51">
        <v>1</v>
      </c>
      <c r="D15" s="49" t="s">
        <v>36</v>
      </c>
    </row>
    <row r="16" spans="1:6" ht="15.6" x14ac:dyDescent="0.3">
      <c r="A16" s="57" t="s">
        <v>38</v>
      </c>
      <c r="B16" s="59" t="s">
        <v>57</v>
      </c>
      <c r="C16" s="51">
        <v>1</v>
      </c>
      <c r="D16" s="49" t="s">
        <v>37</v>
      </c>
      <c r="E16" s="44"/>
    </row>
    <row r="17" spans="1:5" ht="15.6" x14ac:dyDescent="0.3">
      <c r="A17" s="57" t="s">
        <v>39</v>
      </c>
      <c r="B17" s="60" t="s">
        <v>59</v>
      </c>
      <c r="C17" s="51">
        <v>1</v>
      </c>
      <c r="D17" s="49" t="s">
        <v>38</v>
      </c>
      <c r="E17" s="44"/>
    </row>
    <row r="18" spans="1:5" ht="15.6" x14ac:dyDescent="0.3">
      <c r="A18" s="57" t="s">
        <v>40</v>
      </c>
      <c r="B18" s="59" t="s">
        <v>60</v>
      </c>
      <c r="C18" s="51">
        <v>1</v>
      </c>
      <c r="D18" s="49" t="s">
        <v>39</v>
      </c>
      <c r="E18" s="44"/>
    </row>
    <row r="19" spans="1:5" ht="15.6" x14ac:dyDescent="0.3">
      <c r="A19" s="57" t="s">
        <v>70</v>
      </c>
      <c r="B19" s="59" t="s">
        <v>63</v>
      </c>
      <c r="C19" s="51">
        <v>1</v>
      </c>
      <c r="D19" s="49" t="s">
        <v>40</v>
      </c>
      <c r="E19" s="44"/>
    </row>
    <row r="20" spans="1:5" ht="15.6" x14ac:dyDescent="0.3">
      <c r="A20" s="57" t="s">
        <v>30</v>
      </c>
      <c r="B20" s="59" t="s">
        <v>64</v>
      </c>
      <c r="C20" s="51">
        <v>1</v>
      </c>
      <c r="D20" s="49" t="s">
        <v>70</v>
      </c>
      <c r="E20" s="44"/>
    </row>
    <row r="21" spans="1:5" ht="15.6" x14ac:dyDescent="0.3">
      <c r="A21" s="57" t="s">
        <v>71</v>
      </c>
      <c r="B21" s="59" t="s">
        <v>61</v>
      </c>
      <c r="C21" s="51">
        <v>1</v>
      </c>
      <c r="D21" s="49" t="s">
        <v>30</v>
      </c>
      <c r="E21" s="44"/>
    </row>
    <row r="22" spans="1:5" ht="15.6" x14ac:dyDescent="0.3">
      <c r="A22" s="57" t="s">
        <v>72</v>
      </c>
      <c r="B22" s="59" t="s">
        <v>62</v>
      </c>
      <c r="C22" s="51">
        <v>1</v>
      </c>
      <c r="D22" s="49" t="s">
        <v>71</v>
      </c>
      <c r="E22" s="44"/>
    </row>
    <row r="23" spans="1:5" ht="15.6" x14ac:dyDescent="0.3">
      <c r="A23" s="57" t="s">
        <v>39</v>
      </c>
      <c r="B23" s="57" t="s">
        <v>65</v>
      </c>
      <c r="C23" s="51">
        <v>1</v>
      </c>
      <c r="D23" s="49" t="s">
        <v>72</v>
      </c>
      <c r="E23" s="44"/>
    </row>
    <row r="24" spans="1:5" ht="15.6" x14ac:dyDescent="0.3">
      <c r="A24" s="52"/>
      <c r="B24" s="52"/>
      <c r="C24" s="53"/>
      <c r="D24" s="49"/>
      <c r="E24" s="44"/>
    </row>
    <row r="25" spans="1:5" ht="15.6" x14ac:dyDescent="0.3">
      <c r="A25" s="52"/>
      <c r="B25" s="52"/>
      <c r="C25" s="53"/>
      <c r="D25" s="53"/>
      <c r="E25" s="44"/>
    </row>
    <row r="26" spans="1:5" x14ac:dyDescent="0.3">
      <c r="E26" s="44"/>
    </row>
    <row r="27" spans="1:5" x14ac:dyDescent="0.3">
      <c r="E27" s="44"/>
    </row>
    <row r="28" spans="1:5" x14ac:dyDescent="0.3">
      <c r="E28" s="44"/>
    </row>
    <row r="29" spans="1:5" x14ac:dyDescent="0.3">
      <c r="E29" s="44"/>
    </row>
    <row r="30" spans="1:5" x14ac:dyDescent="0.3">
      <c r="E30" s="44"/>
    </row>
    <row r="31" spans="1:5" x14ac:dyDescent="0.3">
      <c r="E31" s="44"/>
    </row>
    <row r="32" spans="1:5" x14ac:dyDescent="0.3">
      <c r="E32" s="44"/>
    </row>
    <row r="33" spans="5:5" x14ac:dyDescent="0.3">
      <c r="E33" s="44"/>
    </row>
    <row r="49" spans="2:6" x14ac:dyDescent="0.3">
      <c r="B49" s="44"/>
      <c r="C49" s="44"/>
      <c r="D49" s="44"/>
      <c r="E49" s="44"/>
      <c r="F49" s="44"/>
    </row>
    <row r="50" spans="2:6" x14ac:dyDescent="0.3">
      <c r="B50" s="44"/>
      <c r="C50" s="44"/>
      <c r="D50" s="44"/>
      <c r="E50" s="44"/>
      <c r="F50" s="44"/>
    </row>
    <row r="51" spans="2:6" x14ac:dyDescent="0.3">
      <c r="B51" s="44"/>
      <c r="C51" s="44"/>
      <c r="D51" s="44"/>
      <c r="E51" s="44"/>
      <c r="F51" s="44"/>
    </row>
    <row r="52" spans="2:6" x14ac:dyDescent="0.3">
      <c r="B52" s="44"/>
      <c r="C52" s="44"/>
      <c r="D52" s="44"/>
      <c r="E52" s="44"/>
      <c r="F52" s="44"/>
    </row>
    <row r="53" spans="2:6" x14ac:dyDescent="0.3">
      <c r="B53" s="44"/>
      <c r="C53" s="44"/>
      <c r="D53" s="44"/>
      <c r="E53" s="44"/>
      <c r="F53" s="44"/>
    </row>
    <row r="54" spans="2:6" x14ac:dyDescent="0.3">
      <c r="B54" s="44"/>
      <c r="C54" s="44"/>
      <c r="D54" s="44"/>
      <c r="E54" s="44"/>
      <c r="F54" s="44"/>
    </row>
    <row r="55" spans="2:6" x14ac:dyDescent="0.3">
      <c r="B55" s="44"/>
      <c r="C55" s="44"/>
      <c r="D55" s="44"/>
      <c r="E55" s="44"/>
      <c r="F55" s="44"/>
    </row>
    <row r="56" spans="2:6" x14ac:dyDescent="0.3">
      <c r="B56" s="44"/>
      <c r="C56" s="44"/>
      <c r="D56" s="44"/>
      <c r="E56" s="44"/>
      <c r="F56" s="44"/>
    </row>
    <row r="57" spans="2:6" x14ac:dyDescent="0.3">
      <c r="B57" s="44"/>
      <c r="C57" s="44"/>
      <c r="D57" s="44"/>
      <c r="E57" s="44"/>
      <c r="F57" s="44"/>
    </row>
    <row r="58" spans="2:6" x14ac:dyDescent="0.3">
      <c r="B58" s="44"/>
      <c r="C58" s="44"/>
      <c r="D58" s="44"/>
      <c r="E58" s="44"/>
      <c r="F58" s="44"/>
    </row>
    <row r="59" spans="2:6" x14ac:dyDescent="0.3">
      <c r="B59" s="44"/>
      <c r="C59" s="44"/>
      <c r="D59" s="44"/>
      <c r="E59" s="44"/>
      <c r="F59" s="44"/>
    </row>
    <row r="60" spans="2:6" x14ac:dyDescent="0.3">
      <c r="B60" s="44"/>
      <c r="C60" s="44"/>
      <c r="D60" s="44"/>
      <c r="E60" s="44"/>
      <c r="F60" s="44"/>
    </row>
    <row r="61" spans="2:6" x14ac:dyDescent="0.3">
      <c r="B61" s="44"/>
      <c r="C61" s="44"/>
      <c r="D61" s="44"/>
      <c r="E61" s="44"/>
      <c r="F61" s="44"/>
    </row>
    <row r="62" spans="2:6" x14ac:dyDescent="0.3">
      <c r="B62" s="44"/>
      <c r="C62" s="44"/>
      <c r="D62" s="44"/>
      <c r="E62" s="44"/>
      <c r="F62" s="44"/>
    </row>
    <row r="63" spans="2:6" x14ac:dyDescent="0.3">
      <c r="B63" s="44"/>
      <c r="C63" s="44"/>
      <c r="D63" s="44"/>
      <c r="E63" s="44"/>
      <c r="F63" s="44"/>
    </row>
    <row r="64" spans="2:6" x14ac:dyDescent="0.3">
      <c r="B64" s="44"/>
      <c r="C64" s="44"/>
      <c r="D64" s="44"/>
      <c r="E64" s="44"/>
      <c r="F64" s="44"/>
    </row>
  </sheetData>
  <mergeCells count="2">
    <mergeCell ref="E1:E3"/>
    <mergeCell ref="F1:F3"/>
  </mergeCells>
  <phoneticPr fontId="1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659D4-20AA-44E4-B37E-4B23D69B3FAC}">
  <dimension ref="A1:E10"/>
  <sheetViews>
    <sheetView workbookViewId="0">
      <selection activeCell="B15" sqref="B15"/>
    </sheetView>
  </sheetViews>
  <sheetFormatPr baseColWidth="10" defaultRowHeight="14.4" x14ac:dyDescent="0.3"/>
  <cols>
    <col min="2" max="2" width="23.44140625" customWidth="1"/>
    <col min="3" max="3" width="47.21875" customWidth="1"/>
    <col min="4" max="4" width="57.5546875" customWidth="1"/>
    <col min="5" max="5" width="14" customWidth="1"/>
  </cols>
  <sheetData>
    <row r="1" spans="1:5" x14ac:dyDescent="0.3">
      <c r="A1" s="75" t="s">
        <v>111</v>
      </c>
      <c r="B1" s="76" t="s">
        <v>112</v>
      </c>
      <c r="C1" s="76" t="s">
        <v>113</v>
      </c>
      <c r="D1" s="76" t="s">
        <v>114</v>
      </c>
      <c r="E1" s="77" t="s">
        <v>115</v>
      </c>
    </row>
    <row r="2" spans="1:5" x14ac:dyDescent="0.3">
      <c r="A2" s="78" t="s">
        <v>116</v>
      </c>
      <c r="B2" s="45" t="s">
        <v>117</v>
      </c>
      <c r="C2" s="4" t="s">
        <v>118</v>
      </c>
      <c r="D2" s="4" t="s">
        <v>119</v>
      </c>
      <c r="E2" s="79" t="s">
        <v>120</v>
      </c>
    </row>
    <row r="3" spans="1:5" x14ac:dyDescent="0.3">
      <c r="A3" s="78" t="s">
        <v>121</v>
      </c>
      <c r="B3" s="45" t="s">
        <v>122</v>
      </c>
      <c r="C3" s="4" t="s">
        <v>118</v>
      </c>
      <c r="D3" s="4" t="s">
        <v>119</v>
      </c>
      <c r="E3" s="79" t="s">
        <v>120</v>
      </c>
    </row>
    <row r="4" spans="1:5" x14ac:dyDescent="0.3">
      <c r="A4" s="78" t="s">
        <v>123</v>
      </c>
      <c r="B4" s="45" t="s">
        <v>95</v>
      </c>
      <c r="C4" s="4" t="s">
        <v>124</v>
      </c>
      <c r="D4" s="4" t="s">
        <v>125</v>
      </c>
      <c r="E4" s="79" t="s">
        <v>140</v>
      </c>
    </row>
    <row r="5" spans="1:5" x14ac:dyDescent="0.3">
      <c r="A5" s="78" t="s">
        <v>126</v>
      </c>
      <c r="B5" s="45">
        <f>14</f>
        <v>14</v>
      </c>
      <c r="C5" s="4" t="s">
        <v>118</v>
      </c>
      <c r="D5" s="4" t="s">
        <v>127</v>
      </c>
      <c r="E5" s="80" t="s">
        <v>128</v>
      </c>
    </row>
    <row r="6" spans="1:5" x14ac:dyDescent="0.3">
      <c r="A6" s="78" t="s">
        <v>129</v>
      </c>
      <c r="B6" s="45" t="s">
        <v>130</v>
      </c>
      <c r="C6" s="4" t="s">
        <v>118</v>
      </c>
      <c r="D6" s="4" t="s">
        <v>127</v>
      </c>
      <c r="E6" s="80" t="s">
        <v>128</v>
      </c>
    </row>
    <row r="7" spans="1:5" x14ac:dyDescent="0.3">
      <c r="A7" s="78" t="s">
        <v>131</v>
      </c>
      <c r="B7" s="45" t="s">
        <v>132</v>
      </c>
      <c r="C7" s="4" t="s">
        <v>118</v>
      </c>
      <c r="D7" s="4" t="s">
        <v>127</v>
      </c>
      <c r="E7" s="80" t="s">
        <v>128</v>
      </c>
    </row>
    <row r="8" spans="1:5" x14ac:dyDescent="0.3">
      <c r="A8" s="78" t="s">
        <v>133</v>
      </c>
      <c r="B8" s="45" t="s">
        <v>134</v>
      </c>
      <c r="C8" s="4" t="s">
        <v>118</v>
      </c>
      <c r="D8" s="4" t="s">
        <v>127</v>
      </c>
      <c r="E8" s="80" t="s">
        <v>128</v>
      </c>
    </row>
    <row r="9" spans="1:5" x14ac:dyDescent="0.3">
      <c r="A9" s="78" t="s">
        <v>135</v>
      </c>
      <c r="B9" s="45" t="s">
        <v>136</v>
      </c>
      <c r="C9" s="4" t="s">
        <v>118</v>
      </c>
      <c r="D9" s="4" t="s">
        <v>127</v>
      </c>
      <c r="E9" s="80" t="s">
        <v>128</v>
      </c>
    </row>
    <row r="10" spans="1:5" x14ac:dyDescent="0.3">
      <c r="A10" s="81" t="s">
        <v>137</v>
      </c>
      <c r="B10" s="83" t="s">
        <v>141</v>
      </c>
      <c r="C10" s="82" t="s">
        <v>118</v>
      </c>
      <c r="D10" s="82" t="s">
        <v>138</v>
      </c>
      <c r="E10" s="84" t="s">
        <v>139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Filtre Passe_Bas</vt:lpstr>
      <vt:lpstr>Filtre Passe_Haut</vt:lpstr>
      <vt:lpstr>Fréquence Coupure</vt:lpstr>
      <vt:lpstr>Adaption_Automatique_R</vt:lpstr>
      <vt:lpstr>Point de repos</vt:lpstr>
      <vt:lpstr>Amplificateur_valeurs</vt:lpstr>
      <vt:lpstr>Gain Ampli OP</vt:lpstr>
      <vt:lpstr>Dimensionnement R Gain</vt:lpstr>
      <vt:lpstr>Gantt</vt:lpstr>
      <vt:lpstr>Liste</vt:lpstr>
      <vt:lpstr>BOM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MOURES PAUL</dc:creator>
  <cp:lastModifiedBy>MOURES PAUL</cp:lastModifiedBy>
  <dcterms:created xsi:type="dcterms:W3CDTF">2024-11-12T10:04:06Z</dcterms:created>
  <dcterms:modified xsi:type="dcterms:W3CDTF">2024-12-06T10:35:55Z</dcterms:modified>
</cp:coreProperties>
</file>