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freelanceIT\Testes\Aiti Guru\"/>
    </mc:Choice>
  </mc:AlternateContent>
  <xr:revisionPtr revIDLastSave="0" documentId="13_ncr:1_{93C0399E-35C7-41B7-9D9F-77D80B86540A}" xr6:coauthVersionLast="47" xr6:coauthVersionMax="47" xr10:uidLastSave="{00000000-0000-0000-0000-000000000000}"/>
  <bookViews>
    <workbookView xWindow="615" yWindow="3315" windowWidth="25140" windowHeight="11385" xr2:uid="{DF16B092-E2BF-4A7F-86C8-6F1098707757}"/>
  </bookViews>
  <sheets>
    <sheet name="Задача" sheetId="1" r:id="rId1"/>
    <sheet name="Products" sheetId="3" r:id="rId2"/>
    <sheet name="Companies" sheetId="4" r:id="rId3"/>
    <sheet name="Orders" sheetId="6" r:id="rId4"/>
    <sheet name="Refund" sheetId="7" r:id="rId5"/>
    <sheet name="Sales" sheetId="5" r:id="rId6"/>
    <sheet name="Managers" sheetId="8" r:id="rId7"/>
    <sheet name="Team" sheetId="2" r:id="rId8"/>
  </sheet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E8" i="7"/>
  <c r="E9" i="7"/>
  <c r="E10" i="7"/>
  <c r="L3" i="5"/>
  <c r="F2" i="3"/>
  <c r="C13" i="6"/>
  <c r="H5" i="8"/>
  <c r="H6" i="8"/>
  <c r="H4" i="8"/>
  <c r="G27" i="8"/>
  <c r="K3" i="5"/>
  <c r="C14" i="6"/>
  <c r="C15" i="6"/>
  <c r="G28" i="8"/>
  <c r="G29" i="8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J4" i="5"/>
  <c r="J5" i="5"/>
  <c r="K5" i="5" s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J29" i="5"/>
  <c r="K29" i="5" s="1"/>
  <c r="J30" i="5"/>
  <c r="K30" i="5" s="1"/>
  <c r="J31" i="5"/>
  <c r="K31" i="5" s="1"/>
  <c r="J32" i="5"/>
  <c r="K32" i="5" s="1"/>
  <c r="J33" i="5"/>
  <c r="K33" i="5" s="1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" i="5"/>
  <c r="D10" i="7"/>
  <c r="D9" i="7"/>
  <c r="F10" i="7"/>
  <c r="F9" i="7"/>
  <c r="F8" i="7"/>
  <c r="D8" i="7" l="1"/>
  <c r="F3" i="3"/>
  <c r="F4" i="3"/>
  <c r="B2" i="1"/>
  <c r="D4" i="3"/>
  <c r="D3" i="3"/>
  <c r="D2" i="3"/>
</calcChain>
</file>

<file path=xl/sharedStrings.xml><?xml version="1.0" encoding="utf-8"?>
<sst xmlns="http://schemas.openxmlformats.org/spreadsheetml/2006/main" count="263" uniqueCount="120">
  <si>
    <t>Срок выполнения задания - неделя.</t>
  </si>
  <si>
    <r>
      <t xml:space="preserve">Готовое задание присылать на почту </t>
    </r>
    <r>
      <rPr>
        <sz val="10.5"/>
        <color rgb="FF000000"/>
        <rFont val="Arial"/>
        <family val="2"/>
        <charset val="204"/>
      </rPr>
      <t>m.grishina@i-t-p.pro</t>
    </r>
    <r>
      <rPr>
        <sz val="12"/>
        <color rgb="FF000000"/>
        <rFont val="Liberation Serif"/>
      </rPr>
      <t xml:space="preserve">, в теме письма укажите вашу </t>
    </r>
    <r>
      <rPr>
        <b/>
        <sz val="12"/>
        <color rgb="FF000000"/>
        <rFont val="Liberation Serif"/>
      </rPr>
      <t xml:space="preserve">Фамилию и Имя - </t>
    </r>
    <r>
      <rPr>
        <sz val="21"/>
        <color rgb="FF000000"/>
        <rFont val="Liberation Serif"/>
      </rPr>
      <t xml:space="preserve">BI-разработчик, </t>
    </r>
    <r>
      <rPr>
        <sz val="13"/>
        <color rgb="FF000000"/>
        <rFont val="Liberation Serif"/>
      </rPr>
      <t>желательно выложить на git, направить уже ссылку в письме.</t>
    </r>
  </si>
  <si>
    <t>Даны следующие бизнес-сущности и соответствующие им таблицы в базе данных (модель данных реляционная):</t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</si>
  <si>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Номенклатура (товары) – артикул, категория товара, стоимость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</si>
  <si>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Клиенты  – наименование юр.лица, ИНН, ответственный менеджер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</si>
  <si>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Реализации (продажи) – сумма продажи поартикульно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</si>
  <si>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Корректировки реализаций (возвраты) – сумма возврата поартикульно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</si>
  <si>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Плановые показатели по менеджеру – основные показатели из описанных выше сущностей, период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</si>
  <si>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Команды – участники команды (менеджеры) и их руководитель с указанием роли</t>
    </r>
  </si>
  <si>
    <t>Необходимо собрать 2 дашборда для разных ролей: менеджер и руководитель команды по следующим показателям: </t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</si>
  <si>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Выручка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</si>
  <si>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Маржа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</si>
  <si>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Средний чек по клиенту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</si>
  <si>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Выручка по категории</t>
    </r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</si>
  <si>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Выручка по конкретному артикулу</t>
    </r>
  </si>
  <si>
    <t>Показатели необходимо отразить в формате план / факт</t>
  </si>
  <si>
    <t>Сотрудник с ролью "менеджер" может быть только в одной команде, сотрудник с ролью "руководитель команды" может руководить несколькими командами</t>
  </si>
  <si>
    <t>Представленная структура данных является исходной и может быть расширена в процессе разработки для полного удовлетворения требований к отчетности</t>
  </si>
  <si>
    <t>Для реализации дашбордов необходимо предварительно подготовить SQL запросы на выборку необходимых данных из БД</t>
  </si>
  <si>
    <t>до</t>
  </si>
  <si>
    <t>Иванов</t>
  </si>
  <si>
    <t>Дарья</t>
  </si>
  <si>
    <t>Алексей</t>
  </si>
  <si>
    <t>Ольга</t>
  </si>
  <si>
    <t>article</t>
  </si>
  <si>
    <t>product_category</t>
  </si>
  <si>
    <t>price</t>
  </si>
  <si>
    <t>Яблоки</t>
  </si>
  <si>
    <t>Груши</t>
  </si>
  <si>
    <t>Клубника</t>
  </si>
  <si>
    <t>company</t>
  </si>
  <si>
    <t xml:space="preserve"> INN</t>
  </si>
  <si>
    <t>manager</t>
  </si>
  <si>
    <t>Пилот</t>
  </si>
  <si>
    <t>Астра</t>
  </si>
  <si>
    <t>Джинсы</t>
  </si>
  <si>
    <t>wholesale</t>
  </si>
  <si>
    <t>date</t>
  </si>
  <si>
    <t>quantity</t>
  </si>
  <si>
    <t>refund</t>
  </si>
  <si>
    <t>Фрукты</t>
  </si>
  <si>
    <t>Ягоды</t>
  </si>
  <si>
    <t>team</t>
  </si>
  <si>
    <t>Ирина</t>
  </si>
  <si>
    <t>Сергей</t>
  </si>
  <si>
    <t>sales</t>
  </si>
  <si>
    <t>Table</t>
  </si>
  <si>
    <t>Products</t>
  </si>
  <si>
    <t>Managers</t>
  </si>
  <si>
    <t>Companies</t>
  </si>
  <si>
    <t>Orders</t>
  </si>
  <si>
    <t>Sales</t>
  </si>
  <si>
    <t>Refund</t>
  </si>
  <si>
    <t>Team</t>
  </si>
  <si>
    <t>director</t>
  </si>
  <si>
    <t>plan</t>
  </si>
  <si>
    <r>
      <t>·</t>
    </r>
    <r>
      <rPr>
        <sz val="6.95"/>
        <color rgb="FF000000"/>
        <rFont val="Times New Roman"/>
        <family val="1"/>
        <charset val="204"/>
      </rPr>
      <t xml:space="preserve">       </t>
    </r>
    <r>
      <rPr>
        <sz val="11"/>
        <color rgb="FF000000"/>
        <rFont val="Arial"/>
        <family val="2"/>
        <charset val="204"/>
      </rPr>
      <t>Заказы (корзина) – артикул, сумма поартикульно, маржа поартикульно (margin)</t>
    </r>
  </si>
  <si>
    <t>FROM Products</t>
  </si>
  <si>
    <t>margin</t>
  </si>
  <si>
    <t>sum_orders</t>
  </si>
  <si>
    <t xml:space="preserve">SELECT </t>
  </si>
  <si>
    <t>FROM Sales s</t>
  </si>
  <si>
    <t>GROUP BY s.article</t>
  </si>
  <si>
    <t xml:space="preserve">quantity </t>
  </si>
  <si>
    <r>
      <t>·</t>
    </r>
    <r>
      <rPr>
        <u/>
        <sz val="6.95"/>
        <color theme="4"/>
        <rFont val="Times New Roman"/>
        <family val="1"/>
        <charset val="204"/>
      </rPr>
      <t xml:space="preserve">       </t>
    </r>
    <r>
      <rPr>
        <u/>
        <sz val="11"/>
        <color theme="4"/>
        <rFont val="Arial"/>
        <family val="2"/>
        <charset val="204"/>
      </rPr>
      <t>Заказы (корзина) – артикул, сумма поартикульно, маржа поартикульно (margin)</t>
    </r>
  </si>
  <si>
    <t xml:space="preserve"> sales</t>
  </si>
  <si>
    <t>s.article, 
SUM(s.sales) AS sales
SUM(s.quantity) AS quantity</t>
  </si>
  <si>
    <t>FROM Products AS p RIGHT JOIN ord AS s ON s.article = p.article</t>
  </si>
  <si>
    <t>Корзины- это все заказы, включая возвраты.</t>
  </si>
  <si>
    <r>
      <t>·</t>
    </r>
    <r>
      <rPr>
        <u/>
        <sz val="6.95"/>
        <color theme="4"/>
        <rFont val="Times New Roman"/>
        <family val="1"/>
        <charset val="204"/>
      </rPr>
      <t xml:space="preserve">       </t>
    </r>
    <r>
      <rPr>
        <u/>
        <sz val="11"/>
        <color theme="4"/>
        <rFont val="Arial"/>
        <family val="2"/>
        <charset val="204"/>
      </rPr>
      <t>Реализации (продажи) – сумма продажи поартикульно</t>
    </r>
  </si>
  <si>
    <r>
      <t>·</t>
    </r>
    <r>
      <rPr>
        <u/>
        <sz val="6.95"/>
        <color theme="4"/>
        <rFont val="Times New Roman"/>
        <family val="1"/>
        <charset val="204"/>
      </rPr>
      <t xml:space="preserve">       </t>
    </r>
    <r>
      <rPr>
        <u/>
        <sz val="11"/>
        <color theme="4"/>
        <rFont val="Arial"/>
        <family val="2"/>
        <charset val="204"/>
      </rPr>
      <t>Корректировки реализаций (возвраты) – сумма возврата поартикульно</t>
    </r>
  </si>
  <si>
    <t xml:space="preserve"> refund</t>
  </si>
  <si>
    <t xml:space="preserve"> quantity</t>
  </si>
  <si>
    <t>sum_refund</t>
  </si>
  <si>
    <t>sum_sales</t>
  </si>
  <si>
    <t>s.article, 
SUM(s.sales) AS sales,
SUM(s.refund) AS refund</t>
  </si>
  <si>
    <t>FROM ref AS s LEFT JOIN Products AS p ON s.article = p.article</t>
  </si>
  <si>
    <t>·       Плановые показатели по менеджеру – основные показатели из описанных выше сущностей, период</t>
  </si>
  <si>
    <t xml:space="preserve"> plan</t>
  </si>
  <si>
    <t>Продажи</t>
  </si>
  <si>
    <t>Компании</t>
  </si>
  <si>
    <t>year</t>
  </si>
  <si>
    <t>month</t>
  </si>
  <si>
    <t xml:space="preserve"> sum_refund</t>
  </si>
  <si>
    <t xml:space="preserve"> margin</t>
  </si>
  <si>
    <t>Таблица БД</t>
  </si>
  <si>
    <t>Добавленные столбцы</t>
  </si>
  <si>
    <t>WITH ord AS (SELECT s.article, 
SUM(s.sales) AS sales
SUM(s.quantity) AS quantity
FROM Sales s
GROUP BY s.article)</t>
  </si>
  <si>
    <t>WITH ref AS (SELECT s.article, 
SUM(s.sales) AS sales
SUM(s.refund) AS refund
FROM Sales s
GROUP BY s.article)</t>
  </si>
  <si>
    <t>WITH Products AS(</t>
  </si>
  <si>
    <t>WITH Companies AS (</t>
  </si>
  <si>
    <t>WITH Sales AS (</t>
  </si>
  <si>
    <t>/* Возьмем таблицу продуктов */</t>
  </si>
  <si>
    <t>/* Возьмем таблицу клиентов */</t>
  </si>
  <si>
    <t>/* Возьмем таблицу продаж */</t>
  </si>
  <si>
    <t>SELECT article, price,  margin FROM Products),</t>
  </si>
  <si>
    <t>SELECT company, manager, plan  FROM Companies),</t>
  </si>
  <si>
    <t>LEFT JOIN Products p ON s.article = p.article</t>
  </si>
  <si>
    <t>LEFT JOIN Companies c ON s.company = c.company</t>
  </si>
  <si>
    <t xml:space="preserve">SELECT date, article, quantity, sales, refund, company </t>
  </si>
  <si>
    <t>FROM Sales)</t>
  </si>
  <si>
    <t>GROUP BY s.company, c.manager,
EXTRACT(YEAR FROM s.date),
EXTRACT(MONTH FROM s.date)</t>
  </si>
  <si>
    <t>FROM Managers</t>
  </si>
  <si>
    <t>SELECT director, team, manager, SUM(plan) AS plan</t>
  </si>
  <si>
    <t>SELECT article, product_category, 
SUM(price), SUM(wholesale), SUM(plan), 
(SUM(price) - SUM(wholesale)) AS margin</t>
  </si>
  <si>
    <t>GROUP BY article, product_category</t>
  </si>
  <si>
    <t>SELECT ord.article, 
SUM(ord.sales) AS sum_orders, 
SUM(ord.quantity) * SUM(p.wholesale) AS margin</t>
  </si>
  <si>
    <t>GROUP BY ord.article</t>
  </si>
  <si>
    <t>SELECT company, INN,  manager, SUM(plan)</t>
  </si>
  <si>
    <t>FROM Companies</t>
  </si>
  <si>
    <t>GROUP BY company, INN,  manager</t>
  </si>
  <si>
    <t>SELECT ref.article, 
SUM(ref.sales), 
SUM(ref.refund) * SUM(p.price) AS sum_refund,
(SUM(ref.sales) - SUM(ref.refund) * SUM(p.price)) AS sum_sales</t>
  </si>
  <si>
    <t>GROUP BY  ref.article</t>
  </si>
  <si>
    <t>GROUP BY director, team, manager</t>
  </si>
  <si>
    <t>SELECT s.company, c.manager,
SUM(c.plan) AS plan,
SUM(s.quantity) AS quantity, 
SUM(s.sales) AS sum_orders,
SUM(s.refund) * SUM(p.price) AS sum_refund,
SUM(p.margin) * SUM(s.quantity) AS margin,
SUM(s.sales) - SUM(s.refund) * SUM(p.price) AS sales,
EXTRACT(YEAR FROM s.date) AS year,
EXTRACT(MONTH FROM s.date) AS month</t>
  </si>
  <si>
    <t xml:space="preserve">SELECT date, article, SUM(quantity) AS quantity, </t>
  </si>
  <si>
    <t xml:space="preserve">SUM(sales) AS sales, </t>
  </si>
  <si>
    <t xml:space="preserve">SUM(refund) AS refund, </t>
  </si>
  <si>
    <t>FROM Sales</t>
  </si>
  <si>
    <t>GROUP BY  date, article,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</si>
</sst>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\ _₽_-;\-* #,##0.0\ _₽_-;_-* &quot;-&quot;??\ _₽_-;_-@_-"/>
    <numFmt numFmtId="166" formatCode="_-* #,##0.0_-;\-* #,##0.0_-;_-* &quot;-&quot;??_-;_-@_-"/>
  </numFmts>
  <fonts count="1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Liberation Serif"/>
    </font>
    <font>
      <sz val="10.5"/>
      <color rgb="FF000000"/>
      <name val="Arial"/>
      <family val="2"/>
      <charset val="204"/>
    </font>
    <font>
      <b/>
      <sz val="12"/>
      <color rgb="FF000000"/>
      <name val="Liberation Serif"/>
    </font>
    <font>
      <sz val="21"/>
      <color rgb="FF000000"/>
      <name val="Liberation Serif"/>
    </font>
    <font>
      <sz val="13"/>
      <color rgb="FF000000"/>
      <name val="Liberation Serif"/>
    </font>
    <font>
      <sz val="11"/>
      <color rgb="FF000000"/>
      <name val="Arial"/>
      <family val="2"/>
      <charset val="204"/>
    </font>
    <font>
      <sz val="6.95"/>
      <color rgb="FF00000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u/>
      <sz val="11"/>
      <color theme="4"/>
      <name val="Arial"/>
      <family val="2"/>
      <charset val="204"/>
    </font>
    <font>
      <u/>
      <sz val="6.95"/>
      <color theme="4"/>
      <name val="Times New Roman"/>
      <family val="1"/>
      <charset val="204"/>
    </font>
    <font>
      <sz val="11"/>
      <name val="Arial"/>
      <family val="2"/>
      <charset val="204"/>
    </font>
    <font>
      <sz val="11"/>
      <color theme="4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indent="5"/>
    </xf>
    <xf numFmtId="14" fontId="0" fillId="0" borderId="0" xfId="0" applyNumberFormat="1"/>
    <xf numFmtId="0" fontId="7" fillId="0" borderId="0" xfId="0" applyFont="1" applyAlignment="1">
      <alignment horizontal="left" vertical="center"/>
    </xf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3" fillId="0" borderId="0" xfId="0" applyFont="1" applyAlignment="1">
      <alignment horizontal="left" vertical="center"/>
    </xf>
    <xf numFmtId="0" fontId="0" fillId="3" borderId="0" xfId="0" applyFill="1"/>
    <xf numFmtId="164" fontId="0" fillId="0" borderId="0" xfId="1" applyNumberFormat="1" applyFont="1" applyFill="1"/>
    <xf numFmtId="0" fontId="14" fillId="0" borderId="0" xfId="0" applyFont="1"/>
    <xf numFmtId="0" fontId="0" fillId="4" borderId="0" xfId="0" applyFill="1"/>
    <xf numFmtId="0" fontId="0" fillId="0" borderId="2" xfId="0" applyBorder="1"/>
    <xf numFmtId="0" fontId="15" fillId="0" borderId="0" xfId="0" applyFont="1"/>
    <xf numFmtId="0" fontId="0" fillId="0" borderId="3" xfId="0" applyBorder="1"/>
    <xf numFmtId="0" fontId="9" fillId="2" borderId="1" xfId="0" applyFont="1" applyFill="1" applyBorder="1"/>
    <xf numFmtId="0" fontId="9" fillId="2" borderId="4" xfId="0" applyFont="1" applyFill="1" applyBorder="1"/>
    <xf numFmtId="0" fontId="0" fillId="0" borderId="1" xfId="0" applyBorder="1"/>
    <xf numFmtId="0" fontId="0" fillId="0" borderId="4" xfId="0" applyBorder="1"/>
  </cellXfs>
  <cellStyles count="2">
    <cellStyle name="Обычный" xfId="0" builtinId="0"/>
    <cellStyle name="Финансовый" xfId="1" builtin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numFmt numFmtId="165" formatCode="_-* #,##0.0\ _₽_-;\-* #,##0.0\ _₽_-;_-* &quot;-&quot;??\ _₽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лия" refreshedDate="45948.560012037036" createdVersion="8" refreshedVersion="8" minRefreshableVersion="3" recordCount="31" xr:uid="{8D9634D3-B89D-4853-AE9C-915D971202ED}">
  <cacheSource type="worksheet">
    <worksheetSource ref="B2:D33" sheet="Sales"/>
  </cacheSource>
  <cacheFields count="3">
    <cacheField name="article" numFmtId="0">
      <sharedItems count="3">
        <s v="Яблоки"/>
        <s v="Груши"/>
        <s v="Клубника"/>
      </sharedItems>
    </cacheField>
    <cacheField name="quantity" numFmtId="0">
      <sharedItems containsSemiMixedTypes="0" containsString="0" containsNumber="1" containsInteger="1" minValue="1" maxValue="8"/>
    </cacheField>
    <cacheField name="sales" numFmtId="164">
      <sharedItems containsSemiMixedTypes="0" containsString="0" containsNumber="1" containsInteger="1" minValue="11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лия" refreshedDate="45948.591861111112" createdVersion="8" refreshedVersion="8" minRefreshableVersion="3" recordCount="31" xr:uid="{3517A7BB-9DE4-4B7A-87A8-C712A9D5F7CC}">
  <cacheSource type="worksheet">
    <worksheetSource ref="B2:E33" sheet="Sales"/>
  </cacheSource>
  <cacheFields count="4">
    <cacheField name="article" numFmtId="0">
      <sharedItems count="3">
        <s v="Яблоки"/>
        <s v="Груши"/>
        <s v="Клубника"/>
      </sharedItems>
    </cacheField>
    <cacheField name="quantity" numFmtId="0">
      <sharedItems containsSemiMixedTypes="0" containsString="0" containsNumber="1" containsInteger="1" minValue="1" maxValue="8"/>
    </cacheField>
    <cacheField name="sales" numFmtId="164">
      <sharedItems containsSemiMixedTypes="0" containsString="0" containsNumber="1" containsInteger="1" minValue="110" maxValue="2000"/>
    </cacheField>
    <cacheField name="refund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лия" refreshedDate="45948.671389699077" createdVersion="8" refreshedVersion="8" minRefreshableVersion="3" recordCount="31" xr:uid="{B620C53B-C687-48E3-B24C-7B8C53475880}">
  <cacheSource type="worksheet">
    <worksheetSource ref="A2:L33" sheet="Sales"/>
  </cacheSource>
  <cacheFields count="12">
    <cacheField name="date" numFmtId="14">
      <sharedItems containsSemiMixedTypes="0" containsNonDate="0" containsDate="1" containsString="0" minDate="2025-01-04T00:00:00" maxDate="2025-12-31T00:00:00"/>
    </cacheField>
    <cacheField name="article" numFmtId="0">
      <sharedItems/>
    </cacheField>
    <cacheField name="quantity" numFmtId="0">
      <sharedItems containsSemiMixedTypes="0" containsString="0" containsNumber="1" containsInteger="1" minValue="1" maxValue="8"/>
    </cacheField>
    <cacheField name="sales" numFmtId="164">
      <sharedItems containsSemiMixedTypes="0" containsString="0" containsNumber="1" containsInteger="1" minValue="110" maxValue="2000"/>
    </cacheField>
    <cacheField name="refund" numFmtId="0">
      <sharedItems containsSemiMixedTypes="0" containsString="0" containsNumber="1" containsInteger="1" minValue="0" maxValue="2"/>
    </cacheField>
    <cacheField name="company" numFmtId="0">
      <sharedItems count="3">
        <s v="Пилот"/>
        <s v="Астра"/>
        <s v="Джинсы"/>
      </sharedItems>
    </cacheField>
    <cacheField name="year" numFmtId="0">
      <sharedItems containsSemiMixedTypes="0" containsString="0" containsNumber="1" containsInteger="1" minValue="2025" maxValue="2025" count="1">
        <n v="2025"/>
      </sharedItems>
    </cacheField>
    <cacheField name="month" numFmtId="0">
      <sharedItems containsSemiMixedTypes="0" containsString="0" containsNumber="1" containsInteger="1" minValue="1" maxValue="12" count="12">
        <n v="1"/>
        <n v="12"/>
        <n v="2"/>
        <n v="3"/>
        <n v="4"/>
        <n v="5"/>
        <n v="6"/>
        <n v="7"/>
        <n v="8"/>
        <n v="9"/>
        <n v="10"/>
        <n v="11"/>
      </sharedItems>
    </cacheField>
    <cacheField name="manager" numFmtId="0">
      <sharedItems count="3">
        <s v="Дарья"/>
        <s v="Алексей"/>
        <s v="Ольга"/>
      </sharedItems>
    </cacheField>
    <cacheField name="price" numFmtId="0">
      <sharedItems containsSemiMixedTypes="0" containsString="0" containsNumber="1" containsInteger="1" minValue="110" maxValue="250"/>
    </cacheField>
    <cacheField name="sum_refund" numFmtId="0">
      <sharedItems containsSemiMixedTypes="0" containsString="0" containsNumber="1" containsInteger="1" minValue="0" maxValue="340"/>
    </cacheField>
    <cacheField name="margin" numFmtId="0">
      <sharedItems containsSemiMixedTypes="0" containsString="0" containsNumber="1" minValue="60.5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илия" refreshedDate="45948.675550810185" createdVersion="8" refreshedVersion="8" minRefreshableVersion="3" recordCount="3" xr:uid="{E6C4825F-0B38-4232-904A-444D4BB1D354}">
  <cacheSource type="worksheet">
    <worksheetSource ref="A1:D4" sheet="Companies"/>
  </cacheSource>
  <cacheFields count="4">
    <cacheField name="company" numFmtId="0">
      <sharedItems count="3">
        <s v="Пилот"/>
        <s v="Астра"/>
        <s v="Джинсы"/>
      </sharedItems>
    </cacheField>
    <cacheField name=" INN" numFmtId="0">
      <sharedItems containsSemiMixedTypes="0" containsString="0" containsNumber="1" containsInteger="1" minValue="12346" maxValue="78945"/>
    </cacheField>
    <cacheField name="manager" numFmtId="0">
      <sharedItems count="3">
        <s v="Дарья"/>
        <s v="Алексей"/>
        <s v="Ольга"/>
      </sharedItems>
    </cacheField>
    <cacheField name="plan" numFmtId="164">
      <sharedItems containsSemiMixedTypes="0" containsString="0" containsNumber="1" containsInteger="1" minValue="6000" maxValue="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"/>
    <n v="220"/>
  </r>
  <r>
    <x v="1"/>
    <n v="5"/>
    <n v="850"/>
  </r>
  <r>
    <x v="2"/>
    <n v="1"/>
    <n v="250"/>
  </r>
  <r>
    <x v="1"/>
    <n v="6"/>
    <n v="1020"/>
  </r>
  <r>
    <x v="0"/>
    <n v="8"/>
    <n v="880"/>
  </r>
  <r>
    <x v="1"/>
    <n v="2"/>
    <n v="340"/>
  </r>
  <r>
    <x v="2"/>
    <n v="3"/>
    <n v="750"/>
  </r>
  <r>
    <x v="1"/>
    <n v="2"/>
    <n v="340"/>
  </r>
  <r>
    <x v="2"/>
    <n v="3"/>
    <n v="750"/>
  </r>
  <r>
    <x v="1"/>
    <n v="4"/>
    <n v="680"/>
  </r>
  <r>
    <x v="0"/>
    <n v="7"/>
    <n v="770"/>
  </r>
  <r>
    <x v="0"/>
    <n v="2"/>
    <n v="220"/>
  </r>
  <r>
    <x v="2"/>
    <n v="5"/>
    <n v="1250"/>
  </r>
  <r>
    <x v="1"/>
    <n v="1"/>
    <n v="170"/>
  </r>
  <r>
    <x v="0"/>
    <n v="6"/>
    <n v="660"/>
  </r>
  <r>
    <x v="2"/>
    <n v="8"/>
    <n v="2000"/>
  </r>
  <r>
    <x v="1"/>
    <n v="2"/>
    <n v="340"/>
  </r>
  <r>
    <x v="2"/>
    <n v="3"/>
    <n v="750"/>
  </r>
  <r>
    <x v="1"/>
    <n v="6"/>
    <n v="1020"/>
  </r>
  <r>
    <x v="0"/>
    <n v="8"/>
    <n v="880"/>
  </r>
  <r>
    <x v="0"/>
    <n v="2"/>
    <n v="220"/>
  </r>
  <r>
    <x v="2"/>
    <n v="5"/>
    <n v="1250"/>
  </r>
  <r>
    <x v="1"/>
    <n v="1"/>
    <n v="170"/>
  </r>
  <r>
    <x v="0"/>
    <n v="6"/>
    <n v="660"/>
  </r>
  <r>
    <x v="2"/>
    <n v="4"/>
    <n v="1000"/>
  </r>
  <r>
    <x v="1"/>
    <n v="7"/>
    <n v="1190"/>
  </r>
  <r>
    <x v="0"/>
    <n v="2"/>
    <n v="220"/>
  </r>
  <r>
    <x v="1"/>
    <n v="5"/>
    <n v="850"/>
  </r>
  <r>
    <x v="0"/>
    <n v="1"/>
    <n v="110"/>
  </r>
  <r>
    <x v="2"/>
    <n v="6"/>
    <n v="1500"/>
  </r>
  <r>
    <x v="1"/>
    <n v="8"/>
    <n v="13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2"/>
    <n v="220"/>
    <n v="0"/>
  </r>
  <r>
    <x v="1"/>
    <n v="5"/>
    <n v="850"/>
    <n v="1"/>
  </r>
  <r>
    <x v="2"/>
    <n v="1"/>
    <n v="250"/>
    <n v="0"/>
  </r>
  <r>
    <x v="1"/>
    <n v="6"/>
    <n v="1020"/>
    <n v="0"/>
  </r>
  <r>
    <x v="0"/>
    <n v="8"/>
    <n v="880"/>
    <n v="2"/>
  </r>
  <r>
    <x v="1"/>
    <n v="2"/>
    <n v="340"/>
    <n v="0"/>
  </r>
  <r>
    <x v="2"/>
    <n v="3"/>
    <n v="750"/>
    <n v="0"/>
  </r>
  <r>
    <x v="1"/>
    <n v="2"/>
    <n v="340"/>
    <n v="0"/>
  </r>
  <r>
    <x v="2"/>
    <n v="3"/>
    <n v="750"/>
    <n v="1"/>
  </r>
  <r>
    <x v="1"/>
    <n v="4"/>
    <n v="680"/>
    <n v="0"/>
  </r>
  <r>
    <x v="0"/>
    <n v="7"/>
    <n v="770"/>
    <n v="0"/>
  </r>
  <r>
    <x v="0"/>
    <n v="2"/>
    <n v="220"/>
    <n v="2"/>
  </r>
  <r>
    <x v="2"/>
    <n v="5"/>
    <n v="1250"/>
    <n v="0"/>
  </r>
  <r>
    <x v="1"/>
    <n v="1"/>
    <n v="170"/>
    <n v="0"/>
  </r>
  <r>
    <x v="0"/>
    <n v="6"/>
    <n v="660"/>
    <n v="0"/>
  </r>
  <r>
    <x v="2"/>
    <n v="8"/>
    <n v="2000"/>
    <n v="1"/>
  </r>
  <r>
    <x v="1"/>
    <n v="2"/>
    <n v="340"/>
    <n v="0"/>
  </r>
  <r>
    <x v="2"/>
    <n v="3"/>
    <n v="750"/>
    <n v="0"/>
  </r>
  <r>
    <x v="1"/>
    <n v="6"/>
    <n v="1020"/>
    <n v="2"/>
  </r>
  <r>
    <x v="0"/>
    <n v="8"/>
    <n v="880"/>
    <n v="0"/>
  </r>
  <r>
    <x v="0"/>
    <n v="2"/>
    <n v="220"/>
    <n v="0"/>
  </r>
  <r>
    <x v="2"/>
    <n v="5"/>
    <n v="1250"/>
    <n v="0"/>
  </r>
  <r>
    <x v="1"/>
    <n v="1"/>
    <n v="170"/>
    <n v="1"/>
  </r>
  <r>
    <x v="0"/>
    <n v="6"/>
    <n v="660"/>
    <n v="0"/>
  </r>
  <r>
    <x v="2"/>
    <n v="4"/>
    <n v="1000"/>
    <n v="0"/>
  </r>
  <r>
    <x v="1"/>
    <n v="7"/>
    <n v="1190"/>
    <n v="2"/>
  </r>
  <r>
    <x v="0"/>
    <n v="2"/>
    <n v="220"/>
    <n v="0"/>
  </r>
  <r>
    <x v="1"/>
    <n v="5"/>
    <n v="850"/>
    <n v="0"/>
  </r>
  <r>
    <x v="0"/>
    <n v="1"/>
    <n v="110"/>
    <n v="0"/>
  </r>
  <r>
    <x v="2"/>
    <n v="6"/>
    <n v="1500"/>
    <n v="1"/>
  </r>
  <r>
    <x v="1"/>
    <n v="8"/>
    <n v="13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d v="2025-01-15T00:00:00"/>
    <s v="Яблоки"/>
    <n v="2"/>
    <n v="220"/>
    <n v="0"/>
    <x v="0"/>
    <x v="0"/>
    <x v="0"/>
    <x v="0"/>
    <n v="110"/>
    <n v="0"/>
    <n v="121"/>
  </r>
  <r>
    <d v="2025-01-18T00:00:00"/>
    <s v="Груши"/>
    <n v="5"/>
    <n v="850"/>
    <n v="1"/>
    <x v="1"/>
    <x v="0"/>
    <x v="0"/>
    <x v="1"/>
    <n v="170"/>
    <n v="170"/>
    <n v="425"/>
  </r>
  <r>
    <d v="2025-12-03T00:00:00"/>
    <s v="Клубника"/>
    <n v="1"/>
    <n v="250"/>
    <n v="0"/>
    <x v="2"/>
    <x v="0"/>
    <x v="1"/>
    <x v="2"/>
    <n v="250"/>
    <n v="0"/>
    <n v="100"/>
  </r>
  <r>
    <d v="2025-01-04T00:00:00"/>
    <s v="Груши"/>
    <n v="6"/>
    <n v="1020"/>
    <n v="0"/>
    <x v="2"/>
    <x v="0"/>
    <x v="0"/>
    <x v="2"/>
    <n v="170"/>
    <n v="0"/>
    <n v="510"/>
  </r>
  <r>
    <d v="2025-02-05T00:00:00"/>
    <s v="Яблоки"/>
    <n v="8"/>
    <n v="880"/>
    <n v="2"/>
    <x v="1"/>
    <x v="0"/>
    <x v="2"/>
    <x v="1"/>
    <n v="110"/>
    <n v="220"/>
    <n v="484"/>
  </r>
  <r>
    <d v="2025-01-06T00:00:00"/>
    <s v="Груши"/>
    <n v="2"/>
    <n v="340"/>
    <n v="0"/>
    <x v="0"/>
    <x v="0"/>
    <x v="0"/>
    <x v="0"/>
    <n v="170"/>
    <n v="0"/>
    <n v="170"/>
  </r>
  <r>
    <d v="2025-03-07T00:00:00"/>
    <s v="Клубника"/>
    <n v="3"/>
    <n v="750"/>
    <n v="0"/>
    <x v="1"/>
    <x v="0"/>
    <x v="3"/>
    <x v="1"/>
    <n v="250"/>
    <n v="0"/>
    <n v="300"/>
  </r>
  <r>
    <d v="2025-03-08T00:00:00"/>
    <s v="Груши"/>
    <n v="2"/>
    <n v="340"/>
    <n v="0"/>
    <x v="0"/>
    <x v="0"/>
    <x v="3"/>
    <x v="0"/>
    <n v="170"/>
    <n v="0"/>
    <n v="170"/>
  </r>
  <r>
    <d v="2025-02-09T00:00:00"/>
    <s v="Клубника"/>
    <n v="3"/>
    <n v="750"/>
    <n v="1"/>
    <x v="2"/>
    <x v="0"/>
    <x v="2"/>
    <x v="2"/>
    <n v="250"/>
    <n v="250"/>
    <n v="300"/>
  </r>
  <r>
    <d v="2025-04-10T00:00:00"/>
    <s v="Груши"/>
    <n v="4"/>
    <n v="680"/>
    <n v="0"/>
    <x v="1"/>
    <x v="0"/>
    <x v="4"/>
    <x v="1"/>
    <n v="170"/>
    <n v="0"/>
    <n v="340"/>
  </r>
  <r>
    <d v="2025-03-11T00:00:00"/>
    <s v="Яблоки"/>
    <n v="7"/>
    <n v="770"/>
    <n v="0"/>
    <x v="2"/>
    <x v="0"/>
    <x v="3"/>
    <x v="2"/>
    <n v="110"/>
    <n v="0"/>
    <n v="423.5"/>
  </r>
  <r>
    <d v="2025-03-12T00:00:00"/>
    <s v="Яблоки"/>
    <n v="2"/>
    <n v="220"/>
    <n v="2"/>
    <x v="0"/>
    <x v="0"/>
    <x v="3"/>
    <x v="0"/>
    <n v="110"/>
    <n v="220"/>
    <n v="121"/>
  </r>
  <r>
    <d v="2025-05-13T00:00:00"/>
    <s v="Клубника"/>
    <n v="5"/>
    <n v="1250"/>
    <n v="0"/>
    <x v="1"/>
    <x v="0"/>
    <x v="5"/>
    <x v="1"/>
    <n v="250"/>
    <n v="0"/>
    <n v="500"/>
  </r>
  <r>
    <d v="2025-04-14T00:00:00"/>
    <s v="Груши"/>
    <n v="1"/>
    <n v="170"/>
    <n v="0"/>
    <x v="2"/>
    <x v="0"/>
    <x v="4"/>
    <x v="2"/>
    <n v="170"/>
    <n v="0"/>
    <n v="85"/>
  </r>
  <r>
    <d v="2025-05-15T00:00:00"/>
    <s v="Яблоки"/>
    <n v="6"/>
    <n v="660"/>
    <n v="0"/>
    <x v="2"/>
    <x v="0"/>
    <x v="5"/>
    <x v="2"/>
    <n v="110"/>
    <n v="0"/>
    <n v="363"/>
  </r>
  <r>
    <d v="2025-06-16T00:00:00"/>
    <s v="Клубника"/>
    <n v="8"/>
    <n v="2000"/>
    <n v="1"/>
    <x v="1"/>
    <x v="0"/>
    <x v="6"/>
    <x v="1"/>
    <n v="250"/>
    <n v="250"/>
    <n v="800"/>
  </r>
  <r>
    <d v="2025-05-17T00:00:00"/>
    <s v="Груши"/>
    <n v="2"/>
    <n v="340"/>
    <n v="0"/>
    <x v="0"/>
    <x v="0"/>
    <x v="5"/>
    <x v="0"/>
    <n v="170"/>
    <n v="0"/>
    <n v="170"/>
  </r>
  <r>
    <d v="2025-07-18T00:00:00"/>
    <s v="Клубника"/>
    <n v="3"/>
    <n v="750"/>
    <n v="0"/>
    <x v="1"/>
    <x v="0"/>
    <x v="7"/>
    <x v="1"/>
    <n v="250"/>
    <n v="0"/>
    <n v="300"/>
  </r>
  <r>
    <d v="2025-07-19T00:00:00"/>
    <s v="Груши"/>
    <n v="6"/>
    <n v="1020"/>
    <n v="2"/>
    <x v="0"/>
    <x v="0"/>
    <x v="7"/>
    <x v="0"/>
    <n v="170"/>
    <n v="340"/>
    <n v="510"/>
  </r>
  <r>
    <d v="2025-06-20T00:00:00"/>
    <s v="Яблоки"/>
    <n v="8"/>
    <n v="880"/>
    <n v="0"/>
    <x v="2"/>
    <x v="0"/>
    <x v="6"/>
    <x v="2"/>
    <n v="110"/>
    <n v="0"/>
    <n v="484"/>
  </r>
  <r>
    <d v="2025-07-21T00:00:00"/>
    <s v="Яблоки"/>
    <n v="2"/>
    <n v="220"/>
    <n v="0"/>
    <x v="0"/>
    <x v="0"/>
    <x v="7"/>
    <x v="0"/>
    <n v="110"/>
    <n v="0"/>
    <n v="121"/>
  </r>
  <r>
    <d v="2025-08-22T00:00:00"/>
    <s v="Клубника"/>
    <n v="5"/>
    <n v="1250"/>
    <n v="0"/>
    <x v="1"/>
    <x v="0"/>
    <x v="8"/>
    <x v="1"/>
    <n v="250"/>
    <n v="0"/>
    <n v="500"/>
  </r>
  <r>
    <d v="2025-09-23T00:00:00"/>
    <s v="Груши"/>
    <n v="1"/>
    <n v="170"/>
    <n v="1"/>
    <x v="0"/>
    <x v="0"/>
    <x v="9"/>
    <x v="0"/>
    <n v="170"/>
    <n v="170"/>
    <n v="85"/>
  </r>
  <r>
    <d v="2025-09-24T00:00:00"/>
    <s v="Яблоки"/>
    <n v="6"/>
    <n v="660"/>
    <n v="0"/>
    <x v="1"/>
    <x v="0"/>
    <x v="9"/>
    <x v="1"/>
    <n v="110"/>
    <n v="0"/>
    <n v="363"/>
  </r>
  <r>
    <d v="2025-07-25T00:00:00"/>
    <s v="Клубника"/>
    <n v="4"/>
    <n v="1000"/>
    <n v="0"/>
    <x v="2"/>
    <x v="0"/>
    <x v="7"/>
    <x v="2"/>
    <n v="250"/>
    <n v="0"/>
    <n v="400"/>
  </r>
  <r>
    <d v="2025-08-26T00:00:00"/>
    <s v="Груши"/>
    <n v="7"/>
    <n v="1190"/>
    <n v="2"/>
    <x v="2"/>
    <x v="0"/>
    <x v="8"/>
    <x v="2"/>
    <n v="170"/>
    <n v="340"/>
    <n v="595"/>
  </r>
  <r>
    <d v="2025-10-27T00:00:00"/>
    <s v="Яблоки"/>
    <n v="2"/>
    <n v="220"/>
    <n v="0"/>
    <x v="1"/>
    <x v="0"/>
    <x v="10"/>
    <x v="1"/>
    <n v="110"/>
    <n v="0"/>
    <n v="121"/>
  </r>
  <r>
    <d v="2025-10-28T00:00:00"/>
    <s v="Груши"/>
    <n v="5"/>
    <n v="850"/>
    <n v="0"/>
    <x v="0"/>
    <x v="0"/>
    <x v="10"/>
    <x v="0"/>
    <n v="170"/>
    <n v="0"/>
    <n v="425"/>
  </r>
  <r>
    <d v="2025-11-29T00:00:00"/>
    <s v="Яблоки"/>
    <n v="1"/>
    <n v="110"/>
    <n v="0"/>
    <x v="1"/>
    <x v="0"/>
    <x v="11"/>
    <x v="1"/>
    <n v="110"/>
    <n v="0"/>
    <n v="60.5"/>
  </r>
  <r>
    <d v="2025-12-30T00:00:00"/>
    <s v="Клубника"/>
    <n v="6"/>
    <n v="1500"/>
    <n v="1"/>
    <x v="0"/>
    <x v="0"/>
    <x v="1"/>
    <x v="0"/>
    <n v="250"/>
    <n v="250"/>
    <n v="600"/>
  </r>
  <r>
    <d v="2025-10-31T00:00:00"/>
    <s v="Груши"/>
    <n v="8"/>
    <n v="1360"/>
    <n v="0"/>
    <x v="2"/>
    <x v="0"/>
    <x v="10"/>
    <x v="2"/>
    <n v="170"/>
    <n v="0"/>
    <n v="6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2346"/>
    <x v="0"/>
    <n v="6000"/>
  </r>
  <r>
    <x v="1"/>
    <n v="78945"/>
    <x v="1"/>
    <n v="9000"/>
  </r>
  <r>
    <x v="2"/>
    <n v="45621"/>
    <x v="2"/>
    <n v="8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61F03-052E-42B9-A0CF-A407CCF6E40E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rowHeaderCaption="article">
  <location ref="A7:C10" firstHeaderRow="0" firstDataRow="1" firstDataCol="1"/>
  <pivotFields count="3">
    <pivotField axis="axisRow" showAll="0">
      <items count="4">
        <item x="1"/>
        <item x="2"/>
        <item x="0"/>
        <item t="default"/>
      </items>
    </pivotField>
    <pivotField dataField="1" showAll="0"/>
    <pivotField dataField="1" numFmtId="164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 sales" fld="2" baseField="0" baseItem="0" numFmtId="164"/>
    <dataField name="quantity 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A6C46-23C5-4AEF-868B-80CA8CF07884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rowGrandTotals="0" itemPrintTitles="1" createdVersion="8" indent="0" outline="1" outlineData="1" multipleFieldFilters="0" rowHeaderCaption="article">
  <location ref="A7:C10" firstHeaderRow="0" firstDataRow="1" firstDataCol="1"/>
  <pivotFields count="4">
    <pivotField axis="axisRow" showAll="0">
      <items count="4">
        <item x="1"/>
        <item x="2"/>
        <item x="0"/>
        <item t="default"/>
      </items>
    </pivotField>
    <pivotField showAll="0"/>
    <pivotField dataField="1" numFmtId="164" showAll="0"/>
    <pivotField dataField="1" showAll="0"/>
  </pivotFields>
  <rowFields count="1">
    <field x="0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 sales" fld="2" baseField="0" baseItem="0" numFmtId="164"/>
    <dataField name=" refu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EDE1D-21CD-4133-8521-1FA2EC27C5E2}" name="Сводная таблица6" cacheId="3" applyNumberFormats="0" applyBorderFormats="0" applyFontFormats="0" applyPatternFormats="0" applyAlignmentFormats="0" applyWidthHeightFormats="1" dataCaption="Значения" updatedVersion="8" minRefreshableVersion="3" showDrill="0" useAutoFormatting="1" rowGrandTotals="0" itemPrintTitles="1" createdVersion="8" indent="0" compact="0" compactData="0" multipleFieldFilters="0">
  <location ref="A18:C21" firstHeaderRow="1" firstDataRow="1" firstDataCol="2"/>
  <pivotFields count="4"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3">
    <i>
      <x/>
      <x/>
    </i>
    <i>
      <x v="1"/>
      <x v="2"/>
    </i>
    <i>
      <x v="2"/>
      <x v="1"/>
    </i>
  </rowItems>
  <colItems count="1">
    <i/>
  </colItems>
  <dataFields count="1">
    <dataField name=" plan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065EAA-5A25-45DE-8297-17112E2AFC71}" name="Сводная таблица5" cacheId="2" applyNumberFormats="0" applyBorderFormats="0" applyFontFormats="0" applyPatternFormats="0" applyAlignmentFormats="0" applyWidthHeightFormats="1" dataCaption="Значения" updatedVersion="8" minRefreshableVersion="3" showDrill="0" useAutoFormatting="1" rowGrandTotals="0" itemPrintTitles="1" createdVersion="8" indent="0" compact="0" compactData="0" multipleFieldFilters="0">
  <location ref="A26:F29" firstHeaderRow="0" firstDataRow="1" firstDataCol="2"/>
  <pivotFields count="12">
    <pivotField compact="0" numFmtId="1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0"/>
        <item x="2"/>
        <item x="3"/>
        <item x="4"/>
        <item x="5"/>
        <item x="6"/>
        <item x="7"/>
        <item x="8"/>
        <item x="9"/>
        <item x="10"/>
        <item x="11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5"/>
  </rowFields>
  <rowItems count="3">
    <i>
      <x/>
      <x/>
    </i>
    <i>
      <x v="1"/>
      <x v="2"/>
    </i>
    <i>
      <x v="2"/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_orders" fld="3" baseField="0" baseItem="0" numFmtId="164"/>
    <dataField name=" sum_refund" fld="10" baseField="0" baseItem="0"/>
    <dataField name=" margin" fld="11" baseField="0" baseItem="0"/>
    <dataField name="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C5CEC4C-5B2C-4C82-95EA-F8E392EDC034}" name="Products_t" displayName="Products_t" ref="A1:F4" totalsRowShown="0" dataDxfId="30" dataCellStyle="Финансовый">
  <autoFilter ref="A1:F4" xr:uid="{4C5CEC4C-5B2C-4C82-95EA-F8E392EDC034}"/>
  <tableColumns count="6">
    <tableColumn id="1" xr3:uid="{72675FE2-C59E-4E9D-96A3-86CF904B3ED5}" name="article"/>
    <tableColumn id="2" xr3:uid="{6F09F22D-84FD-4FB2-901F-66F7E4A73B82}" name="product_category"/>
    <tableColumn id="3" xr3:uid="{6ECD38B0-F96A-4AA2-AEFD-9157807E35E8}" name="price" dataDxfId="29" dataCellStyle="Финансовый"/>
    <tableColumn id="4" xr3:uid="{827009E3-8E42-4433-B91E-5944FC4C6F0E}" name="wholesale" dataDxfId="28" dataCellStyle="Финансовый"/>
    <tableColumn id="5" xr3:uid="{BE132D13-4658-41AC-8357-94AB29313CBF}" name="plan" dataDxfId="27" dataCellStyle="Финансовый"/>
    <tableColumn id="6" xr3:uid="{80AE18A9-9434-4E0A-9342-EB0CB0B0C975}" name="margin" dataDxfId="26">
      <calculatedColumnFormula>C2-D2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876B77-D690-4A55-BE3F-BC16E4943C1C}" name="Companies_t" displayName="Companies_t" ref="A1:D4" totalsRowShown="0">
  <autoFilter ref="A1:D4" xr:uid="{42876B77-D690-4A55-BE3F-BC16E4943C1C}"/>
  <tableColumns count="4">
    <tableColumn id="1" xr3:uid="{746CDC0E-3118-463D-BB54-3F03ECAF82B0}" name="company"/>
    <tableColumn id="2" xr3:uid="{B2A3CA6A-0E52-4480-97C2-4AC56A55F3F5}" name=" INN"/>
    <tableColumn id="3" xr3:uid="{138C6DD9-C2CB-42F9-B16C-BB8E9FFC04BD}" name="manager"/>
    <tableColumn id="4" xr3:uid="{00E0BC27-01B7-4EB9-A410-C8E82288DB15}" name="plan" dataDxfId="25" dataCellStyle="Финансовый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8F86C3-11E7-45D5-923A-893F23A25B12}" name="Orders_t" displayName="Orders_t" ref="A12:C15" totalsRowShown="0">
  <autoFilter ref="A12:C15" xr:uid="{5D8F86C3-11E7-45D5-923A-893F23A25B12}"/>
  <tableColumns count="3">
    <tableColumn id="1" xr3:uid="{EB15B900-11D2-40E2-B51A-649DCD6895E2}" name="article"/>
    <tableColumn id="2" xr3:uid="{8E891625-EBA9-487A-9476-68F7F4A3617E}" name="sum_orders" dataDxfId="24" dataCellStyle="Финансовый"/>
    <tableColumn id="3" xr3:uid="{1CCD643B-4B23-46E1-BB6F-D06EFDDD9F85}" name="margin" dataDxfId="23" dataCellStyle="Финансовый">
      <calculatedColumnFormula>VLOOKUP(A8,Products!A:F,6,)*C8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9FA60A-E360-4650-BC0B-437B0F47D96B}" name="Refund_t" displayName="Refund_t" ref="A13:D16" totalsRowShown="0" dataDxfId="22" dataCellStyle="Финансовый">
  <autoFilter ref="A13:D16" xr:uid="{589FA60A-E360-4650-BC0B-437B0F47D96B}"/>
  <tableColumns count="4">
    <tableColumn id="1" xr3:uid="{7490F26A-D70D-4493-BEBC-0C271BEEE350}" name="article"/>
    <tableColumn id="2" xr3:uid="{58B0866D-AFA1-4DF8-997D-75A1F974C833}" name="sales" dataDxfId="21" dataCellStyle="Финансовый"/>
    <tableColumn id="3" xr3:uid="{C9B82DDE-5133-475B-99F2-69D66E289C37}" name="sum_refund" dataDxfId="20" dataCellStyle="Финансовый"/>
    <tableColumn id="4" xr3:uid="{BA5C80CE-79F7-44E2-9C86-5A2513C2B41C}" name="sum_sales" dataDxfId="19" dataCellStyle="Финансовый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07A508-54FF-4F02-9971-236E2F2817AD}" name="Sales_t" displayName="Sales_t" ref="A2:F33" totalsRowShown="0" headerRowDxfId="18" dataDxfId="17">
  <autoFilter ref="A2:F33" xr:uid="{5307A508-54FF-4F02-9971-236E2F2817AD}"/>
  <tableColumns count="6">
    <tableColumn id="1" xr3:uid="{E3E41E05-9827-4457-A57A-3FB3C153B2EC}" name="date" dataDxfId="16"/>
    <tableColumn id="2" xr3:uid="{3AA8B67C-9813-4A1C-A304-D242D532222E}" name="article" dataDxfId="15"/>
    <tableColumn id="3" xr3:uid="{B2491184-CEB2-4D3D-A2FE-2C53BB87033A}" name="quantity" dataDxfId="14"/>
    <tableColumn id="4" xr3:uid="{F31253E3-A3AC-4430-9EA4-F4460CC9F564}" name="sales" dataDxfId="13" dataCellStyle="Финансовый"/>
    <tableColumn id="5" xr3:uid="{2CD77EAC-8068-41F0-BD92-22CC50719224}" name="refund" dataDxfId="12"/>
    <tableColumn id="6" xr3:uid="{6BD600E7-7691-4AE1-B877-EDC4539D5FB7}" name="company" dataDxfId="11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A5AB89-9894-42DB-BC7B-DB5A2EB3DC69}" name="Managers_t" displayName="Managers_t" ref="A3:H6" totalsRowShown="0" headerRowDxfId="10" dataDxfId="9" tableBorderDxfId="8">
  <autoFilter ref="A3:H6" xr:uid="{A5A5AB89-9894-42DB-BC7B-DB5A2EB3DC69}"/>
  <tableColumns count="8">
    <tableColumn id="1" xr3:uid="{190EC1DA-3C58-4025-9746-1D279A5F0E83}" name="manager" dataDxfId="7"/>
    <tableColumn id="2" xr3:uid="{A2CF182D-BE7C-48A7-9AC2-CDC6123DEE83}" name="company" dataDxfId="6"/>
    <tableColumn id="3" xr3:uid="{93A15C86-4795-48BF-857A-869A2B2F176F}" name="sum_orders" dataDxfId="5"/>
    <tableColumn id="4" xr3:uid="{611A6107-FFF5-4054-AD72-2BA6E4729C22}" name=" sum_refund" dataDxfId="4"/>
    <tableColumn id="5" xr3:uid="{56C9C2A2-F7D6-4D55-910E-99D980A588D1}" name=" margin" dataDxfId="3"/>
    <tableColumn id="6" xr3:uid="{C5D68524-38CB-44BE-A67A-50FF60388A20}" name=" quantity" dataDxfId="2"/>
    <tableColumn id="7" xr3:uid="{BBC77F82-AF30-47F2-8F26-BF8010907368}" name="sales" dataDxfId="1"/>
    <tableColumn id="8" xr3:uid="{D90C226E-DB4C-465A-BDAF-50B33E3B8A15}" name=" plan">
      <calculatedColumnFormula>VLOOKUP(Managers!A4,Companies_t[[manager]:[plan]],2,)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752814-8EE1-46F5-ADE7-9D2BA28C365C}" name="Team_t" displayName="Team_t" ref="A1:D6" totalsRowShown="0">
  <autoFilter ref="A1:D6" xr:uid="{FE752814-8EE1-46F5-ADE7-9D2BA28C365C}"/>
  <tableColumns count="4">
    <tableColumn id="1" xr3:uid="{F9FD82F6-CD7A-45F9-AA93-21F0CA3D87C5}" name="director"/>
    <tableColumn id="2" xr3:uid="{2F0D3A16-E336-4A4C-BEF2-E1B28375B000}" name="team"/>
    <tableColumn id="3" xr3:uid="{168938D8-C692-4DDE-B730-C77E1BA0583C}" name="manager"/>
    <tableColumn id="4" xr3:uid="{0CB5F0BE-B93D-4C6E-9458-30615395984A}" name="plan" dataDxfId="0" dataCellStyle="Финансовый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C098A-B9EC-4D0C-926B-91F73D93991C}">
  <sheetPr>
    <tabColor theme="8" tint="0.39997558519241921"/>
  </sheetPr>
  <dimension ref="A1:B30"/>
  <sheetViews>
    <sheetView tabSelected="1" workbookViewId="0">
      <selection activeCell="A20" sqref="A20"/>
    </sheetView>
  </sheetViews>
  <sheetFormatPr defaultRowHeight="15"/>
  <cols>
    <col min="1" max="1" width="118.28515625" customWidth="1"/>
    <col min="2" max="2" width="11.7109375" bestFit="1" customWidth="1"/>
    <col min="3" max="3" width="9.5703125" customWidth="1"/>
    <col min="5" max="5" width="10.140625" bestFit="1" customWidth="1"/>
  </cols>
  <sheetData>
    <row r="1" spans="1:2">
      <c r="A1" s="1" t="s">
        <v>0</v>
      </c>
      <c r="B1" t="s">
        <v>19</v>
      </c>
    </row>
    <row r="2" spans="1:2">
      <c r="A2" s="4">
        <v>45946</v>
      </c>
      <c r="B2" s="4">
        <f>$A$2+7</f>
        <v>45953</v>
      </c>
    </row>
    <row r="3" spans="1:2" ht="26.25">
      <c r="A3" s="1" t="s">
        <v>1</v>
      </c>
      <c r="B3" s="1"/>
    </row>
    <row r="6" spans="1:2">
      <c r="A6" s="2" t="s">
        <v>2</v>
      </c>
      <c r="B6" s="2" t="s">
        <v>46</v>
      </c>
    </row>
    <row r="7" spans="1:2">
      <c r="A7" s="5" t="s">
        <v>3</v>
      </c>
      <c r="B7" s="5" t="s">
        <v>47</v>
      </c>
    </row>
    <row r="8" spans="1:2">
      <c r="A8" s="5" t="s">
        <v>4</v>
      </c>
      <c r="B8" s="5" t="s">
        <v>49</v>
      </c>
    </row>
    <row r="9" spans="1:2">
      <c r="A9" s="5" t="s">
        <v>56</v>
      </c>
      <c r="B9" s="5" t="s">
        <v>50</v>
      </c>
    </row>
    <row r="10" spans="1:2">
      <c r="A10" s="5" t="s">
        <v>5</v>
      </c>
      <c r="B10" s="5" t="s">
        <v>51</v>
      </c>
    </row>
    <row r="11" spans="1:2">
      <c r="A11" s="5" t="s">
        <v>6</v>
      </c>
      <c r="B11" s="5" t="s">
        <v>52</v>
      </c>
    </row>
    <row r="12" spans="1:2">
      <c r="A12" s="5" t="s">
        <v>7</v>
      </c>
      <c r="B12" s="5" t="s">
        <v>48</v>
      </c>
    </row>
    <row r="13" spans="1:2">
      <c r="A13" s="5" t="s">
        <v>8</v>
      </c>
      <c r="B13" s="5" t="s">
        <v>53</v>
      </c>
    </row>
    <row r="14" spans="1:2">
      <c r="A14" s="2"/>
      <c r="B14" s="2"/>
    </row>
    <row r="15" spans="1:2">
      <c r="A15" s="2" t="s">
        <v>9</v>
      </c>
      <c r="B15" s="2"/>
    </row>
    <row r="16" spans="1:2">
      <c r="A16" s="5" t="s">
        <v>10</v>
      </c>
      <c r="B16" s="3"/>
    </row>
    <row r="17" spans="1:2">
      <c r="A17" s="5" t="s">
        <v>11</v>
      </c>
      <c r="B17" s="3"/>
    </row>
    <row r="18" spans="1:2">
      <c r="A18" s="5" t="s">
        <v>12</v>
      </c>
      <c r="B18" s="3"/>
    </row>
    <row r="19" spans="1:2">
      <c r="A19" s="5" t="s">
        <v>13</v>
      </c>
      <c r="B19" s="3"/>
    </row>
    <row r="20" spans="1:2">
      <c r="A20" s="5" t="s">
        <v>14</v>
      </c>
      <c r="B20" s="3"/>
    </row>
    <row r="21" spans="1:2">
      <c r="A21" s="2"/>
      <c r="B21" s="2"/>
    </row>
    <row r="22" spans="1:2">
      <c r="A22" s="2" t="s">
        <v>15</v>
      </c>
      <c r="B22" s="2"/>
    </row>
    <row r="23" spans="1:2">
      <c r="A23" s="2"/>
      <c r="B23" s="2"/>
    </row>
    <row r="24" spans="1:2">
      <c r="A24" s="2" t="s">
        <v>16</v>
      </c>
      <c r="B24" s="2"/>
    </row>
    <row r="25" spans="1:2">
      <c r="A25" s="2"/>
      <c r="B25" s="2"/>
    </row>
    <row r="26" spans="1:2">
      <c r="A26" s="2" t="s">
        <v>17</v>
      </c>
      <c r="B26" s="2"/>
    </row>
    <row r="27" spans="1:2">
      <c r="A27" s="2"/>
      <c r="B27" s="2"/>
    </row>
    <row r="28" spans="1:2">
      <c r="A28" s="2" t="s">
        <v>18</v>
      </c>
      <c r="B28" s="2"/>
    </row>
    <row r="30" spans="1:2">
      <c r="A30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B250B-611C-498E-847B-797F6DEF4FDA}">
  <dimension ref="A1:H4"/>
  <sheetViews>
    <sheetView workbookViewId="0">
      <selection activeCell="F3" sqref="F3"/>
    </sheetView>
  </sheetViews>
  <sheetFormatPr defaultRowHeight="15"/>
  <cols>
    <col min="1" max="1" width="9.7109375" bestFit="1" customWidth="1"/>
    <col min="2" max="2" width="18.5703125" customWidth="1"/>
    <col min="3" max="3" width="7.5703125" customWidth="1"/>
    <col min="4" max="4" width="12.28515625" customWidth="1"/>
    <col min="5" max="5" width="7.85546875" bestFit="1" customWidth="1"/>
    <col min="6" max="6" width="9.5703125" bestFit="1" customWidth="1"/>
    <col min="8" max="8" width="41.42578125" customWidth="1"/>
  </cols>
  <sheetData>
    <row r="1" spans="1:8" ht="45">
      <c r="A1" t="s">
        <v>24</v>
      </c>
      <c r="B1" t="s">
        <v>25</v>
      </c>
      <c r="C1" t="s">
        <v>26</v>
      </c>
      <c r="D1" t="s">
        <v>36</v>
      </c>
      <c r="E1" t="s">
        <v>55</v>
      </c>
      <c r="F1" t="s">
        <v>58</v>
      </c>
      <c r="H1" s="14" t="s">
        <v>104</v>
      </c>
    </row>
    <row r="2" spans="1:8">
      <c r="A2" t="s">
        <v>27</v>
      </c>
      <c r="B2" t="s">
        <v>40</v>
      </c>
      <c r="C2" s="6">
        <v>110</v>
      </c>
      <c r="D2" s="8">
        <f>C2*0.45</f>
        <v>49.5</v>
      </c>
      <c r="E2" s="6">
        <v>6000</v>
      </c>
      <c r="F2" s="7">
        <f>C2-D2</f>
        <v>60.5</v>
      </c>
      <c r="H2" t="s">
        <v>57</v>
      </c>
    </row>
    <row r="3" spans="1:8">
      <c r="A3" t="s">
        <v>28</v>
      </c>
      <c r="B3" t="s">
        <v>40</v>
      </c>
      <c r="C3" s="6">
        <v>170</v>
      </c>
      <c r="D3" s="8">
        <f>C3*0.5</f>
        <v>85</v>
      </c>
      <c r="E3" s="6">
        <v>8000</v>
      </c>
      <c r="F3" s="7">
        <f t="shared" ref="F3:F4" si="0">C3-D3</f>
        <v>85</v>
      </c>
      <c r="H3" t="s">
        <v>105</v>
      </c>
    </row>
    <row r="4" spans="1:8">
      <c r="A4" t="s">
        <v>29</v>
      </c>
      <c r="B4" t="s">
        <v>41</v>
      </c>
      <c r="C4" s="6">
        <v>250</v>
      </c>
      <c r="D4" s="8">
        <f>C4*0.6</f>
        <v>150</v>
      </c>
      <c r="E4" s="6">
        <v>10000</v>
      </c>
      <c r="F4" s="7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EDC9-EB5E-4892-AFBE-5B776348BF33}">
  <dimension ref="A1:F4"/>
  <sheetViews>
    <sheetView workbookViewId="0">
      <selection activeCell="F12" sqref="F12"/>
    </sheetView>
  </sheetViews>
  <sheetFormatPr defaultRowHeight="15"/>
  <cols>
    <col min="1" max="1" width="11.140625" customWidth="1"/>
    <col min="3" max="3" width="10.85546875" customWidth="1"/>
    <col min="4" max="4" width="7.85546875" bestFit="1" customWidth="1"/>
    <col min="6" max="6" width="40.5703125" customWidth="1"/>
  </cols>
  <sheetData>
    <row r="1" spans="1:6">
      <c r="A1" t="s">
        <v>30</v>
      </c>
      <c r="B1" t="s">
        <v>31</v>
      </c>
      <c r="C1" t="s">
        <v>32</v>
      </c>
      <c r="D1" t="s">
        <v>55</v>
      </c>
      <c r="F1" t="s">
        <v>108</v>
      </c>
    </row>
    <row r="2" spans="1:6">
      <c r="A2" t="s">
        <v>33</v>
      </c>
      <c r="B2">
        <v>12346</v>
      </c>
      <c r="C2" t="s">
        <v>21</v>
      </c>
      <c r="D2" s="6">
        <v>6000</v>
      </c>
      <c r="F2" t="s">
        <v>109</v>
      </c>
    </row>
    <row r="3" spans="1:6">
      <c r="A3" t="s">
        <v>34</v>
      </c>
      <c r="B3">
        <v>78945</v>
      </c>
      <c r="C3" t="s">
        <v>22</v>
      </c>
      <c r="D3" s="6">
        <v>9000</v>
      </c>
      <c r="F3" t="s">
        <v>110</v>
      </c>
    </row>
    <row r="4" spans="1:6">
      <c r="A4" t="s">
        <v>35</v>
      </c>
      <c r="B4">
        <v>45621</v>
      </c>
      <c r="C4" t="s">
        <v>23</v>
      </c>
      <c r="D4" s="6">
        <v>8000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2641-7D98-4FD9-BB23-DF6221021D4A}">
  <dimension ref="A1:E15"/>
  <sheetViews>
    <sheetView workbookViewId="0">
      <selection activeCell="C13" sqref="C13:C15"/>
    </sheetView>
  </sheetViews>
  <sheetFormatPr defaultRowHeight="15"/>
  <cols>
    <col min="1" max="1" width="9.7109375" bestFit="1" customWidth="1"/>
    <col min="2" max="2" width="26.42578125" bestFit="1" customWidth="1"/>
    <col min="3" max="3" width="9.28515625" customWidth="1"/>
    <col min="4" max="4" width="9.42578125" bestFit="1" customWidth="1"/>
    <col min="5" max="5" width="57.85546875" bestFit="1" customWidth="1"/>
  </cols>
  <sheetData>
    <row r="1" spans="1:5">
      <c r="A1" s="12" t="s">
        <v>64</v>
      </c>
    </row>
    <row r="2" spans="1:5">
      <c r="A2" s="17" t="s">
        <v>68</v>
      </c>
    </row>
    <row r="3" spans="1:5" ht="75">
      <c r="A3" s="15" t="s">
        <v>60</v>
      </c>
      <c r="B3" s="16" t="s">
        <v>66</v>
      </c>
      <c r="E3" s="14" t="s">
        <v>87</v>
      </c>
    </row>
    <row r="4" spans="1:5" ht="45">
      <c r="A4" s="15" t="s">
        <v>61</v>
      </c>
      <c r="E4" s="14" t="s">
        <v>106</v>
      </c>
    </row>
    <row r="5" spans="1:5">
      <c r="A5" s="15" t="s">
        <v>62</v>
      </c>
      <c r="E5" t="s">
        <v>67</v>
      </c>
    </row>
    <row r="6" spans="1:5">
      <c r="E6" t="s">
        <v>107</v>
      </c>
    </row>
    <row r="7" spans="1:5">
      <c r="A7" s="9" t="s">
        <v>24</v>
      </c>
      <c r="B7" t="s">
        <v>65</v>
      </c>
      <c r="C7" t="s">
        <v>63</v>
      </c>
    </row>
    <row r="8" spans="1:5">
      <c r="A8" s="10" t="s">
        <v>28</v>
      </c>
      <c r="B8" s="13">
        <v>8330</v>
      </c>
      <c r="C8">
        <v>49</v>
      </c>
    </row>
    <row r="9" spans="1:5">
      <c r="A9" s="10" t="s">
        <v>29</v>
      </c>
      <c r="B9" s="13">
        <v>9500</v>
      </c>
      <c r="C9">
        <v>38</v>
      </c>
    </row>
    <row r="10" spans="1:5">
      <c r="A10" s="10" t="s">
        <v>27</v>
      </c>
      <c r="B10" s="13">
        <v>4840</v>
      </c>
      <c r="C10">
        <v>44</v>
      </c>
    </row>
    <row r="12" spans="1:5">
      <c r="A12" t="s">
        <v>24</v>
      </c>
      <c r="B12" t="s">
        <v>59</v>
      </c>
      <c r="C12" t="s">
        <v>58</v>
      </c>
    </row>
    <row r="13" spans="1:5">
      <c r="A13" t="s">
        <v>28</v>
      </c>
      <c r="B13" s="6">
        <v>8330</v>
      </c>
      <c r="C13" s="8">
        <f>VLOOKUP(A8,Products!A:F,6,)*C8</f>
        <v>4165</v>
      </c>
    </row>
    <row r="14" spans="1:5">
      <c r="A14" t="s">
        <v>29</v>
      </c>
      <c r="B14" s="6">
        <v>9500</v>
      </c>
      <c r="C14" s="8">
        <f>VLOOKUP(A9,Products!A:F,6,)*C9</f>
        <v>3800</v>
      </c>
    </row>
    <row r="15" spans="1:5">
      <c r="A15" t="s">
        <v>27</v>
      </c>
      <c r="B15" s="6">
        <v>4840</v>
      </c>
      <c r="C15" s="8">
        <f>VLOOKUP(A10,Products!A:F,6,)*C10</f>
        <v>2662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FA2C-455E-455E-ACC4-4A769883F915}">
  <dimension ref="A1:H16"/>
  <sheetViews>
    <sheetView workbookViewId="0">
      <selection activeCell="F20" sqref="F20"/>
    </sheetView>
  </sheetViews>
  <sheetFormatPr defaultRowHeight="15"/>
  <cols>
    <col min="1" max="1" width="9.7109375" bestFit="1" customWidth="1"/>
    <col min="2" max="2" width="20.7109375" customWidth="1"/>
    <col min="3" max="3" width="13.85546875" customWidth="1"/>
    <col min="4" max="4" width="12.28515625" customWidth="1"/>
    <col min="5" max="5" width="11.7109375" bestFit="1" customWidth="1"/>
    <col min="6" max="6" width="10.140625" bestFit="1" customWidth="1"/>
    <col min="8" max="8" width="60" customWidth="1"/>
  </cols>
  <sheetData>
    <row r="1" spans="1:8">
      <c r="A1" s="12" t="s">
        <v>69</v>
      </c>
    </row>
    <row r="2" spans="1:8">
      <c r="A2" s="12" t="s">
        <v>70</v>
      </c>
    </row>
    <row r="3" spans="1:8" ht="75">
      <c r="A3" s="15" t="s">
        <v>60</v>
      </c>
      <c r="B3" s="16" t="s">
        <v>75</v>
      </c>
      <c r="H3" s="14" t="s">
        <v>88</v>
      </c>
    </row>
    <row r="4" spans="1:8" ht="60">
      <c r="A4" s="15" t="s">
        <v>61</v>
      </c>
      <c r="H4" s="14" t="s">
        <v>111</v>
      </c>
    </row>
    <row r="5" spans="1:8">
      <c r="A5" s="15" t="s">
        <v>62</v>
      </c>
      <c r="H5" t="s">
        <v>76</v>
      </c>
    </row>
    <row r="6" spans="1:8">
      <c r="A6" s="15"/>
      <c r="H6" t="s">
        <v>112</v>
      </c>
    </row>
    <row r="7" spans="1:8">
      <c r="A7" s="9" t="s">
        <v>24</v>
      </c>
      <c r="B7" t="s">
        <v>65</v>
      </c>
      <c r="C7" t="s">
        <v>71</v>
      </c>
      <c r="D7" t="s">
        <v>26</v>
      </c>
      <c r="E7" t="s">
        <v>73</v>
      </c>
      <c r="F7" t="s">
        <v>74</v>
      </c>
    </row>
    <row r="8" spans="1:8">
      <c r="A8" s="10" t="s">
        <v>28</v>
      </c>
      <c r="B8" s="13">
        <v>8330</v>
      </c>
      <c r="C8">
        <v>6</v>
      </c>
      <c r="D8">
        <f>VLOOKUP(A8,Products!$A$1:$C$4,3,)</f>
        <v>170</v>
      </c>
      <c r="E8" s="6">
        <f>C8*D8</f>
        <v>1020</v>
      </c>
      <c r="F8" s="6">
        <f>GETPIVOTDATA(" sales",$A$7,"article","Груши")-E8</f>
        <v>7310</v>
      </c>
    </row>
    <row r="9" spans="1:8">
      <c r="A9" s="10" t="s">
        <v>29</v>
      </c>
      <c r="B9" s="13">
        <v>9500</v>
      </c>
      <c r="C9">
        <v>3</v>
      </c>
      <c r="D9">
        <f>VLOOKUP(A9,Products!$A$1:$C$4,3,)</f>
        <v>250</v>
      </c>
      <c r="E9" s="6">
        <f t="shared" ref="E9:E10" si="0">C9*D9</f>
        <v>750</v>
      </c>
      <c r="F9" s="6">
        <f>GETPIVOTDATA(" sales",$A$7,"article","Клубника")-E9</f>
        <v>8750</v>
      </c>
    </row>
    <row r="10" spans="1:8">
      <c r="A10" s="10" t="s">
        <v>27</v>
      </c>
      <c r="B10" s="13">
        <v>4840</v>
      </c>
      <c r="C10">
        <v>4</v>
      </c>
      <c r="D10">
        <f>VLOOKUP(A10,Products!$A$1:$C$4,3,)</f>
        <v>110</v>
      </c>
      <c r="E10" s="6">
        <f t="shared" si="0"/>
        <v>440</v>
      </c>
      <c r="F10" s="6">
        <f>GETPIVOTDATA(" sales",$A$7,"article","Яблоки")-E10</f>
        <v>4400</v>
      </c>
    </row>
    <row r="13" spans="1:8">
      <c r="A13" t="s">
        <v>24</v>
      </c>
      <c r="B13" t="s">
        <v>45</v>
      </c>
      <c r="C13" t="s">
        <v>73</v>
      </c>
      <c r="D13" t="s">
        <v>74</v>
      </c>
    </row>
    <row r="14" spans="1:8">
      <c r="A14" t="s">
        <v>28</v>
      </c>
      <c r="B14" s="6">
        <v>8330</v>
      </c>
      <c r="C14" s="6">
        <v>1020</v>
      </c>
      <c r="D14" s="6">
        <v>7310</v>
      </c>
    </row>
    <row r="15" spans="1:8">
      <c r="A15" t="s">
        <v>29</v>
      </c>
      <c r="B15" s="6">
        <v>9500</v>
      </c>
      <c r="C15" s="6">
        <v>750</v>
      </c>
      <c r="D15" s="6">
        <v>8750</v>
      </c>
    </row>
    <row r="16" spans="1:8">
      <c r="A16" t="s">
        <v>27</v>
      </c>
      <c r="B16" s="6">
        <v>4840</v>
      </c>
      <c r="C16" s="6">
        <v>440</v>
      </c>
      <c r="D16" s="6">
        <v>4400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B901-E780-48EC-8117-4F44082A8036}">
  <dimension ref="A1:N33"/>
  <sheetViews>
    <sheetView workbookViewId="0">
      <selection activeCell="N16" sqref="N16"/>
    </sheetView>
  </sheetViews>
  <sheetFormatPr defaultRowHeight="15"/>
  <cols>
    <col min="1" max="1" width="10.140625" bestFit="1" customWidth="1"/>
    <col min="2" max="2" width="9.7109375" bestFit="1" customWidth="1"/>
    <col min="3" max="3" width="10.5703125" customWidth="1"/>
    <col min="4" max="4" width="9.42578125" bestFit="1" customWidth="1"/>
    <col min="5" max="5" width="9.140625" customWidth="1"/>
    <col min="6" max="6" width="11.140625" customWidth="1"/>
    <col min="7" max="7" width="0" hidden="1" customWidth="1"/>
    <col min="8" max="8" width="6.85546875" hidden="1" customWidth="1"/>
    <col min="9" max="9" width="9.7109375" hidden="1" customWidth="1"/>
    <col min="10" max="10" width="5.42578125" hidden="1" customWidth="1"/>
    <col min="11" max="11" width="11.7109375" hidden="1" customWidth="1"/>
    <col min="12" max="12" width="7.140625" hidden="1" customWidth="1"/>
    <col min="13" max="13" width="11.85546875" bestFit="1" customWidth="1"/>
    <col min="14" max="14" width="43.5703125" customWidth="1"/>
  </cols>
  <sheetData>
    <row r="1" spans="1:14">
      <c r="A1" s="21" t="s">
        <v>85</v>
      </c>
      <c r="B1" s="21"/>
      <c r="C1" s="21"/>
      <c r="D1" s="21"/>
      <c r="E1" s="21"/>
      <c r="F1" s="21"/>
      <c r="G1" s="18" t="s">
        <v>86</v>
      </c>
      <c r="H1" s="18"/>
      <c r="I1" s="18"/>
      <c r="J1" s="18"/>
      <c r="K1" s="18"/>
      <c r="L1" s="18"/>
    </row>
    <row r="2" spans="1:14">
      <c r="A2" t="s">
        <v>37</v>
      </c>
      <c r="B2" t="s">
        <v>24</v>
      </c>
      <c r="C2" t="s">
        <v>38</v>
      </c>
      <c r="D2" t="s">
        <v>45</v>
      </c>
      <c r="E2" t="s">
        <v>39</v>
      </c>
      <c r="F2" t="s">
        <v>30</v>
      </c>
      <c r="G2" s="20" t="s">
        <v>81</v>
      </c>
      <c r="H2" s="20" t="s">
        <v>82</v>
      </c>
      <c r="I2" s="20" t="s">
        <v>32</v>
      </c>
      <c r="J2" s="20" t="s">
        <v>26</v>
      </c>
      <c r="K2" s="20" t="s">
        <v>73</v>
      </c>
      <c r="L2" s="20" t="s">
        <v>58</v>
      </c>
      <c r="N2" t="s">
        <v>115</v>
      </c>
    </row>
    <row r="3" spans="1:14">
      <c r="A3" s="4">
        <v>45672</v>
      </c>
      <c r="B3" t="s">
        <v>27</v>
      </c>
      <c r="C3">
        <v>2</v>
      </c>
      <c r="D3" s="19">
        <v>220</v>
      </c>
      <c r="E3">
        <v>0</v>
      </c>
      <c r="F3" t="s">
        <v>33</v>
      </c>
      <c r="G3" s="20">
        <f>YEAR(A3)</f>
        <v>2025</v>
      </c>
      <c r="H3" s="20">
        <f>MONTH(A3)</f>
        <v>1</v>
      </c>
      <c r="I3" s="20" t="str">
        <f>VLOOKUP(F3,Companies!$A$1:$D$4,3,)</f>
        <v>Дарья</v>
      </c>
      <c r="J3" s="20">
        <f>VLOOKUP($B3,Products!$A$1:$F$4,3,)</f>
        <v>110</v>
      </c>
      <c r="K3" s="20">
        <f>E3*J3</f>
        <v>0</v>
      </c>
      <c r="L3" s="20">
        <f>VLOOKUP($B3,Products!$A$1:$F$4,6,)*C3</f>
        <v>121</v>
      </c>
      <c r="N3" t="s">
        <v>116</v>
      </c>
    </row>
    <row r="4" spans="1:14">
      <c r="A4" s="4">
        <v>45675</v>
      </c>
      <c r="B4" t="s">
        <v>28</v>
      </c>
      <c r="C4">
        <v>5</v>
      </c>
      <c r="D4" s="19">
        <v>850</v>
      </c>
      <c r="E4">
        <v>1</v>
      </c>
      <c r="F4" t="s">
        <v>34</v>
      </c>
      <c r="G4" s="20">
        <f t="shared" ref="G4:G33" si="0">YEAR(A4)</f>
        <v>2025</v>
      </c>
      <c r="H4" s="20">
        <f t="shared" ref="H4:H33" si="1">MONTH(A4)</f>
        <v>1</v>
      </c>
      <c r="I4" s="20" t="str">
        <f>VLOOKUP(F4,Companies!$A$1:$D$4,3,)</f>
        <v>Алексей</v>
      </c>
      <c r="J4" s="20">
        <f>VLOOKUP($B4,Products!$A$1:$F$4,3,)</f>
        <v>170</v>
      </c>
      <c r="K4" s="20">
        <f>E4*J4</f>
        <v>170</v>
      </c>
      <c r="L4" s="20">
        <f>VLOOKUP($B4,Products!$A$1:$F$4,6,)*C4</f>
        <v>425</v>
      </c>
      <c r="N4" t="s">
        <v>117</v>
      </c>
    </row>
    <row r="5" spans="1:14">
      <c r="A5" s="4">
        <v>45994</v>
      </c>
      <c r="B5" t="s">
        <v>29</v>
      </c>
      <c r="C5">
        <v>1</v>
      </c>
      <c r="D5" s="19">
        <v>250</v>
      </c>
      <c r="E5">
        <v>0</v>
      </c>
      <c r="F5" t="s">
        <v>35</v>
      </c>
      <c r="G5" s="20">
        <f t="shared" si="0"/>
        <v>2025</v>
      </c>
      <c r="H5" s="20">
        <f t="shared" si="1"/>
        <v>12</v>
      </c>
      <c r="I5" s="20" t="str">
        <f>VLOOKUP(F5,Companies!$A$1:$D$4,3,)</f>
        <v>Ольга</v>
      </c>
      <c r="J5" s="20">
        <f>VLOOKUP($B5,Products!$A$1:$F$4,3,)</f>
        <v>250</v>
      </c>
      <c r="K5" s="20">
        <f t="shared" ref="K5:K33" si="2">E5*J5</f>
        <v>0</v>
      </c>
      <c r="L5" s="20">
        <f>VLOOKUP($B5,Products!$A$1:$F$4,6,)*C5</f>
        <v>100</v>
      </c>
      <c r="N5" t="s">
        <v>30</v>
      </c>
    </row>
    <row r="6" spans="1:14">
      <c r="A6" s="4">
        <v>45661</v>
      </c>
      <c r="B6" t="s">
        <v>28</v>
      </c>
      <c r="C6">
        <v>6</v>
      </c>
      <c r="D6" s="19">
        <v>1020</v>
      </c>
      <c r="E6">
        <v>0</v>
      </c>
      <c r="F6" t="s">
        <v>35</v>
      </c>
      <c r="G6" s="20">
        <f t="shared" si="0"/>
        <v>2025</v>
      </c>
      <c r="H6" s="20">
        <f t="shared" si="1"/>
        <v>1</v>
      </c>
      <c r="I6" s="20" t="str">
        <f>VLOOKUP(F6,Companies!$A$1:$D$4,3,)</f>
        <v>Ольга</v>
      </c>
      <c r="J6" s="20">
        <f>VLOOKUP($B6,Products!$A$1:$F$4,3,)</f>
        <v>170</v>
      </c>
      <c r="K6" s="20">
        <f t="shared" si="2"/>
        <v>0</v>
      </c>
      <c r="L6" s="20">
        <f>VLOOKUP($B6,Products!$A$1:$F$4,6,)*C6</f>
        <v>510</v>
      </c>
      <c r="N6" t="s">
        <v>118</v>
      </c>
    </row>
    <row r="7" spans="1:14">
      <c r="A7" s="4">
        <v>45693</v>
      </c>
      <c r="B7" t="s">
        <v>27</v>
      </c>
      <c r="C7">
        <v>8</v>
      </c>
      <c r="D7" s="19">
        <v>880</v>
      </c>
      <c r="E7">
        <v>2</v>
      </c>
      <c r="F7" t="s">
        <v>34</v>
      </c>
      <c r="G7" s="20">
        <f t="shared" si="0"/>
        <v>2025</v>
      </c>
      <c r="H7" s="20">
        <f t="shared" si="1"/>
        <v>2</v>
      </c>
      <c r="I7" s="20" t="str">
        <f>VLOOKUP(F7,Companies!$A$1:$D$4,3,)</f>
        <v>Алексей</v>
      </c>
      <c r="J7" s="20">
        <f>VLOOKUP($B7,Products!$A$1:$F$4,3,)</f>
        <v>110</v>
      </c>
      <c r="K7" s="20">
        <f t="shared" si="2"/>
        <v>220</v>
      </c>
      <c r="L7" s="20">
        <f>VLOOKUP($B7,Products!$A$1:$F$4,6,)*C7</f>
        <v>484</v>
      </c>
      <c r="N7" t="s">
        <v>119</v>
      </c>
    </row>
    <row r="8" spans="1:14">
      <c r="A8" s="4">
        <v>45663</v>
      </c>
      <c r="B8" t="s">
        <v>28</v>
      </c>
      <c r="C8">
        <v>2</v>
      </c>
      <c r="D8" s="19">
        <v>340</v>
      </c>
      <c r="E8">
        <v>0</v>
      </c>
      <c r="F8" t="s">
        <v>33</v>
      </c>
      <c r="G8" s="20">
        <f t="shared" si="0"/>
        <v>2025</v>
      </c>
      <c r="H8" s="20">
        <f t="shared" si="1"/>
        <v>1</v>
      </c>
      <c r="I8" s="20" t="str">
        <f>VLOOKUP(F8,Companies!$A$1:$D$4,3,)</f>
        <v>Дарья</v>
      </c>
      <c r="J8" s="20">
        <f>VLOOKUP($B8,Products!$A$1:$F$4,3,)</f>
        <v>170</v>
      </c>
      <c r="K8" s="20">
        <f t="shared" si="2"/>
        <v>0</v>
      </c>
      <c r="L8" s="20">
        <f>VLOOKUP($B8,Products!$A$1:$F$4,6,)*C8</f>
        <v>170</v>
      </c>
    </row>
    <row r="9" spans="1:14">
      <c r="A9" s="4">
        <v>45723</v>
      </c>
      <c r="B9" t="s">
        <v>29</v>
      </c>
      <c r="C9">
        <v>3</v>
      </c>
      <c r="D9" s="19">
        <v>750</v>
      </c>
      <c r="E9">
        <v>0</v>
      </c>
      <c r="F9" t="s">
        <v>34</v>
      </c>
      <c r="G9" s="20">
        <f t="shared" si="0"/>
        <v>2025</v>
      </c>
      <c r="H9" s="20">
        <f t="shared" si="1"/>
        <v>3</v>
      </c>
      <c r="I9" s="20" t="str">
        <f>VLOOKUP(F9,Companies!$A$1:$D$4,3,)</f>
        <v>Алексей</v>
      </c>
      <c r="J9" s="20">
        <f>VLOOKUP($B9,Products!$A$1:$F$4,3,)</f>
        <v>250</v>
      </c>
      <c r="K9" s="20">
        <f t="shared" si="2"/>
        <v>0</v>
      </c>
      <c r="L9" s="20">
        <f>VLOOKUP($B9,Products!$A$1:$F$4,6,)*C9</f>
        <v>300</v>
      </c>
    </row>
    <row r="10" spans="1:14">
      <c r="A10" s="4">
        <v>45724</v>
      </c>
      <c r="B10" t="s">
        <v>28</v>
      </c>
      <c r="C10">
        <v>2</v>
      </c>
      <c r="D10" s="19">
        <v>340</v>
      </c>
      <c r="E10">
        <v>0</v>
      </c>
      <c r="F10" t="s">
        <v>33</v>
      </c>
      <c r="G10" s="20">
        <f t="shared" si="0"/>
        <v>2025</v>
      </c>
      <c r="H10" s="20">
        <f t="shared" si="1"/>
        <v>3</v>
      </c>
      <c r="I10" s="20" t="str">
        <f>VLOOKUP(F10,Companies!$A$1:$D$4,3,)</f>
        <v>Дарья</v>
      </c>
      <c r="J10" s="20">
        <f>VLOOKUP($B10,Products!$A$1:$F$4,3,)</f>
        <v>170</v>
      </c>
      <c r="K10" s="20">
        <f t="shared" si="2"/>
        <v>0</v>
      </c>
      <c r="L10" s="20">
        <f>VLOOKUP($B10,Products!$A$1:$F$4,6,)*C10</f>
        <v>170</v>
      </c>
    </row>
    <row r="11" spans="1:14">
      <c r="A11" s="4">
        <v>45697</v>
      </c>
      <c r="B11" t="s">
        <v>29</v>
      </c>
      <c r="C11">
        <v>3</v>
      </c>
      <c r="D11" s="19">
        <v>750</v>
      </c>
      <c r="E11">
        <v>1</v>
      </c>
      <c r="F11" t="s">
        <v>35</v>
      </c>
      <c r="G11" s="20">
        <f t="shared" si="0"/>
        <v>2025</v>
      </c>
      <c r="H11" s="20">
        <f t="shared" si="1"/>
        <v>2</v>
      </c>
      <c r="I11" s="20" t="str">
        <f>VLOOKUP(F11,Companies!$A$1:$D$4,3,)</f>
        <v>Ольга</v>
      </c>
      <c r="J11" s="20">
        <f>VLOOKUP($B11,Products!$A$1:$F$4,3,)</f>
        <v>250</v>
      </c>
      <c r="K11" s="20">
        <f t="shared" si="2"/>
        <v>250</v>
      </c>
      <c r="L11" s="20">
        <f>VLOOKUP($B11,Products!$A$1:$F$4,6,)*C11</f>
        <v>300</v>
      </c>
    </row>
    <row r="12" spans="1:14">
      <c r="A12" s="4">
        <v>45757</v>
      </c>
      <c r="B12" t="s">
        <v>28</v>
      </c>
      <c r="C12">
        <v>4</v>
      </c>
      <c r="D12" s="19">
        <v>680</v>
      </c>
      <c r="E12">
        <v>0</v>
      </c>
      <c r="F12" t="s">
        <v>34</v>
      </c>
      <c r="G12" s="20">
        <f t="shared" si="0"/>
        <v>2025</v>
      </c>
      <c r="H12" s="20">
        <f t="shared" si="1"/>
        <v>4</v>
      </c>
      <c r="I12" s="20" t="str">
        <f>VLOOKUP(F12,Companies!$A$1:$D$4,3,)</f>
        <v>Алексей</v>
      </c>
      <c r="J12" s="20">
        <f>VLOOKUP($B12,Products!$A$1:$F$4,3,)</f>
        <v>170</v>
      </c>
      <c r="K12" s="20">
        <f t="shared" si="2"/>
        <v>0</v>
      </c>
      <c r="L12" s="20">
        <f>VLOOKUP($B12,Products!$A$1:$F$4,6,)*C12</f>
        <v>340</v>
      </c>
    </row>
    <row r="13" spans="1:14">
      <c r="A13" s="4">
        <v>45727</v>
      </c>
      <c r="B13" t="s">
        <v>27</v>
      </c>
      <c r="C13">
        <v>7</v>
      </c>
      <c r="D13" s="19">
        <v>770</v>
      </c>
      <c r="E13">
        <v>0</v>
      </c>
      <c r="F13" t="s">
        <v>35</v>
      </c>
      <c r="G13" s="20">
        <f t="shared" si="0"/>
        <v>2025</v>
      </c>
      <c r="H13" s="20">
        <f t="shared" si="1"/>
        <v>3</v>
      </c>
      <c r="I13" s="20" t="str">
        <f>VLOOKUP(F13,Companies!$A$1:$D$4,3,)</f>
        <v>Ольга</v>
      </c>
      <c r="J13" s="20">
        <f>VLOOKUP($B13,Products!$A$1:$F$4,3,)</f>
        <v>110</v>
      </c>
      <c r="K13" s="20">
        <f t="shared" si="2"/>
        <v>0</v>
      </c>
      <c r="L13" s="20">
        <f>VLOOKUP($B13,Products!$A$1:$F$4,6,)*C13</f>
        <v>423.5</v>
      </c>
    </row>
    <row r="14" spans="1:14">
      <c r="A14" s="4">
        <v>45728</v>
      </c>
      <c r="B14" t="s">
        <v>27</v>
      </c>
      <c r="C14">
        <v>2</v>
      </c>
      <c r="D14" s="19">
        <v>220</v>
      </c>
      <c r="E14">
        <v>2</v>
      </c>
      <c r="F14" t="s">
        <v>33</v>
      </c>
      <c r="G14" s="20">
        <f t="shared" si="0"/>
        <v>2025</v>
      </c>
      <c r="H14" s="20">
        <f t="shared" si="1"/>
        <v>3</v>
      </c>
      <c r="I14" s="20" t="str">
        <f>VLOOKUP(F14,Companies!$A$1:$D$4,3,)</f>
        <v>Дарья</v>
      </c>
      <c r="J14" s="20">
        <f>VLOOKUP($B14,Products!$A$1:$F$4,3,)</f>
        <v>110</v>
      </c>
      <c r="K14" s="20">
        <f t="shared" si="2"/>
        <v>220</v>
      </c>
      <c r="L14" s="20">
        <f>VLOOKUP($B14,Products!$A$1:$F$4,6,)*C14</f>
        <v>121</v>
      </c>
    </row>
    <row r="15" spans="1:14">
      <c r="A15" s="4">
        <v>45790</v>
      </c>
      <c r="B15" t="s">
        <v>29</v>
      </c>
      <c r="C15">
        <v>5</v>
      </c>
      <c r="D15" s="19">
        <v>1250</v>
      </c>
      <c r="E15">
        <v>0</v>
      </c>
      <c r="F15" t="s">
        <v>34</v>
      </c>
      <c r="G15" s="20">
        <f t="shared" si="0"/>
        <v>2025</v>
      </c>
      <c r="H15" s="20">
        <f t="shared" si="1"/>
        <v>5</v>
      </c>
      <c r="I15" s="20" t="str">
        <f>VLOOKUP(F15,Companies!$A$1:$D$4,3,)</f>
        <v>Алексей</v>
      </c>
      <c r="J15" s="20">
        <f>VLOOKUP($B15,Products!$A$1:$F$4,3,)</f>
        <v>250</v>
      </c>
      <c r="K15" s="20">
        <f t="shared" si="2"/>
        <v>0</v>
      </c>
      <c r="L15" s="20">
        <f>VLOOKUP($B15,Products!$A$1:$F$4,6,)*C15</f>
        <v>500</v>
      </c>
    </row>
    <row r="16" spans="1:14">
      <c r="A16" s="4">
        <v>45761</v>
      </c>
      <c r="B16" t="s">
        <v>28</v>
      </c>
      <c r="C16">
        <v>1</v>
      </c>
      <c r="D16" s="19">
        <v>170</v>
      </c>
      <c r="E16">
        <v>0</v>
      </c>
      <c r="F16" t="s">
        <v>35</v>
      </c>
      <c r="G16" s="20">
        <f t="shared" si="0"/>
        <v>2025</v>
      </c>
      <c r="H16" s="20">
        <f t="shared" si="1"/>
        <v>4</v>
      </c>
      <c r="I16" s="20" t="str">
        <f>VLOOKUP(F16,Companies!$A$1:$D$4,3,)</f>
        <v>Ольга</v>
      </c>
      <c r="J16" s="20">
        <f>VLOOKUP($B16,Products!$A$1:$F$4,3,)</f>
        <v>170</v>
      </c>
      <c r="K16" s="20">
        <f t="shared" si="2"/>
        <v>0</v>
      </c>
      <c r="L16" s="20">
        <f>VLOOKUP($B16,Products!$A$1:$F$4,6,)*C16</f>
        <v>85</v>
      </c>
    </row>
    <row r="17" spans="1:12">
      <c r="A17" s="4">
        <v>45792</v>
      </c>
      <c r="B17" t="s">
        <v>27</v>
      </c>
      <c r="C17">
        <v>6</v>
      </c>
      <c r="D17" s="19">
        <v>660</v>
      </c>
      <c r="E17">
        <v>0</v>
      </c>
      <c r="F17" t="s">
        <v>35</v>
      </c>
      <c r="G17" s="20">
        <f t="shared" si="0"/>
        <v>2025</v>
      </c>
      <c r="H17" s="20">
        <f t="shared" si="1"/>
        <v>5</v>
      </c>
      <c r="I17" s="20" t="str">
        <f>VLOOKUP(F17,Companies!$A$1:$D$4,3,)</f>
        <v>Ольга</v>
      </c>
      <c r="J17" s="20">
        <f>VLOOKUP($B17,Products!$A$1:$F$4,3,)</f>
        <v>110</v>
      </c>
      <c r="K17" s="20">
        <f t="shared" si="2"/>
        <v>0</v>
      </c>
      <c r="L17" s="20">
        <f>VLOOKUP($B17,Products!$A$1:$F$4,6,)*C17</f>
        <v>363</v>
      </c>
    </row>
    <row r="18" spans="1:12">
      <c r="A18" s="4">
        <v>45824</v>
      </c>
      <c r="B18" t="s">
        <v>29</v>
      </c>
      <c r="C18">
        <v>8</v>
      </c>
      <c r="D18" s="19">
        <v>2000</v>
      </c>
      <c r="E18">
        <v>1</v>
      </c>
      <c r="F18" t="s">
        <v>34</v>
      </c>
      <c r="G18" s="20">
        <f t="shared" si="0"/>
        <v>2025</v>
      </c>
      <c r="H18" s="20">
        <f t="shared" si="1"/>
        <v>6</v>
      </c>
      <c r="I18" s="20" t="str">
        <f>VLOOKUP(F18,Companies!$A$1:$D$4,3,)</f>
        <v>Алексей</v>
      </c>
      <c r="J18" s="20">
        <f>VLOOKUP($B18,Products!$A$1:$F$4,3,)</f>
        <v>250</v>
      </c>
      <c r="K18" s="20">
        <f t="shared" si="2"/>
        <v>250</v>
      </c>
      <c r="L18" s="20">
        <f>VLOOKUP($B18,Products!$A$1:$F$4,6,)*C18</f>
        <v>800</v>
      </c>
    </row>
    <row r="19" spans="1:12">
      <c r="A19" s="4">
        <v>45794</v>
      </c>
      <c r="B19" t="s">
        <v>28</v>
      </c>
      <c r="C19">
        <v>2</v>
      </c>
      <c r="D19" s="19">
        <v>340</v>
      </c>
      <c r="E19">
        <v>0</v>
      </c>
      <c r="F19" t="s">
        <v>33</v>
      </c>
      <c r="G19" s="20">
        <f t="shared" si="0"/>
        <v>2025</v>
      </c>
      <c r="H19" s="20">
        <f t="shared" si="1"/>
        <v>5</v>
      </c>
      <c r="I19" s="20" t="str">
        <f>VLOOKUP(F19,Companies!$A$1:$D$4,3,)</f>
        <v>Дарья</v>
      </c>
      <c r="J19" s="20">
        <f>VLOOKUP($B19,Products!$A$1:$F$4,3,)</f>
        <v>170</v>
      </c>
      <c r="K19" s="20">
        <f t="shared" si="2"/>
        <v>0</v>
      </c>
      <c r="L19" s="20">
        <f>VLOOKUP($B19,Products!$A$1:$F$4,6,)*C19</f>
        <v>170</v>
      </c>
    </row>
    <row r="20" spans="1:12">
      <c r="A20" s="4">
        <v>45856</v>
      </c>
      <c r="B20" t="s">
        <v>29</v>
      </c>
      <c r="C20">
        <v>3</v>
      </c>
      <c r="D20" s="19">
        <v>750</v>
      </c>
      <c r="E20">
        <v>0</v>
      </c>
      <c r="F20" t="s">
        <v>34</v>
      </c>
      <c r="G20" s="20">
        <f t="shared" si="0"/>
        <v>2025</v>
      </c>
      <c r="H20" s="20">
        <f t="shared" si="1"/>
        <v>7</v>
      </c>
      <c r="I20" s="20" t="str">
        <f>VLOOKUP(F20,Companies!$A$1:$D$4,3,)</f>
        <v>Алексей</v>
      </c>
      <c r="J20" s="20">
        <f>VLOOKUP($B20,Products!$A$1:$F$4,3,)</f>
        <v>250</v>
      </c>
      <c r="K20" s="20">
        <f t="shared" si="2"/>
        <v>0</v>
      </c>
      <c r="L20" s="20">
        <f>VLOOKUP($B20,Products!$A$1:$F$4,6,)*C20</f>
        <v>300</v>
      </c>
    </row>
    <row r="21" spans="1:12">
      <c r="A21" s="4">
        <v>45857</v>
      </c>
      <c r="B21" t="s">
        <v>28</v>
      </c>
      <c r="C21">
        <v>6</v>
      </c>
      <c r="D21" s="19">
        <v>1020</v>
      </c>
      <c r="E21">
        <v>2</v>
      </c>
      <c r="F21" t="s">
        <v>33</v>
      </c>
      <c r="G21" s="20">
        <f t="shared" si="0"/>
        <v>2025</v>
      </c>
      <c r="H21" s="20">
        <f t="shared" si="1"/>
        <v>7</v>
      </c>
      <c r="I21" s="20" t="str">
        <f>VLOOKUP(F21,Companies!$A$1:$D$4,3,)</f>
        <v>Дарья</v>
      </c>
      <c r="J21" s="20">
        <f>VLOOKUP($B21,Products!$A$1:$F$4,3,)</f>
        <v>170</v>
      </c>
      <c r="K21" s="20">
        <f t="shared" si="2"/>
        <v>340</v>
      </c>
      <c r="L21" s="20">
        <f>VLOOKUP($B21,Products!$A$1:$F$4,6,)*C21</f>
        <v>510</v>
      </c>
    </row>
    <row r="22" spans="1:12">
      <c r="A22" s="4">
        <v>45828</v>
      </c>
      <c r="B22" t="s">
        <v>27</v>
      </c>
      <c r="C22">
        <v>8</v>
      </c>
      <c r="D22" s="19">
        <v>880</v>
      </c>
      <c r="E22">
        <v>0</v>
      </c>
      <c r="F22" t="s">
        <v>35</v>
      </c>
      <c r="G22" s="20">
        <f t="shared" si="0"/>
        <v>2025</v>
      </c>
      <c r="H22" s="20">
        <f t="shared" si="1"/>
        <v>6</v>
      </c>
      <c r="I22" s="20" t="str">
        <f>VLOOKUP(F22,Companies!$A$1:$D$4,3,)</f>
        <v>Ольга</v>
      </c>
      <c r="J22" s="20">
        <f>VLOOKUP($B22,Products!$A$1:$F$4,3,)</f>
        <v>110</v>
      </c>
      <c r="K22" s="20">
        <f t="shared" si="2"/>
        <v>0</v>
      </c>
      <c r="L22" s="20">
        <f>VLOOKUP($B22,Products!$A$1:$F$4,6,)*C22</f>
        <v>484</v>
      </c>
    </row>
    <row r="23" spans="1:12">
      <c r="A23" s="4">
        <v>45859</v>
      </c>
      <c r="B23" t="s">
        <v>27</v>
      </c>
      <c r="C23">
        <v>2</v>
      </c>
      <c r="D23" s="19">
        <v>220</v>
      </c>
      <c r="E23">
        <v>0</v>
      </c>
      <c r="F23" t="s">
        <v>33</v>
      </c>
      <c r="G23" s="20">
        <f t="shared" si="0"/>
        <v>2025</v>
      </c>
      <c r="H23" s="20">
        <f t="shared" si="1"/>
        <v>7</v>
      </c>
      <c r="I23" s="20" t="str">
        <f>VLOOKUP(F23,Companies!$A$1:$D$4,3,)</f>
        <v>Дарья</v>
      </c>
      <c r="J23" s="20">
        <f>VLOOKUP($B23,Products!$A$1:$F$4,3,)</f>
        <v>110</v>
      </c>
      <c r="K23" s="20">
        <f t="shared" si="2"/>
        <v>0</v>
      </c>
      <c r="L23" s="20">
        <f>VLOOKUP($B23,Products!$A$1:$F$4,6,)*C23</f>
        <v>121</v>
      </c>
    </row>
    <row r="24" spans="1:12">
      <c r="A24" s="4">
        <v>45891</v>
      </c>
      <c r="B24" t="s">
        <v>29</v>
      </c>
      <c r="C24">
        <v>5</v>
      </c>
      <c r="D24" s="19">
        <v>1250</v>
      </c>
      <c r="E24">
        <v>0</v>
      </c>
      <c r="F24" t="s">
        <v>34</v>
      </c>
      <c r="G24" s="20">
        <f t="shared" si="0"/>
        <v>2025</v>
      </c>
      <c r="H24" s="20">
        <f t="shared" si="1"/>
        <v>8</v>
      </c>
      <c r="I24" s="20" t="str">
        <f>VLOOKUP(F24,Companies!$A$1:$D$4,3,)</f>
        <v>Алексей</v>
      </c>
      <c r="J24" s="20">
        <f>VLOOKUP($B24,Products!$A$1:$F$4,3,)</f>
        <v>250</v>
      </c>
      <c r="K24" s="20">
        <f t="shared" si="2"/>
        <v>0</v>
      </c>
      <c r="L24" s="20">
        <f>VLOOKUP($B24,Products!$A$1:$F$4,6,)*C24</f>
        <v>500</v>
      </c>
    </row>
    <row r="25" spans="1:12">
      <c r="A25" s="4">
        <v>45923</v>
      </c>
      <c r="B25" t="s">
        <v>28</v>
      </c>
      <c r="C25">
        <v>1</v>
      </c>
      <c r="D25" s="19">
        <v>170</v>
      </c>
      <c r="E25">
        <v>1</v>
      </c>
      <c r="F25" t="s">
        <v>33</v>
      </c>
      <c r="G25" s="20">
        <f t="shared" si="0"/>
        <v>2025</v>
      </c>
      <c r="H25" s="20">
        <f t="shared" si="1"/>
        <v>9</v>
      </c>
      <c r="I25" s="20" t="str">
        <f>VLOOKUP(F25,Companies!$A$1:$D$4,3,)</f>
        <v>Дарья</v>
      </c>
      <c r="J25" s="20">
        <f>VLOOKUP($B25,Products!$A$1:$F$4,3,)</f>
        <v>170</v>
      </c>
      <c r="K25" s="20">
        <f t="shared" si="2"/>
        <v>170</v>
      </c>
      <c r="L25" s="20">
        <f>VLOOKUP($B25,Products!$A$1:$F$4,6,)*C25</f>
        <v>85</v>
      </c>
    </row>
    <row r="26" spans="1:12">
      <c r="A26" s="4">
        <v>45924</v>
      </c>
      <c r="B26" t="s">
        <v>27</v>
      </c>
      <c r="C26">
        <v>6</v>
      </c>
      <c r="D26" s="19">
        <v>660</v>
      </c>
      <c r="E26">
        <v>0</v>
      </c>
      <c r="F26" t="s">
        <v>34</v>
      </c>
      <c r="G26" s="20">
        <f t="shared" si="0"/>
        <v>2025</v>
      </c>
      <c r="H26" s="20">
        <f t="shared" si="1"/>
        <v>9</v>
      </c>
      <c r="I26" s="20" t="str">
        <f>VLOOKUP(F26,Companies!$A$1:$D$4,3,)</f>
        <v>Алексей</v>
      </c>
      <c r="J26" s="20">
        <f>VLOOKUP($B26,Products!$A$1:$F$4,3,)</f>
        <v>110</v>
      </c>
      <c r="K26" s="20">
        <f t="shared" si="2"/>
        <v>0</v>
      </c>
      <c r="L26" s="20">
        <f>VLOOKUP($B26,Products!$A$1:$F$4,6,)*C26</f>
        <v>363</v>
      </c>
    </row>
    <row r="27" spans="1:12">
      <c r="A27" s="4">
        <v>45863</v>
      </c>
      <c r="B27" t="s">
        <v>29</v>
      </c>
      <c r="C27">
        <v>4</v>
      </c>
      <c r="D27" s="19">
        <v>1000</v>
      </c>
      <c r="E27">
        <v>0</v>
      </c>
      <c r="F27" t="s">
        <v>35</v>
      </c>
      <c r="G27" s="20">
        <f t="shared" si="0"/>
        <v>2025</v>
      </c>
      <c r="H27" s="20">
        <f t="shared" si="1"/>
        <v>7</v>
      </c>
      <c r="I27" s="20" t="str">
        <f>VLOOKUP(F27,Companies!$A$1:$D$4,3,)</f>
        <v>Ольга</v>
      </c>
      <c r="J27" s="20">
        <f>VLOOKUP($B27,Products!$A$1:$F$4,3,)</f>
        <v>250</v>
      </c>
      <c r="K27" s="20">
        <f t="shared" si="2"/>
        <v>0</v>
      </c>
      <c r="L27" s="20">
        <f>VLOOKUP($B27,Products!$A$1:$F$4,6,)*C27</f>
        <v>400</v>
      </c>
    </row>
    <row r="28" spans="1:12">
      <c r="A28" s="4">
        <v>45895</v>
      </c>
      <c r="B28" t="s">
        <v>28</v>
      </c>
      <c r="C28">
        <v>7</v>
      </c>
      <c r="D28" s="19">
        <v>1190</v>
      </c>
      <c r="E28">
        <v>2</v>
      </c>
      <c r="F28" t="s">
        <v>35</v>
      </c>
      <c r="G28" s="20">
        <f t="shared" si="0"/>
        <v>2025</v>
      </c>
      <c r="H28" s="20">
        <f t="shared" si="1"/>
        <v>8</v>
      </c>
      <c r="I28" s="20" t="str">
        <f>VLOOKUP(F28,Companies!$A$1:$D$4,3,)</f>
        <v>Ольга</v>
      </c>
      <c r="J28" s="20">
        <f>VLOOKUP($B28,Products!$A$1:$F$4,3,)</f>
        <v>170</v>
      </c>
      <c r="K28" s="20">
        <f t="shared" si="2"/>
        <v>340</v>
      </c>
      <c r="L28" s="20">
        <f>VLOOKUP($B28,Products!$A$1:$F$4,6,)*C28</f>
        <v>595</v>
      </c>
    </row>
    <row r="29" spans="1:12">
      <c r="A29" s="4">
        <v>45957</v>
      </c>
      <c r="B29" t="s">
        <v>27</v>
      </c>
      <c r="C29">
        <v>2</v>
      </c>
      <c r="D29" s="19">
        <v>220</v>
      </c>
      <c r="E29">
        <v>0</v>
      </c>
      <c r="F29" t="s">
        <v>34</v>
      </c>
      <c r="G29" s="20">
        <f t="shared" si="0"/>
        <v>2025</v>
      </c>
      <c r="H29" s="20">
        <f t="shared" si="1"/>
        <v>10</v>
      </c>
      <c r="I29" s="20" t="str">
        <f>VLOOKUP(F29,Companies!$A$1:$D$4,3,)</f>
        <v>Алексей</v>
      </c>
      <c r="J29" s="20">
        <f>VLOOKUP($B29,Products!$A$1:$F$4,3,)</f>
        <v>110</v>
      </c>
      <c r="K29" s="20">
        <f t="shared" si="2"/>
        <v>0</v>
      </c>
      <c r="L29" s="20">
        <f>VLOOKUP($B29,Products!$A$1:$F$4,6,)*C29</f>
        <v>121</v>
      </c>
    </row>
    <row r="30" spans="1:12">
      <c r="A30" s="4">
        <v>45958</v>
      </c>
      <c r="B30" t="s">
        <v>28</v>
      </c>
      <c r="C30">
        <v>5</v>
      </c>
      <c r="D30" s="19">
        <v>850</v>
      </c>
      <c r="E30">
        <v>0</v>
      </c>
      <c r="F30" t="s">
        <v>33</v>
      </c>
      <c r="G30" s="20">
        <f t="shared" si="0"/>
        <v>2025</v>
      </c>
      <c r="H30" s="20">
        <f t="shared" si="1"/>
        <v>10</v>
      </c>
      <c r="I30" s="20" t="str">
        <f>VLOOKUP(F30,Companies!$A$1:$D$4,3,)</f>
        <v>Дарья</v>
      </c>
      <c r="J30" s="20">
        <f>VLOOKUP($B30,Products!$A$1:$F$4,3,)</f>
        <v>170</v>
      </c>
      <c r="K30" s="20">
        <f t="shared" si="2"/>
        <v>0</v>
      </c>
      <c r="L30" s="20">
        <f>VLOOKUP($B30,Products!$A$1:$F$4,6,)*C30</f>
        <v>425</v>
      </c>
    </row>
    <row r="31" spans="1:12">
      <c r="A31" s="4">
        <v>45990</v>
      </c>
      <c r="B31" t="s">
        <v>27</v>
      </c>
      <c r="C31">
        <v>1</v>
      </c>
      <c r="D31" s="19">
        <v>110</v>
      </c>
      <c r="E31">
        <v>0</v>
      </c>
      <c r="F31" t="s">
        <v>34</v>
      </c>
      <c r="G31" s="20">
        <f t="shared" si="0"/>
        <v>2025</v>
      </c>
      <c r="H31" s="20">
        <f t="shared" si="1"/>
        <v>11</v>
      </c>
      <c r="I31" s="20" t="str">
        <f>VLOOKUP(F31,Companies!$A$1:$D$4,3,)</f>
        <v>Алексей</v>
      </c>
      <c r="J31" s="20">
        <f>VLOOKUP($B31,Products!$A$1:$F$4,3,)</f>
        <v>110</v>
      </c>
      <c r="K31" s="20">
        <f t="shared" si="2"/>
        <v>0</v>
      </c>
      <c r="L31" s="20">
        <f>VLOOKUP($B31,Products!$A$1:$F$4,6,)*C31</f>
        <v>60.5</v>
      </c>
    </row>
    <row r="32" spans="1:12">
      <c r="A32" s="4">
        <v>46021</v>
      </c>
      <c r="B32" t="s">
        <v>29</v>
      </c>
      <c r="C32">
        <v>6</v>
      </c>
      <c r="D32" s="19">
        <v>1500</v>
      </c>
      <c r="E32">
        <v>1</v>
      </c>
      <c r="F32" t="s">
        <v>33</v>
      </c>
      <c r="G32" s="20">
        <f t="shared" si="0"/>
        <v>2025</v>
      </c>
      <c r="H32" s="20">
        <f t="shared" si="1"/>
        <v>12</v>
      </c>
      <c r="I32" s="20" t="str">
        <f>VLOOKUP(F32,Companies!$A$1:$D$4,3,)</f>
        <v>Дарья</v>
      </c>
      <c r="J32" s="20">
        <f>VLOOKUP($B32,Products!$A$1:$F$4,3,)</f>
        <v>250</v>
      </c>
      <c r="K32" s="20">
        <f t="shared" si="2"/>
        <v>250</v>
      </c>
      <c r="L32" s="20">
        <f>VLOOKUP($B32,Products!$A$1:$F$4,6,)*C32</f>
        <v>600</v>
      </c>
    </row>
    <row r="33" spans="1:12">
      <c r="A33" s="4">
        <v>45961</v>
      </c>
      <c r="B33" t="s">
        <v>28</v>
      </c>
      <c r="C33">
        <v>8</v>
      </c>
      <c r="D33" s="19">
        <v>1360</v>
      </c>
      <c r="E33">
        <v>0</v>
      </c>
      <c r="F33" t="s">
        <v>35</v>
      </c>
      <c r="G33" s="20">
        <f t="shared" si="0"/>
        <v>2025</v>
      </c>
      <c r="H33" s="20">
        <f t="shared" si="1"/>
        <v>10</v>
      </c>
      <c r="I33" s="20" t="str">
        <f>VLOOKUP(F33,Companies!$A$1:$D$4,3,)</f>
        <v>Ольга</v>
      </c>
      <c r="J33" s="20">
        <f>VLOOKUP($B33,Products!$A$1:$F$4,3,)</f>
        <v>170</v>
      </c>
      <c r="K33" s="20">
        <f t="shared" si="2"/>
        <v>0</v>
      </c>
      <c r="L33" s="20">
        <f>VLOOKUP($B33,Products!$A$1:$F$4,6,)*C33</f>
        <v>680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E64F-5B44-4756-B559-26C6900A94AE}">
  <dimension ref="A1:L29"/>
  <sheetViews>
    <sheetView workbookViewId="0">
      <selection activeCell="E15" sqref="E15"/>
    </sheetView>
  </sheetViews>
  <sheetFormatPr defaultRowHeight="15"/>
  <cols>
    <col min="1" max="1" width="17.28515625" bestFit="1" customWidth="1"/>
    <col min="2" max="2" width="11.28515625" bestFit="1" customWidth="1"/>
    <col min="3" max="3" width="13.5703125" customWidth="1"/>
    <col min="4" max="4" width="14.28515625" customWidth="1"/>
    <col min="5" max="5" width="9.7109375" customWidth="1"/>
    <col min="6" max="6" width="11" customWidth="1"/>
    <col min="7" max="7" width="10.140625" bestFit="1" customWidth="1"/>
    <col min="8" max="8" width="10.140625" customWidth="1"/>
    <col min="9" max="9" width="8.140625" customWidth="1"/>
    <col min="10" max="10" width="51.42578125" customWidth="1"/>
    <col min="11" max="11" width="27" customWidth="1"/>
    <col min="12" max="12" width="29.85546875" customWidth="1"/>
  </cols>
  <sheetData>
    <row r="1" spans="1:12">
      <c r="A1" s="12" t="s">
        <v>77</v>
      </c>
    </row>
    <row r="2" spans="1:12">
      <c r="J2" s="23" t="s">
        <v>92</v>
      </c>
    </row>
    <row r="3" spans="1:12">
      <c r="A3" s="25" t="s">
        <v>32</v>
      </c>
      <c r="B3" s="25" t="s">
        <v>30</v>
      </c>
      <c r="C3" s="25" t="s">
        <v>59</v>
      </c>
      <c r="D3" s="25" t="s">
        <v>83</v>
      </c>
      <c r="E3" s="25" t="s">
        <v>84</v>
      </c>
      <c r="F3" s="25" t="s">
        <v>72</v>
      </c>
      <c r="G3" s="26" t="s">
        <v>45</v>
      </c>
      <c r="H3" s="25" t="s">
        <v>78</v>
      </c>
      <c r="J3" t="s">
        <v>89</v>
      </c>
      <c r="K3" s="16"/>
      <c r="L3" s="16"/>
    </row>
    <row r="4" spans="1:12">
      <c r="A4" s="27" t="s">
        <v>22</v>
      </c>
      <c r="B4" s="27" t="s">
        <v>34</v>
      </c>
      <c r="C4" s="27">
        <v>9400</v>
      </c>
      <c r="D4" s="27">
        <v>640</v>
      </c>
      <c r="E4" s="27">
        <v>4193.5</v>
      </c>
      <c r="F4" s="27">
        <v>50</v>
      </c>
      <c r="G4" s="28">
        <v>8760</v>
      </c>
      <c r="H4">
        <f>VLOOKUP(Managers!A4,Companies_t[[manager]:[plan]],2,)</f>
        <v>9000</v>
      </c>
      <c r="J4" s="16" t="s">
        <v>95</v>
      </c>
    </row>
    <row r="5" spans="1:12">
      <c r="A5" s="27" t="s">
        <v>21</v>
      </c>
      <c r="B5" s="27" t="s">
        <v>33</v>
      </c>
      <c r="C5" s="27">
        <v>5220</v>
      </c>
      <c r="D5" s="27">
        <v>980</v>
      </c>
      <c r="E5" s="27">
        <v>2493</v>
      </c>
      <c r="F5" s="27">
        <v>30</v>
      </c>
      <c r="G5" s="28">
        <v>4240</v>
      </c>
      <c r="H5">
        <f>VLOOKUP(Managers!A5,Companies_t[[manager]:[plan]],2,)</f>
        <v>6000</v>
      </c>
      <c r="J5" s="23" t="s">
        <v>93</v>
      </c>
    </row>
    <row r="6" spans="1:12">
      <c r="A6" s="22" t="s">
        <v>23</v>
      </c>
      <c r="B6" s="22" t="s">
        <v>35</v>
      </c>
      <c r="C6" s="22">
        <v>8050</v>
      </c>
      <c r="D6" s="22">
        <v>590</v>
      </c>
      <c r="E6" s="22">
        <v>3940.5</v>
      </c>
      <c r="F6" s="22">
        <v>51</v>
      </c>
      <c r="G6" s="24">
        <v>7460</v>
      </c>
      <c r="H6">
        <f>VLOOKUP(Managers!A6,Companies_t[[manager]:[plan]],2,)</f>
        <v>8000</v>
      </c>
      <c r="J6" t="s">
        <v>90</v>
      </c>
    </row>
    <row r="7" spans="1:12">
      <c r="J7" s="16" t="s">
        <v>96</v>
      </c>
    </row>
    <row r="8" spans="1:12">
      <c r="J8" s="23" t="s">
        <v>94</v>
      </c>
    </row>
    <row r="9" spans="1:12">
      <c r="J9" s="16" t="s">
        <v>91</v>
      </c>
    </row>
    <row r="10" spans="1:12">
      <c r="J10" s="14" t="s">
        <v>99</v>
      </c>
    </row>
    <row r="11" spans="1:12">
      <c r="J11" t="s">
        <v>100</v>
      </c>
    </row>
    <row r="13" spans="1:12" ht="135">
      <c r="J13" s="14" t="s">
        <v>114</v>
      </c>
    </row>
    <row r="14" spans="1:12">
      <c r="J14" t="s">
        <v>61</v>
      </c>
    </row>
    <row r="15" spans="1:12">
      <c r="J15" t="s">
        <v>97</v>
      </c>
    </row>
    <row r="16" spans="1:12">
      <c r="J16" t="s">
        <v>98</v>
      </c>
    </row>
    <row r="17" spans="1:10" ht="45">
      <c r="A17" t="s">
        <v>80</v>
      </c>
      <c r="J17" s="14" t="s">
        <v>101</v>
      </c>
    </row>
    <row r="18" spans="1:10">
      <c r="A18" s="9" t="s">
        <v>30</v>
      </c>
      <c r="B18" s="9" t="s">
        <v>32</v>
      </c>
      <c r="C18" t="s">
        <v>78</v>
      </c>
    </row>
    <row r="19" spans="1:10">
      <c r="A19" t="s">
        <v>34</v>
      </c>
      <c r="B19" t="s">
        <v>22</v>
      </c>
      <c r="C19" s="13">
        <v>9000</v>
      </c>
    </row>
    <row r="20" spans="1:10">
      <c r="A20" t="s">
        <v>35</v>
      </c>
      <c r="B20" t="s">
        <v>23</v>
      </c>
      <c r="C20" s="13">
        <v>8000</v>
      </c>
    </row>
    <row r="21" spans="1:10">
      <c r="A21" t="s">
        <v>33</v>
      </c>
      <c r="B21" t="s">
        <v>21</v>
      </c>
      <c r="C21" s="13">
        <v>6000</v>
      </c>
    </row>
    <row r="25" spans="1:10">
      <c r="A25" t="s">
        <v>79</v>
      </c>
    </row>
    <row r="26" spans="1:10">
      <c r="A26" s="9" t="s">
        <v>32</v>
      </c>
      <c r="B26" s="9" t="s">
        <v>30</v>
      </c>
      <c r="C26" t="s">
        <v>59</v>
      </c>
      <c r="D26" t="s">
        <v>83</v>
      </c>
      <c r="E26" t="s">
        <v>84</v>
      </c>
      <c r="F26" t="s">
        <v>72</v>
      </c>
      <c r="G26" t="s">
        <v>45</v>
      </c>
    </row>
    <row r="27" spans="1:10">
      <c r="A27" t="s">
        <v>22</v>
      </c>
      <c r="B27" t="s">
        <v>34</v>
      </c>
      <c r="C27" s="13">
        <v>9400</v>
      </c>
      <c r="D27">
        <v>640</v>
      </c>
      <c r="E27">
        <v>4193.5</v>
      </c>
      <c r="F27">
        <v>50</v>
      </c>
      <c r="G27" s="13">
        <f>C27-D27</f>
        <v>8760</v>
      </c>
      <c r="H27" s="13"/>
      <c r="I27" s="13"/>
    </row>
    <row r="28" spans="1:10">
      <c r="A28" t="s">
        <v>21</v>
      </c>
      <c r="B28" t="s">
        <v>33</v>
      </c>
      <c r="C28" s="13">
        <v>5220</v>
      </c>
      <c r="D28">
        <v>980</v>
      </c>
      <c r="E28">
        <v>2493</v>
      </c>
      <c r="F28">
        <v>30</v>
      </c>
      <c r="G28" s="13">
        <f t="shared" ref="G28:G29" si="0">C28-D28</f>
        <v>4240</v>
      </c>
      <c r="H28" s="13"/>
      <c r="I28" s="13"/>
    </row>
    <row r="29" spans="1:10">
      <c r="A29" t="s">
        <v>23</v>
      </c>
      <c r="B29" t="s">
        <v>35</v>
      </c>
      <c r="C29" s="13">
        <v>8050</v>
      </c>
      <c r="D29">
        <v>590</v>
      </c>
      <c r="E29">
        <v>3940.5</v>
      </c>
      <c r="F29">
        <v>51</v>
      </c>
      <c r="G29" s="13">
        <f t="shared" si="0"/>
        <v>7460</v>
      </c>
      <c r="H29" s="13"/>
      <c r="I29" s="13"/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3126-A78B-4A08-AA26-CEF87BF8615D}">
  <dimension ref="A1:F6"/>
  <sheetViews>
    <sheetView workbookViewId="0">
      <selection activeCell="F1" sqref="F1:F3"/>
    </sheetView>
  </sheetViews>
  <sheetFormatPr defaultRowHeight="15"/>
  <cols>
    <col min="1" max="1" width="14" bestFit="1" customWidth="1"/>
    <col min="2" max="2" width="14" customWidth="1"/>
    <col min="3" max="3" width="11" bestFit="1" customWidth="1"/>
    <col min="4" max="4" width="10.42578125" bestFit="1" customWidth="1"/>
    <col min="6" max="6" width="48.85546875" customWidth="1"/>
  </cols>
  <sheetData>
    <row r="1" spans="1:6">
      <c r="A1" t="s">
        <v>54</v>
      </c>
      <c r="B1" t="s">
        <v>42</v>
      </c>
      <c r="C1" t="s">
        <v>32</v>
      </c>
      <c r="D1" t="s">
        <v>55</v>
      </c>
      <c r="F1" t="s">
        <v>103</v>
      </c>
    </row>
    <row r="2" spans="1:6">
      <c r="A2" t="s">
        <v>20</v>
      </c>
      <c r="B2" t="s">
        <v>40</v>
      </c>
      <c r="C2" t="s">
        <v>21</v>
      </c>
      <c r="D2" s="6">
        <v>5000</v>
      </c>
      <c r="F2" t="s">
        <v>102</v>
      </c>
    </row>
    <row r="3" spans="1:6">
      <c r="A3" t="s">
        <v>20</v>
      </c>
      <c r="B3" t="s">
        <v>40</v>
      </c>
      <c r="C3" t="s">
        <v>22</v>
      </c>
      <c r="D3" s="6">
        <v>6500</v>
      </c>
      <c r="F3" t="s">
        <v>113</v>
      </c>
    </row>
    <row r="4" spans="1:6">
      <c r="A4" t="s">
        <v>20</v>
      </c>
      <c r="B4" t="s">
        <v>40</v>
      </c>
      <c r="C4" t="s">
        <v>23</v>
      </c>
      <c r="D4" s="6">
        <v>2500</v>
      </c>
    </row>
    <row r="5" spans="1:6">
      <c r="A5" t="s">
        <v>20</v>
      </c>
      <c r="B5" t="s">
        <v>41</v>
      </c>
      <c r="C5" t="s">
        <v>43</v>
      </c>
      <c r="D5" s="6">
        <v>10000</v>
      </c>
    </row>
    <row r="6" spans="1:6">
      <c r="A6" t="s">
        <v>20</v>
      </c>
      <c r="B6" t="s">
        <v>41</v>
      </c>
      <c r="C6" t="s">
        <v>44</v>
      </c>
      <c r="D6" s="6">
        <v>8000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Задача</vt:lpstr>
      <vt:lpstr>Products</vt:lpstr>
      <vt:lpstr>Companies</vt:lpstr>
      <vt:lpstr>Orders</vt:lpstr>
      <vt:lpstr>Refund</vt:lpstr>
      <vt:lpstr>Sales</vt:lpstr>
      <vt:lpstr>Managers</vt:lpstr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Лилия</dc:creator>
  <cp:lastModifiedBy>Лилия</cp:lastModifiedBy>
  <dcterms:created xsi:type="dcterms:W3CDTF">2025-10-17T16:15:36Z</dcterms:created>
  <dcterms:modified xsi:type="dcterms:W3CDTF">2025-10-21T09:51:45Z</dcterms:modified>
</cp:coreProperties>
</file>