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Lillyan/Desktop/Chords/Production/"/>
    </mc:Choice>
  </mc:AlternateContent>
  <bookViews>
    <workbookView xWindow="5500" yWindow="560" windowWidth="22680" windowHeight="12340" tabRatio="500" activeTab="7"/>
  </bookViews>
  <sheets>
    <sheet name="Sheet21" sheetId="21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  <sheet name="Sheet11" sheetId="11" r:id="rId12"/>
    <sheet name="Sheet12" sheetId="12" r:id="rId13"/>
    <sheet name="Sheet13" sheetId="13" r:id="rId14"/>
    <sheet name="Sheet14" sheetId="14" r:id="rId15"/>
    <sheet name="Sheet15" sheetId="15" r:id="rId16"/>
    <sheet name="Sheet16" sheetId="16" r:id="rId17"/>
    <sheet name="Sheet17" sheetId="17" r:id="rId18"/>
    <sheet name="Sheet18" sheetId="18" r:id="rId19"/>
    <sheet name="Sheet19" sheetId="19" r:id="rId20"/>
    <sheet name="Sheet20" sheetId="20" r:id="rId2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B5" i="21"/>
  <c r="C5" i="21"/>
  <c r="D5" i="21"/>
  <c r="E5" i="21"/>
  <c r="B4" i="21"/>
  <c r="C4" i="21"/>
  <c r="D4" i="21"/>
  <c r="E4" i="21"/>
  <c r="B3" i="21"/>
  <c r="C3" i="21"/>
  <c r="D3" i="21"/>
  <c r="E3" i="21"/>
  <c r="B2" i="21"/>
  <c r="C2" i="21"/>
  <c r="D2" i="21"/>
  <c r="E2" i="21"/>
  <c r="F3" i="21"/>
  <c r="F4" i="21"/>
  <c r="F5" i="21"/>
  <c r="F2" i="21"/>
  <c r="B5" i="1"/>
  <c r="C5" i="1"/>
  <c r="D5" i="1"/>
  <c r="E5" i="1"/>
  <c r="B4" i="1"/>
  <c r="C4" i="1"/>
  <c r="D4" i="1"/>
  <c r="E4" i="1"/>
  <c r="B3" i="1"/>
  <c r="C3" i="1"/>
  <c r="D3" i="1"/>
  <c r="E3" i="1"/>
  <c r="B2" i="1"/>
  <c r="C2" i="1"/>
  <c r="D2" i="1"/>
  <c r="E2" i="1"/>
  <c r="F3" i="1"/>
  <c r="F4" i="1"/>
  <c r="F5" i="1"/>
  <c r="F2" i="1"/>
  <c r="B5" i="2"/>
  <c r="C5" i="2"/>
  <c r="D5" i="2"/>
  <c r="E5" i="2"/>
  <c r="B4" i="2"/>
  <c r="C4" i="2"/>
  <c r="D4" i="2"/>
  <c r="E4" i="2"/>
  <c r="B3" i="2"/>
  <c r="C3" i="2"/>
  <c r="D3" i="2"/>
  <c r="E3" i="2"/>
  <c r="B2" i="2"/>
  <c r="C2" i="2"/>
  <c r="D2" i="2"/>
  <c r="E2" i="2"/>
  <c r="F3" i="2"/>
  <c r="F4" i="2"/>
  <c r="F5" i="2"/>
  <c r="F2" i="2"/>
  <c r="B5" i="3"/>
  <c r="C5" i="3"/>
  <c r="D5" i="3"/>
  <c r="E5" i="3"/>
  <c r="B4" i="3"/>
  <c r="C4" i="3"/>
  <c r="D4" i="3"/>
  <c r="E4" i="3"/>
  <c r="B3" i="3"/>
  <c r="C3" i="3"/>
  <c r="D3" i="3"/>
  <c r="E3" i="3"/>
  <c r="B2" i="3"/>
  <c r="C2" i="3"/>
  <c r="D2" i="3"/>
  <c r="E2" i="3"/>
  <c r="F3" i="3"/>
  <c r="F4" i="3"/>
  <c r="F5" i="3"/>
  <c r="F2" i="3"/>
  <c r="B5" i="4"/>
  <c r="C5" i="4"/>
  <c r="D5" i="4"/>
  <c r="E5" i="4"/>
  <c r="B4" i="4"/>
  <c r="C4" i="4"/>
  <c r="D4" i="4"/>
  <c r="E4" i="4"/>
  <c r="B3" i="4"/>
  <c r="C3" i="4"/>
  <c r="D3" i="4"/>
  <c r="E3" i="4"/>
  <c r="C2" i="4"/>
  <c r="D2" i="4"/>
  <c r="E2" i="4"/>
  <c r="F3" i="4"/>
  <c r="F4" i="4"/>
  <c r="F5" i="4"/>
  <c r="F2" i="4"/>
  <c r="B5" i="5"/>
  <c r="C5" i="5"/>
  <c r="D5" i="5"/>
  <c r="E5" i="5"/>
  <c r="B4" i="5"/>
  <c r="C4" i="5"/>
  <c r="D4" i="5"/>
  <c r="E4" i="5"/>
  <c r="B3" i="5"/>
  <c r="C3" i="5"/>
  <c r="D3" i="5"/>
  <c r="E3" i="5"/>
  <c r="B2" i="5"/>
  <c r="C2" i="5"/>
  <c r="D2" i="5"/>
  <c r="E2" i="5"/>
  <c r="F3" i="5"/>
  <c r="F4" i="5"/>
  <c r="F5" i="5"/>
  <c r="F2" i="5"/>
  <c r="B5" i="6"/>
  <c r="C5" i="6"/>
  <c r="D5" i="6"/>
  <c r="E5" i="6"/>
  <c r="B4" i="6"/>
  <c r="C4" i="6"/>
  <c r="D4" i="6"/>
  <c r="E4" i="6"/>
  <c r="B3" i="6"/>
  <c r="C3" i="6"/>
  <c r="D3" i="6"/>
  <c r="E3" i="6"/>
  <c r="B2" i="6"/>
  <c r="C2" i="6"/>
  <c r="D2" i="6"/>
  <c r="E2" i="6"/>
  <c r="F3" i="6"/>
  <c r="F4" i="6"/>
  <c r="F5" i="6"/>
  <c r="F2" i="6"/>
  <c r="B5" i="7"/>
  <c r="C5" i="7"/>
  <c r="D5" i="7"/>
  <c r="E5" i="7"/>
  <c r="B4" i="7"/>
  <c r="C4" i="7"/>
  <c r="D4" i="7"/>
  <c r="E4" i="7"/>
  <c r="B3" i="7"/>
  <c r="C3" i="7"/>
  <c r="D3" i="7"/>
  <c r="E3" i="7"/>
  <c r="B2" i="7"/>
  <c r="C2" i="7"/>
  <c r="D2" i="7"/>
  <c r="E2" i="7"/>
  <c r="F3" i="7"/>
  <c r="F4" i="7"/>
  <c r="F5" i="7"/>
  <c r="F2" i="7"/>
  <c r="B5" i="8"/>
  <c r="C5" i="8"/>
  <c r="D5" i="8"/>
  <c r="E5" i="8"/>
  <c r="B4" i="8"/>
  <c r="C4" i="8"/>
  <c r="D4" i="8"/>
  <c r="E4" i="8"/>
  <c r="B2" i="8"/>
  <c r="C2" i="8"/>
  <c r="B3" i="8"/>
  <c r="C3" i="8"/>
  <c r="D3" i="8"/>
  <c r="E3" i="8"/>
  <c r="D2" i="8"/>
  <c r="E2" i="8"/>
  <c r="F5" i="8"/>
  <c r="F4" i="8"/>
  <c r="F3" i="8"/>
  <c r="F2" i="8"/>
  <c r="B5" i="9"/>
  <c r="C5" i="9"/>
  <c r="D5" i="9"/>
  <c r="E5" i="9"/>
  <c r="B4" i="9"/>
  <c r="C4" i="9"/>
  <c r="D4" i="9"/>
  <c r="E4" i="9"/>
  <c r="B3" i="9"/>
  <c r="C3" i="9"/>
  <c r="D3" i="9"/>
  <c r="E3" i="9"/>
  <c r="B2" i="9"/>
  <c r="C2" i="9"/>
  <c r="D2" i="9"/>
  <c r="E2" i="9"/>
  <c r="F3" i="9"/>
  <c r="F4" i="9"/>
  <c r="F5" i="9"/>
  <c r="F2" i="9"/>
  <c r="B5" i="10"/>
  <c r="C5" i="10"/>
  <c r="D5" i="10"/>
  <c r="E5" i="10"/>
  <c r="B4" i="10"/>
  <c r="C4" i="10"/>
  <c r="D4" i="10"/>
  <c r="E4" i="10"/>
  <c r="B3" i="10"/>
  <c r="C3" i="10"/>
  <c r="D3" i="10"/>
  <c r="E3" i="10"/>
  <c r="B2" i="10"/>
  <c r="C2" i="10"/>
  <c r="D2" i="10"/>
  <c r="E2" i="10"/>
  <c r="F3" i="10"/>
  <c r="F4" i="10"/>
  <c r="F5" i="10"/>
  <c r="F2" i="10"/>
  <c r="B5" i="11"/>
  <c r="C5" i="11"/>
  <c r="D5" i="11"/>
  <c r="E5" i="11"/>
  <c r="B4" i="11"/>
  <c r="C4" i="11"/>
  <c r="D4" i="11"/>
  <c r="E4" i="11"/>
  <c r="B3" i="11"/>
  <c r="C3" i="11"/>
  <c r="D3" i="11"/>
  <c r="E3" i="11"/>
  <c r="B2" i="11"/>
  <c r="C2" i="11"/>
  <c r="D2" i="11"/>
  <c r="E2" i="11"/>
  <c r="F3" i="11"/>
  <c r="F4" i="11"/>
  <c r="F5" i="11"/>
  <c r="F2" i="11"/>
  <c r="B5" i="12"/>
  <c r="C5" i="12"/>
  <c r="D5" i="12"/>
  <c r="E5" i="12"/>
  <c r="B4" i="12"/>
  <c r="C4" i="12"/>
  <c r="D4" i="12"/>
  <c r="E4" i="12"/>
  <c r="B3" i="12"/>
  <c r="C3" i="12"/>
  <c r="D3" i="12"/>
  <c r="E3" i="12"/>
  <c r="B2" i="12"/>
  <c r="C2" i="12"/>
  <c r="D2" i="12"/>
  <c r="E2" i="12"/>
  <c r="F3" i="12"/>
  <c r="F4" i="12"/>
  <c r="F5" i="12"/>
  <c r="F2" i="12"/>
  <c r="B5" i="13"/>
  <c r="C5" i="13"/>
  <c r="D5" i="13"/>
  <c r="E5" i="13"/>
  <c r="B4" i="13"/>
  <c r="C4" i="13"/>
  <c r="D4" i="13"/>
  <c r="E4" i="13"/>
  <c r="B3" i="13"/>
  <c r="C3" i="13"/>
  <c r="D3" i="13"/>
  <c r="E3" i="13"/>
  <c r="B2" i="13"/>
  <c r="C2" i="13"/>
  <c r="D2" i="13"/>
  <c r="E2" i="13"/>
  <c r="F3" i="13"/>
  <c r="F4" i="13"/>
  <c r="F5" i="13"/>
  <c r="F2" i="13"/>
  <c r="B5" i="14"/>
  <c r="C5" i="14"/>
  <c r="D5" i="14"/>
  <c r="E5" i="14"/>
  <c r="B4" i="14"/>
  <c r="C4" i="14"/>
  <c r="D4" i="14"/>
  <c r="E4" i="14"/>
  <c r="B3" i="14"/>
  <c r="C3" i="14"/>
  <c r="D3" i="14"/>
  <c r="E3" i="14"/>
  <c r="B2" i="14"/>
  <c r="C2" i="14"/>
  <c r="D2" i="14"/>
  <c r="E2" i="14"/>
  <c r="F3" i="14"/>
  <c r="F4" i="14"/>
  <c r="F5" i="14"/>
  <c r="F2" i="14"/>
  <c r="B5" i="15"/>
  <c r="C5" i="15"/>
  <c r="D5" i="15"/>
  <c r="E5" i="15"/>
  <c r="B4" i="15"/>
  <c r="C4" i="15"/>
  <c r="D4" i="15"/>
  <c r="E4" i="15"/>
  <c r="B3" i="15"/>
  <c r="C3" i="15"/>
  <c r="D3" i="15"/>
  <c r="E3" i="15"/>
  <c r="B2" i="15"/>
  <c r="C2" i="15"/>
  <c r="D2" i="15"/>
  <c r="E2" i="15"/>
  <c r="F3" i="15"/>
  <c r="F4" i="15"/>
  <c r="F5" i="15"/>
  <c r="F2" i="15"/>
  <c r="B5" i="16"/>
  <c r="C5" i="16"/>
  <c r="D5" i="16"/>
  <c r="E5" i="16"/>
  <c r="B4" i="16"/>
  <c r="C4" i="16"/>
  <c r="D4" i="16"/>
  <c r="E4" i="16"/>
  <c r="B3" i="16"/>
  <c r="C3" i="16"/>
  <c r="D3" i="16"/>
  <c r="E3" i="16"/>
  <c r="B2" i="16"/>
  <c r="C2" i="16"/>
  <c r="D2" i="16"/>
  <c r="E2" i="16"/>
  <c r="F3" i="16"/>
  <c r="F4" i="16"/>
  <c r="F5" i="16"/>
  <c r="F2" i="16"/>
  <c r="B5" i="17"/>
  <c r="C5" i="17"/>
  <c r="D5" i="17"/>
  <c r="E5" i="17"/>
  <c r="B4" i="17"/>
  <c r="C4" i="17"/>
  <c r="D4" i="17"/>
  <c r="E4" i="17"/>
  <c r="B3" i="17"/>
  <c r="C3" i="17"/>
  <c r="D3" i="17"/>
  <c r="E3" i="17"/>
  <c r="B2" i="17"/>
  <c r="C2" i="17"/>
  <c r="D2" i="17"/>
  <c r="E2" i="17"/>
  <c r="F3" i="17"/>
  <c r="F4" i="17"/>
  <c r="F5" i="17"/>
  <c r="F2" i="17"/>
  <c r="B5" i="18"/>
  <c r="C5" i="18"/>
  <c r="D5" i="18"/>
  <c r="E5" i="18"/>
  <c r="B4" i="18"/>
  <c r="C4" i="18"/>
  <c r="D4" i="18"/>
  <c r="E4" i="18"/>
  <c r="B3" i="18"/>
  <c r="C3" i="18"/>
  <c r="D3" i="18"/>
  <c r="E3" i="18"/>
  <c r="B2" i="18"/>
  <c r="C2" i="18"/>
  <c r="D2" i="18"/>
  <c r="E2" i="18"/>
  <c r="F3" i="18"/>
  <c r="F4" i="18"/>
  <c r="F5" i="18"/>
  <c r="F2" i="18"/>
  <c r="B5" i="19"/>
  <c r="C5" i="19"/>
  <c r="D5" i="19"/>
  <c r="E5" i="19"/>
  <c r="B4" i="19"/>
  <c r="C4" i="19"/>
  <c r="D4" i="19"/>
  <c r="E4" i="19"/>
  <c r="B3" i="19"/>
  <c r="C3" i="19"/>
  <c r="D3" i="19"/>
  <c r="E3" i="19"/>
  <c r="B2" i="19"/>
  <c r="C2" i="19"/>
  <c r="D2" i="19"/>
  <c r="E2" i="19"/>
  <c r="F3" i="19"/>
  <c r="F4" i="19"/>
  <c r="F5" i="19"/>
  <c r="F2" i="19"/>
  <c r="B5" i="20"/>
  <c r="C5" i="20"/>
  <c r="D5" i="20"/>
  <c r="E5" i="20"/>
  <c r="B4" i="20"/>
  <c r="C4" i="20"/>
  <c r="D4" i="20"/>
  <c r="E4" i="20"/>
  <c r="B3" i="20"/>
  <c r="C3" i="20"/>
  <c r="D3" i="20"/>
  <c r="E3" i="20"/>
  <c r="E2" i="20"/>
  <c r="D2" i="20"/>
  <c r="C2" i="20"/>
  <c r="B2" i="20"/>
  <c r="F3" i="20"/>
  <c r="F4" i="20"/>
  <c r="F5" i="20"/>
  <c r="F2" i="20"/>
</calcChain>
</file>

<file path=xl/sharedStrings.xml><?xml version="1.0" encoding="utf-8"?>
<sst xmlns="http://schemas.openxmlformats.org/spreadsheetml/2006/main" count="170" uniqueCount="10">
  <si>
    <t>Coal</t>
  </si>
  <si>
    <t>Electricity</t>
  </si>
  <si>
    <t>Natural Gas</t>
  </si>
  <si>
    <t>Petroleum</t>
  </si>
  <si>
    <t>China</t>
  </si>
  <si>
    <t>USA</t>
  </si>
  <si>
    <t>Russia</t>
  </si>
  <si>
    <t>Other</t>
  </si>
  <si>
    <t>P1993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</si>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</sst>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:E5"/>
    </sheetView>
  </sheetViews>
  <sheetFormatPr baseColWidth="10" defaultRowHeight="16" x14ac:dyDescent="0.2"/>
  <sheetData>
    <row r="1" spans="1:6" x14ac:dyDescent="0.2">
      <c r="A1" t="s">
        <v>8</v>
      </c>
      <c r="B1" t="s">
        <v>4</v>
      </c>
      <c r="C1" t="s">
        <v>5</v>
      </c>
      <c r="D1" t="s">
        <v>6</v>
      </c>
      <c r="E1" t="s">
        <v>7</v>
      </c>
    </row>
    <row r="2" spans="1:6" x14ac:dyDescent="0.2">
      <c r="A2" t="s">
        <v>0</v>
      </c>
      <c r="B2">
        <f>1269179/4804213.5</f>
        <v>0.26418039081735228</v>
      </c>
      <c r="C2">
        <f>945424/4804213.5</f>
        <v>0.19679058809522099</v>
      </c>
      <c r="D2">
        <f>315631/4804213.5</f>
        <v>6.5698787116767396E-2</v>
      </c>
      <c r="E2">
        <f>2273979.5/4804213.5</f>
        <v>0.47333023397065932</v>
      </c>
      <c r="F2">
        <f>SUM(B2:E2)</f>
        <v>1</v>
      </c>
    </row>
    <row r="3" spans="1:6" x14ac:dyDescent="0.2">
      <c r="A3" t="s">
        <v>1</v>
      </c>
      <c r="B3">
        <f>38/11139.5</f>
        <v>3.4112841689483372E-3</v>
      </c>
      <c r="C3">
        <f>3197/11139.5</f>
        <v>0.28699672337178511</v>
      </c>
      <c r="D3">
        <f>914/11139.5</f>
        <v>8.2050361326809998E-2</v>
      </c>
      <c r="E3">
        <f>6990.5/11139.5</f>
        <v>0.62754163113245653</v>
      </c>
      <c r="F3">
        <f t="shared" ref="F3:F5" si="0">SUM(B3:E3)</f>
        <v>1</v>
      </c>
    </row>
    <row r="4" spans="1:6" x14ac:dyDescent="0.2">
      <c r="A4" t="s">
        <v>2</v>
      </c>
      <c r="B4">
        <f>558/92184.8</f>
        <v>6.0530586387343684E-3</v>
      </c>
      <c r="C4">
        <f>20790/92184.8</f>
        <v>0.22552524928187725</v>
      </c>
      <c r="D4">
        <f>22146/92184.8</f>
        <v>0.24023483264052206</v>
      </c>
      <c r="E4">
        <f>48690.8/92184.8</f>
        <v>0.52818685943886634</v>
      </c>
      <c r="F4">
        <f t="shared" si="0"/>
        <v>1</v>
      </c>
    </row>
    <row r="5" spans="1:6" x14ac:dyDescent="0.2">
      <c r="A5" t="s">
        <v>3</v>
      </c>
      <c r="B5">
        <f>2903/67103.8</f>
        <v>4.3261335423627277E-2</v>
      </c>
      <c r="C5">
        <f>9602/67103.8</f>
        <v>0.14309174741221808</v>
      </c>
      <c r="D5">
        <f>6951/67103.8</f>
        <v>0.10358578798816162</v>
      </c>
      <c r="E5">
        <f>47647.8/67103.8</f>
        <v>0.71006112917599307</v>
      </c>
      <c r="F5">
        <f t="shared" si="0"/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6" sqref="B6"/>
    </sheetView>
  </sheetViews>
  <sheetFormatPr baseColWidth="10" defaultRowHeight="16" x14ac:dyDescent="0.2"/>
  <sheetData>
    <row r="1" spans="1:6" x14ac:dyDescent="0.2">
      <c r="A1">
        <v>2002</v>
      </c>
      <c r="B1" t="s">
        <v>4</v>
      </c>
      <c r="C1" t="s">
        <v>5</v>
      </c>
      <c r="D1" t="s">
        <v>6</v>
      </c>
      <c r="E1" t="s">
        <v>7</v>
      </c>
    </row>
    <row r="2" spans="1:6" x14ac:dyDescent="0.2">
      <c r="A2" t="s">
        <v>0</v>
      </c>
      <c r="B2">
        <f>1733013/5447585.6</f>
        <v>0.31812496897708226</v>
      </c>
      <c r="C2">
        <f>1094283/5447585.6</f>
        <v>0.20087486096592957</v>
      </c>
      <c r="D2">
        <f>261887/5447585.6</f>
        <v>4.8073957754789572E-2</v>
      </c>
      <c r="E2">
        <f>2358402.6/5447585.6</f>
        <v>0.43292621230219863</v>
      </c>
      <c r="F2">
        <f>SUM(B2:E2)</f>
        <v>1</v>
      </c>
    </row>
    <row r="3" spans="1:6" x14ac:dyDescent="0.2">
      <c r="A3" t="s">
        <v>1</v>
      </c>
      <c r="B3">
        <f>44/13850.9</f>
        <v>3.176688879422998E-3</v>
      </c>
      <c r="C3">
        <f>3858/13850.9</f>
        <v>0.27853785674577103</v>
      </c>
      <c r="D3">
        <f>844/13850.9</f>
        <v>6.0934668505295685E-2</v>
      </c>
      <c r="E3">
        <f>9104.9/13850.9</f>
        <v>0.65735078586951023</v>
      </c>
      <c r="F3">
        <f t="shared" ref="F3:F5" si="0">SUM(B3:E3)</f>
        <v>1</v>
      </c>
    </row>
    <row r="4" spans="1:6" x14ac:dyDescent="0.2">
      <c r="A4" t="s">
        <v>2</v>
      </c>
      <c r="B4">
        <f>1153/111641.5</f>
        <v>1.0327700720610167E-2</v>
      </c>
      <c r="C4">
        <f>23007/111641.5</f>
        <v>0.20607928055427419</v>
      </c>
      <c r="D4">
        <f>20303/111641.5</f>
        <v>0.18185889655728379</v>
      </c>
      <c r="E4">
        <f>67178.5/111641.5</f>
        <v>0.60173412216783184</v>
      </c>
      <c r="F4">
        <f t="shared" si="0"/>
        <v>1</v>
      </c>
    </row>
    <row r="5" spans="1:6" x14ac:dyDescent="0.2">
      <c r="A5" t="s">
        <v>3</v>
      </c>
      <c r="B5">
        <f>3535/77098</f>
        <v>4.5850735427637554E-2</v>
      </c>
      <c r="C5">
        <f>8998/77098</f>
        <v>0.11670860463306441</v>
      </c>
      <c r="D5">
        <f>7659/77098</f>
        <v>9.9341098342369455E-2</v>
      </c>
      <c r="E5">
        <f>56906/77098</f>
        <v>0.73809956159692858</v>
      </c>
      <c r="F5">
        <f t="shared" si="0"/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6" sqref="B6"/>
    </sheetView>
  </sheetViews>
  <sheetFormatPr baseColWidth="10" defaultRowHeight="16" x14ac:dyDescent="0.2"/>
  <sheetData>
    <row r="1" spans="1:6" x14ac:dyDescent="0.2">
      <c r="A1">
        <v>2003</v>
      </c>
      <c r="B1" t="s">
        <v>4</v>
      </c>
      <c r="C1" t="s">
        <v>5</v>
      </c>
      <c r="D1" t="s">
        <v>6</v>
      </c>
      <c r="E1" t="s">
        <v>7</v>
      </c>
    </row>
    <row r="2" spans="1:6" x14ac:dyDescent="0.2">
      <c r="A2" t="s">
        <v>0</v>
      </c>
      <c r="B2">
        <f>2052308/5836785.8</f>
        <v>0.35161612406609133</v>
      </c>
      <c r="C2">
        <f>1071753/5836785.8</f>
        <v>0.18362040971248253</v>
      </c>
      <c r="D2">
        <f>283271/5836785.8</f>
        <v>4.853201911229979E-2</v>
      </c>
      <c r="E2">
        <f>2429453.8/5836785.8</f>
        <v>0.41623144710912635</v>
      </c>
      <c r="F2">
        <f>SUM(B2:E2)</f>
        <v>1</v>
      </c>
    </row>
    <row r="3" spans="1:6" x14ac:dyDescent="0.2">
      <c r="A3" t="s">
        <v>1</v>
      </c>
      <c r="B3">
        <f>46/14156.5</f>
        <v>3.249390739236393E-3</v>
      </c>
      <c r="C3">
        <f>3883/14156.5</f>
        <v>0.2742909617490199</v>
      </c>
      <c r="D3">
        <f>866/14156.5</f>
        <v>6.1173312612580792E-2</v>
      </c>
      <c r="E3">
        <f>9361.5/14156.5</f>
        <v>0.66128633489916289</v>
      </c>
      <c r="F3">
        <f t="shared" ref="F3:F5" si="0">SUM(B3:E3)</f>
        <v>1</v>
      </c>
    </row>
    <row r="4" spans="1:6" x14ac:dyDescent="0.2">
      <c r="A4" t="s">
        <v>2</v>
      </c>
      <c r="B4">
        <f>1211/114384.3</f>
        <v>1.0587117287949482E-2</v>
      </c>
      <c r="C4">
        <f>22277/114384.3</f>
        <v>0.19475574882217228</v>
      </c>
      <c r="D4">
        <f>21157/114384.3</f>
        <v>0.18496419526106292</v>
      </c>
      <c r="E4">
        <f>69739.3/114384.3</f>
        <v>0.60969293862881535</v>
      </c>
      <c r="F4">
        <f t="shared" si="0"/>
        <v>1</v>
      </c>
    </row>
    <row r="5" spans="1:6" x14ac:dyDescent="0.2">
      <c r="A5" t="s">
        <v>3</v>
      </c>
      <c r="B5">
        <f>3573/79608</f>
        <v>4.4882423876997285E-2</v>
      </c>
      <c r="C5">
        <f>8766/79608</f>
        <v>0.11011456135061803</v>
      </c>
      <c r="D5">
        <f>8535/79608</f>
        <v>0.10721284293035875</v>
      </c>
      <c r="E5">
        <f>58734/79608</f>
        <v>0.73779017184202589</v>
      </c>
      <c r="F5">
        <f t="shared" si="0"/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6" sqref="B6"/>
    </sheetView>
  </sheetViews>
  <sheetFormatPr baseColWidth="10" defaultRowHeight="16" x14ac:dyDescent="0.2"/>
  <sheetData>
    <row r="1" spans="1:6" x14ac:dyDescent="0.2">
      <c r="A1">
        <v>2004</v>
      </c>
      <c r="B1" t="s">
        <v>4</v>
      </c>
      <c r="C1" t="s">
        <v>5</v>
      </c>
      <c r="D1" t="s">
        <v>6</v>
      </c>
      <c r="E1" t="s">
        <v>7</v>
      </c>
    </row>
    <row r="2" spans="1:6" x14ac:dyDescent="0.2">
      <c r="A2" t="s">
        <v>0</v>
      </c>
      <c r="B2">
        <f>2409346/6306561.5</f>
        <v>0.38203797743033191</v>
      </c>
      <c r="C2">
        <f>1112099/6306561.5</f>
        <v>0.17633999129319519</v>
      </c>
      <c r="D2">
        <f>285437/6306561.5</f>
        <v>4.5260321333582494E-2</v>
      </c>
      <c r="E2">
        <f>2499679.5/6306561.5</f>
        <v>0.39636170994289044</v>
      </c>
      <c r="F2">
        <f>SUM(B2:E2)</f>
        <v>1</v>
      </c>
    </row>
    <row r="3" spans="1:6" x14ac:dyDescent="0.2">
      <c r="A3" t="s">
        <v>1</v>
      </c>
      <c r="B3">
        <f>49/14633.6</f>
        <v>3.3484583424447847E-3</v>
      </c>
      <c r="C3">
        <f>3971/14633.6</f>
        <v>0.27136179750710693</v>
      </c>
      <c r="D3">
        <f>884/14633.6</f>
        <v>6.0408921933085502E-2</v>
      </c>
      <c r="E3">
        <f>9729.6/14633.6</f>
        <v>0.66488082221736278</v>
      </c>
      <c r="F3">
        <f t="shared" ref="F3:F5" si="0">SUM(B3:E3)</f>
        <v>1</v>
      </c>
    </row>
    <row r="4" spans="1:6" x14ac:dyDescent="0.2">
      <c r="A4" t="s">
        <v>2</v>
      </c>
      <c r="B4">
        <f>1439/118762.9</f>
        <v>1.2116578493788886E-2</v>
      </c>
      <c r="C4">
        <f>22403/118762.9</f>
        <v>0.18863635024068964</v>
      </c>
      <c r="D4">
        <f>21945/118762.9</f>
        <v>0.18477992706476518</v>
      </c>
      <c r="E4">
        <f>72975.9/118762.9</f>
        <v>0.61446714420075632</v>
      </c>
      <c r="F4">
        <f t="shared" si="0"/>
        <v>1</v>
      </c>
    </row>
    <row r="5" spans="1:6" x14ac:dyDescent="0.2">
      <c r="A5" t="s">
        <v>3</v>
      </c>
      <c r="B5">
        <f>3675/83402.5</f>
        <v>4.4063427355295108E-2</v>
      </c>
      <c r="C5">
        <f>8722/83402.5</f>
        <v>0.10457720092323372</v>
      </c>
      <c r="D5">
        <f>9274/83402.5</f>
        <v>0.11119570756272294</v>
      </c>
      <c r="E5">
        <f>61731.5/83402.5</f>
        <v>0.74016366415874824</v>
      </c>
      <c r="F5">
        <f t="shared" si="0"/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6" sqref="B6"/>
    </sheetView>
  </sheetViews>
  <sheetFormatPr baseColWidth="10" defaultRowHeight="16" x14ac:dyDescent="0.2"/>
  <sheetData>
    <row r="1" spans="1:6" x14ac:dyDescent="0.2">
      <c r="A1">
        <v>2005</v>
      </c>
      <c r="B1" t="s">
        <v>4</v>
      </c>
      <c r="C1" t="s">
        <v>5</v>
      </c>
      <c r="D1" t="s">
        <v>6</v>
      </c>
      <c r="E1" t="s">
        <v>7</v>
      </c>
    </row>
    <row r="2" spans="1:6" x14ac:dyDescent="0.2">
      <c r="A2" t="s">
        <v>0</v>
      </c>
      <c r="B2">
        <f>2708127/6735259.6</f>
        <v>0.40208205189299612</v>
      </c>
      <c r="C2">
        <f>1131498/6735259.6</f>
        <v>0.16799619720671199</v>
      </c>
      <c r="D2">
        <f>311823/6735259.6</f>
        <v>4.6297101896413916E-2</v>
      </c>
      <c r="E2">
        <f>2583811.6/6735259.6</f>
        <v>0.38362464900387805</v>
      </c>
      <c r="F2">
        <f>SUM(B2:E2)</f>
        <v>1</v>
      </c>
    </row>
    <row r="3" spans="1:6" x14ac:dyDescent="0.2">
      <c r="A3" t="s">
        <v>1</v>
      </c>
      <c r="B3">
        <f>49/15008.5</f>
        <v>3.2648166039244428E-3</v>
      </c>
      <c r="C3">
        <f>4055/15008.5</f>
        <v>0.27018023120231871</v>
      </c>
      <c r="D3">
        <f>899/15008.5</f>
        <v>5.9899390345470899E-2</v>
      </c>
      <c r="E3">
        <f>10005.5/15008.5</f>
        <v>0.666655561848286</v>
      </c>
      <c r="F3">
        <f t="shared" ref="F3:F5" si="0">SUM(B3:E3)</f>
        <v>1</v>
      </c>
    </row>
    <row r="4" spans="1:6" x14ac:dyDescent="0.2">
      <c r="A4" t="s">
        <v>2</v>
      </c>
      <c r="B4">
        <f>1763/122691.9</f>
        <v>1.4369326744471314E-2</v>
      </c>
      <c r="C4">
        <f>22014/122691.9</f>
        <v>0.17942504761928049</v>
      </c>
      <c r="D4">
        <f>22225/122691.9</f>
        <v>0.1811448025501276</v>
      </c>
      <c r="E4">
        <f>76689.9/122691.9</f>
        <v>0.62506082308612054</v>
      </c>
      <c r="F4">
        <f t="shared" si="0"/>
        <v>1</v>
      </c>
    </row>
    <row r="5" spans="1:6" x14ac:dyDescent="0.2">
      <c r="A5" t="s">
        <v>3</v>
      </c>
      <c r="B5">
        <f>3812/85102.2</f>
        <v>4.4793201585857943E-2</v>
      </c>
      <c r="C5">
        <f>8325/85102.2</f>
        <v>9.7823558027877067E-2</v>
      </c>
      <c r="D5">
        <f>9511/85102.2</f>
        <v>0.11175974299136802</v>
      </c>
      <c r="E5">
        <f>63454.2/85102.2</f>
        <v>0.74562349739489697</v>
      </c>
      <c r="F5">
        <f t="shared" si="0"/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6" sqref="B6"/>
    </sheetView>
  </sheetViews>
  <sheetFormatPr baseColWidth="10" defaultRowHeight="16" x14ac:dyDescent="0.2"/>
  <sheetData>
    <row r="1" spans="1:6" x14ac:dyDescent="0.2">
      <c r="A1">
        <v>2006</v>
      </c>
      <c r="B1" t="s">
        <v>4</v>
      </c>
      <c r="C1" t="s">
        <v>5</v>
      </c>
      <c r="D1" t="s">
        <v>6</v>
      </c>
      <c r="E1" t="s">
        <v>7</v>
      </c>
    </row>
    <row r="2" spans="1:6" x14ac:dyDescent="0.2">
      <c r="A2" t="s">
        <v>0</v>
      </c>
      <c r="B2">
        <f>2904599/7027942.1</f>
        <v>0.41329296096505974</v>
      </c>
      <c r="C2">
        <f>1162750/7027942.1</f>
        <v>0.16544672444014585</v>
      </c>
      <c r="D2">
        <f>313680/7027942.1</f>
        <v>4.4633264693515334E-2</v>
      </c>
      <c r="E2">
        <f>2646913.1/7027942.1</f>
        <v>0.3766270499012791</v>
      </c>
      <c r="F2">
        <f>SUM(B2:E2)</f>
        <v>1</v>
      </c>
    </row>
    <row r="3" spans="1:6" x14ac:dyDescent="0.2">
      <c r="A3" t="s">
        <v>1</v>
      </c>
      <c r="B3">
        <f>53/15370.9</f>
        <v>3.448073957933498E-3</v>
      </c>
      <c r="C3">
        <f>4065/15370.9</f>
        <v>0.26446076677357866</v>
      </c>
      <c r="D3">
        <f>940/15370.9</f>
        <v>6.1154519253914866E-2</v>
      </c>
      <c r="E3">
        <f>10312.9/15370.9</f>
        <v>0.67093664001457298</v>
      </c>
      <c r="F3">
        <f t="shared" ref="F3:F5" si="0">SUM(B3:E3)</f>
        <v>1</v>
      </c>
    </row>
    <row r="4" spans="1:6" x14ac:dyDescent="0.2">
      <c r="A4" t="s">
        <v>2</v>
      </c>
      <c r="B4">
        <f>2067/125553.6</f>
        <v>1.6463088274649231E-2</v>
      </c>
      <c r="C4">
        <f>21699/125553.6</f>
        <v>0.17282658561761668</v>
      </c>
      <c r="D4">
        <f>22771/125553.6</f>
        <v>0.18136477169909901</v>
      </c>
      <c r="E4">
        <f>79016.6/125553.6</f>
        <v>0.62934555440863504</v>
      </c>
      <c r="F4">
        <f t="shared" si="0"/>
        <v>1</v>
      </c>
    </row>
    <row r="5" spans="1:6" x14ac:dyDescent="0.2">
      <c r="A5" t="s">
        <v>3</v>
      </c>
      <c r="B5">
        <f>3895/85131.1</f>
        <v>4.575296219595424E-2</v>
      </c>
      <c r="C5">
        <f>8316/85131.1</f>
        <v>9.7684629941349271E-2</v>
      </c>
      <c r="D5">
        <f>9732/85131.1</f>
        <v>0.1143177992531519</v>
      </c>
      <c r="E5">
        <f>63188.1/85131.1</f>
        <v>0.74224460860954455</v>
      </c>
      <c r="F5">
        <f t="shared" si="0"/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6" sqref="B6"/>
    </sheetView>
  </sheetViews>
  <sheetFormatPr baseColWidth="10" defaultRowHeight="16" x14ac:dyDescent="0.2"/>
  <sheetData>
    <row r="1" spans="1:6" x14ac:dyDescent="0.2">
      <c r="A1">
        <v>2007</v>
      </c>
      <c r="B1" t="s">
        <v>4</v>
      </c>
      <c r="C1" t="s">
        <v>5</v>
      </c>
      <c r="D1" t="s">
        <v>6</v>
      </c>
      <c r="E1" t="s">
        <v>7</v>
      </c>
    </row>
    <row r="2" spans="1:6" x14ac:dyDescent="0.2">
      <c r="A2" t="s">
        <v>0</v>
      </c>
      <c r="B2">
        <f>3154456/7368969</f>
        <v>0.42807290952099269</v>
      </c>
      <c r="C2">
        <f>1146635/7368969</f>
        <v>0.15560317868076254</v>
      </c>
      <c r="D2">
        <f>318591/7368969</f>
        <v>4.3234134924437867E-2</v>
      </c>
      <c r="E2">
        <f>2749287/7368969</f>
        <v>0.3730897768738069</v>
      </c>
      <c r="F2">
        <f>SUM(B2:E2)</f>
        <v>1</v>
      </c>
    </row>
    <row r="3" spans="1:6" x14ac:dyDescent="0.2">
      <c r="A3" t="s">
        <v>1</v>
      </c>
      <c r="B3">
        <f>54/15831.5</f>
        <v>3.4109212645674764E-3</v>
      </c>
      <c r="C3">
        <f>4157/15831.5</f>
        <v>0.26257777216309258</v>
      </c>
      <c r="D3">
        <f>958/15831.5</f>
        <v>6.0512269841771153E-2</v>
      </c>
      <c r="E3">
        <f>10662.5/15831.5</f>
        <v>0.67349903673056877</v>
      </c>
      <c r="F3">
        <f t="shared" ref="F3:F5" si="0">SUM(B3:E3)</f>
        <v>1</v>
      </c>
    </row>
    <row r="4" spans="1:6" x14ac:dyDescent="0.2">
      <c r="A4" t="s">
        <v>2</v>
      </c>
      <c r="B4">
        <f>2446/131026.7</f>
        <v>1.8667950883293254E-2</v>
      </c>
      <c r="C4">
        <f>23104/131026.7</f>
        <v>0.17633047310204714</v>
      </c>
      <c r="D4">
        <f>22746/131026.7</f>
        <v>0.1735982055565774</v>
      </c>
      <c r="E4">
        <f>82730.7/131026.7</f>
        <v>0.63140337045808215</v>
      </c>
      <c r="F4">
        <f t="shared" si="0"/>
        <v>1</v>
      </c>
    </row>
    <row r="5" spans="1:6" x14ac:dyDescent="0.2">
      <c r="A5" t="s">
        <v>3</v>
      </c>
      <c r="B5">
        <f>3954/85134.3</f>
        <v>4.6444265119934033E-2</v>
      </c>
      <c r="C5">
        <f>8469/85134.3</f>
        <v>9.9478118690116676E-2</v>
      </c>
      <c r="D5">
        <f>9938/85134.3</f>
        <v>0.11673320858925251</v>
      </c>
      <c r="E5">
        <f>62773.3/85134.3</f>
        <v>0.73734440760069675</v>
      </c>
      <c r="F5">
        <f t="shared" si="0"/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6" sqref="B6"/>
    </sheetView>
  </sheetViews>
  <sheetFormatPr baseColWidth="10" defaultRowHeight="16" x14ac:dyDescent="0.2"/>
  <sheetData>
    <row r="1" spans="1:6" x14ac:dyDescent="0.2">
      <c r="A1">
        <v>2008</v>
      </c>
      <c r="B1" t="s">
        <v>4</v>
      </c>
      <c r="C1" t="s">
        <v>5</v>
      </c>
      <c r="D1" t="s">
        <v>6</v>
      </c>
      <c r="E1" t="s">
        <v>7</v>
      </c>
    </row>
    <row r="2" spans="1:6" x14ac:dyDescent="0.2">
      <c r="A2" t="s">
        <v>0</v>
      </c>
      <c r="B2">
        <f>3280883/7584203.4</f>
        <v>0.43259427878740697</v>
      </c>
      <c r="C2">
        <f>1171809/7584203.4</f>
        <v>0.15450653657310931</v>
      </c>
      <c r="D2">
        <f>336163/7584203.4</f>
        <v>4.4324101328822481E-2</v>
      </c>
      <c r="E2">
        <f>2795348.4/7584203.4</f>
        <v>0.36857508331066119</v>
      </c>
      <c r="F2">
        <f>SUM(B2:E2)</f>
        <v>1</v>
      </c>
    </row>
    <row r="3" spans="1:6" x14ac:dyDescent="0.2">
      <c r="A3" t="s">
        <v>1</v>
      </c>
      <c r="B3">
        <f>55/15914.8</f>
        <v>3.4559026817804813E-3</v>
      </c>
      <c r="C3">
        <f>4119/15914.8</f>
        <v>0.25881569356825096</v>
      </c>
      <c r="D3">
        <f>980/15914.8</f>
        <v>6.1577902329906758E-2</v>
      </c>
      <c r="E3">
        <f>10760.8/15914.8</f>
        <v>0.67615050142006183</v>
      </c>
      <c r="F3">
        <f t="shared" ref="F3:F5" si="0">SUM(B3:E3)</f>
        <v>1</v>
      </c>
    </row>
    <row r="4" spans="1:6" x14ac:dyDescent="0.2">
      <c r="A4" t="s">
        <v>2</v>
      </c>
      <c r="B4">
        <f>2685/135201.3</f>
        <v>1.9859276501039563E-2</v>
      </c>
      <c r="C4">
        <f>23277/135201.3</f>
        <v>0.17216550432577202</v>
      </c>
      <c r="D4">
        <f>22757/135201.3</f>
        <v>0.16831938746151112</v>
      </c>
      <c r="E4">
        <f>86482.3/135201.3</f>
        <v>0.63965583171167739</v>
      </c>
      <c r="F4">
        <f t="shared" si="0"/>
        <v>1</v>
      </c>
    </row>
    <row r="5" spans="1:6" x14ac:dyDescent="0.2">
      <c r="A5" t="s">
        <v>3</v>
      </c>
      <c r="B5">
        <f>4036/86517.3</f>
        <v>4.6649629611649923E-2</v>
      </c>
      <c r="C5">
        <f>8564/86517.3</f>
        <v>9.8985983150190762E-2</v>
      </c>
      <c r="D5">
        <f>9875/86517.3</f>
        <v>0.11413902190660133</v>
      </c>
      <c r="E5">
        <f>64042.3/86517.3</f>
        <v>0.74022536533155803</v>
      </c>
      <c r="F5">
        <f t="shared" si="0"/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6" sqref="B6"/>
    </sheetView>
  </sheetViews>
  <sheetFormatPr baseColWidth="10" defaultRowHeight="16" x14ac:dyDescent="0.2"/>
  <sheetData>
    <row r="1" spans="1:6" x14ac:dyDescent="0.2">
      <c r="A1">
        <v>2009</v>
      </c>
      <c r="B1" t="s">
        <v>4</v>
      </c>
      <c r="C1" t="s">
        <v>5</v>
      </c>
      <c r="D1" t="s">
        <v>6</v>
      </c>
      <c r="E1" t="s">
        <v>7</v>
      </c>
    </row>
    <row r="2" spans="1:6" x14ac:dyDescent="0.2">
      <c r="A2" t="s">
        <v>0</v>
      </c>
      <c r="B2">
        <f>3394691/7634972</f>
        <v>0.4446238964596072</v>
      </c>
      <c r="C2">
        <f>1074923/7634972</f>
        <v>0.14078938337953303</v>
      </c>
      <c r="D2">
        <f>304228/7634972</f>
        <v>3.9846642528616999E-2</v>
      </c>
      <c r="E2">
        <f>2861130/7634972</f>
        <v>0.37474007763224276</v>
      </c>
      <c r="F2">
        <f>SUM(B2:E2)</f>
        <v>1</v>
      </c>
    </row>
    <row r="3" spans="1:6" x14ac:dyDescent="0.2">
      <c r="A3" t="s">
        <v>1</v>
      </c>
      <c r="B3">
        <f>56/15620.2</f>
        <v>3.5851013431326103E-3</v>
      </c>
      <c r="C3">
        <f>3950/15620.2</f>
        <v>0.25287768402453231</v>
      </c>
      <c r="D3">
        <f>935/15620.2</f>
        <v>5.985838849694626E-2</v>
      </c>
      <c r="E3">
        <f>10679.2/15620.2</f>
        <v>0.68367882613538877</v>
      </c>
      <c r="F3">
        <f t="shared" ref="F3:F5" si="0">SUM(B3:E3)</f>
        <v>1</v>
      </c>
    </row>
    <row r="4" spans="1:6" x14ac:dyDescent="0.2">
      <c r="A4" t="s">
        <v>2</v>
      </c>
      <c r="B4">
        <f>2975/131985.9</f>
        <v>2.2540286500300412E-2</v>
      </c>
      <c r="C4">
        <f>22910/131985.9</f>
        <v>0.17357914746954031</v>
      </c>
      <c r="D4">
        <f>20589/131985.9</f>
        <v>0.15599393571586057</v>
      </c>
      <c r="E4">
        <f>85511.9/131985.9</f>
        <v>0.64788663031429872</v>
      </c>
      <c r="F4">
        <f t="shared" si="0"/>
        <v>1</v>
      </c>
    </row>
    <row r="5" spans="1:6" x14ac:dyDescent="0.2">
      <c r="A5" t="s">
        <v>3</v>
      </c>
      <c r="B5">
        <f>4074/85702.3</f>
        <v>4.7536647207834563E-2</v>
      </c>
      <c r="C5">
        <f>9130/85702.3</f>
        <v>0.10653156333027235</v>
      </c>
      <c r="D5">
        <f>10050/85702.3</f>
        <v>0.11726639775128556</v>
      </c>
      <c r="E5">
        <f>62448.3/85702.3</f>
        <v>0.72866539171060751</v>
      </c>
      <c r="F5">
        <f t="shared" si="0"/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6" sqref="B6"/>
    </sheetView>
  </sheetViews>
  <sheetFormatPr baseColWidth="10" defaultRowHeight="16" x14ac:dyDescent="0.2"/>
  <sheetData>
    <row r="1" spans="1:6" x14ac:dyDescent="0.2">
      <c r="A1">
        <v>2010</v>
      </c>
      <c r="B1" t="s">
        <v>4</v>
      </c>
      <c r="C1" t="s">
        <v>5</v>
      </c>
      <c r="D1" t="s">
        <v>6</v>
      </c>
      <c r="E1" t="s">
        <v>7</v>
      </c>
    </row>
    <row r="2" spans="1:6" x14ac:dyDescent="0.2">
      <c r="A2" t="s">
        <v>0</v>
      </c>
      <c r="B2">
        <f>3686899/8130906</f>
        <v>0.45344258069149984</v>
      </c>
      <c r="C2">
        <f>1084368/8130906</f>
        <v>0.13336373584936292</v>
      </c>
      <c r="D2">
        <f>354614/8130906</f>
        <v>4.3613097974567659E-2</v>
      </c>
      <c r="E2">
        <f>3005025/8130906</f>
        <v>0.36958058548456962</v>
      </c>
      <c r="F2">
        <f>SUM(B2:E2)</f>
        <v>1</v>
      </c>
    </row>
    <row r="3" spans="1:6" x14ac:dyDescent="0.2">
      <c r="A3" t="s">
        <v>1</v>
      </c>
      <c r="B3">
        <f>57/16417.7</f>
        <v>3.4718626847853231E-3</v>
      </c>
      <c r="C3">
        <f>4125/16417.7</f>
        <v>0.25125322060946415</v>
      </c>
      <c r="D3">
        <f>978/16417.7</f>
        <v>5.9569854486316597E-2</v>
      </c>
      <c r="E3">
        <f>11257.7/16417.7</f>
        <v>0.68570506221943395</v>
      </c>
      <c r="F3">
        <f t="shared" ref="F3:F5" si="0">SUM(B3:E3)</f>
        <v>1</v>
      </c>
    </row>
    <row r="4" spans="1:6" x14ac:dyDescent="0.2">
      <c r="A4" t="s">
        <v>2</v>
      </c>
      <c r="B4">
        <f>3334/140285.5</f>
        <v>2.3765820416222633E-2</v>
      </c>
      <c r="C4">
        <f>23775/140285.5</f>
        <v>0.16947581895491692</v>
      </c>
      <c r="D4">
        <f>22990/140285.5</f>
        <v>0.16388008739320886</v>
      </c>
      <c r="E4">
        <f>90186.5/140285.5</f>
        <v>0.64287827323565161</v>
      </c>
      <c r="F4">
        <f t="shared" si="0"/>
        <v>1</v>
      </c>
    </row>
    <row r="5" spans="1:6" x14ac:dyDescent="0.2">
      <c r="A5" t="s">
        <v>3</v>
      </c>
      <c r="B5">
        <f>4377/88101.3</f>
        <v>4.9681446244266542E-2</v>
      </c>
      <c r="C5">
        <f>9696/88101.3</f>
        <v>0.11005512971999278</v>
      </c>
      <c r="D5">
        <f>10279/88101.3</f>
        <v>0.116672512210376</v>
      </c>
      <c r="E5">
        <f>63749.3/88101.3</f>
        <v>0.72359091182536472</v>
      </c>
      <c r="F5">
        <f t="shared" si="0"/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6" sqref="B6"/>
    </sheetView>
  </sheetViews>
  <sheetFormatPr baseColWidth="10" defaultRowHeight="16" x14ac:dyDescent="0.2"/>
  <sheetData>
    <row r="1" spans="1:6" x14ac:dyDescent="0.2">
      <c r="A1">
        <v>2011</v>
      </c>
      <c r="B1" t="s">
        <v>4</v>
      </c>
      <c r="C1" t="s">
        <v>5</v>
      </c>
      <c r="D1" t="s">
        <v>6</v>
      </c>
      <c r="E1" t="s">
        <v>7</v>
      </c>
    </row>
    <row r="2" spans="1:6" x14ac:dyDescent="0.2">
      <c r="A2" t="s">
        <v>0</v>
      </c>
      <c r="B2">
        <f>4144364/8749021.5</f>
        <v>0.47369457258734593</v>
      </c>
      <c r="C2">
        <f>1095628/8749021.5</f>
        <v>0.12522863271052653</v>
      </c>
      <c r="D2">
        <f>354572/8749021.5</f>
        <v>4.052704636741377E-2</v>
      </c>
      <c r="E2">
        <f>3154457.5/8749021.5</f>
        <v>0.36054974833471376</v>
      </c>
      <c r="F2">
        <f>SUM(B2:E2)</f>
        <v>1</v>
      </c>
    </row>
    <row r="3" spans="1:6" x14ac:dyDescent="0.2">
      <c r="A3" t="s">
        <v>1</v>
      </c>
      <c r="B3">
        <f>61/16677.1</f>
        <v>3.6577102733688716E-3</v>
      </c>
      <c r="C3">
        <f>4100/16677.1</f>
        <v>0.24584610034118645</v>
      </c>
      <c r="D3">
        <f>994/16677.1</f>
        <v>5.960268871686325E-2</v>
      </c>
      <c r="E3">
        <f>11522.1/16677.1</f>
        <v>0.69089350066858157</v>
      </c>
      <c r="F3">
        <f t="shared" ref="F3:F5" si="0">SUM(B3:E3)</f>
        <v>1</v>
      </c>
    </row>
    <row r="4" spans="1:6" x14ac:dyDescent="0.2">
      <c r="A4" t="s">
        <v>2</v>
      </c>
      <c r="B4">
        <f>3629/143222</f>
        <v>2.5338286017511275E-2</v>
      </c>
      <c r="C4">
        <f>24477/143222</f>
        <v>0.17090251497674938</v>
      </c>
      <c r="D4">
        <f>24318/143222</f>
        <v>0.16979235033723869</v>
      </c>
      <c r="E4">
        <f>90798/143222</f>
        <v>0.63396684866850062</v>
      </c>
      <c r="F4">
        <f t="shared" si="0"/>
        <v>1</v>
      </c>
    </row>
    <row r="5" spans="1:6" x14ac:dyDescent="0.2">
      <c r="A5" t="s">
        <v>3</v>
      </c>
      <c r="B5">
        <f>4393/88534.7</f>
        <v>4.9618962960285631E-2</v>
      </c>
      <c r="C5">
        <f>10128/88534.7</f>
        <v>0.11439582446204709</v>
      </c>
      <c r="D5">
        <f>10402/88534.7</f>
        <v>0.11749065620598477</v>
      </c>
      <c r="E5">
        <f>63611.7/88534.7</f>
        <v>0.71849455637168247</v>
      </c>
      <c r="F5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:E5"/>
    </sheetView>
  </sheetViews>
  <sheetFormatPr baseColWidth="10" defaultRowHeight="16" x14ac:dyDescent="0.2"/>
  <sheetData>
    <row r="1" spans="1:6" x14ac:dyDescent="0.2">
      <c r="A1">
        <v>1994</v>
      </c>
      <c r="B1" t="s">
        <v>4</v>
      </c>
      <c r="C1" t="s">
        <v>5</v>
      </c>
      <c r="D1" t="s">
        <v>6</v>
      </c>
      <c r="E1" t="s">
        <v>7</v>
      </c>
    </row>
    <row r="2" spans="1:6" x14ac:dyDescent="0.2">
      <c r="A2" t="s">
        <v>0</v>
      </c>
      <c r="B2">
        <f>1355314/4876642.9</f>
        <v>0.27791946791921135</v>
      </c>
      <c r="C2">
        <f>1033504/4876642.9</f>
        <v>0.21192939921846643</v>
      </c>
      <c r="D2">
        <f>280687/4876642.9</f>
        <v>5.7557423365979903E-2</v>
      </c>
      <c r="E2">
        <f>2207137.9/4876642.9</f>
        <v>0.4525937094963422</v>
      </c>
      <c r="F2">
        <f>SUM(B2:E2)</f>
        <v>0.99999999999999978</v>
      </c>
    </row>
    <row r="3" spans="1:6" x14ac:dyDescent="0.2">
      <c r="A3" t="s">
        <v>1</v>
      </c>
      <c r="B3">
        <f>41/11332</f>
        <v>3.6180727144369926E-3</v>
      </c>
      <c r="C3">
        <f>3248/11332</f>
        <v>0.28662195552417929</v>
      </c>
      <c r="D3">
        <f>808/11332</f>
        <v>7.1302506177197314E-2</v>
      </c>
      <c r="E3">
        <f>7235/11332</f>
        <v>0.63845746558418637</v>
      </c>
      <c r="F3">
        <f t="shared" ref="F3:F5" si="0">SUM(B3:E3)</f>
        <v>1</v>
      </c>
    </row>
    <row r="4" spans="1:6" x14ac:dyDescent="0.2">
      <c r="A4" t="s">
        <v>2</v>
      </c>
      <c r="B4">
        <f>589/92938.3</f>
        <v>6.3375379149392657E-3</v>
      </c>
      <c r="C4">
        <f>21247/92938.3</f>
        <v>0.22861403748508419</v>
      </c>
      <c r="D4">
        <f>21803/92938.3</f>
        <v>0.23459650111955996</v>
      </c>
      <c r="E4">
        <f>49299.3/92938.3</f>
        <v>0.53045192348041659</v>
      </c>
      <c r="F4">
        <f t="shared" si="0"/>
        <v>1</v>
      </c>
    </row>
    <row r="5" spans="1:6" x14ac:dyDescent="0.2">
      <c r="A5" t="s">
        <v>3</v>
      </c>
      <c r="B5">
        <f>2957/68631.4</f>
        <v>4.308523503818952E-2</v>
      </c>
      <c r="C5">
        <f>9413/68631.4</f>
        <v>0.1371529649693872</v>
      </c>
      <c r="D5">
        <f>6307/68631.4</f>
        <v>9.189671200062946E-2</v>
      </c>
      <c r="E5">
        <f>49954.4/68631.4</f>
        <v>0.72786508799179395</v>
      </c>
      <c r="F5">
        <f t="shared" si="0"/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6" sqref="B6"/>
    </sheetView>
  </sheetViews>
  <sheetFormatPr baseColWidth="10" defaultRowHeight="16" x14ac:dyDescent="0.2"/>
  <sheetData>
    <row r="1" spans="1:6" x14ac:dyDescent="0.2">
      <c r="A1">
        <v>2012</v>
      </c>
      <c r="B1" t="s">
        <v>4</v>
      </c>
      <c r="C1" t="s">
        <v>5</v>
      </c>
      <c r="D1" t="s">
        <v>6</v>
      </c>
      <c r="E1" t="s">
        <v>7</v>
      </c>
    </row>
    <row r="2" spans="1:6" x14ac:dyDescent="0.2">
      <c r="A2" t="s">
        <v>0</v>
      </c>
      <c r="B2">
        <f>4256243/8898120.5</f>
        <v>0.47833056430287724</v>
      </c>
      <c r="C2">
        <f>1016458/8898120.5</f>
        <v>0.11423288772050233</v>
      </c>
      <c r="D2">
        <f>391990/8898120.5</f>
        <v>4.4053123353409294E-2</v>
      </c>
      <c r="E2">
        <f>3233429.5/8898120.5</f>
        <v>0.36338342462321116</v>
      </c>
      <c r="F2">
        <f>SUM(B2:E2)</f>
        <v>1</v>
      </c>
    </row>
    <row r="3" spans="1:6" x14ac:dyDescent="0.2">
      <c r="A3" t="s">
        <v>1</v>
      </c>
      <c r="B3">
        <f>59/16816.1</f>
        <v>3.5085424087630311E-3</v>
      </c>
      <c r="C3">
        <f>4048/16816.1</f>
        <v>0.24072168933343643</v>
      </c>
      <c r="D3">
        <f>1009/16816.1</f>
        <v>6.0002021871896578E-2</v>
      </c>
      <c r="E3">
        <f>11700.1/16816.1</f>
        <v>0.69576774638590411</v>
      </c>
      <c r="F3">
        <f t="shared" ref="F3:F5" si="0">SUM(B3:E3)</f>
        <v>1.0000000000000002</v>
      </c>
    </row>
    <row r="4" spans="1:6" x14ac:dyDescent="0.2">
      <c r="A4" t="s">
        <v>2</v>
      </c>
      <c r="B4">
        <f>3666/131708.6</f>
        <v>2.783417331897841E-2</v>
      </c>
      <c r="C4">
        <f>25538/131708.6</f>
        <v>0.1938977409220051</v>
      </c>
      <c r="D4">
        <f>23131/131708.6</f>
        <v>0.17562254856554543</v>
      </c>
      <c r="E4">
        <f>79373.6/131708.6</f>
        <v>0.60264553719347103</v>
      </c>
      <c r="F4">
        <f t="shared" si="0"/>
        <v>1</v>
      </c>
    </row>
    <row r="5" spans="1:6" x14ac:dyDescent="0.2">
      <c r="A5" t="s">
        <v>3</v>
      </c>
      <c r="B5">
        <f>4465/90469.9</f>
        <v>4.9353431362254188E-2</v>
      </c>
      <c r="C5">
        <f>11119/90469.9</f>
        <v>0.12290275550210623</v>
      </c>
      <c r="D5">
        <f>10589/90469.9</f>
        <v>0.1170444534591063</v>
      </c>
      <c r="E5">
        <f>64296.9/90469.9</f>
        <v>0.71069935967653342</v>
      </c>
      <c r="F5">
        <f t="shared" si="0"/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B6" sqref="B6"/>
    </sheetView>
  </sheetViews>
  <sheetFormatPr baseColWidth="10" defaultRowHeight="16" x14ac:dyDescent="0.2"/>
  <sheetData>
    <row r="1" spans="1:6" x14ac:dyDescent="0.2">
      <c r="A1">
        <v>2013</v>
      </c>
      <c r="B1" t="s">
        <v>4</v>
      </c>
      <c r="C1" t="s">
        <v>5</v>
      </c>
      <c r="D1" t="s">
        <v>6</v>
      </c>
      <c r="E1" t="s">
        <v>7</v>
      </c>
    </row>
    <row r="2" spans="1:6" x14ac:dyDescent="0.2">
      <c r="A2" t="s">
        <v>0</v>
      </c>
      <c r="B2">
        <f>4374940/8980897.2</f>
        <v>0.48713841196178043</v>
      </c>
      <c r="C2">
        <f>984842/8980897.2</f>
        <v>0.10965964514102222</v>
      </c>
      <c r="D2">
        <f>388013/8980897.2</f>
        <v>4.3204258033373327E-2</v>
      </c>
      <c r="E2">
        <f>3233102.2/8980897.2</f>
        <v>0.35999768486382411</v>
      </c>
      <c r="F2">
        <f>SUM(B2:E2)</f>
        <v>1</v>
      </c>
    </row>
    <row r="3" spans="1:6" x14ac:dyDescent="0.2">
      <c r="A3" t="s">
        <v>1</v>
      </c>
      <c r="B3">
        <f>56/17014.6</f>
        <v>3.2912910088982407E-3</v>
      </c>
      <c r="C3">
        <f>4066/17014.6</f>
        <v>0.2389712364675044</v>
      </c>
      <c r="D3">
        <f>999/17014.6</f>
        <v>5.8714280676595398E-2</v>
      </c>
      <c r="E3">
        <f>11893.6/17014.6</f>
        <v>0.69902319184700201</v>
      </c>
      <c r="F3">
        <f t="shared" ref="F3:F5" si="0">SUM(B3:E3)</f>
        <v>1</v>
      </c>
    </row>
    <row r="4" spans="1:6" x14ac:dyDescent="0.2">
      <c r="A4" t="s">
        <v>2</v>
      </c>
      <c r="B4">
        <f>3986/134721.2</f>
        <v>2.9587028619103745E-2</v>
      </c>
      <c r="C4">
        <f>26131/134721.2</f>
        <v>0.19396353357897642</v>
      </c>
      <c r="D4">
        <f>23590/134721.2</f>
        <v>0.17510235953955278</v>
      </c>
      <c r="E4">
        <f>81014.2/134721.2</f>
        <v>0.601347078262367</v>
      </c>
      <c r="F4">
        <f t="shared" si="0"/>
        <v>1</v>
      </c>
    </row>
    <row r="5" spans="1:6" x14ac:dyDescent="0.2">
      <c r="A5" t="s">
        <v>3</v>
      </c>
      <c r="B5">
        <f>4561/91021</f>
        <v>5.0109315432702341E-2</v>
      </c>
      <c r="C5">
        <f>12343/91021</f>
        <v>0.13560606892914823</v>
      </c>
      <c r="D5">
        <f>10758/91021</f>
        <v>0.11819250502631261</v>
      </c>
      <c r="E5">
        <f>63359/91021</f>
        <v>0.69609211061183685</v>
      </c>
      <c r="F5">
        <f t="shared" si="0"/>
        <v>1</v>
      </c>
    </row>
    <row r="25" spans="7:7" x14ac:dyDescent="0.2">
      <c r="G25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:E5"/>
    </sheetView>
  </sheetViews>
  <sheetFormatPr baseColWidth="10" defaultRowHeight="16" x14ac:dyDescent="0.2"/>
  <sheetData>
    <row r="1" spans="1:6" x14ac:dyDescent="0.2">
      <c r="A1">
        <v>1995</v>
      </c>
      <c r="B1" t="s">
        <v>4</v>
      </c>
      <c r="C1" t="s">
        <v>5</v>
      </c>
      <c r="D1" t="s">
        <v>6</v>
      </c>
      <c r="E1" t="s">
        <v>7</v>
      </c>
    </row>
    <row r="2" spans="1:6" x14ac:dyDescent="0.2">
      <c r="A2" t="s">
        <v>0</v>
      </c>
      <c r="B2">
        <f>1424396/4963393.2</f>
        <v>0.28698028598661091</v>
      </c>
      <c r="C2">
        <f>1032974/4963393.2</f>
        <v>0.20811851053831479</v>
      </c>
      <c r="D2">
        <f>270868/4963393.2</f>
        <v>5.4573149675105327E-2</v>
      </c>
      <c r="E2">
        <f>2235155.2/4963393.2</f>
        <v>0.45032805379996899</v>
      </c>
      <c r="F2">
        <f>SUM(B2:E2)</f>
        <v>1</v>
      </c>
    </row>
    <row r="3" spans="1:6" x14ac:dyDescent="0.2">
      <c r="A3" t="s">
        <v>1</v>
      </c>
      <c r="B3">
        <f>43/11692.8</f>
        <v>3.6774767378215658E-3</v>
      </c>
      <c r="C3">
        <f>3353/11692.8</f>
        <v>0.28675766283524906</v>
      </c>
      <c r="D3">
        <f>815/11692.8</f>
        <v>6.9701012588943623E-2</v>
      </c>
      <c r="E3">
        <f>7481.8/11692.8</f>
        <v>0.63986384783798578</v>
      </c>
      <c r="F3">
        <f t="shared" ref="F3:F5" si="0">SUM(B3:E3)</f>
        <v>1</v>
      </c>
    </row>
    <row r="4" spans="1:6" x14ac:dyDescent="0.2">
      <c r="A4" t="s">
        <v>2</v>
      </c>
      <c r="B4">
        <f>601/95829.3</f>
        <v>6.2715682990484118E-3</v>
      </c>
      <c r="C4">
        <f>22207/95829.3</f>
        <v>0.23173497041092858</v>
      </c>
      <c r="D4">
        <f>21369/95829.3</f>
        <v>0.22299025454636526</v>
      </c>
      <c r="E4">
        <f>51652.3/95829.3</f>
        <v>0.53900320674365776</v>
      </c>
      <c r="F4">
        <f t="shared" si="0"/>
        <v>1</v>
      </c>
    </row>
    <row r="5" spans="1:6" x14ac:dyDescent="0.2">
      <c r="A5" t="s">
        <v>3</v>
      </c>
      <c r="B5">
        <f>3060/70306.7</f>
        <v>4.3523590212597094E-2</v>
      </c>
      <c r="C5">
        <f>9400/70306.7</f>
        <v>0.1336999176465401</v>
      </c>
      <c r="D5">
        <f>6172/70306.7</f>
        <v>8.7786796990898447E-2</v>
      </c>
      <c r="E5">
        <f>51674.7/70306.7</f>
        <v>0.73498969514996437</v>
      </c>
      <c r="F5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:E5"/>
    </sheetView>
  </sheetViews>
  <sheetFormatPr baseColWidth="10" defaultRowHeight="16" x14ac:dyDescent="0.2"/>
  <sheetData>
    <row r="1" spans="1:6" x14ac:dyDescent="0.2">
      <c r="A1">
        <v>1996</v>
      </c>
      <c r="B1" t="s">
        <v>4</v>
      </c>
      <c r="C1" t="s">
        <v>5</v>
      </c>
      <c r="D1" t="s">
        <v>6</v>
      </c>
      <c r="E1" t="s">
        <v>7</v>
      </c>
    </row>
    <row r="2" spans="1:6" x14ac:dyDescent="0.2">
      <c r="A2" t="s">
        <v>0</v>
      </c>
      <c r="B2">
        <f>1504610/5071267.9</f>
        <v>0.29669306170947896</v>
      </c>
      <c r="C2">
        <f>1063856/5071267.9</f>
        <v>0.20978106875402894</v>
      </c>
      <c r="D2">
        <f>264925/5071267.9</f>
        <v>5.2240387458134481E-2</v>
      </c>
      <c r="E2">
        <f>2237876.9/5071267.9</f>
        <v>0.44128548207835749</v>
      </c>
      <c r="F2">
        <f>SUM(B2:E2)</f>
        <v>0.99999999999999989</v>
      </c>
    </row>
    <row r="3" spans="1:6" x14ac:dyDescent="0.2">
      <c r="A3" t="s">
        <v>1</v>
      </c>
      <c r="B3">
        <f>44/12028.2</f>
        <v>3.6580702016926888E-3</v>
      </c>
      <c r="C3">
        <f>3444/12028.2</f>
        <v>0.28632713124158227</v>
      </c>
      <c r="D3">
        <f>804/12028.2</f>
        <v>6.684291914002094E-2</v>
      </c>
      <c r="E3">
        <f>7736.2/12028.2</f>
        <v>0.64317187941670406</v>
      </c>
      <c r="F3">
        <f t="shared" ref="F3:F5" si="0">SUM(B3:E3)</f>
        <v>1</v>
      </c>
    </row>
    <row r="4" spans="1:6" x14ac:dyDescent="0.2">
      <c r="A4" t="s">
        <v>2</v>
      </c>
      <c r="B4">
        <f>712/99282.4</f>
        <v>7.1714624142849093E-3</v>
      </c>
      <c r="C4">
        <f>22609/99282.4</f>
        <v>0.2277241484895611</v>
      </c>
      <c r="D4">
        <f>20235/99282.4</f>
        <v>0.20381255892283023</v>
      </c>
      <c r="E4">
        <f>55726.4/99282.4</f>
        <v>0.56129183017332385</v>
      </c>
      <c r="F4">
        <f t="shared" si="0"/>
        <v>1</v>
      </c>
    </row>
    <row r="5" spans="1:6" x14ac:dyDescent="0.2">
      <c r="A5" t="s">
        <v>3</v>
      </c>
      <c r="B5">
        <f>3211/71987.7</f>
        <v>4.460484221610081E-2</v>
      </c>
      <c r="C5">
        <f>9445/71987.7</f>
        <v>0.13120296939616075</v>
      </c>
      <c r="D5">
        <f>6017/71987.7</f>
        <v>8.3583723330513407E-2</v>
      </c>
      <c r="E5">
        <f>53314.7/71987.7</f>
        <v>0.740608465057225</v>
      </c>
      <c r="F5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:E5"/>
    </sheetView>
  </sheetViews>
  <sheetFormatPr baseColWidth="10" defaultRowHeight="16" x14ac:dyDescent="0.2"/>
  <sheetData>
    <row r="1" spans="1:6" x14ac:dyDescent="0.2">
      <c r="A1">
        <v>1997</v>
      </c>
      <c r="B1" t="s">
        <v>4</v>
      </c>
      <c r="C1" t="s">
        <v>5</v>
      </c>
      <c r="D1" t="s">
        <v>6</v>
      </c>
      <c r="E1" t="s">
        <v>7</v>
      </c>
    </row>
    <row r="2" spans="1:6" x14ac:dyDescent="0.2">
      <c r="A2" t="s">
        <v>0</v>
      </c>
      <c r="B2">
        <f>1460849/5079187.7</f>
        <v>0.28761469082940172</v>
      </c>
      <c r="C2">
        <f>1089932/5079187.7</f>
        <v>0.21458785624323354</v>
      </c>
      <c r="D2">
        <f>252838/5079187.7</f>
        <v>4.9779219618129096E-2</v>
      </c>
      <c r="E2">
        <f>2275568.7/5079187.7</f>
        <v>0.44801823330923568</v>
      </c>
      <c r="F2">
        <f>SUM(B2:E2)</f>
        <v>1</v>
      </c>
    </row>
    <row r="3" spans="1:6" x14ac:dyDescent="0.2">
      <c r="A3" t="s">
        <v>1</v>
      </c>
      <c r="B3">
        <f>45/12292.7</f>
        <v>3.6607092013959501E-3</v>
      </c>
      <c r="C3">
        <f>3492/12292.7</f>
        <v>0.28407103402832573</v>
      </c>
      <c r="D3">
        <f>794/12292.7</f>
        <v>6.4591180131297429E-2</v>
      </c>
      <c r="E3">
        <f>7961.7/12292.7</f>
        <v>0.64767707663898078</v>
      </c>
      <c r="F3">
        <f t="shared" ref="F3:F5" si="0">SUM(B3:E3)</f>
        <v>0.99999999999999989</v>
      </c>
    </row>
    <row r="4" spans="1:6" x14ac:dyDescent="0.2">
      <c r="A4" t="s">
        <v>2</v>
      </c>
      <c r="B4">
        <f>801/98534.8</f>
        <v>8.1291076858125248E-3</v>
      </c>
      <c r="C4">
        <f>22737/98534.8</f>
        <v>0.23075096311150983</v>
      </c>
      <c r="D4">
        <f>19257/98534.8</f>
        <v>0.19543349151771761</v>
      </c>
      <c r="E4">
        <f>55739.8/98534.8</f>
        <v>0.56568643768496008</v>
      </c>
      <c r="F4">
        <f t="shared" si="0"/>
        <v>1</v>
      </c>
    </row>
    <row r="5" spans="1:6" x14ac:dyDescent="0.2">
      <c r="A5" t="s">
        <v>3</v>
      </c>
      <c r="B5">
        <f>3285/74223.2</f>
        <v>4.425839899115102E-2</v>
      </c>
      <c r="C5">
        <f>9461/74223.2</f>
        <v>0.12746688366979597</v>
      </c>
      <c r="D5">
        <f>6101/74223.2</f>
        <v>8.2198018948253376E-2</v>
      </c>
      <c r="E5">
        <f>55376.2/74223.2</f>
        <v>0.7460766983907996</v>
      </c>
      <c r="F5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:E5"/>
    </sheetView>
  </sheetViews>
  <sheetFormatPr baseColWidth="10" defaultRowHeight="16" x14ac:dyDescent="0.2"/>
  <sheetData>
    <row r="1" spans="1:6" x14ac:dyDescent="0.2">
      <c r="A1">
        <v>1998</v>
      </c>
      <c r="B1" t="s">
        <v>4</v>
      </c>
      <c r="C1" t="s">
        <v>5</v>
      </c>
      <c r="D1" t="s">
        <v>6</v>
      </c>
      <c r="E1" t="s">
        <v>7</v>
      </c>
    </row>
    <row r="2" spans="1:6" x14ac:dyDescent="0.2">
      <c r="A2" t="s">
        <v>0</v>
      </c>
      <c r="B2">
        <f>1436118/5036897.8</f>
        <v>0.28511954322360877</v>
      </c>
      <c r="C2">
        <f>1117535/5036897.8</f>
        <v>0.2218696992422598</v>
      </c>
      <c r="D2">
        <f>241034/5036897.8</f>
        <v>4.7853661037156645E-2</v>
      </c>
      <c r="E2">
        <f>2242210.8/5036897.8</f>
        <v>0.44515709649697477</v>
      </c>
      <c r="F2">
        <f>SUM(B2:E2)</f>
        <v>1</v>
      </c>
    </row>
    <row r="3" spans="1:6" x14ac:dyDescent="0.2">
      <c r="A3" t="s">
        <v>1</v>
      </c>
      <c r="B3">
        <f>45/12608.2</f>
        <v>3.5691058200218902E-3</v>
      </c>
      <c r="C3">
        <f>3620/12608.2</f>
        <v>0.28711473485509431</v>
      </c>
      <c r="D3">
        <f>786/12608.2</f>
        <v>6.2340381656382352E-2</v>
      </c>
      <c r="E3">
        <f>8157.2/12608.2</f>
        <v>0.64697577766850145</v>
      </c>
      <c r="F3">
        <f t="shared" ref="F3:F5" si="0">SUM(B3:E3)</f>
        <v>1</v>
      </c>
    </row>
    <row r="4" spans="1:6" x14ac:dyDescent="0.2">
      <c r="A4" t="s">
        <v>2</v>
      </c>
      <c r="B4">
        <f>822/99612.1</f>
        <v>8.2520095450251529E-3</v>
      </c>
      <c r="C4">
        <f>22246/99612.1</f>
        <v>0.22332628265040089</v>
      </c>
      <c r="D4">
        <f>19914/99612.1</f>
        <v>0.19991547211633925</v>
      </c>
      <c r="E4">
        <f>56630.1/99612.1</f>
        <v>0.56850623568823466</v>
      </c>
      <c r="F4">
        <f t="shared" si="0"/>
        <v>1</v>
      </c>
    </row>
    <row r="5" spans="1:6" x14ac:dyDescent="0.2">
      <c r="A5" t="s">
        <v>3</v>
      </c>
      <c r="B5">
        <f>3302/75681.6</f>
        <v>4.3630155810659391E-2</v>
      </c>
      <c r="C5">
        <f>9278/75681.6</f>
        <v>0.1225925456121435</v>
      </c>
      <c r="D5">
        <f>6070/75681.6</f>
        <v>8.0204435424198209E-2</v>
      </c>
      <c r="E5">
        <f>57031.6/75681.6</f>
        <v>0.75357286315299876</v>
      </c>
      <c r="F5">
        <f t="shared" si="0"/>
        <v>0.99999999999999978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:E5"/>
    </sheetView>
  </sheetViews>
  <sheetFormatPr baseColWidth="10" defaultRowHeight="16" x14ac:dyDescent="0.2"/>
  <sheetData>
    <row r="1" spans="1:6" x14ac:dyDescent="0.2">
      <c r="A1">
        <v>1999</v>
      </c>
      <c r="B1" t="s">
        <v>4</v>
      </c>
      <c r="C1" t="s">
        <v>5</v>
      </c>
      <c r="D1" t="s">
        <v>6</v>
      </c>
      <c r="E1" t="s">
        <v>7</v>
      </c>
    </row>
    <row r="2" spans="1:6" x14ac:dyDescent="0.2">
      <c r="A2" t="s">
        <v>0</v>
      </c>
      <c r="B2">
        <f>1415748/4966054.6</f>
        <v>0.28508506531523037</v>
      </c>
      <c r="C2">
        <f>1100431/4966054.6</f>
        <v>0.22159059628542949</v>
      </c>
      <c r="D2">
        <f>259241/4966054.6</f>
        <v>5.2202607679746417E-2</v>
      </c>
      <c r="E2">
        <f>2190634.6/4966054.6</f>
        <v>0.44112173071959382</v>
      </c>
      <c r="F2">
        <f>SUM(B2:E2)</f>
        <v>1</v>
      </c>
    </row>
    <row r="3" spans="1:6" x14ac:dyDescent="0.2">
      <c r="A3" t="s">
        <v>1</v>
      </c>
      <c r="B3">
        <f>43/12882.9</f>
        <v>3.337757802979143E-3</v>
      </c>
      <c r="C3">
        <f>3695/12882.9</f>
        <v>0.28681430423274262</v>
      </c>
      <c r="D3">
        <f>799/12882.9</f>
        <v>6.202019731582175E-2</v>
      </c>
      <c r="E3">
        <f>8345.9/12882.9</f>
        <v>0.6478277406484565</v>
      </c>
      <c r="F3">
        <f t="shared" ref="F3:F5" si="0">SUM(B3:E3)</f>
        <v>1</v>
      </c>
    </row>
    <row r="4" spans="1:6" x14ac:dyDescent="0.2">
      <c r="A4" t="s">
        <v>2</v>
      </c>
      <c r="B4">
        <f>889/101933.3</f>
        <v>8.7213893791332174E-3</v>
      </c>
      <c r="C4">
        <f>22405/101933.3</f>
        <v>0.21980059509502783</v>
      </c>
      <c r="D4">
        <f>19953/101933.3</f>
        <v>0.1957456493609056</v>
      </c>
      <c r="E4">
        <f>58686.3/101933.3</f>
        <v>0.5757323661649334</v>
      </c>
      <c r="F4">
        <f t="shared" si="0"/>
        <v>1</v>
      </c>
    </row>
    <row r="5" spans="1:6" x14ac:dyDescent="0.2">
      <c r="A5" t="s">
        <v>3</v>
      </c>
      <c r="B5">
        <f>3317/74839.4</f>
        <v>4.4321573930309437E-2</v>
      </c>
      <c r="C5">
        <f>8993/74839.4</f>
        <v>0.12016397779779102</v>
      </c>
      <c r="D5">
        <f>6312/74839.4</f>
        <v>8.4340601341004878E-2</v>
      </c>
      <c r="E5">
        <f>56217.4/74839.4</f>
        <v>0.75117384693089473</v>
      </c>
      <c r="F5">
        <f t="shared" si="0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B2" sqref="B2:E5"/>
    </sheetView>
  </sheetViews>
  <sheetFormatPr baseColWidth="10" defaultRowHeight="16" x14ac:dyDescent="0.2"/>
  <sheetData>
    <row r="1" spans="1:6" x14ac:dyDescent="0.2">
      <c r="A1">
        <v>2000</v>
      </c>
      <c r="B1" t="s">
        <v>4</v>
      </c>
      <c r="C1" t="s">
        <v>5</v>
      </c>
      <c r="D1" t="s">
        <v>6</v>
      </c>
      <c r="E1" t="s">
        <v>7</v>
      </c>
    </row>
    <row r="2" spans="1:6" x14ac:dyDescent="0.2">
      <c r="A2" t="s">
        <v>0</v>
      </c>
      <c r="B2">
        <f>1525368/5125933.1</f>
        <v>0.29757860086000737</v>
      </c>
      <c r="C2">
        <f>1073612/5125933.1</f>
        <v>0.20944713461047709</v>
      </c>
      <c r="D2">
        <f>264912/5125933.1</f>
        <v>5.1680736917928176E-2</v>
      </c>
      <c r="E2">
        <f>2262041.1/5125933.1</f>
        <v>0.44129352761158747</v>
      </c>
      <c r="F2">
        <f>SUM(B2:E2)</f>
        <v>1</v>
      </c>
    </row>
    <row r="3" spans="1:6" x14ac:dyDescent="0.2">
      <c r="A3" t="s">
        <v>1</v>
      </c>
      <c r="B3">
        <f>42/13387.8</f>
        <v>3.137184600905302E-3</v>
      </c>
      <c r="C3">
        <f>3802/13387.8</f>
        <v>0.28398990125337997</v>
      </c>
      <c r="D3">
        <f>831/13387.8</f>
        <v>6.2071438175054901E-2</v>
      </c>
      <c r="E3">
        <f>8712.8/13387.8</f>
        <v>0.65080147597065985</v>
      </c>
      <c r="F3">
        <f t="shared" ref="F3:F5" si="0">SUM(B3:E3)</f>
        <v>1</v>
      </c>
    </row>
    <row r="4" spans="1:6" x14ac:dyDescent="0.2">
      <c r="A4" t="s">
        <v>2</v>
      </c>
      <c r="B4">
        <f>962/106848.6</f>
        <v>9.0033935868134903E-3</v>
      </c>
      <c r="C4">
        <f>23333/106848.6</f>
        <v>0.21837441014669354</v>
      </c>
      <c r="D4">
        <f>19692/106848.6</f>
        <v>0.18429815645689321</v>
      </c>
      <c r="E4">
        <f>62861.6/106848.6</f>
        <v>0.58832403980959969</v>
      </c>
      <c r="F4">
        <f t="shared" si="0"/>
        <v>0.99999999999999989</v>
      </c>
    </row>
    <row r="5" spans="1:6" x14ac:dyDescent="0.2">
      <c r="A5" t="s">
        <v>3</v>
      </c>
      <c r="B5">
        <f>3378/77725.9</f>
        <v>4.3460416669347031E-2</v>
      </c>
      <c r="C5">
        <f>9058/77725.9</f>
        <v>0.11653773066635446</v>
      </c>
      <c r="D5">
        <f>6724/77725.9</f>
        <v>8.6509130161246131E-2</v>
      </c>
      <c r="E5">
        <f>58565.9/77725.9</f>
        <v>0.75349272250305244</v>
      </c>
      <c r="F5">
        <f t="shared" si="0"/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6" sqref="B6"/>
    </sheetView>
  </sheetViews>
  <sheetFormatPr baseColWidth="10" defaultRowHeight="16" x14ac:dyDescent="0.2"/>
  <sheetData>
    <row r="1" spans="1:6" x14ac:dyDescent="0.2">
      <c r="A1">
        <v>2001</v>
      </c>
      <c r="B1" t="s">
        <v>4</v>
      </c>
      <c r="C1" t="s">
        <v>5</v>
      </c>
      <c r="D1" t="s">
        <v>6</v>
      </c>
      <c r="E1" t="s">
        <v>7</v>
      </c>
    </row>
    <row r="2" spans="1:6" x14ac:dyDescent="0.2">
      <c r="A2" t="s">
        <v>0</v>
      </c>
      <c r="B2">
        <f>1619909/5347691.6</f>
        <v>0.30291743076582806</v>
      </c>
      <c r="C2">
        <f>1127689/5347691.6</f>
        <v>0.21087397784868522</v>
      </c>
      <c r="D2">
        <f>273415/5347691.6</f>
        <v>5.1127667870750064E-2</v>
      </c>
      <c r="E2">
        <f>2326678.6/5347691.6</f>
        <v>0.43508092351473676</v>
      </c>
      <c r="F2">
        <f>SUM(B2:E2)</f>
        <v>1</v>
      </c>
    </row>
    <row r="3" spans="1:6" x14ac:dyDescent="0.2">
      <c r="A3" t="s">
        <v>1</v>
      </c>
      <c r="B3">
        <f>42/13494.2</f>
        <v>3.1124483111262613E-3</v>
      </c>
      <c r="C3">
        <f>3737/13494.2</f>
        <v>0.27693379377806759</v>
      </c>
      <c r="D3">
        <f>841/13494.2</f>
        <v>6.2323072134694901E-2</v>
      </c>
      <c r="E3">
        <f>8874.2/13494.2</f>
        <v>0.65763068577611128</v>
      </c>
      <c r="F3">
        <f t="shared" ref="F3:F5" si="0">SUM(B3:E3)</f>
        <v>1</v>
      </c>
    </row>
    <row r="4" spans="1:6" x14ac:dyDescent="0.2">
      <c r="A4" t="s">
        <v>2</v>
      </c>
      <c r="B4">
        <f>1070/107697.6</f>
        <v>9.9352260403203045E-3</v>
      </c>
      <c r="C4">
        <f>22239/107697.6</f>
        <v>0.20649485225297498</v>
      </c>
      <c r="D4">
        <f>19579/107697.6</f>
        <v>0.18179606602189835</v>
      </c>
      <c r="E4">
        <f>64809.6/107697.6</f>
        <v>0.60177385568480635</v>
      </c>
      <c r="F4">
        <f t="shared" si="0"/>
        <v>1</v>
      </c>
    </row>
    <row r="5" spans="1:6" x14ac:dyDescent="0.2">
      <c r="A5" t="s">
        <v>3</v>
      </c>
      <c r="B5">
        <f>3435/77672.6</f>
        <v>4.4224089318498409E-2</v>
      </c>
      <c r="C5">
        <f>8957/77672.6</f>
        <v>0.11531737060430576</v>
      </c>
      <c r="D5">
        <f>7160/77672.6</f>
        <v>9.2181798987030175E-2</v>
      </c>
      <c r="E5">
        <f>58120.6/77672.6</f>
        <v>0.74827674109016562</v>
      </c>
      <c r="F5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Sheet21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2016-04-22T02:16:10Z</dcterms:created>
  <dcterms:modified xsi:type="dcterms:W3CDTF">2016-04-25T20:48:28Z</dcterms:modified>
</cp:coreProperties>
</file>