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WPNZFP2\Public\AAA Credits - October\AA Territory Activity\AA - Team File\Analysis\2022\10 October\"/>
    </mc:Choice>
  </mc:AlternateContent>
  <xr:revisionPtr revIDLastSave="0" documentId="13_ncr:1_{9EE89767-3060-4552-B02D-8458FE203DA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-CHE" sheetId="18" r:id="rId1"/>
    <sheet name="R-SHO" sheetId="26" r:id="rId2"/>
    <sheet name="R-SRT" sheetId="9" r:id="rId3"/>
    <sheet name="R-COM" sheetId="1" r:id="rId4"/>
    <sheet name="R-ECO" sheetId="10" r:id="rId5"/>
    <sheet name="R-MPN" sheetId="21" r:id="rId6"/>
    <sheet name="R-C+E" sheetId="22" r:id="rId7"/>
    <sheet name="R-C+M" sheetId="27" r:id="rId8"/>
    <sheet name="T-CHE" sheetId="12" r:id="rId9"/>
    <sheet name="T-SHO" sheetId="13" r:id="rId10"/>
    <sheet name="T-SRT" sheetId="15" r:id="rId11"/>
    <sheet name="T-ECO" sheetId="14" r:id="rId12"/>
    <sheet name="T-TWN" sheetId="16" r:id="rId13"/>
    <sheet name="T-ALL" sheetId="11" r:id="rId14"/>
    <sheet name="Data" sheetId="2" r:id="rId15"/>
    <sheet name="Lookup" sheetId="5" r:id="rId16"/>
    <sheet name="LSI" sheetId="6" r:id="rId17"/>
    <sheet name="Input sheet" sheetId="19" r:id="rId18"/>
    <sheet name="Input Lookup sheet" sheetId="20" r:id="rId19"/>
  </sheets>
  <externalReferences>
    <externalReference r:id="rId20"/>
    <externalReference r:id="rId21"/>
  </externalReferences>
  <definedNames>
    <definedName name="_xlnm.Print_Area" localSheetId="6">'R-C+E'!$K$1:$T$49</definedName>
    <definedName name="_xlnm.Print_Area" localSheetId="7">'R-C+M'!$K$1:$T$49</definedName>
    <definedName name="_xlnm.Print_Area" localSheetId="0">'R-CHE'!$K$1:$U$47</definedName>
    <definedName name="_xlnm.Print_Area" localSheetId="3">'R-COM'!$N$1:$X$50</definedName>
    <definedName name="_xlnm.Print_Area" localSheetId="4">'R-ECO'!$A$1:$J$45</definedName>
    <definedName name="_xlnm.Print_Area" localSheetId="5">'R-MPN'!$A$1:$J$45</definedName>
    <definedName name="_xlnm.Print_Area" localSheetId="1">'R-SHO'!$K$1:$T$48</definedName>
    <definedName name="_xlnm.Print_Area" localSheetId="2">'R-SRT'!$L$1:$V$47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27" l="1"/>
  <c r="H19" i="27"/>
  <c r="H18" i="27"/>
  <c r="H17" i="27"/>
  <c r="H20" i="22"/>
  <c r="H19" i="22"/>
  <c r="H18" i="22"/>
  <c r="H17" i="22"/>
  <c r="H15" i="26"/>
  <c r="H14" i="26"/>
  <c r="H20" i="18"/>
  <c r="H19" i="18"/>
  <c r="H18" i="18"/>
  <c r="H17" i="18"/>
  <c r="N17" i="18"/>
  <c r="N13" i="27" l="1"/>
  <c r="N13" i="22"/>
  <c r="D13" i="18"/>
  <c r="T1" i="27"/>
  <c r="I1" i="27"/>
  <c r="T1" i="22"/>
  <c r="I1" i="22"/>
  <c r="J1" i="21"/>
  <c r="J1" i="10"/>
  <c r="W1" i="1"/>
  <c r="J1" i="1"/>
  <c r="U1" i="9"/>
  <c r="J1" i="9"/>
  <c r="T1" i="26"/>
  <c r="I1" i="26"/>
  <c r="T1" i="18"/>
  <c r="Q30" i="27" l="1"/>
  <c r="Q29" i="27"/>
  <c r="N30" i="27"/>
  <c r="N29" i="27"/>
  <c r="C38" i="27"/>
  <c r="L38" i="27" s="1"/>
  <c r="G9" i="21"/>
  <c r="G8" i="21"/>
  <c r="G9" i="10"/>
  <c r="G8" i="10"/>
  <c r="C37" i="27"/>
  <c r="L37" i="27" s="1"/>
  <c r="C36" i="27"/>
  <c r="L36" i="27" s="1"/>
  <c r="C35" i="27"/>
  <c r="L35" i="27" s="1"/>
  <c r="C34" i="27"/>
  <c r="L34" i="27" s="1"/>
  <c r="L32" i="27"/>
  <c r="N28" i="27"/>
  <c r="Q28" i="27" s="1"/>
  <c r="N27" i="27"/>
  <c r="Q27" i="27" s="1"/>
  <c r="N26" i="27"/>
  <c r="Q26" i="27" s="1"/>
  <c r="N23" i="27"/>
  <c r="Q23" i="27" s="1"/>
  <c r="Q22" i="27"/>
  <c r="N22" i="27"/>
  <c r="N21" i="27"/>
  <c r="Q21" i="27" s="1"/>
  <c r="Q20" i="27"/>
  <c r="N20" i="27"/>
  <c r="N19" i="27"/>
  <c r="Q19" i="27" s="1"/>
  <c r="N18" i="27"/>
  <c r="Q18" i="27" s="1"/>
  <c r="N17" i="27"/>
  <c r="Q17" i="27" s="1"/>
  <c r="N16" i="27"/>
  <c r="Q16" i="27" s="1"/>
  <c r="N15" i="27"/>
  <c r="Q15" i="27" s="1"/>
  <c r="D14" i="27"/>
  <c r="N14" i="27" s="1"/>
  <c r="Q14" i="27" s="1"/>
  <c r="D13" i="27"/>
  <c r="Q13" i="27" s="1"/>
  <c r="D12" i="27"/>
  <c r="N12" i="27" s="1"/>
  <c r="Q12" i="27" s="1"/>
  <c r="Q11" i="27"/>
  <c r="N11" i="27"/>
  <c r="Q10" i="27"/>
  <c r="N10" i="27"/>
  <c r="N9" i="27"/>
  <c r="Q9" i="27" s="1"/>
  <c r="N8" i="27"/>
  <c r="Q8" i="27" s="1"/>
  <c r="M5" i="27"/>
  <c r="I5" i="27"/>
  <c r="T5" i="27" s="1"/>
  <c r="L4" i="27"/>
  <c r="I4" i="27"/>
  <c r="T4" i="27" s="1"/>
  <c r="T3" i="27"/>
  <c r="L3" i="27"/>
  <c r="Q12" i="26"/>
  <c r="Q14" i="18"/>
  <c r="C38" i="22"/>
  <c r="L38" i="22" s="1"/>
  <c r="N28" i="22"/>
  <c r="Q28" i="22" s="1"/>
  <c r="N27" i="22"/>
  <c r="N26" i="22"/>
  <c r="N23" i="22"/>
  <c r="N22" i="22"/>
  <c r="Q22" i="22" s="1"/>
  <c r="N21" i="22"/>
  <c r="Q21" i="22" s="1"/>
  <c r="N20" i="22"/>
  <c r="N19" i="22"/>
  <c r="Q19" i="22" s="1"/>
  <c r="N18" i="22"/>
  <c r="Q18" i="22" s="1"/>
  <c r="N17" i="22"/>
  <c r="N16" i="22"/>
  <c r="Q16" i="22" s="1"/>
  <c r="N15" i="22"/>
  <c r="N11" i="22"/>
  <c r="N10" i="22"/>
  <c r="N9" i="22"/>
  <c r="Q9" i="22" s="1"/>
  <c r="N8" i="22"/>
  <c r="N30" i="22"/>
  <c r="Q30" i="22" s="1"/>
  <c r="N29" i="22"/>
  <c r="Q29" i="22" s="1"/>
  <c r="L32" i="22"/>
  <c r="M5" i="22"/>
  <c r="L4" i="22"/>
  <c r="L3" i="22"/>
  <c r="T3" i="22"/>
  <c r="C37" i="22"/>
  <c r="L37" i="22" s="1"/>
  <c r="C36" i="22"/>
  <c r="L36" i="22" s="1"/>
  <c r="C35" i="22"/>
  <c r="L35" i="22" s="1"/>
  <c r="C34" i="22"/>
  <c r="L34" i="22" s="1"/>
  <c r="D14" i="22"/>
  <c r="C33" i="22" s="1"/>
  <c r="L33" i="22" s="1"/>
  <c r="D13" i="22"/>
  <c r="D12" i="22"/>
  <c r="H12" i="22" s="1"/>
  <c r="I5" i="22"/>
  <c r="T5" i="22" s="1"/>
  <c r="I4" i="22"/>
  <c r="T4" i="22" s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S22" i="1"/>
  <c r="T22" i="1"/>
  <c r="U22" i="1"/>
  <c r="V22" i="1"/>
  <c r="W22" i="1"/>
  <c r="S23" i="1"/>
  <c r="T23" i="1"/>
  <c r="U23" i="1"/>
  <c r="V23" i="1"/>
  <c r="W23" i="1"/>
  <c r="S24" i="1"/>
  <c r="T24" i="1"/>
  <c r="U24" i="1"/>
  <c r="V24" i="1"/>
  <c r="W24" i="1"/>
  <c r="S25" i="1"/>
  <c r="T25" i="1"/>
  <c r="U25" i="1"/>
  <c r="V25" i="1"/>
  <c r="W25" i="1"/>
  <c r="S26" i="1"/>
  <c r="T26" i="1"/>
  <c r="U26" i="1"/>
  <c r="V26" i="1"/>
  <c r="W26" i="1"/>
  <c r="S27" i="1"/>
  <c r="T27" i="1"/>
  <c r="U27" i="1"/>
  <c r="V27" i="1"/>
  <c r="W27" i="1"/>
  <c r="S28" i="1"/>
  <c r="T28" i="1"/>
  <c r="U28" i="1"/>
  <c r="V28" i="1"/>
  <c r="W28" i="1"/>
  <c r="S29" i="1"/>
  <c r="T29" i="1"/>
  <c r="U29" i="1"/>
  <c r="V29" i="1"/>
  <c r="W29" i="1"/>
  <c r="P37" i="1"/>
  <c r="P38" i="1"/>
  <c r="P39" i="1"/>
  <c r="P40" i="1"/>
  <c r="P41" i="1"/>
  <c r="P36" i="1"/>
  <c r="R30" i="1"/>
  <c r="S30" i="1"/>
  <c r="T30" i="1"/>
  <c r="U30" i="1"/>
  <c r="V30" i="1"/>
  <c r="W30" i="1"/>
  <c r="R31" i="1"/>
  <c r="S31" i="1"/>
  <c r="T31" i="1"/>
  <c r="U31" i="1"/>
  <c r="V31" i="1"/>
  <c r="W31" i="1"/>
  <c r="R32" i="1"/>
  <c r="S32" i="1"/>
  <c r="T32" i="1"/>
  <c r="U32" i="1"/>
  <c r="V32" i="1"/>
  <c r="W32" i="1"/>
  <c r="R33" i="1"/>
  <c r="S33" i="1"/>
  <c r="T33" i="1"/>
  <c r="U33" i="1"/>
  <c r="V33" i="1"/>
  <c r="W33" i="1"/>
  <c r="Q31" i="1"/>
  <c r="Q32" i="1"/>
  <c r="Q33" i="1"/>
  <c r="Q30" i="1"/>
  <c r="R29" i="1"/>
  <c r="R28" i="1"/>
  <c r="R27" i="1"/>
  <c r="R26" i="1"/>
  <c r="R24" i="1"/>
  <c r="R23" i="1"/>
  <c r="R22" i="1"/>
  <c r="R21" i="1"/>
  <c r="R20" i="1"/>
  <c r="R19" i="1"/>
  <c r="R18" i="1"/>
  <c r="R17" i="1"/>
  <c r="R16" i="1"/>
  <c r="R15" i="1"/>
  <c r="R12" i="1"/>
  <c r="R11" i="1"/>
  <c r="R10" i="1"/>
  <c r="R9" i="1"/>
  <c r="E15" i="1"/>
  <c r="F15" i="1"/>
  <c r="G15" i="1"/>
  <c r="H15" i="1"/>
  <c r="I15" i="1"/>
  <c r="D15" i="1"/>
  <c r="E14" i="1"/>
  <c r="F14" i="1"/>
  <c r="G14" i="1"/>
  <c r="H14" i="1"/>
  <c r="I14" i="1"/>
  <c r="D14" i="1"/>
  <c r="R14" i="1" s="1"/>
  <c r="E13" i="1"/>
  <c r="F13" i="1"/>
  <c r="G13" i="1"/>
  <c r="H13" i="1"/>
  <c r="I13" i="1"/>
  <c r="D13" i="1"/>
  <c r="R13" i="1" s="1"/>
  <c r="R25" i="1"/>
  <c r="P5" i="1"/>
  <c r="O4" i="1"/>
  <c r="O3" i="1"/>
  <c r="N17" i="26"/>
  <c r="Q17" i="26" s="1"/>
  <c r="C23" i="26"/>
  <c r="L23" i="26" s="1"/>
  <c r="C22" i="26"/>
  <c r="L22" i="26" s="1"/>
  <c r="C21" i="26"/>
  <c r="L21" i="26" s="1"/>
  <c r="L19" i="26"/>
  <c r="N16" i="26"/>
  <c r="Q16" i="26" s="1"/>
  <c r="N15" i="26"/>
  <c r="Q15" i="26" s="1"/>
  <c r="N14" i="26"/>
  <c r="Q14" i="26" s="1"/>
  <c r="N13" i="26"/>
  <c r="Q13" i="26" s="1"/>
  <c r="D12" i="26"/>
  <c r="C20" i="26" s="1"/>
  <c r="L20" i="26" s="1"/>
  <c r="D11" i="26"/>
  <c r="N11" i="26" s="1"/>
  <c r="Q11" i="26" s="1"/>
  <c r="N10" i="26"/>
  <c r="Q10" i="26" s="1"/>
  <c r="N9" i="26"/>
  <c r="Q9" i="26" s="1"/>
  <c r="N8" i="26"/>
  <c r="Q8" i="26" s="1"/>
  <c r="M5" i="26"/>
  <c r="I5" i="26"/>
  <c r="T5" i="26" s="1"/>
  <c r="L4" i="26"/>
  <c r="I4" i="26"/>
  <c r="T4" i="26" s="1"/>
  <c r="T3" i="26"/>
  <c r="L3" i="26"/>
  <c r="T3" i="18"/>
  <c r="I5" i="18"/>
  <c r="T5" i="18" s="1"/>
  <c r="I4" i="18"/>
  <c r="T4" i="18" s="1"/>
  <c r="C32" i="18"/>
  <c r="L32" i="18" s="1"/>
  <c r="C35" i="18"/>
  <c r="L35" i="18" s="1"/>
  <c r="C34" i="18"/>
  <c r="L34" i="18" s="1"/>
  <c r="C33" i="18"/>
  <c r="L33" i="18" s="1"/>
  <c r="M5" i="18"/>
  <c r="L4" i="18"/>
  <c r="L3" i="18"/>
  <c r="N8" i="18"/>
  <c r="N5" i="9"/>
  <c r="M4" i="9"/>
  <c r="M3" i="9"/>
  <c r="U3" i="9"/>
  <c r="I5" i="9"/>
  <c r="U5" i="9" s="1"/>
  <c r="I4" i="9"/>
  <c r="U4" i="9" s="1"/>
  <c r="Q9" i="9"/>
  <c r="R9" i="9"/>
  <c r="S9" i="9"/>
  <c r="P9" i="9"/>
  <c r="Q16" i="9"/>
  <c r="R16" i="9"/>
  <c r="S16" i="9"/>
  <c r="Q17" i="9"/>
  <c r="R17" i="9"/>
  <c r="S17" i="9"/>
  <c r="Q18" i="9"/>
  <c r="R18" i="9"/>
  <c r="S18" i="9"/>
  <c r="Q21" i="9"/>
  <c r="R21" i="9"/>
  <c r="S21" i="9"/>
  <c r="Q22" i="9"/>
  <c r="R22" i="9"/>
  <c r="S22" i="9"/>
  <c r="Q23" i="9"/>
  <c r="R23" i="9"/>
  <c r="S23" i="9"/>
  <c r="P23" i="9"/>
  <c r="P22" i="9"/>
  <c r="P21" i="9"/>
  <c r="P18" i="9"/>
  <c r="P17" i="9"/>
  <c r="P16" i="9"/>
  <c r="Q14" i="9"/>
  <c r="R14" i="9"/>
  <c r="S14" i="9"/>
  <c r="Q15" i="9"/>
  <c r="R15" i="9"/>
  <c r="S15" i="9"/>
  <c r="P15" i="9"/>
  <c r="P14" i="9"/>
  <c r="G13" i="9"/>
  <c r="S13" i="9" s="1"/>
  <c r="F13" i="9"/>
  <c r="R13" i="9" s="1"/>
  <c r="G12" i="9"/>
  <c r="S12" i="9" s="1"/>
  <c r="F12" i="9"/>
  <c r="R12" i="9" s="1"/>
  <c r="E12" i="9"/>
  <c r="Q12" i="9" s="1"/>
  <c r="E13" i="9"/>
  <c r="Q13" i="9" s="1"/>
  <c r="P10" i="9"/>
  <c r="P11" i="9"/>
  <c r="D13" i="9"/>
  <c r="P13" i="9" s="1"/>
  <c r="Q10" i="9"/>
  <c r="Q11" i="9"/>
  <c r="R11" i="9"/>
  <c r="S11" i="9"/>
  <c r="R10" i="9"/>
  <c r="S10" i="9"/>
  <c r="N29" i="9"/>
  <c r="N28" i="9"/>
  <c r="N27" i="9"/>
  <c r="N26" i="9"/>
  <c r="Q27" i="22"/>
  <c r="Q26" i="22"/>
  <c r="Q23" i="22"/>
  <c r="Q20" i="22"/>
  <c r="Q17" i="22"/>
  <c r="Q15" i="22"/>
  <c r="Q11" i="22"/>
  <c r="Q10" i="22"/>
  <c r="Q8" i="22"/>
  <c r="B12" i="21"/>
  <c r="B12" i="10"/>
  <c r="D14" i="18"/>
  <c r="C31" i="18" s="1"/>
  <c r="L31" i="18" s="1"/>
  <c r="N9" i="18"/>
  <c r="N10" i="18"/>
  <c r="H12" i="27" l="1"/>
  <c r="C39" i="27"/>
  <c r="L39" i="27" s="1"/>
  <c r="C33" i="27"/>
  <c r="L33" i="27" s="1"/>
  <c r="N14" i="22"/>
  <c r="Q14" i="22" s="1"/>
  <c r="N12" i="22"/>
  <c r="Q12" i="22" s="1"/>
  <c r="Q13" i="22"/>
  <c r="C39" i="22"/>
  <c r="L39" i="22" s="1"/>
  <c r="C24" i="26"/>
  <c r="L24" i="26" s="1"/>
  <c r="N12" i="26"/>
  <c r="D12" i="9"/>
  <c r="P12" i="9" s="1"/>
  <c r="M39" i="19"/>
  <c r="J5" i="21"/>
  <c r="L30" i="18"/>
  <c r="N25" i="18"/>
  <c r="N28" i="18"/>
  <c r="N27" i="18"/>
  <c r="N26" i="18"/>
  <c r="N23" i="18"/>
  <c r="N22" i="18"/>
  <c r="N21" i="18"/>
  <c r="N20" i="18"/>
  <c r="N19" i="18"/>
  <c r="N18" i="18"/>
  <c r="N16" i="18"/>
  <c r="N15" i="18"/>
  <c r="N11" i="18"/>
  <c r="N24" i="18"/>
  <c r="D12" i="18"/>
  <c r="H12" i="18" s="1"/>
  <c r="J1" i="19"/>
  <c r="N12" i="18" l="1"/>
  <c r="N13" i="18"/>
  <c r="N14" i="18"/>
  <c r="Q28" i="18" l="1"/>
  <c r="Q27" i="18"/>
  <c r="Q26" i="18"/>
  <c r="Q23" i="18"/>
  <c r="Q22" i="18"/>
  <c r="Q21" i="18"/>
  <c r="Q20" i="18"/>
  <c r="Q19" i="18"/>
  <c r="Q18" i="18"/>
  <c r="Q17" i="18"/>
  <c r="Q16" i="18"/>
  <c r="Q15" i="18"/>
  <c r="Q11" i="18"/>
  <c r="Q10" i="18"/>
  <c r="Q9" i="18"/>
  <c r="Q8" i="18"/>
  <c r="Q13" i="18" l="1"/>
  <c r="C36" i="18" s="1"/>
  <c r="L36" i="18" s="1"/>
  <c r="Q12" i="18"/>
  <c r="W5" i="1" l="1"/>
  <c r="W4" i="1"/>
  <c r="J5" i="10" l="1"/>
  <c r="J1" i="16" l="1"/>
  <c r="J1" i="15"/>
  <c r="J1" i="14"/>
  <c r="J1" i="13"/>
  <c r="J1" i="12"/>
  <c r="J1" i="11"/>
  <c r="B3" i="6" l="1"/>
  <c r="B5" i="6"/>
  <c r="C5" i="6" s="1"/>
  <c r="B4" i="6"/>
  <c r="C4" i="6" s="1"/>
  <c r="B6" i="6" l="1"/>
  <c r="B7" i="6" l="1"/>
  <c r="P20" i="9"/>
  <c r="P19" i="9" s="1"/>
  <c r="D19" i="9"/>
  <c r="Q19" i="9"/>
  <c r="E19" i="9"/>
  <c r="Q20" i="9"/>
  <c r="F19" i="9"/>
  <c r="R20" i="9"/>
  <c r="R19" i="9" s="1"/>
  <c r="G19" i="9"/>
  <c r="S20" i="9"/>
  <c r="S19" i="9" s="1"/>
  <c r="N24" i="22" l="1"/>
  <c r="N25" i="27"/>
  <c r="D25" i="27"/>
  <c r="D24" i="27"/>
  <c r="N24" i="27"/>
  <c r="D24" i="22"/>
  <c r="D25" i="22"/>
  <c r="N25" i="22"/>
</calcChain>
</file>

<file path=xl/sharedStrings.xml><?xml version="1.0" encoding="utf-8"?>
<sst xmlns="http://schemas.openxmlformats.org/spreadsheetml/2006/main" count="1887" uniqueCount="225">
  <si>
    <t>LABORATORY WATER ANALYSIS REPORT</t>
  </si>
  <si>
    <t>Test Parameter</t>
  </si>
  <si>
    <t>Units</t>
  </si>
  <si>
    <t>pH</t>
  </si>
  <si>
    <t>Total Dissolved Solids</t>
  </si>
  <si>
    <t>Alkalinity</t>
  </si>
  <si>
    <t>Total Hardness</t>
  </si>
  <si>
    <t>Calcium Hardness</t>
  </si>
  <si>
    <t>Magnesium Hardness</t>
  </si>
  <si>
    <t>Silica</t>
  </si>
  <si>
    <t>Total Iron</t>
  </si>
  <si>
    <t>Total Manganese</t>
  </si>
  <si>
    <t>Total Aluminium</t>
  </si>
  <si>
    <t>Total Copper</t>
  </si>
  <si>
    <t>Free Carbon Dioxide</t>
  </si>
  <si>
    <t>Chloride</t>
  </si>
  <si>
    <t>Sodium</t>
  </si>
  <si>
    <t xml:space="preserve">Langelier Saturation </t>
  </si>
  <si>
    <t>Turbidity</t>
  </si>
  <si>
    <t xml:space="preserve">UV254 Transmission </t>
  </si>
  <si>
    <t>Free Available Chlorine</t>
  </si>
  <si>
    <t>Form Data</t>
  </si>
  <si>
    <t>SRT</t>
  </si>
  <si>
    <t>-</t>
  </si>
  <si>
    <t>mg/L</t>
  </si>
  <si>
    <t>NTU</t>
  </si>
  <si>
    <t>Combined Chlorine</t>
  </si>
  <si>
    <t>Total Chlorine</t>
  </si>
  <si>
    <t>TSRT</t>
  </si>
  <si>
    <t>/100mL</t>
  </si>
  <si>
    <t>Total Coliforms (P/A)</t>
  </si>
  <si>
    <t>E. coli (P/A)</t>
  </si>
  <si>
    <t>Total Coliforms (MPN)</t>
  </si>
  <si>
    <t>E. coli (MPN)</t>
  </si>
  <si>
    <t>MPN/100mL</t>
  </si>
  <si>
    <t>P/A</t>
  </si>
  <si>
    <t>Present</t>
  </si>
  <si>
    <t>MDL</t>
  </si>
  <si>
    <t>&lt;5</t>
  </si>
  <si>
    <t>&lt;1</t>
  </si>
  <si>
    <t>&lt;0.01</t>
  </si>
  <si>
    <t>&lt;0.05</t>
  </si>
  <si>
    <t>&lt;0.10</t>
  </si>
  <si>
    <t>&lt;1.1</t>
  </si>
  <si>
    <t>Comments</t>
  </si>
  <si>
    <t>Sample 1</t>
  </si>
  <si>
    <t>Sample 2</t>
  </si>
  <si>
    <t>Sample 3</t>
  </si>
  <si>
    <t>Sample 4</t>
  </si>
  <si>
    <t>Sample 5</t>
  </si>
  <si>
    <t>Sample 6</t>
  </si>
  <si>
    <t>Sample 7</t>
  </si>
  <si>
    <r>
      <t>mg/L CaCO</t>
    </r>
    <r>
      <rPr>
        <vertAlign val="subscript"/>
        <sz val="8"/>
        <color theme="1"/>
        <rFont val="Arial"/>
        <family val="2"/>
      </rPr>
      <t>3</t>
    </r>
  </si>
  <si>
    <r>
      <t>mg/L CO</t>
    </r>
    <r>
      <rPr>
        <vertAlign val="subscript"/>
        <sz val="8"/>
        <color theme="1"/>
        <rFont val="Arial"/>
        <family val="2"/>
      </rPr>
      <t>2</t>
    </r>
  </si>
  <si>
    <r>
      <t>mg/L SiO</t>
    </r>
    <r>
      <rPr>
        <vertAlign val="subscript"/>
        <sz val="8"/>
        <color theme="1"/>
        <rFont val="Arial"/>
        <family val="2"/>
      </rPr>
      <t>2</t>
    </r>
  </si>
  <si>
    <r>
      <t>% T</t>
    </r>
    <r>
      <rPr>
        <vertAlign val="subscript"/>
        <sz val="8"/>
        <color theme="1"/>
        <rFont val="Arial"/>
        <family val="2"/>
      </rPr>
      <t>10</t>
    </r>
  </si>
  <si>
    <t>Date Received</t>
  </si>
  <si>
    <t>Date Reported</t>
  </si>
  <si>
    <t>REFERENCE NAME</t>
  </si>
  <si>
    <t>DEALER NAME</t>
  </si>
  <si>
    <t>Samples were taken by Client and tested as received by the laboratory</t>
  </si>
  <si>
    <t>Result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</si>
  <si>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</si>
  <si>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</si>
  <si>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7.0 - 8.5</t>
  </si>
  <si>
    <t>&lt;200</t>
  </si>
  <si>
    <t>&lt;0.2</t>
  </si>
  <si>
    <t>&lt;0.04</t>
  </si>
  <si>
    <t>&lt;0.04 Staining, &lt;0.10 Taste</t>
  </si>
  <si>
    <t>&lt;1000</t>
  </si>
  <si>
    <t>&lt;250</t>
  </si>
  <si>
    <t>&lt;2.5</t>
  </si>
  <si>
    <t>&lt;10</t>
  </si>
  <si>
    <t>PH:</t>
  </si>
  <si>
    <t>Very Acidic</t>
  </si>
  <si>
    <t>Calcium &amp; Magnesium:</t>
  </si>
  <si>
    <t>Trace</t>
  </si>
  <si>
    <t>Aluminium:</t>
  </si>
  <si>
    <t>Nitrate:</t>
  </si>
  <si>
    <t>Acidic</t>
  </si>
  <si>
    <t>Low</t>
  </si>
  <si>
    <t>Neutral</t>
  </si>
  <si>
    <t>Moderate</t>
  </si>
  <si>
    <t>Significant</t>
  </si>
  <si>
    <t>Elevated</t>
  </si>
  <si>
    <t>Alkaline</t>
  </si>
  <si>
    <t>High</t>
  </si>
  <si>
    <t>TDS:</t>
  </si>
  <si>
    <t>Very High</t>
  </si>
  <si>
    <t>Copper:</t>
  </si>
  <si>
    <t>Excessive</t>
  </si>
  <si>
    <t>Free Carbon Dioxide:</t>
  </si>
  <si>
    <t>Silica:</t>
  </si>
  <si>
    <t>Alkalinity:</t>
  </si>
  <si>
    <t>Iron:</t>
  </si>
  <si>
    <t>Langelier Index:</t>
  </si>
  <si>
    <t>Aggressive</t>
  </si>
  <si>
    <t>Normal</t>
  </si>
  <si>
    <t>Scale Forming</t>
  </si>
  <si>
    <t>Total Hardness:</t>
  </si>
  <si>
    <t>PH</t>
  </si>
  <si>
    <t>Soft</t>
  </si>
  <si>
    <t>CF</t>
  </si>
  <si>
    <t>AF</t>
  </si>
  <si>
    <t>Manganese:</t>
  </si>
  <si>
    <t>LSI</t>
  </si>
  <si>
    <t>Hard</t>
  </si>
  <si>
    <t>Very Hard</t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</si>
  <si>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</si>
  <si>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</si>
  <si>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Lookup</t>
  </si>
  <si>
    <t>Results</t>
  </si>
  <si>
    <t>Factors</t>
  </si>
  <si>
    <t>Corrosive</t>
  </si>
  <si>
    <t>Acceptable</t>
  </si>
  <si>
    <t>Scale forming</t>
  </si>
  <si>
    <t>Above MAV</t>
  </si>
  <si>
    <t>Langelier Saturation Index</t>
  </si>
  <si>
    <t>Sodium/Chloride:</t>
  </si>
  <si>
    <t>Ideal</t>
  </si>
  <si>
    <t>T.coli P/A:</t>
  </si>
  <si>
    <t>E.coli P/A:</t>
  </si>
  <si>
    <t>Warning</t>
  </si>
  <si>
    <t>ALERT</t>
  </si>
  <si>
    <t>T.coli MPN:</t>
  </si>
  <si>
    <t>E.coli MPN:</t>
  </si>
  <si>
    <t>Very Low</t>
  </si>
  <si>
    <t>UVT</t>
  </si>
  <si>
    <t>FAC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</si>
  <si>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</si>
  <si>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 xml:space="preserve">The sample was clear/slightly discoloured with no/some significant sediment </t>
  </si>
  <si>
    <t>Raw Flush</t>
  </si>
  <si>
    <t>Raw 20min</t>
  </si>
  <si>
    <t>Sample Type</t>
  </si>
  <si>
    <t>TBC</t>
  </si>
  <si>
    <t>Ground Water</t>
  </si>
  <si>
    <t>Surface Water</t>
  </si>
  <si>
    <t>Blended Source</t>
  </si>
  <si>
    <t>Rain Water</t>
  </si>
  <si>
    <t>Waste Water</t>
  </si>
  <si>
    <t>Salt Water</t>
  </si>
  <si>
    <t>Process Water</t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</si>
  <si>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</si>
  <si>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</si>
  <si>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 xml:space="preserve">Testing did not detect the presence of microorganisms in the sample however a form of treatment is recommended if not already installed. </t>
  </si>
  <si>
    <t>Micro comment</t>
  </si>
  <si>
    <t>Email: nzlab@dwp.co.nz</t>
  </si>
  <si>
    <t>Town Supply</t>
  </si>
  <si>
    <t>Sample No.</t>
  </si>
  <si>
    <t>20170714CHE01</t>
  </si>
  <si>
    <t>Calculated Result</t>
  </si>
  <si>
    <t xml:space="preserve">Comments: </t>
  </si>
  <si>
    <t xml:space="preserve">Testing was carried out using the Colitag™ method. </t>
  </si>
  <si>
    <t>Good</t>
  </si>
  <si>
    <t>Very Good</t>
  </si>
  <si>
    <t>Below Ideal</t>
  </si>
  <si>
    <t>5µm Filtered</t>
  </si>
  <si>
    <t>5µm SRT</t>
  </si>
  <si>
    <t>5µm TSRT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</si>
  <si>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</si>
  <si>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</si>
  <si>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Not Detected</t>
  </si>
  <si>
    <t>Poor</t>
  </si>
  <si>
    <t>Very Poor</t>
  </si>
  <si>
    <t>MPN</t>
  </si>
  <si>
    <t>&gt;23</t>
  </si>
  <si>
    <t>Count</t>
  </si>
  <si>
    <t>LABORATORY WATER ANALYSIS - TEST SHEET</t>
  </si>
  <si>
    <t>Units / Name:</t>
  </si>
  <si>
    <t>Date Tested</t>
  </si>
  <si>
    <t>Dealer Name</t>
  </si>
  <si>
    <t>Reference Name</t>
  </si>
  <si>
    <t>FULL CHEM</t>
  </si>
  <si>
    <t>SHORT CHEM</t>
  </si>
  <si>
    <t>MICRO</t>
  </si>
  <si>
    <t>MUNICIPAL/TOWN SUPPLY</t>
  </si>
  <si>
    <t xml:space="preserve">The sample was    clear   /   slightly discoloured with    no   /   some significant sediment </t>
  </si>
  <si>
    <t>The sample was received outside of the maximum allowable time of 24 hours, which may give an inaccurate result. Re-sampling is recommended.</t>
  </si>
  <si>
    <t xml:space="preserve">Conductivity </t>
  </si>
  <si>
    <t>mS/m</t>
  </si>
  <si>
    <t>µS/cm</t>
  </si>
  <si>
    <t>20170714SHO01</t>
  </si>
  <si>
    <t>mS/m     µS/cm</t>
  </si>
  <si>
    <t>Slightly Hard</t>
  </si>
  <si>
    <t>XXXXXX</t>
  </si>
  <si>
    <t xml:space="preserve">Whilst care is taken to ensure the  accuracy of this information, Davey Water Products does not accept responsibility for any loss or damage based on it.  </t>
  </si>
  <si>
    <t xml:space="preserve">Whilst care is taken to ensure the accuracy of this information, Davey Water Products does not accept responsibility for any loss or damage based on it.  </t>
  </si>
  <si>
    <t xml:space="preserve">A more complete analysis can be carried out by an accredited microbiological laboratory if required. </t>
  </si>
  <si>
    <t>20170714COM01</t>
  </si>
  <si>
    <t xml:space="preserve">The Most Probable Number (MPN) count uses reference method APHA 9221 C, Table 9221:III </t>
  </si>
  <si>
    <t>Jewella Sepulveda</t>
  </si>
  <si>
    <t>Water Treatment Specialist</t>
  </si>
  <si>
    <t>Guideline Value - Drinking Water Standards for New Zealand 2005 (Revised 2018)</t>
  </si>
  <si>
    <t>Maximum Acceptable Value - Drinking Water Standards for New Zealand 2005 (Revised 2018)</t>
  </si>
  <si>
    <t xml:space="preserve">The sample was </t>
  </si>
  <si>
    <t>Clarity:</t>
  </si>
  <si>
    <t>clear</t>
  </si>
  <si>
    <t>slightly discoloured</t>
  </si>
  <si>
    <t>discoloured</t>
  </si>
  <si>
    <t>Sediments</t>
  </si>
  <si>
    <t>sediments</t>
  </si>
  <si>
    <t>no significant sediments</t>
  </si>
  <si>
    <t>some significant sediments</t>
  </si>
  <si>
    <t xml:space="preserve"> with </t>
  </si>
  <si>
    <t>DL</t>
  </si>
  <si>
    <t>GV</t>
  </si>
  <si>
    <t>MAV</t>
  </si>
  <si>
    <t>Comments:</t>
  </si>
  <si>
    <t xml:space="preserve">Dealers: </t>
  </si>
  <si>
    <t>The sample was</t>
  </si>
  <si>
    <t xml:space="preserve"> with</t>
  </si>
  <si>
    <t>LSI comment:</t>
  </si>
  <si>
    <t>Silica comment:</t>
  </si>
  <si>
    <t>Iron comment:</t>
  </si>
  <si>
    <t>Manganese comment:</t>
  </si>
  <si>
    <t>MAV comment:</t>
  </si>
  <si>
    <t xml:space="preserve">Comment </t>
  </si>
  <si>
    <t>Chloride comment:</t>
  </si>
  <si>
    <t>20170714C+E01</t>
  </si>
  <si>
    <t>E. coli comment:</t>
  </si>
  <si>
    <t>20170714C+M01</t>
  </si>
  <si>
    <t>Rev10</t>
  </si>
  <si>
    <t>Pool &amp; Pump World</t>
  </si>
  <si>
    <t>Pudding Mill</t>
  </si>
  <si>
    <t>20221020SRT01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</si>
</sst>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164" fontId="15" fillId="0" borderId="0" xfId="0" applyNumberFormat="1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1" fontId="15" fillId="0" borderId="0" xfId="0" applyNumberFormat="1" applyFont="1" applyFill="1" applyBorder="1" applyAlignment="1" applyProtection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 applyProtection="1">
      <alignment horizontal="left" vertical="center"/>
    </xf>
    <xf numFmtId="0" fontId="17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1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164" fontId="13" fillId="0" borderId="0" xfId="0" applyNumberFormat="1" applyFont="1" applyFill="1" applyBorder="1" applyAlignment="1">
      <alignment horizontal="right" vertical="center"/>
    </xf>
    <xf numFmtId="0" fontId="0" fillId="0" borderId="0" xfId="0"/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7" xfId="0" applyBorder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1" xfId="0" applyFont="1" applyBorder="1" applyAlignment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4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left"/>
    </xf>
    <xf numFmtId="0" fontId="25" fillId="3" borderId="0" xfId="0" applyFont="1" applyFill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/>
    <xf numFmtId="0" fontId="27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8" fillId="0" borderId="0" xfId="0" applyFont="1"/>
    <xf numFmtId="0" fontId="4" fillId="0" borderId="2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29" fillId="0" borderId="0" xfId="0" applyFont="1"/>
    <xf numFmtId="1" fontId="4" fillId="6" borderId="1" xfId="0" applyNumberFormat="1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5" fillId="0" borderId="0" xfId="0" applyNumberFormat="1" applyFont="1"/>
    <xf numFmtId="0" fontId="7" fillId="0" borderId="0" xfId="0" applyFont="1" applyFill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1" xfId="0" applyFont="1" applyBorder="1" applyAlignment="1"/>
    <xf numFmtId="1" fontId="4" fillId="0" borderId="1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/>
    </xf>
    <xf numFmtId="0" fontId="15" fillId="0" borderId="0" xfId="0" applyFont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4" fillId="6" borderId="2" xfId="0" applyFont="1" applyFill="1" applyBorder="1"/>
    <xf numFmtId="0" fontId="4" fillId="6" borderId="3" xfId="0" applyFont="1" applyFill="1" applyBorder="1" applyAlignment="1"/>
    <xf numFmtId="0" fontId="4" fillId="6" borderId="4" xfId="0" applyFont="1" applyFill="1" applyBorder="1" applyAlignment="1"/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1" fillId="6" borderId="3" xfId="0" applyFont="1" applyFill="1" applyBorder="1"/>
    <xf numFmtId="0" fontId="4" fillId="6" borderId="2" xfId="0" applyFont="1" applyFill="1" applyBorder="1" applyAlignment="1">
      <alignment horizontal="left"/>
    </xf>
    <xf numFmtId="0" fontId="5" fillId="6" borderId="3" xfId="0" applyFont="1" applyFill="1" applyBorder="1"/>
    <xf numFmtId="0" fontId="5" fillId="6" borderId="4" xfId="0" applyFont="1" applyFill="1" applyBorder="1"/>
    <xf numFmtId="0" fontId="4" fillId="6" borderId="12" xfId="0" applyFont="1" applyFill="1" applyBorder="1" applyAlignment="1">
      <alignment horizontal="left"/>
    </xf>
    <xf numFmtId="0" fontId="1" fillId="6" borderId="11" xfId="0" applyFont="1" applyFill="1" applyBorder="1"/>
    <xf numFmtId="0" fontId="4" fillId="6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2" xfId="0" applyFont="1" applyFill="1" applyBorder="1"/>
    <xf numFmtId="0" fontId="4" fillId="6" borderId="11" xfId="0" applyFont="1" applyFill="1" applyBorder="1" applyAlignment="1">
      <alignment horizontal="left"/>
    </xf>
    <xf numFmtId="0" fontId="4" fillId="0" borderId="15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  <xf numFmtId="0" fontId="9" fillId="6" borderId="2" xfId="0" applyFont="1" applyFill="1" applyBorder="1" applyAlignment="1"/>
    <xf numFmtId="0" fontId="9" fillId="6" borderId="3" xfId="0" applyFont="1" applyFill="1" applyBorder="1" applyAlignment="1"/>
    <xf numFmtId="0" fontId="9" fillId="6" borderId="4" xfId="0" applyFont="1" applyFill="1" applyBorder="1" applyAlignment="1"/>
    <xf numFmtId="14" fontId="4" fillId="0" borderId="0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30" fillId="0" borderId="2" xfId="0" applyNumberFormat="1" applyFont="1" applyBorder="1" applyAlignment="1">
      <alignment horizontal="left"/>
    </xf>
    <xf numFmtId="164" fontId="30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95"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36635</xdr:colOff>
      <xdr:row>41</xdr:row>
      <xdr:rowOff>39603</xdr:rowOff>
    </xdr:from>
    <xdr:to>
      <xdr:col>11</xdr:col>
      <xdr:colOff>1009650</xdr:colOff>
      <xdr:row>43</xdr:row>
      <xdr:rowOff>60519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E1BF2C-0E40-47A6-82BE-86D08E9B36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751885" y="6773778"/>
          <a:ext cx="963490" cy="3600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36635</xdr:colOff>
      <xdr:row>29</xdr:row>
      <xdr:rowOff>17760</xdr:rowOff>
    </xdr:from>
    <xdr:to>
      <xdr:col>11</xdr:col>
      <xdr:colOff>1063625</xdr:colOff>
      <xdr:row>31</xdr:row>
      <xdr:rowOff>60519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3FED77-8098-4F53-BAD6-8D0F4FB4E1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783635" y="5224760"/>
          <a:ext cx="1026990" cy="388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45868</xdr:colOff>
      <xdr:row>33</xdr:row>
      <xdr:rowOff>53613</xdr:rowOff>
    </xdr:from>
    <xdr:to>
      <xdr:col>12</xdr:col>
      <xdr:colOff>876300</xdr:colOff>
      <xdr:row>35</xdr:row>
      <xdr:rowOff>17875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E3B9F8-BBFE-44EA-9EAF-26B0590DE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303918" y="5720988"/>
          <a:ext cx="830432" cy="3109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45867</xdr:colOff>
      <xdr:row>44</xdr:row>
      <xdr:rowOff>151629</xdr:rowOff>
    </xdr:from>
    <xdr:to>
      <xdr:col>14</xdr:col>
      <xdr:colOff>682625</xdr:colOff>
      <xdr:row>46</xdr:row>
      <xdr:rowOff>57294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D35CF8-51BB-489C-AA3D-213F77618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8396117" y="7819254"/>
          <a:ext cx="636758" cy="2511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19</xdr:row>
      <xdr:rowOff>26041</xdr:rowOff>
    </xdr:from>
    <xdr:to>
      <xdr:col>1</xdr:col>
      <xdr:colOff>934085</xdr:colOff>
      <xdr:row>21</xdr:row>
      <xdr:rowOff>21981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EBA3C-E45B-4C3D-BC39-94F4DC6E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63635" y="3486791"/>
          <a:ext cx="884115" cy="3413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36636</xdr:colOff>
      <xdr:row>20</xdr:row>
      <xdr:rowOff>56688</xdr:rowOff>
    </xdr:from>
    <xdr:to>
      <xdr:col>1</xdr:col>
      <xdr:colOff>841376</xdr:colOff>
      <xdr:row>22</xdr:row>
      <xdr:rowOff>21979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8A748-7E76-40D5-898A-DA6240543C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63636" y="3692063"/>
          <a:ext cx="804740" cy="310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27402</xdr:colOff>
      <xdr:row>43</xdr:row>
      <xdr:rowOff>40624</xdr:rowOff>
    </xdr:from>
    <xdr:to>
      <xdr:col>11</xdr:col>
      <xdr:colOff>972212</xdr:colOff>
      <xdr:row>45</xdr:row>
      <xdr:rowOff>53487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53E1E9-F7C5-4C7D-87DA-D3BDA748B5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465185" y="7743450"/>
          <a:ext cx="933380" cy="3607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27402</xdr:colOff>
      <xdr:row>43</xdr:row>
      <xdr:rowOff>27820</xdr:rowOff>
    </xdr:from>
    <xdr:to>
      <xdr:col>11</xdr:col>
      <xdr:colOff>993913</xdr:colOff>
      <xdr:row>45</xdr:row>
      <xdr:rowOff>57297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E0952-A89F-4B3D-8980-661B1F4DE9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465185" y="7730646"/>
          <a:ext cx="966511" cy="3735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A%20-%20Team%20File\Analysis\2017\10%20October\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A%20-%20Team%20File\Analysis\2018\08%20August\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461C-3C8E-4155-8058-0B6EF5262DDF}">
  <sheetPr>
    <pageSetUpPr fitToPage="1"/>
  </sheetPr>
  <dimension ref="A1:U138"/>
  <sheetViews>
    <sheetView view="pageLayout" zoomScaleNormal="100" workbookViewId="0">
      <selection activeCell="H17" sqref="H17:I20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7" width="10" style="1" customWidth="1"/>
    <col min="8" max="8" width="19.109375" style="1" bestFit="1" customWidth="1"/>
    <col min="9" max="9" width="13.88671875" style="1" customWidth="1"/>
    <col min="10" max="11" width="2" style="1" customWidth="1"/>
    <col min="12" max="12" width="18.6640625" style="1" customWidth="1"/>
    <col min="13" max="13" width="10.88671875" style="1" customWidth="1"/>
    <col min="14" max="19" width="10" style="1" customWidth="1"/>
    <col min="20" max="20" width="12.6640625" style="1" bestFit="1" customWidth="1"/>
    <col min="21" max="21" width="0.5546875" style="1" customWidth="1"/>
    <col min="22" max="16384" width="9.109375" style="1"/>
  </cols>
  <sheetData>
    <row r="1" spans="1:21" ht="22.8">
      <c r="B1" s="2" t="s">
        <v>167</v>
      </c>
      <c r="I1" s="13" t="s">
        <v>221</v>
      </c>
      <c r="L1" s="2" t="s">
        <v>0</v>
      </c>
      <c r="T1" s="13" t="str">
        <f>I1</f>
        <v>Rev10</v>
      </c>
    </row>
    <row r="2" spans="1:21">
      <c r="I2" s="13"/>
      <c r="T2" s="13"/>
    </row>
    <row r="3" spans="1:21">
      <c r="B3" s="83" t="s">
        <v>170</v>
      </c>
      <c r="C3" s="145"/>
      <c r="D3" s="146"/>
      <c r="E3" s="146"/>
      <c r="F3" s="147"/>
      <c r="G3" s="8"/>
      <c r="H3" s="83" t="s">
        <v>148</v>
      </c>
      <c r="I3" s="109" t="s">
        <v>149</v>
      </c>
      <c r="L3" s="1" t="str">
        <f>IF(ISBLANK(C3),"DEALER NAME",C3)</f>
        <v>DEALER NAME</v>
      </c>
      <c r="P3" s="8"/>
      <c r="Q3" s="8"/>
      <c r="R3" s="9" t="s">
        <v>148</v>
      </c>
      <c r="T3" s="68" t="str">
        <f>I3</f>
        <v>20170714CHE01</v>
      </c>
    </row>
    <row r="4" spans="1:21" ht="15.6">
      <c r="B4" s="83" t="s">
        <v>171</v>
      </c>
      <c r="C4" s="145"/>
      <c r="D4" s="146"/>
      <c r="E4" s="146"/>
      <c r="F4" s="147"/>
      <c r="G4" s="8"/>
      <c r="H4" s="83" t="s">
        <v>56</v>
      </c>
      <c r="I4" s="110">
        <f ca="1">TODAY()</f>
        <v>44855</v>
      </c>
      <c r="L4" s="3" t="str">
        <f>IF(ISBLANK(C4),"REFERENCE NAME",C4)</f>
        <v>REFERENCE NAME</v>
      </c>
      <c r="P4" s="8"/>
      <c r="Q4" s="8"/>
      <c r="R4" s="9" t="s">
        <v>56</v>
      </c>
      <c r="T4" s="69">
        <f ca="1">I4</f>
        <v>44855</v>
      </c>
    </row>
    <row r="5" spans="1:21">
      <c r="B5" s="83" t="s">
        <v>133</v>
      </c>
      <c r="C5" s="148"/>
      <c r="D5" s="148"/>
      <c r="E5" s="148"/>
      <c r="F5" s="148"/>
      <c r="G5" s="8"/>
      <c r="H5" s="83" t="s">
        <v>169</v>
      </c>
      <c r="I5" s="110">
        <f ca="1">TODAY()</f>
        <v>44855</v>
      </c>
      <c r="L5" s="9" t="s">
        <v>133</v>
      </c>
      <c r="M5" s="76" t="str">
        <f>IF(ISBLANK(C5),"TBC",C5)</f>
        <v>TBC</v>
      </c>
      <c r="P5" s="8"/>
      <c r="Q5" s="8"/>
      <c r="R5" s="9" t="s">
        <v>57</v>
      </c>
      <c r="T5" s="69">
        <f ca="1">I5</f>
        <v>44855</v>
      </c>
    </row>
    <row r="6" spans="1:21">
      <c r="A6" s="75"/>
      <c r="B6" s="4"/>
      <c r="C6" s="8"/>
      <c r="D6" s="8"/>
      <c r="E6" s="8"/>
      <c r="F6" s="8"/>
      <c r="G6" s="8"/>
      <c r="H6" s="8"/>
      <c r="I6" s="8"/>
      <c r="J6" s="75"/>
      <c r="K6" s="75"/>
      <c r="L6" s="72"/>
      <c r="M6" s="73"/>
      <c r="N6" s="74"/>
      <c r="O6" s="73"/>
      <c r="P6" s="73"/>
      <c r="Q6" s="73"/>
      <c r="S6" s="73"/>
    </row>
    <row r="7" spans="1:21">
      <c r="A7" s="4"/>
      <c r="B7" s="84" t="s">
        <v>1</v>
      </c>
      <c r="C7" s="85" t="s">
        <v>168</v>
      </c>
      <c r="D7" s="85" t="s">
        <v>61</v>
      </c>
      <c r="E7" s="85" t="s">
        <v>204</v>
      </c>
      <c r="F7" s="85" t="s">
        <v>205</v>
      </c>
      <c r="G7" s="85" t="s">
        <v>206</v>
      </c>
      <c r="H7" s="149" t="s">
        <v>216</v>
      </c>
      <c r="I7" s="150"/>
      <c r="J7" s="4"/>
      <c r="K7" s="4"/>
      <c r="L7" s="70" t="s">
        <v>1</v>
      </c>
      <c r="M7" s="71" t="s">
        <v>2</v>
      </c>
      <c r="N7" s="71" t="s">
        <v>61</v>
      </c>
      <c r="O7" s="71" t="s">
        <v>62</v>
      </c>
      <c r="P7" s="71" t="s">
        <v>63</v>
      </c>
      <c r="Q7" s="152" t="s">
        <v>44</v>
      </c>
      <c r="R7" s="153"/>
      <c r="S7" s="153"/>
      <c r="T7" s="154"/>
      <c r="U7" s="5"/>
    </row>
    <row r="8" spans="1:21">
      <c r="A8" s="4"/>
      <c r="B8" s="10" t="s">
        <v>3</v>
      </c>
      <c r="C8" s="11" t="s">
        <v>23</v>
      </c>
      <c r="D8" s="14"/>
      <c r="E8" s="14"/>
      <c r="F8" s="11" t="s">
        <v>64</v>
      </c>
      <c r="G8" s="11" t="s">
        <v>23</v>
      </c>
      <c r="H8" s="137"/>
      <c r="I8" s="138"/>
      <c r="J8" s="4"/>
      <c r="K8" s="4"/>
      <c r="L8" s="10" t="s">
        <v>3</v>
      </c>
      <c r="M8" s="11" t="s">
        <v>23</v>
      </c>
      <c r="N8" s="14">
        <f>D8</f>
        <v>0</v>
      </c>
      <c r="O8" s="11" t="s">
        <v>64</v>
      </c>
      <c r="P8" s="11" t="s">
        <v>23</v>
      </c>
      <c r="Q8" s="11" t="e">
        <f>VLOOKUP(N8,Lookup!C3:D7,2)</f>
        <v>#N/A</v>
      </c>
      <c r="R8" s="141"/>
      <c r="S8" s="142"/>
      <c r="T8" s="151"/>
      <c r="U8" s="5"/>
    </row>
    <row r="9" spans="1:21" ht="14.4">
      <c r="A9" s="4"/>
      <c r="B9" s="10" t="s">
        <v>5</v>
      </c>
      <c r="C9" s="10" t="s">
        <v>52</v>
      </c>
      <c r="D9" s="15"/>
      <c r="E9" s="15">
        <v>5</v>
      </c>
      <c r="F9" s="11" t="s">
        <v>23</v>
      </c>
      <c r="G9" s="11" t="s">
        <v>23</v>
      </c>
      <c r="H9" s="137"/>
      <c r="I9" s="138"/>
      <c r="J9" s="4"/>
      <c r="K9" s="4"/>
      <c r="L9" s="10" t="s">
        <v>5</v>
      </c>
      <c r="M9" s="10" t="s">
        <v>52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41"/>
      <c r="S9" s="142"/>
      <c r="T9" s="151"/>
      <c r="U9" s="5"/>
    </row>
    <row r="10" spans="1:21" ht="14.4">
      <c r="A10" s="4"/>
      <c r="B10" s="10" t="s">
        <v>6</v>
      </c>
      <c r="C10" s="10" t="s">
        <v>52</v>
      </c>
      <c r="D10" s="15"/>
      <c r="E10" s="15">
        <v>5</v>
      </c>
      <c r="F10" s="11" t="s">
        <v>65</v>
      </c>
      <c r="G10" s="11" t="s">
        <v>23</v>
      </c>
      <c r="H10" s="137"/>
      <c r="I10" s="138"/>
      <c r="J10" s="4"/>
      <c r="K10" s="4"/>
      <c r="L10" s="10" t="s">
        <v>6</v>
      </c>
      <c r="M10" s="10" t="s">
        <v>52</v>
      </c>
      <c r="N10" s="15" t="str">
        <f t="shared" ref="N10:N11" si="0">IF(D10&lt;5,"&lt;5",D10)</f>
        <v>&lt;5</v>
      </c>
      <c r="O10" s="11" t="s">
        <v>65</v>
      </c>
      <c r="P10" s="11" t="s">
        <v>23</v>
      </c>
      <c r="Q10" s="11" t="str">
        <f>VLOOKUP(N10,Lookup!C27:D33,2)</f>
        <v>Trace</v>
      </c>
      <c r="R10" s="141"/>
      <c r="S10" s="142"/>
      <c r="T10" s="151"/>
      <c r="U10" s="5"/>
    </row>
    <row r="11" spans="1:21" ht="14.4">
      <c r="A11" s="4"/>
      <c r="B11" s="10" t="s">
        <v>7</v>
      </c>
      <c r="C11" s="10" t="s">
        <v>52</v>
      </c>
      <c r="D11" s="15"/>
      <c r="E11" s="15">
        <v>5</v>
      </c>
      <c r="F11" s="11" t="s">
        <v>23</v>
      </c>
      <c r="G11" s="11" t="s">
        <v>23</v>
      </c>
      <c r="H11" s="137"/>
      <c r="I11" s="138"/>
      <c r="J11" s="4"/>
      <c r="K11" s="4"/>
      <c r="L11" s="10" t="s">
        <v>7</v>
      </c>
      <c r="M11" s="10" t="s">
        <v>52</v>
      </c>
      <c r="N11" s="15" t="str">
        <f t="shared" si="0"/>
        <v>&lt;5</v>
      </c>
      <c r="O11" s="11" t="s">
        <v>23</v>
      </c>
      <c r="P11" s="11" t="s">
        <v>23</v>
      </c>
      <c r="Q11" s="11" t="str">
        <f>VLOOKUP(N11,Lookup!C35:D41,2)</f>
        <v>Trace</v>
      </c>
      <c r="R11" s="141"/>
      <c r="S11" s="142"/>
      <c r="T11" s="151"/>
      <c r="U11" s="5"/>
    </row>
    <row r="12" spans="1:21" ht="14.4">
      <c r="A12" s="4"/>
      <c r="B12" s="10" t="s">
        <v>8</v>
      </c>
      <c r="C12" s="10" t="s">
        <v>52</v>
      </c>
      <c r="D12" s="96">
        <f>D10-D11</f>
        <v>0</v>
      </c>
      <c r="E12" s="11">
        <v>5</v>
      </c>
      <c r="F12" s="11" t="s">
        <v>23</v>
      </c>
      <c r="G12" s="11" t="s">
        <v>23</v>
      </c>
      <c r="H12" s="137" t="str">
        <f>IF(D12&lt;0,"Switch Total &amp; Calcium Hardness values"," ")</f>
        <v xml:space="preserve"> </v>
      </c>
      <c r="I12" s="138"/>
      <c r="J12" s="4"/>
      <c r="K12" s="4"/>
      <c r="L12" s="10" t="s">
        <v>8</v>
      </c>
      <c r="M12" s="10" t="s">
        <v>52</v>
      </c>
      <c r="N12" s="15" t="str">
        <f>IF(D12&lt;5,"&lt;5",D12)</f>
        <v>&lt;5</v>
      </c>
      <c r="O12" s="11" t="s">
        <v>23</v>
      </c>
      <c r="P12" s="11" t="s">
        <v>23</v>
      </c>
      <c r="Q12" s="11" t="str">
        <f>VLOOKUP(N12,Lookup!C35:D41,2)</f>
        <v>Trace</v>
      </c>
      <c r="R12" s="141" t="s">
        <v>150</v>
      </c>
      <c r="S12" s="142"/>
      <c r="T12" s="151"/>
      <c r="U12" s="5"/>
    </row>
    <row r="13" spans="1:21" ht="14.4">
      <c r="A13" s="4"/>
      <c r="B13" s="10" t="s">
        <v>14</v>
      </c>
      <c r="C13" s="10" t="s">
        <v>53</v>
      </c>
      <c r="D13" s="96">
        <f>2*(IF(D9&lt;5,5,D9)-(5*10^(D8-10)))/(1+(0.94*10^(D8-10)))*10^(6-D8)</f>
        <v>9999999.9980600011</v>
      </c>
      <c r="E13" s="15"/>
      <c r="F13" s="11" t="s">
        <v>23</v>
      </c>
      <c r="G13" s="11" t="s">
        <v>23</v>
      </c>
      <c r="H13" s="137"/>
      <c r="I13" s="138"/>
      <c r="J13" s="4"/>
      <c r="K13" s="4"/>
      <c r="L13" s="10" t="s">
        <v>14</v>
      </c>
      <c r="M13" s="10" t="s">
        <v>53</v>
      </c>
      <c r="N13" s="15">
        <f>IF(D13&lt;1,"&lt;1",D13)</f>
        <v>9999999.9980600011</v>
      </c>
      <c r="O13" s="11" t="s">
        <v>23</v>
      </c>
      <c r="P13" s="11" t="s">
        <v>23</v>
      </c>
      <c r="Q13" s="11" t="str">
        <f>VLOOKUP(N13,Lookup!C98:D103,2)</f>
        <v>Very High</v>
      </c>
      <c r="R13" s="141" t="s">
        <v>150</v>
      </c>
      <c r="S13" s="142"/>
      <c r="T13" s="151"/>
      <c r="U13" s="5"/>
    </row>
    <row r="14" spans="1:21">
      <c r="A14" s="4"/>
      <c r="B14" s="10" t="s">
        <v>17</v>
      </c>
      <c r="C14" s="11" t="s">
        <v>23</v>
      </c>
      <c r="D14" s="97">
        <f>+D8+0.5+VLOOKUP(IF(D9&lt;5,5,D9),LSI!$F$2:$G$25,2)+VLOOKUP(IF(D10&lt;5,5,D10),LSI!$H$2:$I$25,2)-12.1</f>
        <v>-10.6</v>
      </c>
      <c r="E14" s="14"/>
      <c r="F14" s="11" t="s">
        <v>23</v>
      </c>
      <c r="G14" s="11" t="s">
        <v>23</v>
      </c>
      <c r="H14" s="137"/>
      <c r="I14" s="138"/>
      <c r="J14" s="4"/>
      <c r="K14" s="4"/>
      <c r="L14" s="10" t="s">
        <v>117</v>
      </c>
      <c r="M14" s="11" t="s">
        <v>23</v>
      </c>
      <c r="N14" s="14">
        <f>D14</f>
        <v>-10.6</v>
      </c>
      <c r="O14" s="11" t="s">
        <v>23</v>
      </c>
      <c r="P14" s="11" t="s">
        <v>23</v>
      </c>
      <c r="Q14" s="11" t="e">
        <f>VLOOKUP(N14,Lookup!C105:D109,2)</f>
        <v>#N/A</v>
      </c>
      <c r="R14" s="141" t="s">
        <v>150</v>
      </c>
      <c r="S14" s="142"/>
      <c r="T14" s="151"/>
      <c r="U14" s="5"/>
    </row>
    <row r="15" spans="1:21" ht="14.4">
      <c r="A15" s="4"/>
      <c r="B15" s="10" t="s">
        <v>9</v>
      </c>
      <c r="C15" s="10" t="s">
        <v>54</v>
      </c>
      <c r="D15" s="15"/>
      <c r="E15" s="15">
        <v>1</v>
      </c>
      <c r="F15" s="11" t="s">
        <v>23</v>
      </c>
      <c r="G15" s="11" t="s">
        <v>23</v>
      </c>
      <c r="H15" s="137"/>
      <c r="I15" s="138"/>
      <c r="J15" s="4"/>
      <c r="K15" s="4"/>
      <c r="L15" s="10" t="s">
        <v>9</v>
      </c>
      <c r="M15" s="10" t="s">
        <v>54</v>
      </c>
      <c r="N15" s="15" t="str">
        <f>IF(D15&lt;5,"&lt;5",D15)</f>
        <v>&lt;5</v>
      </c>
      <c r="O15" s="11" t="s">
        <v>23</v>
      </c>
      <c r="P15" s="11" t="s">
        <v>23</v>
      </c>
      <c r="Q15" s="11" t="str">
        <f>VLOOKUP(N15,Lookup!C43:D50,2)</f>
        <v>Not Detected</v>
      </c>
      <c r="R15" s="141"/>
      <c r="S15" s="142"/>
      <c r="T15" s="151"/>
      <c r="U15" s="5"/>
    </row>
    <row r="16" spans="1:21" ht="14.4">
      <c r="A16" s="4"/>
      <c r="B16" s="10" t="s">
        <v>108</v>
      </c>
      <c r="C16" s="10" t="s">
        <v>109</v>
      </c>
      <c r="D16" s="15"/>
      <c r="E16" s="15">
        <v>1</v>
      </c>
      <c r="F16" s="11" t="s">
        <v>23</v>
      </c>
      <c r="G16" s="11">
        <v>50</v>
      </c>
      <c r="H16" s="137"/>
      <c r="I16" s="138"/>
      <c r="J16" s="4"/>
      <c r="K16" s="4"/>
      <c r="L16" s="10" t="s">
        <v>108</v>
      </c>
      <c r="M16" s="10" t="s">
        <v>109</v>
      </c>
      <c r="N16" s="15" t="str">
        <f>IF(D16&lt;1,"&lt;1",D16)</f>
        <v>&lt;1</v>
      </c>
      <c r="O16" s="11" t="s">
        <v>23</v>
      </c>
      <c r="P16" s="11">
        <v>50</v>
      </c>
      <c r="Q16" s="11" t="str">
        <f>VLOOKUP(N16,Lookup!C89:D96,2)</f>
        <v>Not Detected</v>
      </c>
      <c r="R16" s="141"/>
      <c r="S16" s="142"/>
      <c r="T16" s="151"/>
      <c r="U16" s="5"/>
    </row>
    <row r="17" spans="1:21">
      <c r="A17" s="4"/>
      <c r="B17" s="10" t="s">
        <v>10</v>
      </c>
      <c r="C17" s="10" t="s">
        <v>24</v>
      </c>
      <c r="D17" s="11"/>
      <c r="E17" s="11">
        <v>0.01</v>
      </c>
      <c r="F17" s="11" t="s">
        <v>66</v>
      </c>
      <c r="G17" s="11" t="s">
        <v>23</v>
      </c>
      <c r="H17" s="139" t="str">
        <f>IF(D17&gt;=0.01,"Check if need to increase decimal on the right"," ")</f>
        <v xml:space="preserve"> </v>
      </c>
      <c r="I17" s="140"/>
      <c r="J17" s="4"/>
      <c r="K17" s="4"/>
      <c r="L17" s="10" t="s">
        <v>10</v>
      </c>
      <c r="M17" s="10" t="s">
        <v>24</v>
      </c>
      <c r="N17" s="14" t="str">
        <f>IF(D17&lt;0.01,"&lt;0.01",D17)</f>
        <v>&lt;0.01</v>
      </c>
      <c r="O17" s="11" t="s">
        <v>66</v>
      </c>
      <c r="P17" s="11" t="s">
        <v>23</v>
      </c>
      <c r="Q17" s="11" t="str">
        <f>VLOOKUP(N17,Lookup!C52:D59,2)</f>
        <v>Not Detected</v>
      </c>
      <c r="R17" s="141"/>
      <c r="S17" s="142"/>
      <c r="T17" s="151"/>
      <c r="U17" s="5"/>
    </row>
    <row r="18" spans="1:21">
      <c r="A18" s="4"/>
      <c r="B18" s="10" t="s">
        <v>11</v>
      </c>
      <c r="C18" s="10" t="s">
        <v>24</v>
      </c>
      <c r="D18" s="11"/>
      <c r="E18" s="11">
        <v>1.5</v>
      </c>
      <c r="F18" s="11" t="s">
        <v>67</v>
      </c>
      <c r="G18" s="11">
        <v>0.4</v>
      </c>
      <c r="H18" s="139" t="str">
        <f t="shared" ref="H18:H20" si="1">IF(D18&gt;=0.01,"Check if need to increase decimal on the right"," ")</f>
        <v xml:space="preserve"> </v>
      </c>
      <c r="I18" s="140"/>
      <c r="J18" s="4"/>
      <c r="K18" s="4"/>
      <c r="L18" s="10" t="s">
        <v>11</v>
      </c>
      <c r="M18" s="10" t="s">
        <v>24</v>
      </c>
      <c r="N18" s="14" t="str">
        <f>IF(D18&lt;0.01,"&lt;0.01",D18)</f>
        <v>&lt;0.01</v>
      </c>
      <c r="O18" s="11" t="s">
        <v>67</v>
      </c>
      <c r="P18" s="11">
        <v>0.4</v>
      </c>
      <c r="Q18" s="11" t="str">
        <f>VLOOKUP(N18,Lookup!C61:D65,2)</f>
        <v>Not Detected</v>
      </c>
      <c r="R18" s="141" t="s">
        <v>68</v>
      </c>
      <c r="S18" s="142"/>
      <c r="T18" s="151"/>
      <c r="U18" s="5"/>
    </row>
    <row r="19" spans="1:21">
      <c r="A19" s="4"/>
      <c r="B19" s="10" t="s">
        <v>12</v>
      </c>
      <c r="C19" s="10" t="s">
        <v>24</v>
      </c>
      <c r="D19" s="11"/>
      <c r="E19" s="11">
        <v>0.01</v>
      </c>
      <c r="F19" s="11" t="s">
        <v>42</v>
      </c>
      <c r="G19" s="11" t="s">
        <v>23</v>
      </c>
      <c r="H19" s="139" t="str">
        <f t="shared" si="1"/>
        <v xml:space="preserve"> </v>
      </c>
      <c r="I19" s="140"/>
      <c r="J19" s="4"/>
      <c r="K19" s="4"/>
      <c r="L19" s="10" t="s">
        <v>12</v>
      </c>
      <c r="M19" s="10" t="s">
        <v>24</v>
      </c>
      <c r="N19" s="14" t="str">
        <f>IF(D19&lt;0.01,"&lt;0.01",D19)</f>
        <v>&lt;0.01</v>
      </c>
      <c r="O19" s="11" t="s">
        <v>42</v>
      </c>
      <c r="P19" s="11" t="s">
        <v>23</v>
      </c>
      <c r="Q19" s="11" t="str">
        <f>VLOOKUP(N19,Lookup!C67:D72,2)</f>
        <v>Not Detected</v>
      </c>
      <c r="R19" s="141"/>
      <c r="S19" s="142"/>
      <c r="T19" s="151"/>
      <c r="U19" s="5"/>
    </row>
    <row r="20" spans="1:21">
      <c r="A20" s="4"/>
      <c r="B20" s="10" t="s">
        <v>13</v>
      </c>
      <c r="C20" s="10" t="s">
        <v>24</v>
      </c>
      <c r="D20" s="11"/>
      <c r="E20" s="11">
        <v>0.01</v>
      </c>
      <c r="F20" s="11" t="s">
        <v>39</v>
      </c>
      <c r="G20" s="15">
        <v>2</v>
      </c>
      <c r="H20" s="139" t="str">
        <f t="shared" si="1"/>
        <v xml:space="preserve"> </v>
      </c>
      <c r="I20" s="140"/>
      <c r="J20" s="4"/>
      <c r="K20" s="4"/>
      <c r="L20" s="10" t="s">
        <v>13</v>
      </c>
      <c r="M20" s="10" t="s">
        <v>24</v>
      </c>
      <c r="N20" s="14" t="str">
        <f>IF(D20&lt;0.01,"&lt;0.01",D20)</f>
        <v>&lt;0.01</v>
      </c>
      <c r="O20" s="11" t="s">
        <v>39</v>
      </c>
      <c r="P20" s="15">
        <v>2</v>
      </c>
      <c r="Q20" s="11" t="str">
        <f>VLOOKUP(N20,Lookup!C74:D78,2)</f>
        <v>Not Detected</v>
      </c>
      <c r="R20" s="141"/>
      <c r="S20" s="142"/>
      <c r="T20" s="151"/>
      <c r="U20" s="5"/>
    </row>
    <row r="21" spans="1:21">
      <c r="A21" s="4"/>
      <c r="B21" s="10" t="s">
        <v>4</v>
      </c>
      <c r="C21" s="10" t="s">
        <v>24</v>
      </c>
      <c r="D21" s="11"/>
      <c r="E21" s="11">
        <v>10</v>
      </c>
      <c r="F21" s="11" t="s">
        <v>69</v>
      </c>
      <c r="G21" s="11" t="s">
        <v>23</v>
      </c>
      <c r="H21" s="137"/>
      <c r="I21" s="138"/>
      <c r="J21" s="4"/>
      <c r="K21" s="4"/>
      <c r="L21" s="10" t="s">
        <v>4</v>
      </c>
      <c r="M21" s="10" t="s">
        <v>24</v>
      </c>
      <c r="N21" s="15" t="str">
        <f>IF(D21&lt;10,"&lt;10",D21)</f>
        <v>&lt;10</v>
      </c>
      <c r="O21" s="11" t="s">
        <v>69</v>
      </c>
      <c r="P21" s="11" t="s">
        <v>23</v>
      </c>
      <c r="Q21" s="11" t="str">
        <f>VLOOKUP(N21,Lookup!C9:D16,2)</f>
        <v>Trace</v>
      </c>
      <c r="R21" s="141" t="s">
        <v>150</v>
      </c>
      <c r="S21" s="142"/>
      <c r="T21" s="151"/>
      <c r="U21" s="5"/>
    </row>
    <row r="22" spans="1:21">
      <c r="A22" s="4"/>
      <c r="B22" s="10" t="s">
        <v>15</v>
      </c>
      <c r="C22" s="10" t="s">
        <v>24</v>
      </c>
      <c r="D22" s="15"/>
      <c r="E22" s="15">
        <v>1</v>
      </c>
      <c r="F22" s="11" t="s">
        <v>70</v>
      </c>
      <c r="G22" s="11" t="s">
        <v>23</v>
      </c>
      <c r="H22" s="137"/>
      <c r="I22" s="138"/>
      <c r="J22" s="4"/>
      <c r="K22" s="4"/>
      <c r="L22" s="10" t="s">
        <v>15</v>
      </c>
      <c r="M22" s="10" t="s">
        <v>24</v>
      </c>
      <c r="N22" s="15" t="str">
        <f>IF(D22&lt;1,"&lt;1",D22)</f>
        <v>&lt;1</v>
      </c>
      <c r="O22" s="11" t="s">
        <v>70</v>
      </c>
      <c r="P22" s="11" t="s">
        <v>23</v>
      </c>
      <c r="Q22" s="11" t="str">
        <f>VLOOKUP(N22,Lookup!C80:D87,2)</f>
        <v>Trace</v>
      </c>
      <c r="R22" s="141"/>
      <c r="S22" s="142"/>
      <c r="T22" s="151"/>
      <c r="U22" s="5"/>
    </row>
    <row r="23" spans="1:21">
      <c r="A23" s="4"/>
      <c r="B23" s="10" t="s">
        <v>16</v>
      </c>
      <c r="C23" s="10" t="s">
        <v>24</v>
      </c>
      <c r="D23" s="15"/>
      <c r="E23" s="15"/>
      <c r="F23" s="11" t="s">
        <v>65</v>
      </c>
      <c r="G23" s="11" t="s">
        <v>23</v>
      </c>
      <c r="H23" s="137"/>
      <c r="I23" s="138"/>
      <c r="J23" s="4"/>
      <c r="K23" s="4"/>
      <c r="L23" s="10" t="s">
        <v>16</v>
      </c>
      <c r="M23" s="10" t="s">
        <v>24</v>
      </c>
      <c r="N23" s="15" t="str">
        <f>IF(D23&lt;1,"&lt;1",D23)</f>
        <v>&lt;1</v>
      </c>
      <c r="O23" s="11" t="s">
        <v>65</v>
      </c>
      <c r="P23" s="11" t="s">
        <v>23</v>
      </c>
      <c r="Q23" s="11" t="str">
        <f>VLOOKUP(N23,Lookup!C80:D87,2)</f>
        <v>Trace</v>
      </c>
      <c r="R23" s="141"/>
      <c r="S23" s="142"/>
      <c r="T23" s="151"/>
      <c r="U23" s="5"/>
    </row>
    <row r="24" spans="1:21" hidden="1">
      <c r="A24" s="4"/>
      <c r="B24" s="10" t="s">
        <v>178</v>
      </c>
      <c r="C24" s="10" t="s">
        <v>179</v>
      </c>
      <c r="D24" s="15"/>
      <c r="E24" s="15"/>
      <c r="F24" s="11" t="s">
        <v>23</v>
      </c>
      <c r="G24" s="11" t="s">
        <v>23</v>
      </c>
      <c r="H24" s="137"/>
      <c r="I24" s="138"/>
      <c r="J24" s="4"/>
      <c r="K24" s="4"/>
      <c r="L24" s="10" t="s">
        <v>178</v>
      </c>
      <c r="M24" s="10" t="s">
        <v>179</v>
      </c>
      <c r="N24" s="81" t="str">
        <f>IF(D24&lt;5,"&lt;5")</f>
        <v>&lt;5</v>
      </c>
      <c r="O24" s="11" t="s">
        <v>23</v>
      </c>
      <c r="P24" s="11" t="s">
        <v>23</v>
      </c>
      <c r="Q24" s="11" t="s">
        <v>23</v>
      </c>
      <c r="R24" s="141"/>
      <c r="S24" s="142"/>
      <c r="T24" s="151"/>
      <c r="U24" s="5"/>
    </row>
    <row r="25" spans="1:21">
      <c r="A25" s="4"/>
      <c r="B25" s="10" t="s">
        <v>178</v>
      </c>
      <c r="C25" s="10" t="s">
        <v>180</v>
      </c>
      <c r="D25" s="15"/>
      <c r="E25" s="15"/>
      <c r="F25" s="11" t="s">
        <v>23</v>
      </c>
      <c r="G25" s="11" t="s">
        <v>23</v>
      </c>
      <c r="H25" s="137"/>
      <c r="I25" s="138"/>
      <c r="J25" s="4"/>
      <c r="K25" s="4"/>
      <c r="L25" s="10" t="s">
        <v>178</v>
      </c>
      <c r="M25" s="10" t="s">
        <v>180</v>
      </c>
      <c r="N25" s="14">
        <f>D25</f>
        <v>0</v>
      </c>
      <c r="O25" s="11" t="s">
        <v>23</v>
      </c>
      <c r="P25" s="11" t="s">
        <v>23</v>
      </c>
      <c r="Q25" s="11" t="s">
        <v>23</v>
      </c>
      <c r="R25" s="141"/>
      <c r="S25" s="142"/>
      <c r="T25" s="151"/>
      <c r="U25" s="5"/>
    </row>
    <row r="26" spans="1:21">
      <c r="A26" s="4"/>
      <c r="B26" s="10" t="s">
        <v>18</v>
      </c>
      <c r="C26" s="10" t="s">
        <v>25</v>
      </c>
      <c r="D26" s="11"/>
      <c r="E26" s="11">
        <v>0.05</v>
      </c>
      <c r="F26" s="11" t="s">
        <v>71</v>
      </c>
      <c r="G26" s="11" t="s">
        <v>23</v>
      </c>
      <c r="H26" s="137"/>
      <c r="I26" s="138"/>
      <c r="J26" s="4"/>
      <c r="K26" s="4"/>
      <c r="L26" s="10" t="s">
        <v>18</v>
      </c>
      <c r="M26" s="10" t="s">
        <v>25</v>
      </c>
      <c r="N26" s="15" t="str">
        <f>IF(D26&lt;0.05,"&lt;0.05",D26)</f>
        <v>&lt;0.05</v>
      </c>
      <c r="O26" s="11" t="s">
        <v>71</v>
      </c>
      <c r="P26" s="11" t="s">
        <v>23</v>
      </c>
      <c r="Q26" s="11" t="str">
        <f>VLOOKUP(N26,Lookup!C124:D131,2)</f>
        <v>Very Low</v>
      </c>
      <c r="R26" s="141"/>
      <c r="S26" s="142"/>
      <c r="T26" s="151"/>
      <c r="U26" s="5"/>
    </row>
    <row r="27" spans="1:21">
      <c r="A27" s="4"/>
      <c r="B27" s="10" t="s">
        <v>159</v>
      </c>
      <c r="C27" s="10" t="s">
        <v>160</v>
      </c>
      <c r="D27" s="15"/>
      <c r="E27" s="15">
        <v>5</v>
      </c>
      <c r="F27" s="11" t="s">
        <v>23</v>
      </c>
      <c r="G27" s="11" t="s">
        <v>23</v>
      </c>
      <c r="H27" s="137"/>
      <c r="I27" s="138"/>
      <c r="J27" s="4"/>
      <c r="K27" s="4"/>
      <c r="L27" s="10" t="s">
        <v>159</v>
      </c>
      <c r="M27" s="10" t="s">
        <v>160</v>
      </c>
      <c r="N27" s="15" t="str">
        <f>IF(D27&lt;5,"&lt;5",D27)</f>
        <v>&lt;5</v>
      </c>
      <c r="O27" s="11" t="s">
        <v>23</v>
      </c>
      <c r="P27" s="11" t="s">
        <v>23</v>
      </c>
      <c r="Q27" s="11" t="str">
        <f>VLOOKUP(N27,Lookup!C149:D152,2)</f>
        <v>Very Low</v>
      </c>
      <c r="R27" s="141"/>
      <c r="S27" s="142"/>
      <c r="T27" s="151"/>
      <c r="U27" s="5"/>
    </row>
    <row r="28" spans="1:21" ht="14.4">
      <c r="A28" s="4"/>
      <c r="B28" s="10" t="s">
        <v>19</v>
      </c>
      <c r="C28" s="10" t="s">
        <v>55</v>
      </c>
      <c r="D28" s="14"/>
      <c r="E28" s="14">
        <v>5</v>
      </c>
      <c r="F28" s="11" t="s">
        <v>23</v>
      </c>
      <c r="G28" s="11" t="s">
        <v>23</v>
      </c>
      <c r="H28" s="137"/>
      <c r="I28" s="138"/>
      <c r="J28" s="4"/>
      <c r="K28" s="4"/>
      <c r="L28" s="10" t="s">
        <v>19</v>
      </c>
      <c r="M28" s="10" t="s">
        <v>55</v>
      </c>
      <c r="N28" s="15" t="str">
        <f>IF(D28&lt;5,"&lt;5",D28)</f>
        <v>&lt;5</v>
      </c>
      <c r="O28" s="11" t="s">
        <v>23</v>
      </c>
      <c r="P28" s="11" t="s">
        <v>23</v>
      </c>
      <c r="Q28" s="11" t="str">
        <f>VLOOKUP(N28,Lookup!C133:D139,2)</f>
        <v>Very Poor</v>
      </c>
      <c r="R28" s="141"/>
      <c r="S28" s="142"/>
      <c r="T28" s="151"/>
      <c r="U28" s="5"/>
    </row>
    <row r="29" spans="1:21">
      <c r="A29" s="4"/>
      <c r="B29" s="65"/>
      <c r="C29" s="65"/>
      <c r="D29" s="67"/>
      <c r="E29" s="67"/>
      <c r="F29" s="67"/>
      <c r="G29" s="67"/>
      <c r="H29" s="67"/>
      <c r="I29" s="67"/>
      <c r="J29" s="4"/>
      <c r="K29" s="4"/>
      <c r="L29" s="65"/>
      <c r="M29" s="65"/>
      <c r="N29" s="67"/>
      <c r="O29" s="67"/>
      <c r="P29" s="67"/>
      <c r="Q29" s="67"/>
      <c r="R29" s="88"/>
      <c r="S29" s="88"/>
      <c r="T29" s="88"/>
      <c r="U29" s="5"/>
    </row>
    <row r="30" spans="1:21">
      <c r="A30" s="4"/>
      <c r="B30" s="7" t="s">
        <v>207</v>
      </c>
      <c r="C30" s="141" t="s">
        <v>209</v>
      </c>
      <c r="D30" s="142"/>
      <c r="E30" s="143" t="s">
        <v>197</v>
      </c>
      <c r="F30" s="143"/>
      <c r="G30" s="58" t="s">
        <v>210</v>
      </c>
      <c r="H30" s="143" t="s">
        <v>201</v>
      </c>
      <c r="I30" s="144"/>
      <c r="J30" s="4"/>
      <c r="K30" s="4"/>
      <c r="L30" s="90" t="str">
        <f>CONCATENATE(B30, " ", C30, " ", E30," ", G30, " ", H30)</f>
        <v>Comments: The sample was slightly discoloured  with no significant sediments</v>
      </c>
      <c r="M30" s="4"/>
      <c r="N30" s="4"/>
      <c r="O30" s="4"/>
      <c r="P30" s="4"/>
      <c r="Q30" s="4"/>
      <c r="R30" s="4"/>
      <c r="S30" s="4"/>
      <c r="T30" s="4"/>
      <c r="U30" s="5"/>
    </row>
    <row r="31" spans="1:21">
      <c r="A31" s="4"/>
      <c r="B31" s="108" t="s">
        <v>211</v>
      </c>
      <c r="C31" s="111" t="str">
        <f>IF(D14&lt;-1.5,"The negative LSI indicates corrosive water.",IF(D10&gt;60,"The high hardness will likely cause lime scale, particularity at elevated temperatures"," "))</f>
        <v>The negative LSI indicates corrosive water.</v>
      </c>
      <c r="D31" s="112"/>
      <c r="E31" s="112"/>
      <c r="F31" s="112"/>
      <c r="G31" s="112"/>
      <c r="H31" s="112"/>
      <c r="I31" s="113"/>
      <c r="J31" s="4"/>
      <c r="K31" s="4"/>
      <c r="L31" s="88" t="str">
        <f t="shared" ref="L31:L36" si="2">C31</f>
        <v>The negative LSI indicates corrosive water.</v>
      </c>
      <c r="M31" s="88"/>
      <c r="U31" s="5"/>
    </row>
    <row r="32" spans="1:21">
      <c r="A32" s="4"/>
      <c r="B32" s="108" t="s">
        <v>212</v>
      </c>
      <c r="C32" s="111" t="str">
        <f>IF(D15&lt;50," ","The high silica level may cause scale, treatment options are available but expensive")</f>
        <v xml:space="preserve"> </v>
      </c>
      <c r="D32" s="114"/>
      <c r="E32" s="114"/>
      <c r="F32" s="114"/>
      <c r="G32" s="114"/>
      <c r="H32" s="115"/>
      <c r="I32" s="116"/>
      <c r="J32" s="4"/>
      <c r="K32" s="4"/>
      <c r="L32" s="98" t="str">
        <f t="shared" si="2"/>
        <v xml:space="preserve"> </v>
      </c>
      <c r="U32" s="5"/>
    </row>
    <row r="33" spans="1:21">
      <c r="A33" s="4"/>
      <c r="B33" s="108" t="s">
        <v>213</v>
      </c>
      <c r="C33" s="111" t="str">
        <f>IF(D17&lt;0.2," ","The high iron content may cause staining, taste and odour issues.")</f>
        <v xml:space="preserve"> </v>
      </c>
      <c r="D33" s="114"/>
      <c r="E33" s="114"/>
      <c r="F33" s="114"/>
      <c r="G33" s="114"/>
      <c r="H33" s="114"/>
      <c r="I33" s="116"/>
      <c r="J33" s="4"/>
      <c r="K33" s="4"/>
      <c r="L33" s="98" t="str">
        <f t="shared" si="2"/>
        <v xml:space="preserve"> </v>
      </c>
      <c r="U33" s="5"/>
    </row>
    <row r="34" spans="1:21">
      <c r="A34" s="4"/>
      <c r="B34" s="108" t="s">
        <v>214</v>
      </c>
      <c r="C34" s="111" t="str">
        <f>IF(D18&lt;0.04," ","The high manganese content may cause staining, taste and odour issues.")</f>
        <v xml:space="preserve"> </v>
      </c>
      <c r="D34" s="114"/>
      <c r="E34" s="114"/>
      <c r="F34" s="114"/>
      <c r="G34" s="114"/>
      <c r="H34" s="114"/>
      <c r="I34" s="116"/>
      <c r="J34" s="4"/>
      <c r="K34" s="4"/>
      <c r="L34" s="98" t="str">
        <f t="shared" si="2"/>
        <v xml:space="preserve"> </v>
      </c>
      <c r="U34" s="5"/>
    </row>
    <row r="35" spans="1:21">
      <c r="A35" s="4"/>
      <c r="B35" s="108" t="s">
        <v>217</v>
      </c>
      <c r="C35" s="111" t="str">
        <f>IF(D22&lt;200," ","The high chloride level indicates possible salt water intrusion")</f>
        <v xml:space="preserve"> </v>
      </c>
      <c r="D35" s="117"/>
      <c r="E35" s="117"/>
      <c r="F35" s="114"/>
      <c r="G35" s="114"/>
      <c r="H35" s="114"/>
      <c r="I35" s="116"/>
      <c r="J35" s="4"/>
      <c r="K35" s="4"/>
      <c r="L35" s="98" t="str">
        <f t="shared" si="2"/>
        <v xml:space="preserve"> </v>
      </c>
      <c r="M35" s="88"/>
      <c r="U35" s="5"/>
    </row>
    <row r="36" spans="1:21">
      <c r="A36" s="4"/>
      <c r="B36" s="108" t="s">
        <v>215</v>
      </c>
      <c r="C36" s="118" t="str">
        <f>IF(COUNTIF(Q8:Q28,"Above MAV")&gt;0,"The sample contained results above the MAV for drinking water, treatment is highly recommended"," ")</f>
        <v xml:space="preserve"> </v>
      </c>
      <c r="D36" s="114"/>
      <c r="E36" s="114"/>
      <c r="F36" s="119"/>
      <c r="G36" s="119"/>
      <c r="H36" s="119"/>
      <c r="I36" s="120"/>
      <c r="J36" s="4"/>
      <c r="K36" s="4"/>
      <c r="L36" s="98" t="str">
        <f t="shared" si="2"/>
        <v xml:space="preserve"> </v>
      </c>
      <c r="M36" s="88"/>
      <c r="U36" s="5"/>
    </row>
    <row r="37" spans="1:21">
      <c r="A37" s="4"/>
      <c r="B37" s="108"/>
      <c r="C37" s="98"/>
      <c r="D37" s="8"/>
      <c r="E37" s="8"/>
      <c r="F37" s="5"/>
      <c r="G37" s="5"/>
      <c r="H37" s="5"/>
      <c r="I37" s="5"/>
      <c r="J37" s="4"/>
      <c r="K37" s="4"/>
      <c r="L37" s="98"/>
      <c r="M37" s="98"/>
      <c r="U37" s="5"/>
    </row>
    <row r="38" spans="1:21">
      <c r="A38" s="4"/>
      <c r="B38" s="89"/>
      <c r="C38" s="89"/>
      <c r="D38" s="5"/>
      <c r="E38" s="5"/>
      <c r="F38" s="5"/>
      <c r="G38" s="5"/>
      <c r="H38" s="5"/>
      <c r="I38" s="5"/>
      <c r="J38" s="4"/>
      <c r="K38" s="4"/>
      <c r="L38" s="61" t="s">
        <v>62</v>
      </c>
      <c r="M38" s="62" t="s">
        <v>192</v>
      </c>
      <c r="N38" s="63"/>
      <c r="O38" s="63"/>
      <c r="P38" s="63"/>
      <c r="Q38" s="63"/>
      <c r="R38" s="63"/>
      <c r="S38" s="63"/>
      <c r="T38" s="63"/>
      <c r="U38" s="5"/>
    </row>
    <row r="39" spans="1:21">
      <c r="A39" s="4"/>
      <c r="C39" s="89"/>
      <c r="D39" s="5"/>
      <c r="E39" s="5"/>
      <c r="F39" s="5"/>
      <c r="G39" s="5"/>
      <c r="H39" s="5"/>
      <c r="I39" s="5"/>
      <c r="J39" s="4"/>
      <c r="K39" s="4"/>
      <c r="L39" s="55" t="s">
        <v>63</v>
      </c>
      <c r="M39" s="156" t="s">
        <v>193</v>
      </c>
      <c r="N39" s="156"/>
      <c r="O39" s="156"/>
      <c r="P39" s="156"/>
      <c r="Q39" s="156"/>
      <c r="R39" s="156"/>
      <c r="S39" s="156"/>
      <c r="T39" s="156"/>
      <c r="U39" s="5"/>
    </row>
    <row r="40" spans="1:21">
      <c r="A40" s="4"/>
      <c r="C40" s="98"/>
      <c r="D40" s="5"/>
      <c r="E40" s="5"/>
      <c r="F40" s="5"/>
      <c r="G40" s="5"/>
      <c r="H40" s="5"/>
      <c r="I40" s="5"/>
      <c r="J40" s="4"/>
      <c r="K40" s="4"/>
      <c r="L40" s="55" t="s">
        <v>24</v>
      </c>
      <c r="M40" s="155" t="s">
        <v>129</v>
      </c>
      <c r="N40" s="156"/>
      <c r="O40" s="156"/>
      <c r="P40" s="156"/>
      <c r="Q40" s="156"/>
      <c r="R40" s="156"/>
      <c r="S40" s="156"/>
      <c r="T40" s="156"/>
      <c r="U40" s="5"/>
    </row>
    <row r="41" spans="1:21">
      <c r="A41" s="4"/>
      <c r="B41" s="98"/>
      <c r="C41" s="89"/>
      <c r="D41" s="5"/>
      <c r="E41" s="5"/>
      <c r="F41" s="5"/>
      <c r="G41" s="5"/>
      <c r="H41" s="5"/>
      <c r="I41" s="5"/>
      <c r="J41" s="4"/>
      <c r="K41" s="4"/>
      <c r="L41" s="55"/>
      <c r="M41" s="155"/>
      <c r="N41" s="156"/>
      <c r="O41" s="156"/>
      <c r="P41" s="156"/>
      <c r="Q41" s="156"/>
      <c r="R41" s="156"/>
      <c r="S41" s="156"/>
      <c r="T41" s="156"/>
      <c r="U41" s="5"/>
    </row>
    <row r="42" spans="1:21">
      <c r="A42" s="4"/>
      <c r="B42" s="98"/>
      <c r="C42" s="5"/>
      <c r="D42" s="5"/>
      <c r="E42" s="5"/>
      <c r="F42" s="5"/>
      <c r="G42" s="5"/>
      <c r="H42" s="5"/>
      <c r="I42" s="5"/>
      <c r="J42" s="4"/>
      <c r="K42" s="4"/>
      <c r="L42" s="4"/>
      <c r="M42" s="8"/>
      <c r="N42" s="8"/>
      <c r="O42" s="8"/>
      <c r="P42" s="8"/>
      <c r="Q42" s="8"/>
      <c r="R42" s="8"/>
      <c r="S42" s="8"/>
      <c r="T42" s="8"/>
      <c r="U42" s="5"/>
    </row>
    <row r="43" spans="1:21">
      <c r="A43" s="4"/>
      <c r="B43" s="98"/>
      <c r="C43" s="5"/>
      <c r="D43" s="99"/>
      <c r="E43" s="5"/>
      <c r="F43" s="5"/>
      <c r="G43" s="5"/>
      <c r="H43" s="5"/>
      <c r="I43" s="5"/>
      <c r="J43" s="4"/>
      <c r="K43" s="4"/>
      <c r="L43" s="4"/>
      <c r="M43" s="8"/>
      <c r="N43" s="8"/>
      <c r="O43" s="8"/>
      <c r="P43" s="8"/>
      <c r="Q43" s="8"/>
      <c r="R43" s="8"/>
      <c r="S43" s="8"/>
      <c r="T43" s="8"/>
      <c r="U43" s="5"/>
    </row>
    <row r="44" spans="1:21">
      <c r="A44" s="4"/>
      <c r="B44" s="98"/>
      <c r="C44" s="5"/>
      <c r="D44" s="5"/>
      <c r="E44" s="5"/>
      <c r="F44" s="5"/>
      <c r="G44" s="5"/>
      <c r="H44" s="5"/>
      <c r="I44" s="5"/>
      <c r="J44" s="4"/>
      <c r="K44" s="4"/>
      <c r="L44" s="4" t="s">
        <v>190</v>
      </c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8"/>
      <c r="C45" s="5"/>
      <c r="D45" s="5"/>
      <c r="E45" s="5"/>
      <c r="F45" s="5"/>
      <c r="G45" s="5"/>
      <c r="H45" s="5"/>
      <c r="I45" s="5"/>
      <c r="J45" s="4"/>
      <c r="K45" s="4"/>
      <c r="L45" s="4" t="s">
        <v>191</v>
      </c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8"/>
      <c r="C46" s="5"/>
      <c r="D46" s="5"/>
      <c r="E46" s="5"/>
      <c r="F46" s="5"/>
      <c r="G46" s="5"/>
      <c r="H46" s="5"/>
      <c r="I46" s="5"/>
      <c r="J46" s="4"/>
      <c r="K46" s="4"/>
      <c r="L46" s="4" t="s">
        <v>146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8"/>
      <c r="C47" s="5"/>
      <c r="D47" s="5"/>
      <c r="E47" s="5"/>
      <c r="F47" s="5"/>
      <c r="G47" s="5"/>
      <c r="H47" s="5"/>
      <c r="I47" s="5"/>
      <c r="J47" s="4"/>
      <c r="K47" s="4"/>
      <c r="L47" s="12" t="s">
        <v>185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</sheetData>
  <mergeCells count="53">
    <mergeCell ref="M41:T41"/>
    <mergeCell ref="R25:T25"/>
    <mergeCell ref="R26:T26"/>
    <mergeCell ref="R27:T27"/>
    <mergeCell ref="R28:T28"/>
    <mergeCell ref="M39:T39"/>
    <mergeCell ref="M40:T40"/>
    <mergeCell ref="R24:T24"/>
    <mergeCell ref="R13:T13"/>
    <mergeCell ref="R14:T14"/>
    <mergeCell ref="R15:T15"/>
    <mergeCell ref="R16:T16"/>
    <mergeCell ref="R17:T17"/>
    <mergeCell ref="R18:T18"/>
    <mergeCell ref="R19:T19"/>
    <mergeCell ref="R20:T20"/>
    <mergeCell ref="R21:T21"/>
    <mergeCell ref="R22:T22"/>
    <mergeCell ref="R23:T23"/>
    <mergeCell ref="R12:T12"/>
    <mergeCell ref="Q7:T7"/>
    <mergeCell ref="R8:T8"/>
    <mergeCell ref="R9:T9"/>
    <mergeCell ref="R10:T10"/>
    <mergeCell ref="R11:T11"/>
    <mergeCell ref="C30:D30"/>
    <mergeCell ref="E30:F30"/>
    <mergeCell ref="H30:I30"/>
    <mergeCell ref="C3:F3"/>
    <mergeCell ref="C4:F4"/>
    <mergeCell ref="C5:F5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7:I27"/>
    <mergeCell ref="H28:I28"/>
    <mergeCell ref="H22:I22"/>
    <mergeCell ref="H23:I23"/>
    <mergeCell ref="H24:I24"/>
    <mergeCell ref="H25:I25"/>
    <mergeCell ref="H26:I26"/>
  </mergeCells>
  <conditionalFormatting sqref="Q29">
    <cfRule type="cellIs" dxfId="94" priority="22" operator="equal">
      <formula>"Above MAV"</formula>
    </cfRule>
    <cfRule type="cellIs" dxfId="93" priority="23" operator="equal">
      <formula>"ALERT"</formula>
    </cfRule>
  </conditionalFormatting>
  <conditionalFormatting sqref="P24">
    <cfRule type="cellIs" dxfId="92" priority="20" operator="equal">
      <formula>"Above MAV"</formula>
    </cfRule>
    <cfRule type="cellIs" dxfId="91" priority="21" operator="equal">
      <formula>"ALERT"</formula>
    </cfRule>
  </conditionalFormatting>
  <conditionalFormatting sqref="O24">
    <cfRule type="cellIs" dxfId="90" priority="18" operator="equal">
      <formula>"Above MAV"</formula>
    </cfRule>
    <cfRule type="cellIs" dxfId="89" priority="19" operator="equal">
      <formula>"ALERT"</formula>
    </cfRule>
  </conditionalFormatting>
  <conditionalFormatting sqref="O25">
    <cfRule type="cellIs" dxfId="88" priority="16" operator="equal">
      <formula>"Above MAV"</formula>
    </cfRule>
    <cfRule type="cellIs" dxfId="87" priority="17" operator="equal">
      <formula>"ALERT"</formula>
    </cfRule>
  </conditionalFormatting>
  <conditionalFormatting sqref="P25">
    <cfRule type="cellIs" dxfId="86" priority="14" operator="equal">
      <formula>"Above MAV"</formula>
    </cfRule>
    <cfRule type="cellIs" dxfId="85" priority="15" operator="equal">
      <formula>"ALERT"</formula>
    </cfRule>
  </conditionalFormatting>
  <conditionalFormatting sqref="Q8:Q28">
    <cfRule type="cellIs" dxfId="84" priority="12" operator="equal">
      <formula>"Above MAV"</formula>
    </cfRule>
    <cfRule type="cellIs" dxfId="83" priority="13" operator="equal">
      <formula>"ALERT"</formula>
    </cfRule>
  </conditionalFormatting>
  <conditionalFormatting sqref="D12">
    <cfRule type="cellIs" dxfId="82" priority="11" operator="lessThan">
      <formula>$D$12&lt;0</formula>
    </cfRule>
  </conditionalFormatting>
  <conditionalFormatting sqref="G24">
    <cfRule type="cellIs" dxfId="81" priority="9" operator="equal">
      <formula>"Above MAV"</formula>
    </cfRule>
    <cfRule type="cellIs" dxfId="80" priority="10" operator="equal">
      <formula>"ALERT"</formula>
    </cfRule>
  </conditionalFormatting>
  <conditionalFormatting sqref="F24">
    <cfRule type="cellIs" dxfId="79" priority="7" operator="equal">
      <formula>"Above MAV"</formula>
    </cfRule>
    <cfRule type="cellIs" dxfId="78" priority="8" operator="equal">
      <formula>"ALERT"</formula>
    </cfRule>
  </conditionalFormatting>
  <conditionalFormatting sqref="F25">
    <cfRule type="cellIs" dxfId="77" priority="5" operator="equal">
      <formula>"Above MAV"</formula>
    </cfRule>
    <cfRule type="cellIs" dxfId="76" priority="6" operator="equal">
      <formula>"ALERT"</formula>
    </cfRule>
  </conditionalFormatting>
  <conditionalFormatting sqref="G25">
    <cfRule type="cellIs" dxfId="75" priority="3" operator="equal">
      <formula>"Above MAV"</formula>
    </cfRule>
    <cfRule type="cellIs" dxfId="74" priority="4" operator="equal">
      <formula>"ALERT"</formula>
    </cfRule>
  </conditionalFormatting>
  <conditionalFormatting sqref="H12:I12">
    <cfRule type="containsText" dxfId="73" priority="1" operator="containsText" text="Hardness">
      <formula>NOT(ISERROR(SEARCH("Hardness",H12)))</formula>
    </cfRule>
  </conditionalFormatting>
  <dataValidations disablePrompts="1" count="1">
    <dataValidation type="whole" allowBlank="1" showInputMessage="1" showErrorMessage="1" sqref="S3:S5" xr:uid="{03CD31B8-95DC-4F74-85FC-491E73BE90CE}">
      <formula1>0</formula1>
      <formula2>2</formula2>
    </dataValidation>
  </dataValidations>
  <pageMargins left="0" right="0" top="1.3779527559055118" bottom="1.3779527559055118" header="3.937007874015748E-2" footer="0"/>
  <pageSetup paperSize="9" scale="4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E806C3A6-CE7E-432C-849E-4A50D0191DC2}">
          <x14:formula1>
            <xm:f>Data!$A$39:$A$47</xm:f>
          </x14:formula1>
          <xm:sqref>C5:C6 M5</xm:sqref>
        </x14:dataValidation>
        <x14:dataValidation type="list" showInputMessage="1" showErrorMessage="1" xr:uid="{843D187D-341A-4DDA-BCDB-405092FB9724}">
          <x14:formula1>
            <xm:f>'Input Lookup sheet'!$B$19:$B$21</xm:f>
          </x14:formula1>
          <xm:sqref>H30</xm:sqref>
        </x14:dataValidation>
        <x14:dataValidation type="list" showInputMessage="1" showErrorMessage="1" xr:uid="{25A81BAC-D650-4B3C-A7DC-C4DDD9786C65}">
          <x14:formula1>
            <xm:f>'Input Lookup sheet'!$B$13:$B$15</xm:f>
          </x14:formula1>
          <xm:sqref>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EBC8-F2FD-4D73-B3EC-03E87084DEF0}">
  <sheetPr>
    <pageSetUpPr fitToPage="1"/>
  </sheetPr>
  <dimension ref="A1:U126"/>
  <sheetViews>
    <sheetView view="pageLayout" zoomScale="85" zoomScaleNormal="100" zoomScalePageLayoutView="85" workbookViewId="0">
      <selection activeCell="D14" sqref="D14:D15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7" width="10" style="1" customWidth="1"/>
    <col min="8" max="8" width="22.33203125" style="1" customWidth="1"/>
    <col min="9" max="9" width="13.88671875" style="1" customWidth="1"/>
    <col min="10" max="10" width="3.77734375" style="1" customWidth="1"/>
    <col min="11" max="11" width="2" style="1" customWidth="1"/>
    <col min="12" max="12" width="18.6640625" style="1" customWidth="1"/>
    <col min="13" max="13" width="10.88671875" style="1" customWidth="1"/>
    <col min="14" max="19" width="10" style="1" customWidth="1"/>
    <col min="20" max="20" width="12.6640625" style="1" bestFit="1" customWidth="1"/>
    <col min="21" max="21" width="0.5546875" style="1" customWidth="1"/>
    <col min="22" max="16384" width="9.109375" style="1"/>
  </cols>
  <sheetData>
    <row r="1" spans="1:21" ht="22.8">
      <c r="B1" s="2" t="s">
        <v>167</v>
      </c>
      <c r="I1" s="13" t="str">
        <f>'R-CHE'!I1</f>
        <v>Rev10</v>
      </c>
      <c r="L1" s="2" t="s">
        <v>0</v>
      </c>
      <c r="T1" s="13" t="str">
        <f>'R-CHE'!I1</f>
        <v>Rev10</v>
      </c>
    </row>
    <row r="2" spans="1:21">
      <c r="I2" s="13"/>
      <c r="T2" s="13"/>
    </row>
    <row r="3" spans="1:21">
      <c r="B3" s="83" t="s">
        <v>170</v>
      </c>
      <c r="C3" s="145"/>
      <c r="D3" s="146"/>
      <c r="E3" s="146"/>
      <c r="F3" s="147"/>
      <c r="G3" s="8"/>
      <c r="H3" s="83" t="s">
        <v>148</v>
      </c>
      <c r="I3" s="109" t="s">
        <v>181</v>
      </c>
      <c r="L3" s="1" t="str">
        <f>IF(ISBLANK(C3),"DEALER NAME",C3)</f>
        <v>DEALER NAME</v>
      </c>
      <c r="P3" s="8"/>
      <c r="Q3" s="8"/>
      <c r="R3" s="9" t="s">
        <v>148</v>
      </c>
      <c r="T3" s="68" t="str">
        <f>I3</f>
        <v>20170714SHO01</v>
      </c>
    </row>
    <row r="4" spans="1:21" ht="15.6">
      <c r="B4" s="83" t="s">
        <v>171</v>
      </c>
      <c r="C4" s="145"/>
      <c r="D4" s="146"/>
      <c r="E4" s="146"/>
      <c r="F4" s="147"/>
      <c r="G4" s="8"/>
      <c r="H4" s="83" t="s">
        <v>56</v>
      </c>
      <c r="I4" s="110">
        <f ca="1">TODAY()</f>
        <v>44855</v>
      </c>
      <c r="L4" s="3" t="str">
        <f>IF(ISBLANK(C4),"REFERENCE NAME",C4)</f>
        <v>REFERENCE NAME</v>
      </c>
      <c r="P4" s="8"/>
      <c r="Q4" s="8"/>
      <c r="R4" s="9" t="s">
        <v>56</v>
      </c>
      <c r="T4" s="69">
        <f ca="1">I4</f>
        <v>44855</v>
      </c>
    </row>
    <row r="5" spans="1:21">
      <c r="B5" s="83" t="s">
        <v>133</v>
      </c>
      <c r="C5" s="148"/>
      <c r="D5" s="148"/>
      <c r="E5" s="148"/>
      <c r="F5" s="148"/>
      <c r="G5" s="8"/>
      <c r="H5" s="83" t="s">
        <v>169</v>
      </c>
      <c r="I5" s="110">
        <f ca="1">TODAY()</f>
        <v>44855</v>
      </c>
      <c r="L5" s="9" t="s">
        <v>133</v>
      </c>
      <c r="M5" s="76" t="str">
        <f>IF(ISBLANK(C5),"TBC",C5)</f>
        <v>TBC</v>
      </c>
      <c r="P5" s="8"/>
      <c r="Q5" s="8"/>
      <c r="R5" s="9" t="s">
        <v>57</v>
      </c>
      <c r="T5" s="69">
        <f ca="1">I5</f>
        <v>44855</v>
      </c>
    </row>
    <row r="6" spans="1:21">
      <c r="A6" s="75"/>
      <c r="B6" s="4"/>
      <c r="C6" s="8"/>
      <c r="D6" s="8"/>
      <c r="E6" s="8"/>
      <c r="F6" s="8"/>
      <c r="G6" s="8"/>
      <c r="H6" s="8"/>
      <c r="I6" s="8"/>
      <c r="J6" s="75"/>
      <c r="K6" s="75"/>
      <c r="L6" s="72"/>
      <c r="M6" s="73"/>
      <c r="N6" s="74"/>
      <c r="O6" s="73"/>
      <c r="P6" s="73"/>
      <c r="Q6" s="73"/>
      <c r="S6" s="73"/>
    </row>
    <row r="7" spans="1:21">
      <c r="A7" s="4"/>
      <c r="B7" s="84" t="s">
        <v>1</v>
      </c>
      <c r="C7" s="85" t="s">
        <v>168</v>
      </c>
      <c r="D7" s="85"/>
      <c r="E7" s="85" t="s">
        <v>204</v>
      </c>
      <c r="F7" s="85" t="s">
        <v>205</v>
      </c>
      <c r="G7" s="85" t="s">
        <v>206</v>
      </c>
      <c r="H7" s="149" t="s">
        <v>216</v>
      </c>
      <c r="I7" s="150"/>
      <c r="J7" s="4"/>
      <c r="K7" s="4"/>
      <c r="L7" s="70" t="s">
        <v>1</v>
      </c>
      <c r="M7" s="71" t="s">
        <v>2</v>
      </c>
      <c r="N7" s="71" t="s">
        <v>61</v>
      </c>
      <c r="O7" s="71" t="s">
        <v>62</v>
      </c>
      <c r="P7" s="71" t="s">
        <v>63</v>
      </c>
      <c r="Q7" s="152" t="s">
        <v>44</v>
      </c>
      <c r="R7" s="153"/>
      <c r="S7" s="153"/>
      <c r="T7" s="154"/>
      <c r="U7" s="5"/>
    </row>
    <row r="8" spans="1:21">
      <c r="A8" s="4"/>
      <c r="B8" s="10" t="s">
        <v>3</v>
      </c>
      <c r="C8" s="11" t="s">
        <v>23</v>
      </c>
      <c r="D8" s="14"/>
      <c r="E8" s="14"/>
      <c r="F8" s="11" t="s">
        <v>64</v>
      </c>
      <c r="G8" s="11" t="s">
        <v>23</v>
      </c>
      <c r="H8" s="137"/>
      <c r="I8" s="138"/>
      <c r="J8" s="4"/>
      <c r="K8" s="4"/>
      <c r="L8" s="10" t="s">
        <v>3</v>
      </c>
      <c r="M8" s="11" t="s">
        <v>23</v>
      </c>
      <c r="N8" s="14">
        <f>D8</f>
        <v>0</v>
      </c>
      <c r="O8" s="11" t="s">
        <v>64</v>
      </c>
      <c r="P8" s="11" t="s">
        <v>23</v>
      </c>
      <c r="Q8" s="11" t="e">
        <f>VLOOKUP(N8,Lookup!C3:D7,2)</f>
        <v>#N/A</v>
      </c>
      <c r="R8" s="141"/>
      <c r="S8" s="142"/>
      <c r="T8" s="151"/>
      <c r="U8" s="5"/>
    </row>
    <row r="9" spans="1:21" ht="14.4">
      <c r="A9" s="4"/>
      <c r="B9" s="10" t="s">
        <v>5</v>
      </c>
      <c r="C9" s="10" t="s">
        <v>52</v>
      </c>
      <c r="D9" s="15"/>
      <c r="E9" s="15">
        <v>5</v>
      </c>
      <c r="F9" s="11" t="s">
        <v>23</v>
      </c>
      <c r="G9" s="11" t="s">
        <v>23</v>
      </c>
      <c r="H9" s="137"/>
      <c r="I9" s="138"/>
      <c r="J9" s="4"/>
      <c r="K9" s="4"/>
      <c r="L9" s="10" t="s">
        <v>5</v>
      </c>
      <c r="M9" s="10" t="s">
        <v>52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41"/>
      <c r="S9" s="142"/>
      <c r="T9" s="151"/>
      <c r="U9" s="5"/>
    </row>
    <row r="10" spans="1:21" ht="14.4">
      <c r="A10" s="4"/>
      <c r="B10" s="10" t="s">
        <v>6</v>
      </c>
      <c r="C10" s="10" t="s">
        <v>52</v>
      </c>
      <c r="D10" s="15"/>
      <c r="E10" s="15">
        <v>5</v>
      </c>
      <c r="F10" s="11" t="s">
        <v>65</v>
      </c>
      <c r="G10" s="11" t="s">
        <v>23</v>
      </c>
      <c r="H10" s="137"/>
      <c r="I10" s="138"/>
      <c r="J10" s="4"/>
      <c r="K10" s="4"/>
      <c r="L10" s="10" t="s">
        <v>6</v>
      </c>
      <c r="M10" s="10" t="s">
        <v>52</v>
      </c>
      <c r="N10" s="15" t="str">
        <f t="shared" ref="N10" si="0">IF(D10&lt;5,"&lt;5",D10)</f>
        <v>&lt;5</v>
      </c>
      <c r="O10" s="11" t="s">
        <v>65</v>
      </c>
      <c r="P10" s="11" t="s">
        <v>23</v>
      </c>
      <c r="Q10" s="11" t="str">
        <f>VLOOKUP(N10,Lookup!C27:D33,2)</f>
        <v>Trace</v>
      </c>
      <c r="R10" s="141"/>
      <c r="S10" s="142"/>
      <c r="T10" s="151"/>
      <c r="U10" s="5"/>
    </row>
    <row r="11" spans="1:21" ht="14.4">
      <c r="A11" s="4"/>
      <c r="B11" s="10" t="s">
        <v>14</v>
      </c>
      <c r="C11" s="10" t="s">
        <v>53</v>
      </c>
      <c r="D11" s="96">
        <f>2*(IF(D9&lt;5,5,D9)-(5*10^(D8-10)))/(1+(0.94*10^(D8-10)))*10^(6-D8)</f>
        <v>9999999.9980600011</v>
      </c>
      <c r="E11" s="15"/>
      <c r="F11" s="11" t="s">
        <v>23</v>
      </c>
      <c r="G11" s="11" t="s">
        <v>23</v>
      </c>
      <c r="H11" s="137"/>
      <c r="I11" s="138"/>
      <c r="J11" s="4"/>
      <c r="K11" s="4"/>
      <c r="L11" s="10" t="s">
        <v>14</v>
      </c>
      <c r="M11" s="10" t="s">
        <v>53</v>
      </c>
      <c r="N11" s="15">
        <f>IF(D11&lt;1,"&lt;1",D11)</f>
        <v>9999999.9980600011</v>
      </c>
      <c r="O11" s="11" t="s">
        <v>23</v>
      </c>
      <c r="P11" s="11" t="s">
        <v>23</v>
      </c>
      <c r="Q11" s="11" t="str">
        <f>VLOOKUP(N11,Lookup!C98:D103,2)</f>
        <v>Very High</v>
      </c>
      <c r="R11" s="141" t="s">
        <v>150</v>
      </c>
      <c r="S11" s="142"/>
      <c r="T11" s="151"/>
      <c r="U11" s="5"/>
    </row>
    <row r="12" spans="1:21">
      <c r="A12" s="4"/>
      <c r="B12" s="10" t="s">
        <v>17</v>
      </c>
      <c r="C12" s="11" t="s">
        <v>23</v>
      </c>
      <c r="D12" s="97">
        <f>+D8+0.5+VLOOKUP(IF(D9&lt;5,5,D9),LSI!$F$2:$G$25,2)+VLOOKUP(IF(D10&lt;5,5,D10),LSI!$H$2:$I$25,2)-12.1</f>
        <v>-10.6</v>
      </c>
      <c r="E12" s="14"/>
      <c r="F12" s="11" t="s">
        <v>23</v>
      </c>
      <c r="G12" s="11" t="s">
        <v>23</v>
      </c>
      <c r="H12" s="137"/>
      <c r="I12" s="138"/>
      <c r="J12" s="4"/>
      <c r="K12" s="4"/>
      <c r="L12" s="10" t="s">
        <v>117</v>
      </c>
      <c r="M12" s="11" t="s">
        <v>23</v>
      </c>
      <c r="N12" s="14">
        <f>D12</f>
        <v>-10.6</v>
      </c>
      <c r="O12" s="11" t="s">
        <v>23</v>
      </c>
      <c r="P12" s="11" t="s">
        <v>23</v>
      </c>
      <c r="Q12" s="11" t="e">
        <f>VLOOKUP(N12,Lookup!C105:D109,2)</f>
        <v>#N/A</v>
      </c>
      <c r="R12" s="141" t="s">
        <v>150</v>
      </c>
      <c r="S12" s="142"/>
      <c r="T12" s="151"/>
      <c r="U12" s="5"/>
    </row>
    <row r="13" spans="1:21" ht="14.4">
      <c r="A13" s="4"/>
      <c r="B13" s="10" t="s">
        <v>9</v>
      </c>
      <c r="C13" s="10" t="s">
        <v>54</v>
      </c>
      <c r="D13" s="15"/>
      <c r="E13" s="15">
        <v>1</v>
      </c>
      <c r="F13" s="11" t="s">
        <v>23</v>
      </c>
      <c r="G13" s="11" t="s">
        <v>23</v>
      </c>
      <c r="H13" s="137"/>
      <c r="I13" s="138"/>
      <c r="J13" s="4"/>
      <c r="K13" s="4"/>
      <c r="L13" s="10" t="s">
        <v>9</v>
      </c>
      <c r="M13" s="10" t="s">
        <v>54</v>
      </c>
      <c r="N13" s="15" t="str">
        <f>IF(D13&lt;5,"&lt;5",D13)</f>
        <v>&lt;5</v>
      </c>
      <c r="O13" s="11" t="s">
        <v>23</v>
      </c>
      <c r="P13" s="11" t="s">
        <v>23</v>
      </c>
      <c r="Q13" s="11" t="str">
        <f>VLOOKUP(N13,Lookup!C43:D50,2)</f>
        <v>Not Detected</v>
      </c>
      <c r="R13" s="141"/>
      <c r="S13" s="142"/>
      <c r="T13" s="151"/>
      <c r="U13" s="5"/>
    </row>
    <row r="14" spans="1:21">
      <c r="A14" s="4"/>
      <c r="B14" s="10" t="s">
        <v>10</v>
      </c>
      <c r="C14" s="10" t="s">
        <v>24</v>
      </c>
      <c r="D14" s="11"/>
      <c r="E14" s="11">
        <v>0.01</v>
      </c>
      <c r="F14" s="11" t="s">
        <v>66</v>
      </c>
      <c r="G14" s="11" t="s">
        <v>23</v>
      </c>
      <c r="H14" s="139" t="str">
        <f>IF(D14&gt;=0.01,"Check if need to increase decimal on the right"," ")</f>
        <v xml:space="preserve"> </v>
      </c>
      <c r="I14" s="140"/>
      <c r="J14" s="4"/>
      <c r="K14" s="4"/>
      <c r="L14" s="10" t="s">
        <v>10</v>
      </c>
      <c r="M14" s="10" t="s">
        <v>24</v>
      </c>
      <c r="N14" s="14" t="str">
        <f>IF(D14&lt;0.01,"&lt;0.01",D14)</f>
        <v>&lt;0.01</v>
      </c>
      <c r="O14" s="11" t="s">
        <v>66</v>
      </c>
      <c r="P14" s="11" t="s">
        <v>23</v>
      </c>
      <c r="Q14" s="11" t="str">
        <f>VLOOKUP(N14,Lookup!C52:D59,2)</f>
        <v>Not Detected</v>
      </c>
      <c r="R14" s="141"/>
      <c r="S14" s="142"/>
      <c r="T14" s="151"/>
      <c r="U14" s="5"/>
    </row>
    <row r="15" spans="1:21">
      <c r="A15" s="4"/>
      <c r="B15" s="10" t="s">
        <v>11</v>
      </c>
      <c r="C15" s="10" t="s">
        <v>24</v>
      </c>
      <c r="D15" s="11"/>
      <c r="E15" s="11">
        <v>1.5</v>
      </c>
      <c r="F15" s="11" t="s">
        <v>67</v>
      </c>
      <c r="G15" s="11">
        <v>0.4</v>
      </c>
      <c r="H15" s="139" t="str">
        <f>IF(D15&gt;=0.01,"Check if need to increase decimal on the right"," ")</f>
        <v xml:space="preserve"> </v>
      </c>
      <c r="I15" s="140"/>
      <c r="J15" s="4"/>
      <c r="K15" s="4"/>
      <c r="L15" s="10" t="s">
        <v>11</v>
      </c>
      <c r="M15" s="10" t="s">
        <v>24</v>
      </c>
      <c r="N15" s="14" t="str">
        <f>IF(D15&lt;0.01,"&lt;0.01",D15)</f>
        <v>&lt;0.01</v>
      </c>
      <c r="O15" s="11" t="s">
        <v>67</v>
      </c>
      <c r="P15" s="11">
        <v>0.4</v>
      </c>
      <c r="Q15" s="11" t="str">
        <f>VLOOKUP(N15,Lookup!C61:D65,2)</f>
        <v>Not Detected</v>
      </c>
      <c r="R15" s="141" t="s">
        <v>68</v>
      </c>
      <c r="S15" s="142"/>
      <c r="T15" s="151"/>
      <c r="U15" s="5"/>
    </row>
    <row r="16" spans="1:21">
      <c r="A16" s="4"/>
      <c r="B16" s="10" t="s">
        <v>4</v>
      </c>
      <c r="C16" s="10" t="s">
        <v>24</v>
      </c>
      <c r="D16" s="11"/>
      <c r="E16" s="11">
        <v>10</v>
      </c>
      <c r="F16" s="11" t="s">
        <v>69</v>
      </c>
      <c r="G16" s="11" t="s">
        <v>23</v>
      </c>
      <c r="H16" s="137"/>
      <c r="I16" s="138"/>
      <c r="J16" s="4"/>
      <c r="K16" s="4"/>
      <c r="L16" s="10" t="s">
        <v>4</v>
      </c>
      <c r="M16" s="10" t="s">
        <v>24</v>
      </c>
      <c r="N16" s="15" t="str">
        <f>IF(D16&lt;10,"&lt;10",D16)</f>
        <v>&lt;10</v>
      </c>
      <c r="O16" s="11" t="s">
        <v>69</v>
      </c>
      <c r="P16" s="11" t="s">
        <v>23</v>
      </c>
      <c r="Q16" s="11" t="str">
        <f>VLOOKUP(N16,Lookup!C9:D16,2)</f>
        <v>Trace</v>
      </c>
      <c r="R16" s="141" t="s">
        <v>150</v>
      </c>
      <c r="S16" s="142"/>
      <c r="T16" s="151"/>
      <c r="U16" s="5"/>
    </row>
    <row r="17" spans="1:21" ht="14.4">
      <c r="A17" s="4"/>
      <c r="B17" s="10" t="s">
        <v>19</v>
      </c>
      <c r="C17" s="10" t="s">
        <v>55</v>
      </c>
      <c r="D17" s="14"/>
      <c r="E17" s="14">
        <v>5</v>
      </c>
      <c r="F17" s="11" t="s">
        <v>23</v>
      </c>
      <c r="G17" s="11" t="s">
        <v>23</v>
      </c>
      <c r="H17" s="137"/>
      <c r="I17" s="138"/>
      <c r="J17" s="4"/>
      <c r="K17" s="4"/>
      <c r="L17" s="10" t="s">
        <v>19</v>
      </c>
      <c r="M17" s="10" t="s">
        <v>55</v>
      </c>
      <c r="N17" s="15" t="str">
        <f>IF(D17&lt;5,"&lt;5",D17)</f>
        <v>&lt;5</v>
      </c>
      <c r="O17" s="11" t="s">
        <v>23</v>
      </c>
      <c r="P17" s="11" t="s">
        <v>23</v>
      </c>
      <c r="Q17" s="11" t="str">
        <f>VLOOKUP(N17,Lookup!C133:D139,2)</f>
        <v>Very Poor</v>
      </c>
      <c r="R17" s="141"/>
      <c r="S17" s="142"/>
      <c r="T17" s="151"/>
      <c r="U17" s="5"/>
    </row>
    <row r="18" spans="1:21">
      <c r="A18" s="4"/>
      <c r="B18" s="65"/>
      <c r="C18" s="65"/>
      <c r="D18" s="67"/>
      <c r="E18" s="67"/>
      <c r="F18" s="67"/>
      <c r="G18" s="67"/>
      <c r="H18" s="67"/>
      <c r="I18" s="67"/>
      <c r="J18" s="4"/>
      <c r="K18" s="4"/>
      <c r="L18" s="65"/>
      <c r="M18" s="65"/>
      <c r="N18" s="67"/>
      <c r="O18" s="67"/>
      <c r="P18" s="67"/>
      <c r="Q18" s="67"/>
      <c r="R18" s="98"/>
      <c r="S18" s="98"/>
      <c r="T18" s="98"/>
      <c r="U18" s="5"/>
    </row>
    <row r="19" spans="1:21">
      <c r="A19" s="4"/>
      <c r="B19" s="7" t="s">
        <v>207</v>
      </c>
      <c r="C19" s="141" t="s">
        <v>209</v>
      </c>
      <c r="D19" s="142"/>
      <c r="E19" s="143" t="s">
        <v>197</v>
      </c>
      <c r="F19" s="143"/>
      <c r="G19" s="58" t="s">
        <v>210</v>
      </c>
      <c r="H19" s="143" t="s">
        <v>201</v>
      </c>
      <c r="I19" s="144"/>
      <c r="J19" s="4"/>
      <c r="K19" s="4"/>
      <c r="L19" s="98" t="str">
        <f>CONCATENATE(B19, " ", C19, " ", E19," ", G19, " ", H19)</f>
        <v>Comments: The sample was slightly discoloured  with no significant sediments</v>
      </c>
      <c r="M19" s="4"/>
      <c r="N19" s="4"/>
      <c r="O19" s="4"/>
      <c r="P19" s="4"/>
      <c r="Q19" s="4"/>
      <c r="R19" s="4"/>
      <c r="S19" s="4"/>
      <c r="T19" s="4"/>
      <c r="U19" s="5"/>
    </row>
    <row r="20" spans="1:21">
      <c r="A20" s="4"/>
      <c r="B20" s="108" t="s">
        <v>211</v>
      </c>
      <c r="C20" s="111" t="str">
        <f>IF(D12&lt;-1.5,"The negative LSI indicates corrosive water.",IF(D10&gt;60,"The high hardness will likely cause lime scale, particularity at elevated temperatures"," "))</f>
        <v>The negative LSI indicates corrosive water.</v>
      </c>
      <c r="D20" s="112"/>
      <c r="E20" s="112"/>
      <c r="F20" s="112"/>
      <c r="G20" s="112"/>
      <c r="H20" s="112"/>
      <c r="I20" s="113"/>
      <c r="J20" s="4"/>
      <c r="K20" s="4"/>
      <c r="L20" s="98" t="str">
        <f>C20</f>
        <v>The negative LSI indicates corrosive water.</v>
      </c>
      <c r="M20" s="98"/>
      <c r="U20" s="5"/>
    </row>
    <row r="21" spans="1:21">
      <c r="A21" s="4"/>
      <c r="B21" s="108" t="s">
        <v>212</v>
      </c>
      <c r="C21" s="125" t="str">
        <f>IF(D13&lt;50," ","The high silica level may cause scale, treatment options are available but expensive")</f>
        <v xml:space="preserve"> </v>
      </c>
      <c r="D21" s="123"/>
      <c r="E21" s="123"/>
      <c r="F21" s="123"/>
      <c r="G21" s="123"/>
      <c r="H21" s="126"/>
      <c r="I21" s="124"/>
      <c r="J21" s="4"/>
      <c r="K21" s="4"/>
      <c r="L21" s="98" t="str">
        <f>C21</f>
        <v xml:space="preserve"> </v>
      </c>
      <c r="U21" s="5"/>
    </row>
    <row r="22" spans="1:21">
      <c r="A22" s="4"/>
      <c r="B22" s="108" t="s">
        <v>213</v>
      </c>
      <c r="C22" s="125" t="str">
        <f>IF(D14&lt;0.2," ","The high iron content may cause staining, taste and odour issues.")</f>
        <v xml:space="preserve"> </v>
      </c>
      <c r="D22" s="123"/>
      <c r="E22" s="123"/>
      <c r="F22" s="123"/>
      <c r="G22" s="123"/>
      <c r="H22" s="123"/>
      <c r="I22" s="124"/>
      <c r="J22" s="4"/>
      <c r="K22" s="4"/>
      <c r="L22" s="98" t="str">
        <f>C22</f>
        <v xml:space="preserve"> </v>
      </c>
      <c r="U22" s="5"/>
    </row>
    <row r="23" spans="1:21">
      <c r="A23" s="4"/>
      <c r="B23" s="108" t="s">
        <v>214</v>
      </c>
      <c r="C23" s="125" t="str">
        <f>IF(D15&lt;0.04," ","The high manganese content may cause staining, taste and odour issues.")</f>
        <v xml:space="preserve"> </v>
      </c>
      <c r="D23" s="123"/>
      <c r="E23" s="123"/>
      <c r="F23" s="123"/>
      <c r="G23" s="123"/>
      <c r="H23" s="123"/>
      <c r="I23" s="124"/>
      <c r="J23" s="4"/>
      <c r="K23" s="4"/>
      <c r="L23" s="98" t="str">
        <f>C23</f>
        <v xml:space="preserve"> </v>
      </c>
      <c r="U23" s="5"/>
    </row>
    <row r="24" spans="1:21">
      <c r="A24" s="4"/>
      <c r="B24" s="108" t="s">
        <v>215</v>
      </c>
      <c r="C24" s="121" t="str">
        <f>IF(COUNTIF(Q8:Q17,"Above MAV")&gt;0,"The sample contained results above the MAV for drinking water, treatment is highly recommended"," ")</f>
        <v xml:space="preserve"> </v>
      </c>
      <c r="D24" s="122"/>
      <c r="E24" s="122"/>
      <c r="F24" s="123"/>
      <c r="G24" s="123"/>
      <c r="H24" s="123"/>
      <c r="I24" s="124"/>
      <c r="J24" s="4"/>
      <c r="K24" s="4"/>
      <c r="L24" s="98" t="str">
        <f>C24</f>
        <v xml:space="preserve"> </v>
      </c>
      <c r="M24" s="98"/>
      <c r="U24" s="5"/>
    </row>
    <row r="25" spans="1:21">
      <c r="A25" s="4"/>
      <c r="D25" s="8"/>
      <c r="E25" s="8"/>
      <c r="F25" s="5"/>
      <c r="G25" s="5"/>
      <c r="H25" s="5"/>
      <c r="I25" s="5"/>
      <c r="J25" s="4"/>
      <c r="K25" s="4"/>
      <c r="L25" s="98"/>
      <c r="M25" s="98"/>
      <c r="U25" s="5"/>
    </row>
    <row r="26" spans="1:21">
      <c r="A26" s="4"/>
      <c r="B26" s="98"/>
      <c r="C26" s="98"/>
      <c r="D26" s="5"/>
      <c r="E26" s="5"/>
      <c r="F26" s="5"/>
      <c r="G26" s="5"/>
      <c r="H26" s="5"/>
      <c r="I26" s="5"/>
      <c r="J26" s="4"/>
      <c r="K26" s="4"/>
      <c r="L26" s="61" t="s">
        <v>62</v>
      </c>
      <c r="M26" s="62" t="s">
        <v>192</v>
      </c>
      <c r="N26" s="63"/>
      <c r="O26" s="63"/>
      <c r="P26" s="63"/>
      <c r="Q26" s="63"/>
      <c r="R26" s="63"/>
      <c r="S26" s="63"/>
      <c r="T26" s="63"/>
      <c r="U26" s="5"/>
    </row>
    <row r="27" spans="1:21">
      <c r="A27" s="4"/>
      <c r="C27" s="98"/>
      <c r="D27" s="5"/>
      <c r="E27" s="5"/>
      <c r="F27" s="5"/>
      <c r="G27" s="5"/>
      <c r="H27" s="5"/>
      <c r="I27" s="5"/>
      <c r="J27" s="4"/>
      <c r="K27" s="4"/>
      <c r="L27" s="55" t="s">
        <v>63</v>
      </c>
      <c r="M27" s="156" t="s">
        <v>193</v>
      </c>
      <c r="N27" s="156"/>
      <c r="O27" s="156"/>
      <c r="P27" s="156"/>
      <c r="Q27" s="156"/>
      <c r="R27" s="156"/>
      <c r="S27" s="156"/>
      <c r="T27" s="156"/>
      <c r="U27" s="5"/>
    </row>
    <row r="28" spans="1:21">
      <c r="A28" s="4"/>
      <c r="C28" s="98"/>
      <c r="D28" s="5"/>
      <c r="E28" s="5"/>
      <c r="F28" s="5"/>
      <c r="G28" s="5"/>
      <c r="H28" s="5"/>
      <c r="I28" s="5"/>
      <c r="J28" s="4"/>
      <c r="K28" s="4"/>
      <c r="L28" s="55" t="s">
        <v>24</v>
      </c>
      <c r="M28" s="155" t="s">
        <v>129</v>
      </c>
      <c r="N28" s="156"/>
      <c r="O28" s="156"/>
      <c r="P28" s="156"/>
      <c r="Q28" s="156"/>
      <c r="R28" s="156"/>
      <c r="S28" s="156"/>
      <c r="T28" s="156"/>
      <c r="U28" s="5"/>
    </row>
    <row r="29" spans="1:21">
      <c r="A29" s="4"/>
      <c r="B29" s="98"/>
      <c r="C29" s="98"/>
      <c r="D29" s="5"/>
      <c r="E29" s="5"/>
      <c r="F29" s="5"/>
      <c r="G29" s="5"/>
      <c r="H29" s="5"/>
      <c r="I29" s="5"/>
      <c r="J29" s="4"/>
      <c r="K29" s="4"/>
      <c r="L29" s="55"/>
      <c r="M29" s="155"/>
      <c r="N29" s="156"/>
      <c r="O29" s="156"/>
      <c r="P29" s="156"/>
      <c r="Q29" s="156"/>
      <c r="R29" s="156"/>
      <c r="S29" s="156"/>
      <c r="T29" s="156"/>
      <c r="U29" s="5"/>
    </row>
    <row r="30" spans="1:21">
      <c r="A30" s="4"/>
      <c r="B30" s="98"/>
      <c r="C30" s="5"/>
      <c r="D30" s="5"/>
      <c r="E30" s="5"/>
      <c r="F30" s="5"/>
      <c r="G30" s="5"/>
      <c r="H30" s="5"/>
      <c r="I30" s="5"/>
      <c r="J30" s="4"/>
      <c r="K30" s="4"/>
      <c r="L30" s="4"/>
      <c r="M30" s="8"/>
      <c r="N30" s="8"/>
      <c r="O30" s="8"/>
      <c r="P30" s="8"/>
      <c r="Q30" s="8"/>
      <c r="R30" s="8"/>
      <c r="S30" s="8"/>
      <c r="T30" s="8"/>
      <c r="U30" s="5"/>
    </row>
    <row r="31" spans="1:21">
      <c r="A31" s="4"/>
      <c r="B31" s="98"/>
      <c r="C31" s="5"/>
      <c r="D31" s="99"/>
      <c r="E31" s="5"/>
      <c r="F31" s="5"/>
      <c r="G31" s="5"/>
      <c r="H31" s="5"/>
      <c r="I31" s="5"/>
      <c r="J31" s="4"/>
      <c r="K31" s="4"/>
      <c r="L31" s="4"/>
      <c r="M31" s="8"/>
      <c r="N31" s="8"/>
      <c r="O31" s="8"/>
      <c r="P31" s="8"/>
      <c r="Q31" s="8"/>
      <c r="R31" s="8"/>
      <c r="S31" s="8"/>
      <c r="T31" s="8"/>
      <c r="U31" s="5"/>
    </row>
    <row r="32" spans="1:21">
      <c r="A32" s="4"/>
      <c r="B32" s="98"/>
      <c r="C32" s="5"/>
      <c r="D32" s="5"/>
      <c r="E32" s="5"/>
      <c r="F32" s="5"/>
      <c r="G32" s="5"/>
      <c r="H32" s="5"/>
      <c r="I32" s="5"/>
      <c r="J32" s="4"/>
      <c r="K32" s="4"/>
      <c r="L32" s="4" t="s">
        <v>190</v>
      </c>
      <c r="M32" s="8"/>
      <c r="N32" s="8"/>
      <c r="O32" s="8"/>
      <c r="P32" s="8"/>
      <c r="Q32" s="8"/>
      <c r="R32" s="8"/>
      <c r="S32" s="8"/>
      <c r="T32" s="8"/>
      <c r="U32" s="5"/>
    </row>
    <row r="33" spans="1:21">
      <c r="A33" s="4"/>
      <c r="B33" s="98"/>
      <c r="C33" s="5"/>
      <c r="D33" s="5"/>
      <c r="E33" s="5"/>
      <c r="F33" s="5"/>
      <c r="G33" s="5"/>
      <c r="H33" s="5"/>
      <c r="I33" s="5"/>
      <c r="J33" s="4"/>
      <c r="K33" s="4"/>
      <c r="L33" s="4" t="s">
        <v>191</v>
      </c>
      <c r="M33" s="8"/>
      <c r="N33" s="8"/>
      <c r="O33" s="8"/>
      <c r="P33" s="8"/>
      <c r="Q33" s="8"/>
      <c r="R33" s="8"/>
      <c r="S33" s="8"/>
      <c r="T33" s="8"/>
      <c r="U33" s="5"/>
    </row>
    <row r="34" spans="1:21">
      <c r="A34" s="4"/>
      <c r="B34" s="98"/>
      <c r="C34" s="5"/>
      <c r="D34" s="5"/>
      <c r="E34" s="5"/>
      <c r="F34" s="5"/>
      <c r="G34" s="5"/>
      <c r="H34" s="5"/>
      <c r="I34" s="5"/>
      <c r="J34" s="4"/>
      <c r="K34" s="4"/>
      <c r="L34" s="4" t="s">
        <v>146</v>
      </c>
      <c r="M34" s="8"/>
      <c r="N34" s="8"/>
      <c r="O34" s="8"/>
      <c r="P34" s="8"/>
      <c r="Q34" s="8"/>
      <c r="R34" s="8"/>
      <c r="S34" s="8"/>
      <c r="T34" s="8"/>
      <c r="U34" s="5"/>
    </row>
    <row r="35" spans="1:21">
      <c r="A35" s="4"/>
      <c r="B35" s="98"/>
      <c r="C35" s="5"/>
      <c r="D35" s="5"/>
      <c r="E35" s="5"/>
      <c r="F35" s="5"/>
      <c r="G35" s="5"/>
      <c r="H35" s="5"/>
      <c r="I35" s="5"/>
      <c r="J35" s="4"/>
      <c r="K35" s="4"/>
      <c r="L35" s="12" t="s">
        <v>185</v>
      </c>
      <c r="M35" s="8"/>
      <c r="N35" s="8"/>
      <c r="O35" s="8"/>
      <c r="P35" s="8"/>
      <c r="Q35" s="8"/>
      <c r="R35" s="8"/>
      <c r="S35" s="8"/>
      <c r="T35" s="8"/>
      <c r="U35" s="5"/>
    </row>
    <row r="36" spans="1:21">
      <c r="A36" s="4"/>
      <c r="B36" s="5"/>
      <c r="C36" s="5"/>
      <c r="D36" s="5"/>
      <c r="E36" s="5"/>
      <c r="F36" s="5"/>
      <c r="G36" s="5"/>
      <c r="H36" s="5"/>
      <c r="I36" s="5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4"/>
      <c r="B37" s="5"/>
      <c r="C37" s="5"/>
      <c r="D37" s="5"/>
      <c r="E37" s="5"/>
      <c r="F37" s="5"/>
      <c r="G37" s="5"/>
      <c r="H37" s="5"/>
      <c r="I37" s="5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4"/>
      <c r="B38" s="5"/>
      <c r="C38" s="5"/>
      <c r="D38" s="5"/>
      <c r="E38" s="5"/>
      <c r="F38" s="5"/>
      <c r="G38" s="5"/>
      <c r="H38" s="5"/>
      <c r="I38" s="5"/>
      <c r="J38" s="4"/>
      <c r="K38" s="4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4"/>
      <c r="B39" s="5"/>
      <c r="C39" s="5"/>
      <c r="D39" s="5"/>
      <c r="E39" s="5"/>
      <c r="F39" s="5"/>
      <c r="G39" s="5"/>
      <c r="H39" s="5"/>
      <c r="I39" s="5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4"/>
      <c r="B40" s="5"/>
      <c r="C40" s="5"/>
      <c r="D40" s="5"/>
      <c r="E40" s="5"/>
      <c r="F40" s="5"/>
      <c r="G40" s="5"/>
      <c r="H40" s="5"/>
      <c r="I40" s="5"/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4"/>
      <c r="B41" s="5"/>
      <c r="C41" s="5"/>
      <c r="D41" s="5"/>
      <c r="E41" s="5"/>
      <c r="F41" s="5"/>
      <c r="G41" s="5"/>
      <c r="H41" s="5"/>
      <c r="I41" s="5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4"/>
      <c r="B42" s="5"/>
      <c r="C42" s="5"/>
      <c r="D42" s="5"/>
      <c r="E42" s="5"/>
      <c r="F42" s="5"/>
      <c r="G42" s="5"/>
      <c r="H42" s="5"/>
      <c r="I42" s="5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4"/>
      <c r="B43" s="5"/>
      <c r="C43" s="5"/>
      <c r="D43" s="5"/>
      <c r="E43" s="5"/>
      <c r="F43" s="5"/>
      <c r="G43" s="5"/>
      <c r="H43" s="5"/>
      <c r="I43" s="5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4"/>
      <c r="B44" s="5"/>
      <c r="C44" s="5"/>
      <c r="D44" s="5"/>
      <c r="E44" s="5"/>
      <c r="F44" s="5"/>
      <c r="G44" s="5"/>
      <c r="H44" s="5"/>
      <c r="I44" s="5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4"/>
      <c r="B45" s="5"/>
      <c r="C45" s="5"/>
      <c r="D45" s="5"/>
      <c r="E45" s="5"/>
      <c r="F45" s="5"/>
      <c r="G45" s="5"/>
      <c r="H45" s="5"/>
      <c r="I45" s="5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4"/>
      <c r="B46" s="5"/>
      <c r="C46" s="5"/>
      <c r="D46" s="5"/>
      <c r="E46" s="5"/>
      <c r="F46" s="5"/>
      <c r="G46" s="5"/>
      <c r="H46" s="5"/>
      <c r="I46" s="5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4"/>
      <c r="B47" s="5"/>
      <c r="C47" s="5"/>
      <c r="D47" s="5"/>
      <c r="E47" s="5"/>
      <c r="F47" s="5"/>
      <c r="G47" s="5"/>
      <c r="H47" s="5"/>
      <c r="I47" s="5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</row>
    <row r="118" spans="1:21">
      <c r="A118" s="4"/>
    </row>
    <row r="119" spans="1:21">
      <c r="A119" s="4"/>
    </row>
    <row r="120" spans="1:21">
      <c r="A120" s="4"/>
    </row>
    <row r="121" spans="1:21">
      <c r="A121" s="4"/>
    </row>
    <row r="122" spans="1:21">
      <c r="A122" s="4"/>
    </row>
    <row r="123" spans="1:21">
      <c r="A123" s="4"/>
    </row>
    <row r="124" spans="1:21">
      <c r="A124" s="4"/>
    </row>
    <row r="125" spans="1:21">
      <c r="A125" s="4"/>
    </row>
    <row r="126" spans="1:21">
      <c r="A126" s="4"/>
    </row>
  </sheetData>
  <mergeCells count="31">
    <mergeCell ref="H8:I8"/>
    <mergeCell ref="R8:T8"/>
    <mergeCell ref="C3:F3"/>
    <mergeCell ref="C4:F4"/>
    <mergeCell ref="C5:F5"/>
    <mergeCell ref="H7:I7"/>
    <mergeCell ref="Q7:T7"/>
    <mergeCell ref="H11:I11"/>
    <mergeCell ref="R11:T11"/>
    <mergeCell ref="H12:I12"/>
    <mergeCell ref="R12:T12"/>
    <mergeCell ref="H9:I9"/>
    <mergeCell ref="R9:T9"/>
    <mergeCell ref="H10:I10"/>
    <mergeCell ref="R10:T10"/>
    <mergeCell ref="H15:I15"/>
    <mergeCell ref="R15:T15"/>
    <mergeCell ref="H13:I13"/>
    <mergeCell ref="R13:T13"/>
    <mergeCell ref="H14:I14"/>
    <mergeCell ref="R14:T14"/>
    <mergeCell ref="C19:D19"/>
    <mergeCell ref="E19:F19"/>
    <mergeCell ref="H19:I19"/>
    <mergeCell ref="H16:I16"/>
    <mergeCell ref="R16:T16"/>
    <mergeCell ref="M27:T27"/>
    <mergeCell ref="M28:T28"/>
    <mergeCell ref="M29:T29"/>
    <mergeCell ref="H17:I17"/>
    <mergeCell ref="R17:T17"/>
  </mergeCells>
  <conditionalFormatting sqref="Q8:Q18">
    <cfRule type="cellIs" dxfId="72" priority="21" operator="equal">
      <formula>"Above MAV"</formula>
    </cfRule>
    <cfRule type="cellIs" dxfId="71" priority="22" operator="equal">
      <formula>"ALERT"</formula>
    </cfRule>
  </conditionalFormatting>
  <dataValidations disablePrompts="1" count="1">
    <dataValidation type="whole" allowBlank="1" showInputMessage="1" showErrorMessage="1" sqref="S3:S5" xr:uid="{D6231575-C11A-4B64-8AEA-DCE31ED94186}">
      <formula1>0</formula1>
      <formula2>2</formula2>
    </dataValidation>
  </dataValidations>
  <printOptions horizontalCentered="1"/>
  <pageMargins left="0" right="0" top="1.3779527559055118" bottom="1.3779527559055118" header="3.937007874015748E-2" footer="0"/>
  <pageSetup paperSize="9" scale="9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showInputMessage="1" showErrorMessage="1" xr:uid="{4706ABB3-02BB-4443-9F3F-E2BD4438B41D}">
          <x14:formula1>
            <xm:f>'Input Lookup sheet'!$B$13:$B$15</xm:f>
          </x14:formula1>
          <xm:sqref>E19</xm:sqref>
        </x14:dataValidation>
        <x14:dataValidation type="list" showInputMessage="1" showErrorMessage="1" xr:uid="{D7F2BF77-5F7F-4B06-A37F-DDC9CDCA3533}">
          <x14:formula1>
            <xm:f>'Input Lookup sheet'!$B$19:$B$21</xm:f>
          </x14:formula1>
          <xm:sqref>H19</xm:sqref>
        </x14:dataValidation>
        <x14:dataValidation type="list" allowBlank="1" showInputMessage="1" showErrorMessage="1" xr:uid="{1A3965E2-186F-4509-9B77-81BE0FCBB601}">
          <x14:formula1>
            <xm:f>Data!$A$39:$A$47</xm:f>
          </x14:formula1>
          <xm:sqref>C5:C6 M5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125"/>
  <sheetViews>
    <sheetView tabSelected="1" view="pageLayout" zoomScaleNormal="110" zoomScaleSheetLayoutView="100" workbookViewId="0">
      <selection activeCell="H29" sqref="H29:J29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2.44140625" style="1" customWidth="1"/>
    <col min="12" max="12" width="2" style="1" customWidth="1"/>
    <col min="13" max="13" width="18.6640625" style="1" customWidth="1"/>
    <col min="14" max="14" width="10.88671875" style="1" customWidth="1"/>
    <col min="15" max="21" width="10" style="1" customWidth="1"/>
    <col min="22" max="22" width="0.5546875" style="1" customWidth="1"/>
    <col min="23" max="16384" width="9.109375" style="1"/>
  </cols>
  <sheetData>
    <row r="1" spans="1:21" ht="22.8">
      <c r="B1" s="87" t="s">
        <v>167</v>
      </c>
      <c r="J1" s="13" t="str">
        <f>'R-CHE'!I1</f>
        <v>Rev10</v>
      </c>
      <c r="K1" s="13"/>
      <c r="M1" s="2" t="s">
        <v>0</v>
      </c>
      <c r="U1" s="13" t="str">
        <f>'R-CHE'!I1</f>
        <v>Rev10</v>
      </c>
    </row>
    <row r="2" spans="1:21">
      <c r="J2" s="13"/>
      <c r="K2" s="13"/>
      <c r="U2" s="13"/>
    </row>
    <row r="3" spans="1:21">
      <c r="B3" s="83" t="s">
        <v>170</v>
      </c>
      <c r="C3" s="159" t="s">
        <v>222</v>
      </c>
      <c r="D3" s="159"/>
      <c r="E3" s="159"/>
      <c r="F3" s="159"/>
      <c r="G3" s="8"/>
      <c r="H3" s="83" t="s">
        <v>148</v>
      </c>
      <c r="I3" s="160" t="s">
        <v>224</v>
      </c>
      <c r="J3" s="160"/>
      <c r="K3" s="104"/>
      <c r="M3" s="1" t="str">
        <f>IF(ISBLANK(C3),"DEALER NAME",C3)</f>
        <v>Pool &amp; Pump World</v>
      </c>
      <c r="Q3" s="8"/>
      <c r="R3" s="8"/>
      <c r="S3" s="9" t="s">
        <v>148</v>
      </c>
      <c r="U3" s="68" t="str">
        <f>I3</f>
        <v>20221020SRT01</v>
      </c>
    </row>
    <row r="4" spans="1:21" ht="15.6">
      <c r="B4" s="83" t="s">
        <v>171</v>
      </c>
      <c r="C4" s="159" t="s">
        <v>223</v>
      </c>
      <c r="D4" s="159"/>
      <c r="E4" s="159"/>
      <c r="F4" s="159"/>
      <c r="G4" s="8"/>
      <c r="H4" s="83" t="s">
        <v>56</v>
      </c>
      <c r="I4" s="161">
        <f ca="1">TODAY()</f>
        <v>44855</v>
      </c>
      <c r="J4" s="160"/>
      <c r="K4" s="104"/>
      <c r="M4" s="3" t="str">
        <f>IF(ISBLANK(C4),"REFERENCE NAME",C4)</f>
        <v>Pudding Mill</v>
      </c>
      <c r="Q4" s="8"/>
      <c r="R4" s="8"/>
      <c r="S4" s="9" t="s">
        <v>56</v>
      </c>
      <c r="U4" s="69">
        <f ca="1">I4</f>
        <v>44855</v>
      </c>
    </row>
    <row r="5" spans="1:21">
      <c r="B5" s="83" t="s">
        <v>133</v>
      </c>
      <c r="C5" s="148" t="s">
        <v>134</v>
      </c>
      <c r="D5" s="148"/>
      <c r="E5" s="148"/>
      <c r="F5" s="148"/>
      <c r="G5" s="8"/>
      <c r="H5" s="83" t="s">
        <v>57</v>
      </c>
      <c r="I5" s="161">
        <f ca="1">TODAY()</f>
        <v>44855</v>
      </c>
      <c r="J5" s="160"/>
      <c r="K5" s="104"/>
      <c r="M5" s="9" t="s">
        <v>133</v>
      </c>
      <c r="N5" s="76" t="str">
        <f>IF(ISBLANK(C5),"TBC",C5)</f>
        <v>TBC</v>
      </c>
      <c r="Q5" s="8"/>
      <c r="R5" s="8"/>
      <c r="S5" s="9" t="s">
        <v>57</v>
      </c>
      <c r="U5" s="69">
        <f ca="1">I5</f>
        <v>44855</v>
      </c>
    </row>
    <row r="6" spans="1:21">
      <c r="B6" s="72"/>
      <c r="C6" s="72"/>
      <c r="D6" s="74"/>
      <c r="E6" s="73"/>
      <c r="F6" s="73"/>
      <c r="G6" s="73"/>
      <c r="H6" s="73"/>
      <c r="I6" s="73"/>
      <c r="J6" s="73"/>
      <c r="K6" s="73"/>
      <c r="L6" s="75"/>
      <c r="M6" s="72"/>
      <c r="N6" s="72"/>
      <c r="O6" s="74"/>
      <c r="P6" s="73"/>
      <c r="Q6" s="73"/>
      <c r="R6" s="73"/>
      <c r="S6" s="73"/>
      <c r="T6" s="73"/>
      <c r="U6" s="73"/>
    </row>
    <row r="7" spans="1:21">
      <c r="A7" s="75"/>
      <c r="B7" s="4"/>
      <c r="C7" s="8"/>
      <c r="D7" s="8">
        <v>1</v>
      </c>
      <c r="E7" s="8">
        <v>2</v>
      </c>
      <c r="F7" s="8">
        <v>3</v>
      </c>
      <c r="G7" s="8">
        <v>4</v>
      </c>
      <c r="H7" s="73"/>
      <c r="I7" s="73"/>
      <c r="J7" s="73"/>
      <c r="K7" s="73"/>
      <c r="L7" s="4"/>
      <c r="M7" s="4"/>
      <c r="N7" s="8"/>
      <c r="O7" s="73"/>
      <c r="P7" s="8">
        <v>1</v>
      </c>
      <c r="Q7" s="8">
        <v>2</v>
      </c>
      <c r="R7" s="8">
        <v>3</v>
      </c>
      <c r="S7" s="8">
        <v>4</v>
      </c>
    </row>
    <row r="8" spans="1:21">
      <c r="A8" s="4"/>
      <c r="B8" s="84" t="s">
        <v>1</v>
      </c>
      <c r="C8" s="85" t="s">
        <v>168</v>
      </c>
      <c r="D8" s="85" t="s">
        <v>131</v>
      </c>
      <c r="E8" s="85" t="s">
        <v>132</v>
      </c>
      <c r="F8" s="85" t="s">
        <v>22</v>
      </c>
      <c r="G8" s="85" t="s">
        <v>28</v>
      </c>
      <c r="H8" s="8"/>
      <c r="I8" s="8"/>
      <c r="J8" s="8"/>
      <c r="K8" s="8"/>
      <c r="L8" s="4"/>
      <c r="M8" s="70" t="s">
        <v>1</v>
      </c>
      <c r="N8" s="71" t="s">
        <v>2</v>
      </c>
      <c r="O8" s="71" t="s">
        <v>62</v>
      </c>
      <c r="P8" s="71" t="s">
        <v>131</v>
      </c>
      <c r="Q8" s="71" t="s">
        <v>132</v>
      </c>
      <c r="R8" s="71" t="s">
        <v>22</v>
      </c>
      <c r="S8" s="71" t="s">
        <v>28</v>
      </c>
    </row>
    <row r="9" spans="1:21">
      <c r="A9" s="4"/>
      <c r="B9" s="10" t="s">
        <v>3</v>
      </c>
      <c r="C9" s="11" t="s">
        <v>23</v>
      </c>
      <c r="D9" s="14">
        <v>7.1</v>
      </c>
      <c r="E9" s="14">
        <v>6.9</v>
      </c>
      <c r="F9" s="14">
        <v>7.2</v>
      </c>
      <c r="G9" s="14">
        <v>7</v>
      </c>
      <c r="H9" s="100"/>
      <c r="I9" s="100"/>
      <c r="J9" s="100"/>
      <c r="K9" s="100"/>
      <c r="L9" s="4"/>
      <c r="M9" s="10" t="s">
        <v>3</v>
      </c>
      <c r="N9" s="11" t="s">
        <v>23</v>
      </c>
      <c r="O9" s="11" t="s">
        <v>64</v>
      </c>
      <c r="P9" s="14">
        <f>D9</f>
        <v>7.1</v>
      </c>
      <c r="Q9" s="14">
        <f t="shared" ref="Q9:S9" si="0">E9</f>
        <v>6.9</v>
      </c>
      <c r="R9" s="14">
        <f t="shared" si="0"/>
        <v>7.2</v>
      </c>
      <c r="S9" s="14">
        <f t="shared" si="0"/>
        <v>7</v>
      </c>
    </row>
    <row r="10" spans="1:21" ht="14.4">
      <c r="A10" s="4"/>
      <c r="B10" s="10" t="s">
        <v>5</v>
      </c>
      <c r="C10" s="10" t="s">
        <v>52</v>
      </c>
      <c r="D10" s="15">
        <v>45</v>
      </c>
      <c r="E10" s="15">
        <v>60</v>
      </c>
      <c r="F10" s="15">
        <v>50</v>
      </c>
      <c r="G10" s="15">
        <v>1.5</v>
      </c>
      <c r="H10" s="101"/>
      <c r="I10" s="101"/>
      <c r="J10" s="101"/>
      <c r="K10" s="101"/>
      <c r="L10" s="4"/>
      <c r="M10" s="10" t="s">
        <v>5</v>
      </c>
      <c r="N10" s="10" t="s">
        <v>52</v>
      </c>
      <c r="O10" s="11" t="s">
        <v>23</v>
      </c>
      <c r="P10" s="15">
        <f t="shared" ref="P10:S11" si="1">IF(D10&lt;5,"&lt;5",D10)</f>
        <v>45</v>
      </c>
      <c r="Q10" s="15">
        <f t="shared" si="1"/>
        <v>60</v>
      </c>
      <c r="R10" s="15">
        <f t="shared" si="1"/>
        <v>50</v>
      </c>
      <c r="S10" s="15" t="str">
        <f t="shared" si="1"/>
        <v>&lt;5</v>
      </c>
    </row>
    <row r="11" spans="1:21" ht="14.4">
      <c r="A11" s="4"/>
      <c r="B11" s="10" t="s">
        <v>6</v>
      </c>
      <c r="C11" s="10" t="s">
        <v>52</v>
      </c>
      <c r="D11" s="15">
        <v>50</v>
      </c>
      <c r="E11" s="15">
        <v>45</v>
      </c>
      <c r="F11" s="15">
        <v>0</v>
      </c>
      <c r="G11" s="15">
        <v>0</v>
      </c>
      <c r="H11" s="66"/>
      <c r="I11" s="66"/>
      <c r="J11" s="66"/>
      <c r="K11" s="66"/>
      <c r="L11" s="4"/>
      <c r="M11" s="10" t="s">
        <v>6</v>
      </c>
      <c r="N11" s="10" t="s">
        <v>52</v>
      </c>
      <c r="O11" s="11" t="s">
        <v>65</v>
      </c>
      <c r="P11" s="15">
        <f t="shared" si="1"/>
        <v>50</v>
      </c>
      <c r="Q11" s="15">
        <f t="shared" si="1"/>
        <v>45</v>
      </c>
      <c r="R11" s="15" t="str">
        <f t="shared" si="1"/>
        <v>&lt;5</v>
      </c>
      <c r="S11" s="15" t="str">
        <f t="shared" si="1"/>
        <v>&lt;5</v>
      </c>
    </row>
    <row r="12" spans="1:21" ht="14.4">
      <c r="A12" s="4"/>
      <c r="B12" s="10" t="s">
        <v>14</v>
      </c>
      <c r="C12" s="10" t="s">
        <v>53</v>
      </c>
      <c r="D12" s="96">
        <f>2*(IF(D10&lt;5,5,D10)-(5*10^(D9-10)))/(1+(0.94*10^(D9-10)))*10^(6-D9)</f>
        <v>7.1395052941546346</v>
      </c>
      <c r="E12" s="96">
        <f>2*(IF(E10&lt;5,5,E10)-(5*10^(E9-10)))/(1+(0.94*10^(E9-10)))*10^(6-E9)</f>
        <v>15.094834103778505</v>
      </c>
      <c r="F12" s="96">
        <f t="shared" ref="F12:G12" si="2">2*(IF(F10&lt;5,5,F10)-(5*10^(F9-10)))/(1+(0.94*10^(F9-10)))*10^(6-F9)</f>
        <v>6.2991889156692853</v>
      </c>
      <c r="G12" s="96">
        <f t="shared" si="2"/>
        <v>0.99806182188742598</v>
      </c>
      <c r="H12" s="66"/>
      <c r="I12" s="66"/>
      <c r="J12" s="66"/>
      <c r="K12" s="66"/>
      <c r="L12" s="4"/>
      <c r="M12" s="10" t="s">
        <v>14</v>
      </c>
      <c r="N12" s="10" t="s">
        <v>53</v>
      </c>
      <c r="O12" s="11" t="s">
        <v>23</v>
      </c>
      <c r="P12" s="103">
        <f>IF(D12&lt;1,"&lt;1",D12)</f>
        <v>7.1395052941546346</v>
      </c>
      <c r="Q12" s="103">
        <f t="shared" ref="Q12:S12" si="3">IF(E12&lt;1,"&lt;1",E12)</f>
        <v>15.094834103778505</v>
      </c>
      <c r="R12" s="103">
        <f t="shared" si="3"/>
        <v>6.2991889156692853</v>
      </c>
      <c r="S12" s="103" t="str">
        <f t="shared" si="3"/>
        <v>&lt;1</v>
      </c>
    </row>
    <row r="13" spans="1:21">
      <c r="A13" s="4"/>
      <c r="B13" s="10" t="s">
        <v>17</v>
      </c>
      <c r="C13" s="11" t="s">
        <v>23</v>
      </c>
      <c r="D13" s="97">
        <f>+D9+0.5+VLOOKUP(IF(D10&lt;5,5,D10),LSI!$F$2:$G$25,2)+VLOOKUP(IF(D11&lt;5,5,D11),LSI!$H$2:$I$25,2)-12.1</f>
        <v>-1.6000000000000014</v>
      </c>
      <c r="E13" s="97">
        <f>+E9+0.5+VLOOKUP(IF(E10&lt;5,5,E10),LSI!$F$2:$G$25,2)+VLOOKUP(IF(E11&lt;5,5,E11),LSI!$H$2:$I$25,2)-12.1</f>
        <v>-1.7999999999999989</v>
      </c>
      <c r="F13" s="97">
        <f>+F9+0.5+VLOOKUP(IF(F10&lt;5,5,F10),LSI!$F$2:$G$25,2)+VLOOKUP(IF(F11&lt;5,5,F11),LSI!$H$2:$I$25,2)-12.1</f>
        <v>-2.4000000000000004</v>
      </c>
      <c r="G13" s="97">
        <f>+G9+0.5+VLOOKUP(IF(G10&lt;5,5,G10),LSI!$F$2:$G$25,2)+VLOOKUP(IF(G11&lt;5,5,G11),LSI!$H$2:$I$25,2)-12.1</f>
        <v>-3.5999999999999996</v>
      </c>
      <c r="H13" s="67"/>
      <c r="I13" s="67"/>
      <c r="J13" s="67"/>
      <c r="K13" s="67"/>
      <c r="L13" s="4"/>
      <c r="M13" s="10" t="s">
        <v>17</v>
      </c>
      <c r="N13" s="11" t="s">
        <v>23</v>
      </c>
      <c r="O13" s="11" t="s">
        <v>23</v>
      </c>
      <c r="P13" s="103">
        <f>D13</f>
        <v>-1.6000000000000014</v>
      </c>
      <c r="Q13" s="103">
        <f t="shared" ref="Q13" si="4">E13</f>
        <v>-1.7999999999999989</v>
      </c>
      <c r="R13" s="103">
        <f t="shared" ref="R13" si="5">F13</f>
        <v>-2.4000000000000004</v>
      </c>
      <c r="S13" s="103">
        <f t="shared" ref="S13" si="6">G13</f>
        <v>-3.5999999999999996</v>
      </c>
    </row>
    <row r="14" spans="1:21">
      <c r="A14" s="4"/>
      <c r="B14" s="10" t="s">
        <v>10</v>
      </c>
      <c r="C14" s="10" t="s">
        <v>24</v>
      </c>
      <c r="D14" s="11">
        <v>4.8</v>
      </c>
      <c r="E14" s="11">
        <v>4.75</v>
      </c>
      <c r="F14" s="11">
        <v>0.74</v>
      </c>
      <c r="G14" s="11">
        <v>0.16</v>
      </c>
      <c r="H14" s="67"/>
      <c r="I14" s="67"/>
      <c r="J14" s="67"/>
      <c r="K14" s="67"/>
      <c r="L14" s="4"/>
      <c r="M14" s="10" t="s">
        <v>10</v>
      </c>
      <c r="N14" s="10" t="s">
        <v>24</v>
      </c>
      <c r="O14" s="11" t="s">
        <v>66</v>
      </c>
      <c r="P14" s="11">
        <f t="shared" ref="P14:S15" si="7">IF(D14&lt;0.01,"&lt;0.01",D14)</f>
        <v>4.8</v>
      </c>
      <c r="Q14" s="11">
        <f t="shared" si="7"/>
        <v>4.75</v>
      </c>
      <c r="R14" s="11">
        <f t="shared" si="7"/>
        <v>0.74</v>
      </c>
      <c r="S14" s="11">
        <f t="shared" si="7"/>
        <v>0.16</v>
      </c>
    </row>
    <row r="15" spans="1:21">
      <c r="A15" s="4"/>
      <c r="B15" s="10" t="s">
        <v>11</v>
      </c>
      <c r="C15" s="10" t="s">
        <v>24</v>
      </c>
      <c r="D15" s="11">
        <v>0.1</v>
      </c>
      <c r="E15" s="11">
        <v>0.11</v>
      </c>
      <c r="F15" s="11">
        <v>0.03</v>
      </c>
      <c r="G15" s="11">
        <v>0.03</v>
      </c>
      <c r="H15" s="67"/>
      <c r="I15" s="67"/>
      <c r="J15" s="67"/>
      <c r="K15" s="67"/>
      <c r="L15" s="4"/>
      <c r="M15" s="10" t="s">
        <v>11</v>
      </c>
      <c r="N15" s="10" t="s">
        <v>24</v>
      </c>
      <c r="O15" s="11" t="s">
        <v>67</v>
      </c>
      <c r="P15" s="11">
        <f t="shared" si="7"/>
        <v>0.1</v>
      </c>
      <c r="Q15" s="11">
        <f t="shared" si="7"/>
        <v>0.11</v>
      </c>
      <c r="R15" s="11">
        <f t="shared" si="7"/>
        <v>0.03</v>
      </c>
      <c r="S15" s="11">
        <f t="shared" si="7"/>
        <v>0.03</v>
      </c>
    </row>
    <row r="16" spans="1:21">
      <c r="A16" s="4"/>
      <c r="B16" s="10" t="s">
        <v>4</v>
      </c>
      <c r="C16" s="10" t="s">
        <v>24</v>
      </c>
      <c r="D16" s="11">
        <v>90</v>
      </c>
      <c r="E16" s="11">
        <v>80</v>
      </c>
      <c r="F16" s="11">
        <v>100</v>
      </c>
      <c r="G16" s="11">
        <v>150</v>
      </c>
      <c r="H16" s="66"/>
      <c r="I16" s="66"/>
      <c r="J16" s="66"/>
      <c r="K16" s="66"/>
      <c r="L16" s="4"/>
      <c r="M16" s="10" t="s">
        <v>4</v>
      </c>
      <c r="N16" s="10" t="s">
        <v>24</v>
      </c>
      <c r="O16" s="11" t="s">
        <v>69</v>
      </c>
      <c r="P16" s="11">
        <f>IF(D16&lt;10,"&lt;10",D16)</f>
        <v>90</v>
      </c>
      <c r="Q16" s="11">
        <f>IF(E16&lt;10,"&lt;10",E16)</f>
        <v>80</v>
      </c>
      <c r="R16" s="11">
        <f>IF(F16&lt;10,"&lt;10",F16)</f>
        <v>100</v>
      </c>
      <c r="S16" s="11">
        <f>IF(G16&lt;10,"&lt;10",G16)</f>
        <v>150</v>
      </c>
    </row>
    <row r="17" spans="1:22">
      <c r="A17" s="4"/>
      <c r="B17" s="10" t="s">
        <v>15</v>
      </c>
      <c r="C17" s="10" t="s">
        <v>24</v>
      </c>
      <c r="D17" s="15">
        <v>6</v>
      </c>
      <c r="E17" s="15">
        <v>2</v>
      </c>
      <c r="F17" s="15">
        <v>6</v>
      </c>
      <c r="G17" s="15">
        <v>58</v>
      </c>
      <c r="H17" s="66"/>
      <c r="I17" s="66"/>
      <c r="J17" s="66"/>
      <c r="K17" s="66"/>
      <c r="L17" s="4"/>
      <c r="M17" s="10" t="s">
        <v>15</v>
      </c>
      <c r="N17" s="10" t="s">
        <v>24</v>
      </c>
      <c r="O17" s="11" t="s">
        <v>70</v>
      </c>
      <c r="P17" s="11">
        <f>IF(D17&lt;1,"&lt;1",D17)</f>
        <v>6</v>
      </c>
      <c r="Q17" s="11">
        <f t="shared" ref="Q17:S18" si="8">IF(E17&lt;1,"&lt;1",E17)</f>
        <v>2</v>
      </c>
      <c r="R17" s="11">
        <f t="shared" si="8"/>
        <v>6</v>
      </c>
      <c r="S17" s="11">
        <f t="shared" si="8"/>
        <v>58</v>
      </c>
    </row>
    <row r="18" spans="1:22">
      <c r="A18" s="4"/>
      <c r="B18" s="10" t="s">
        <v>16</v>
      </c>
      <c r="C18" s="10" t="s">
        <v>24</v>
      </c>
      <c r="D18" s="15">
        <v>13</v>
      </c>
      <c r="E18" s="15">
        <v>13</v>
      </c>
      <c r="F18" s="15">
        <v>36</v>
      </c>
      <c r="G18" s="15">
        <v>36</v>
      </c>
      <c r="H18" s="66"/>
      <c r="I18" s="66"/>
      <c r="J18" s="66"/>
      <c r="K18" s="66"/>
      <c r="L18" s="4"/>
      <c r="M18" s="10" t="s">
        <v>16</v>
      </c>
      <c r="N18" s="10" t="s">
        <v>24</v>
      </c>
      <c r="O18" s="11" t="s">
        <v>65</v>
      </c>
      <c r="P18" s="11">
        <f>IF(D18&lt;1,"&lt;1",D18)</f>
        <v>13</v>
      </c>
      <c r="Q18" s="11">
        <f t="shared" si="8"/>
        <v>13</v>
      </c>
      <c r="R18" s="11">
        <f t="shared" si="8"/>
        <v>36</v>
      </c>
      <c r="S18" s="11">
        <f t="shared" si="8"/>
        <v>36</v>
      </c>
    </row>
    <row r="19" spans="1:22" hidden="1">
      <c r="A19" s="4"/>
      <c r="B19" s="10" t="s">
        <v>178</v>
      </c>
      <c r="C19" s="10" t="s">
        <v>179</v>
      </c>
      <c r="D19" s="14">
        <f>D20/10</f>
        <v>12.9</v>
      </c>
      <c r="E19" s="14">
        <f t="shared" ref="E19:G19" si="9">E20/10</f>
        <v>11.4</v>
      </c>
      <c r="F19" s="14">
        <f t="shared" si="9"/>
        <v>13.8</v>
      </c>
      <c r="G19" s="14">
        <f t="shared" si="9"/>
        <v>20.6</v>
      </c>
      <c r="H19" s="67"/>
      <c r="I19" s="67"/>
      <c r="J19" s="67"/>
      <c r="K19" s="67"/>
      <c r="L19" s="4"/>
      <c r="M19" s="10" t="s">
        <v>178</v>
      </c>
      <c r="N19" s="10" t="s">
        <v>179</v>
      </c>
      <c r="O19" s="11" t="s">
        <v>23</v>
      </c>
      <c r="P19" s="14">
        <f>P20/10</f>
        <v>12.9</v>
      </c>
      <c r="Q19" s="14">
        <f t="shared" ref="Q19:S19" si="10">Q20/10</f>
        <v>11.4</v>
      </c>
      <c r="R19" s="14">
        <f t="shared" si="10"/>
        <v>13.8</v>
      </c>
      <c r="S19" s="14">
        <f t="shared" si="10"/>
        <v>20.6</v>
      </c>
    </row>
    <row r="20" spans="1:22">
      <c r="A20" s="4"/>
      <c r="B20" s="10" t="s">
        <v>178</v>
      </c>
      <c r="C20" s="10" t="s">
        <v>180</v>
      </c>
      <c r="D20" s="15">
        <v>129</v>
      </c>
      <c r="E20" s="15">
        <v>114</v>
      </c>
      <c r="F20" s="15">
        <v>138</v>
      </c>
      <c r="G20" s="15">
        <v>206</v>
      </c>
      <c r="H20" s="66"/>
      <c r="I20" s="66"/>
      <c r="J20" s="66"/>
      <c r="K20" s="66"/>
      <c r="L20" s="4"/>
      <c r="M20" s="10" t="s">
        <v>178</v>
      </c>
      <c r="N20" s="10" t="s">
        <v>180</v>
      </c>
      <c r="O20" s="11" t="s">
        <v>23</v>
      </c>
      <c r="P20" s="14">
        <f t="shared" ref="P20:S20" si="11">D20</f>
        <v>129</v>
      </c>
      <c r="Q20" s="14">
        <f t="shared" si="11"/>
        <v>114</v>
      </c>
      <c r="R20" s="14">
        <f t="shared" si="11"/>
        <v>138</v>
      </c>
      <c r="S20" s="14">
        <f t="shared" si="11"/>
        <v>206</v>
      </c>
    </row>
    <row r="21" spans="1:22">
      <c r="A21" s="4"/>
      <c r="B21" s="10" t="s">
        <v>18</v>
      </c>
      <c r="C21" s="10" t="s">
        <v>25</v>
      </c>
      <c r="D21" s="11">
        <v>12.04</v>
      </c>
      <c r="E21" s="11">
        <v>16.309999999999999</v>
      </c>
      <c r="F21" s="11">
        <v>1.86</v>
      </c>
      <c r="G21" s="11">
        <v>0.44</v>
      </c>
      <c r="H21" s="101"/>
      <c r="I21" s="101"/>
      <c r="J21" s="101"/>
      <c r="K21" s="101"/>
      <c r="L21" s="4"/>
      <c r="M21" s="10" t="s">
        <v>18</v>
      </c>
      <c r="N21" s="10" t="s">
        <v>25</v>
      </c>
      <c r="O21" s="11" t="s">
        <v>71</v>
      </c>
      <c r="P21" s="14">
        <f>IF(D21&lt;0.05,"&lt;0.05",D21)</f>
        <v>12.04</v>
      </c>
      <c r="Q21" s="14">
        <f>IF(E21&lt;0.05,"&lt;0.05",E21)</f>
        <v>16.309999999999999</v>
      </c>
      <c r="R21" s="14">
        <f>IF(F21&lt;0.05,"&lt;0.05",F21)</f>
        <v>1.86</v>
      </c>
      <c r="S21" s="14">
        <f>IF(G21&lt;0.05,"&lt;0.05",G21)</f>
        <v>0.44</v>
      </c>
    </row>
    <row r="22" spans="1:22">
      <c r="A22" s="4"/>
      <c r="B22" s="10" t="s">
        <v>159</v>
      </c>
      <c r="C22" s="10" t="s">
        <v>160</v>
      </c>
      <c r="D22" s="15">
        <v>60</v>
      </c>
      <c r="E22" s="15">
        <v>10</v>
      </c>
      <c r="F22" s="15" t="s">
        <v>38</v>
      </c>
      <c r="G22" s="15" t="s">
        <v>38</v>
      </c>
      <c r="H22" s="67"/>
      <c r="I22" s="67"/>
      <c r="J22" s="67"/>
      <c r="K22" s="67"/>
      <c r="L22" s="4"/>
      <c r="M22" s="10" t="s">
        <v>159</v>
      </c>
      <c r="N22" s="10" t="s">
        <v>160</v>
      </c>
      <c r="O22" s="11" t="s">
        <v>23</v>
      </c>
      <c r="P22" s="11">
        <f>IF(D22&lt;5,"&lt;5",D22)</f>
        <v>60</v>
      </c>
      <c r="Q22" s="11">
        <f t="shared" ref="Q22:S23" si="12">IF(E22&lt;5,"&lt;5",E22)</f>
        <v>10</v>
      </c>
      <c r="R22" s="11" t="str">
        <f t="shared" si="12"/>
        <v>&lt;5</v>
      </c>
      <c r="S22" s="11" t="str">
        <f t="shared" si="12"/>
        <v>&lt;5</v>
      </c>
    </row>
    <row r="23" spans="1:22" ht="14.4">
      <c r="A23" s="4"/>
      <c r="B23" s="10" t="s">
        <v>19</v>
      </c>
      <c r="C23" s="10" t="s">
        <v>55</v>
      </c>
      <c r="D23" s="14">
        <v>34.5</v>
      </c>
      <c r="E23" s="14">
        <v>37</v>
      </c>
      <c r="F23" s="14">
        <v>56.7</v>
      </c>
      <c r="G23" s="14">
        <v>98.4</v>
      </c>
      <c r="H23" s="8"/>
      <c r="I23" s="8"/>
      <c r="J23" s="8"/>
      <c r="K23" s="8"/>
      <c r="L23" s="4"/>
      <c r="M23" s="10" t="s">
        <v>19</v>
      </c>
      <c r="N23" s="10" t="s">
        <v>55</v>
      </c>
      <c r="O23" s="11" t="s">
        <v>23</v>
      </c>
      <c r="P23" s="14">
        <f>IF(D23&lt;5,"&lt;5",D23)</f>
        <v>34.5</v>
      </c>
      <c r="Q23" s="14">
        <f t="shared" si="12"/>
        <v>37</v>
      </c>
      <c r="R23" s="14">
        <f t="shared" si="12"/>
        <v>56.7</v>
      </c>
      <c r="S23" s="14">
        <f t="shared" si="12"/>
        <v>98.4</v>
      </c>
    </row>
    <row r="24" spans="1:22">
      <c r="A24" s="4"/>
      <c r="B24" s="65"/>
      <c r="C24" s="65"/>
      <c r="D24" s="67"/>
      <c r="E24" s="67"/>
      <c r="F24" s="67"/>
      <c r="G24" s="67"/>
      <c r="H24" s="80"/>
      <c r="I24" s="80"/>
      <c r="J24" s="80"/>
      <c r="K24" s="105"/>
      <c r="L24" s="4"/>
      <c r="M24" s="65"/>
      <c r="N24" s="65"/>
      <c r="O24" s="67"/>
      <c r="P24" s="67"/>
      <c r="Q24" s="67"/>
      <c r="R24" s="67"/>
      <c r="S24" s="67"/>
      <c r="T24" s="67"/>
      <c r="U24" s="67"/>
      <c r="V24" s="5"/>
    </row>
    <row r="25" spans="1:22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106"/>
      <c r="L25" s="4"/>
      <c r="M25" s="7" t="s">
        <v>44</v>
      </c>
      <c r="N25" s="9" t="s">
        <v>60</v>
      </c>
      <c r="O25" s="8"/>
      <c r="P25" s="8"/>
      <c r="Q25" s="8"/>
      <c r="R25" s="8"/>
      <c r="S25" s="8"/>
      <c r="T25" s="8"/>
      <c r="U25" s="8"/>
      <c r="V25" s="5"/>
    </row>
    <row r="26" spans="1:22">
      <c r="A26" s="4"/>
      <c r="B26" s="10" t="s">
        <v>45</v>
      </c>
      <c r="C26" s="157" t="s">
        <v>209</v>
      </c>
      <c r="D26" s="157"/>
      <c r="E26" s="158" t="s">
        <v>197</v>
      </c>
      <c r="F26" s="158"/>
      <c r="G26" s="102" t="s">
        <v>210</v>
      </c>
      <c r="H26" s="158" t="s">
        <v>202</v>
      </c>
      <c r="I26" s="158"/>
      <c r="J26" s="158"/>
      <c r="K26" s="107"/>
      <c r="L26" s="4"/>
      <c r="M26" s="10" t="s">
        <v>45</v>
      </c>
      <c r="N26" s="57" t="str">
        <f>CONCATENATE(C26, " ", E26," ", G26, " ", H26)</f>
        <v>The sample was slightly discoloured  with some significant sediments</v>
      </c>
      <c r="O26" s="58"/>
      <c r="P26" s="58"/>
      <c r="Q26" s="58"/>
      <c r="R26" s="58"/>
      <c r="S26" s="58"/>
      <c r="T26" s="58"/>
      <c r="U26" s="59"/>
      <c r="V26" s="5"/>
    </row>
    <row r="27" spans="1:22">
      <c r="A27" s="4"/>
      <c r="B27" s="10" t="s">
        <v>46</v>
      </c>
      <c r="C27" s="157" t="s">
        <v>209</v>
      </c>
      <c r="D27" s="157"/>
      <c r="E27" s="158" t="s">
        <v>197</v>
      </c>
      <c r="F27" s="158"/>
      <c r="G27" s="102" t="s">
        <v>210</v>
      </c>
      <c r="H27" s="158" t="s">
        <v>202</v>
      </c>
      <c r="I27" s="158"/>
      <c r="J27" s="158"/>
      <c r="K27" s="107"/>
      <c r="L27" s="4"/>
      <c r="M27" s="10" t="s">
        <v>46</v>
      </c>
      <c r="N27" s="57" t="str">
        <f>CONCATENATE(C27, " ", E27," ", G27, " ", H27)</f>
        <v>The sample was slightly discoloured  with some significant sediments</v>
      </c>
      <c r="O27" s="60"/>
      <c r="P27" s="58"/>
      <c r="Q27" s="58"/>
      <c r="R27" s="58"/>
      <c r="S27" s="58"/>
      <c r="T27" s="58"/>
      <c r="U27" s="59"/>
      <c r="V27" s="5"/>
    </row>
    <row r="28" spans="1:22">
      <c r="A28" s="4"/>
      <c r="B28" s="10" t="s">
        <v>47</v>
      </c>
      <c r="C28" s="157" t="s">
        <v>209</v>
      </c>
      <c r="D28" s="157"/>
      <c r="E28" s="158" t="s">
        <v>196</v>
      </c>
      <c r="F28" s="158"/>
      <c r="G28" s="102" t="s">
        <v>210</v>
      </c>
      <c r="H28" s="158" t="s">
        <v>201</v>
      </c>
      <c r="I28" s="158"/>
      <c r="J28" s="158"/>
      <c r="K28" s="107"/>
      <c r="L28" s="4"/>
      <c r="M28" s="10" t="s">
        <v>47</v>
      </c>
      <c r="N28" s="57" t="str">
        <f>CONCATENATE(C28, " ", E28," ", G28, " ", H28)</f>
        <v>The sample was clear  with no significant sediments</v>
      </c>
      <c r="O28" s="58"/>
      <c r="P28" s="58"/>
      <c r="Q28" s="58"/>
      <c r="R28" s="58"/>
      <c r="S28" s="58"/>
      <c r="T28" s="58"/>
      <c r="U28" s="59"/>
      <c r="V28" s="5"/>
    </row>
    <row r="29" spans="1:22">
      <c r="A29" s="4"/>
      <c r="B29" s="10" t="s">
        <v>48</v>
      </c>
      <c r="C29" s="157" t="s">
        <v>209</v>
      </c>
      <c r="D29" s="157"/>
      <c r="E29" s="158" t="s">
        <v>196</v>
      </c>
      <c r="F29" s="158"/>
      <c r="G29" s="102" t="s">
        <v>210</v>
      </c>
      <c r="H29" s="158" t="s">
        <v>201</v>
      </c>
      <c r="I29" s="158"/>
      <c r="J29" s="158"/>
      <c r="K29" s="107"/>
      <c r="L29" s="4"/>
      <c r="M29" s="10" t="s">
        <v>48</v>
      </c>
      <c r="N29" s="57" t="str">
        <f>CONCATENATE(C29, " ", E29," ", G29, " ", H29)</f>
        <v>The sample was clear  with no significant sediments</v>
      </c>
      <c r="O29" s="58"/>
      <c r="P29" s="58"/>
      <c r="Q29" s="58"/>
      <c r="R29" s="58"/>
      <c r="S29" s="58"/>
      <c r="T29" s="58"/>
      <c r="U29" s="59"/>
      <c r="V29" s="5"/>
    </row>
    <row r="30" spans="1:22">
      <c r="A30" s="4"/>
      <c r="B30" s="65"/>
      <c r="C30" s="80"/>
      <c r="D30" s="80"/>
      <c r="E30" s="80"/>
      <c r="F30" s="80"/>
      <c r="G30" s="80"/>
      <c r="H30" s="80"/>
      <c r="I30" s="80"/>
      <c r="J30" s="80"/>
      <c r="K30" s="105"/>
      <c r="L30" s="4"/>
      <c r="M30" s="65"/>
      <c r="N30" s="80"/>
      <c r="O30" s="80"/>
      <c r="P30" s="80"/>
      <c r="Q30" s="80"/>
      <c r="R30" s="80"/>
      <c r="S30" s="80"/>
      <c r="T30" s="80"/>
      <c r="U30" s="80"/>
      <c r="V30" s="5"/>
    </row>
    <row r="31" spans="1:22">
      <c r="A31" s="4"/>
      <c r="B31" s="4"/>
      <c r="C31" s="8"/>
      <c r="D31" s="8"/>
      <c r="E31" s="8"/>
      <c r="F31" s="8"/>
      <c r="G31" s="8"/>
      <c r="H31" s="8"/>
      <c r="I31" s="8"/>
      <c r="J31" s="8"/>
      <c r="K31" s="106"/>
      <c r="L31" s="4"/>
      <c r="M31" s="61" t="s">
        <v>62</v>
      </c>
      <c r="N31" s="62" t="s">
        <v>192</v>
      </c>
      <c r="O31" s="63"/>
      <c r="P31" s="63"/>
      <c r="Q31" s="63"/>
      <c r="R31" s="63"/>
      <c r="S31" s="63"/>
      <c r="T31" s="63"/>
      <c r="U31" s="63"/>
      <c r="V31" s="5"/>
    </row>
    <row r="32" spans="1:22">
      <c r="A32" s="4"/>
      <c r="B32" s="4"/>
      <c r="C32" s="8"/>
      <c r="D32" s="8"/>
      <c r="E32" s="8"/>
      <c r="F32" s="8"/>
      <c r="G32" s="8"/>
      <c r="H32" s="8"/>
      <c r="I32" s="8"/>
      <c r="J32" s="8"/>
      <c r="K32" s="8"/>
      <c r="L32" s="4"/>
      <c r="M32" s="55" t="s">
        <v>24</v>
      </c>
      <c r="N32" s="155" t="s">
        <v>129</v>
      </c>
      <c r="O32" s="156"/>
      <c r="P32" s="156"/>
      <c r="Q32" s="156"/>
      <c r="R32" s="156"/>
      <c r="S32" s="156"/>
      <c r="T32" s="156"/>
      <c r="U32" s="156"/>
      <c r="V32" s="5"/>
    </row>
    <row r="33" spans="1:22">
      <c r="A33" s="4"/>
      <c r="B33" s="4"/>
      <c r="C33" s="8"/>
      <c r="D33" s="8"/>
      <c r="E33" s="8"/>
      <c r="F33" s="8"/>
      <c r="G33" s="8"/>
      <c r="H33" s="8"/>
      <c r="I33" s="8"/>
      <c r="J33" s="8"/>
      <c r="K33" s="8"/>
      <c r="L33" s="4"/>
      <c r="M33" s="55"/>
      <c r="N33" s="8"/>
      <c r="O33" s="8"/>
      <c r="P33" s="8"/>
      <c r="Q33" s="8"/>
      <c r="R33" s="8"/>
      <c r="S33" s="8"/>
      <c r="T33" s="8"/>
      <c r="U33" s="8"/>
      <c r="V33" s="5"/>
    </row>
    <row r="34" spans="1:22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4"/>
      <c r="M34" s="4"/>
      <c r="N34" s="8"/>
      <c r="O34" s="8"/>
      <c r="P34" s="8"/>
      <c r="Q34" s="8"/>
      <c r="R34" s="8"/>
      <c r="S34" s="8"/>
      <c r="T34" s="8"/>
      <c r="U34" s="8"/>
      <c r="V34" s="5"/>
    </row>
    <row r="35" spans="1:22">
      <c r="A35" s="4"/>
      <c r="B35" s="4"/>
      <c r="C35" s="8"/>
      <c r="D35" s="8"/>
      <c r="E35" s="8"/>
      <c r="F35" s="8"/>
      <c r="G35" s="8"/>
      <c r="H35" s="8"/>
      <c r="I35" s="8"/>
      <c r="J35" s="8"/>
      <c r="K35" s="8"/>
      <c r="L35" s="4"/>
      <c r="M35" s="4"/>
      <c r="N35" s="8"/>
      <c r="O35" s="8"/>
      <c r="P35" s="8"/>
      <c r="Q35" s="8"/>
      <c r="R35" s="8"/>
      <c r="S35" s="8"/>
      <c r="T35" s="8"/>
      <c r="U35" s="8"/>
      <c r="V35" s="5"/>
    </row>
    <row r="36" spans="1:22">
      <c r="A36" s="4"/>
      <c r="B36" s="12"/>
      <c r="C36" s="8"/>
      <c r="D36" s="8"/>
      <c r="E36" s="8"/>
      <c r="F36" s="8"/>
      <c r="G36" s="8"/>
      <c r="H36" s="8"/>
      <c r="I36" s="8"/>
      <c r="J36" s="8"/>
      <c r="K36" s="8"/>
      <c r="L36" s="4"/>
      <c r="M36" s="4" t="s">
        <v>190</v>
      </c>
      <c r="N36" s="8"/>
      <c r="O36" s="8"/>
      <c r="P36" s="8"/>
      <c r="Q36" s="8"/>
      <c r="R36" s="8"/>
      <c r="S36" s="8"/>
      <c r="T36" s="8"/>
      <c r="U36" s="8"/>
      <c r="V36" s="5"/>
    </row>
    <row r="37" spans="1:2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4"/>
      <c r="M37" s="4" t="s">
        <v>191</v>
      </c>
      <c r="N37" s="8"/>
      <c r="O37" s="8"/>
      <c r="P37" s="8"/>
      <c r="Q37" s="8"/>
      <c r="R37" s="8"/>
      <c r="S37" s="8"/>
      <c r="T37" s="8"/>
      <c r="U37" s="8"/>
      <c r="V37" s="5"/>
    </row>
    <row r="38" spans="1:2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4"/>
      <c r="M38" s="4" t="s">
        <v>146</v>
      </c>
      <c r="N38" s="8"/>
      <c r="O38" s="8"/>
      <c r="P38" s="8"/>
      <c r="Q38" s="8"/>
      <c r="R38" s="8"/>
      <c r="S38" s="8"/>
      <c r="T38" s="8"/>
      <c r="U38" s="8"/>
      <c r="V38" s="5"/>
    </row>
    <row r="39" spans="1:2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4"/>
      <c r="M39" s="12" t="s">
        <v>186</v>
      </c>
      <c r="N39" s="8"/>
      <c r="O39" s="8"/>
      <c r="P39" s="8"/>
      <c r="Q39" s="8"/>
      <c r="R39" s="8"/>
      <c r="S39" s="8"/>
      <c r="T39" s="8"/>
      <c r="U39" s="8"/>
      <c r="V39" s="5"/>
    </row>
    <row r="40" spans="1:2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4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4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4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4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4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L123" s="4"/>
    </row>
    <row r="124" spans="1:22">
      <c r="L124" s="4"/>
    </row>
    <row r="125" spans="1:22">
      <c r="L125" s="4"/>
    </row>
  </sheetData>
  <mergeCells count="19">
    <mergeCell ref="C26:D26"/>
    <mergeCell ref="E26:F26"/>
    <mergeCell ref="H26:J26"/>
    <mergeCell ref="C27:D27"/>
    <mergeCell ref="E27:F27"/>
    <mergeCell ref="H27:J27"/>
    <mergeCell ref="N32:U32"/>
    <mergeCell ref="C3:F3"/>
    <mergeCell ref="I3:J3"/>
    <mergeCell ref="C4:F4"/>
    <mergeCell ref="I4:J4"/>
    <mergeCell ref="C5:F5"/>
    <mergeCell ref="I5:J5"/>
    <mergeCell ref="C28:D28"/>
    <mergeCell ref="E28:F28"/>
    <mergeCell ref="H28:J28"/>
    <mergeCell ref="C29:D29"/>
    <mergeCell ref="E29:F29"/>
    <mergeCell ref="H29:J29"/>
  </mergeCells>
  <conditionalFormatting sqref="O19">
    <cfRule type="cellIs" dxfId="70" priority="4" operator="equal">
      <formula>"Above MAV"</formula>
    </cfRule>
    <cfRule type="cellIs" dxfId="69" priority="5" operator="equal">
      <formula>"ALERT"</formula>
    </cfRule>
  </conditionalFormatting>
  <conditionalFormatting sqref="O20">
    <cfRule type="cellIs" dxfId="68" priority="2" operator="equal">
      <formula>"Above MAV"</formula>
    </cfRule>
    <cfRule type="cellIs" dxfId="67" priority="3" operator="equal">
      <formula>"ALERT"</formula>
    </cfRule>
  </conditionalFormatting>
  <dataValidations count="1">
    <dataValidation type="whole" allowBlank="1" showInputMessage="1" showErrorMessage="1" sqref="T3:T5" xr:uid="{00000000-0002-0000-0200-000000000000}">
      <formula1>0</formula1>
      <formula2>2</formula2>
    </dataValidation>
  </dataValidations>
  <printOptions horizontalCentered="1"/>
  <pageMargins left="0" right="0" top="1.3779527559055118" bottom="1.3779527559055118" header="3.937007874015748E-2" footer="0"/>
  <pageSetup paperSize="9" scale="51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N7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C7 C5</xm:sqref>
        </x14:dataValidation>
        <x14:dataValidation type="list" showInputMessage="1" showErrorMessage="1" xr:uid="{FE7E1F48-CE81-4906-871B-6CDB23A58972}">
          <x14:formula1>
            <xm:f>'Input Lookup sheet'!$B$13:$B$15</xm:f>
          </x14:formula1>
          <xm:sqref>E26:E29</xm:sqref>
        </x14:dataValidation>
        <x14:dataValidation type="list" showInputMessage="1" showErrorMessage="1" xr:uid="{677079EE-C0D8-46CB-B1A2-BC65F5931D6F}">
          <x14:formula1>
            <xm:f>'Input Lookup sheet'!$B$19:$B$21</xm:f>
          </x14:formula1>
          <xm:sqref>H26:H29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X134"/>
  <sheetViews>
    <sheetView view="pageLayout" topLeftCell="B1" zoomScale="85" zoomScaleNormal="110" zoomScaleSheetLayoutView="100" zoomScalePageLayoutView="85" workbookViewId="0">
      <selection activeCell="R26" sqref="R26:W26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2" width="3.21875" style="1" customWidth="1"/>
    <col min="13" max="13" width="3.5546875" style="1" customWidth="1"/>
    <col min="14" max="14" width="1.109375" style="1" customWidth="1"/>
    <col min="15" max="15" width="18.6640625" style="1" customWidth="1"/>
    <col min="16" max="16" width="10.88671875" style="1" customWidth="1"/>
    <col min="17" max="23" width="10" style="1" customWidth="1"/>
    <col min="24" max="24" width="0.5546875" style="1" customWidth="1"/>
    <col min="25" max="16384" width="9.109375" style="1"/>
  </cols>
  <sheetData>
    <row r="1" spans="1:23" ht="22.8">
      <c r="B1" s="2" t="s">
        <v>167</v>
      </c>
      <c r="J1" s="13" t="str">
        <f>'R-CHE'!I1</f>
        <v>Rev10</v>
      </c>
      <c r="O1" s="2" t="s">
        <v>0</v>
      </c>
      <c r="W1" s="13" t="str">
        <f>'R-CHE'!I1</f>
        <v>Rev10</v>
      </c>
    </row>
    <row r="2" spans="1:23">
      <c r="J2" s="13"/>
      <c r="W2" s="13"/>
    </row>
    <row r="3" spans="1:23">
      <c r="B3" s="83" t="s">
        <v>170</v>
      </c>
      <c r="C3" s="159"/>
      <c r="D3" s="159"/>
      <c r="E3" s="159"/>
      <c r="F3" s="159"/>
      <c r="G3" s="8"/>
      <c r="H3" s="83" t="s">
        <v>148</v>
      </c>
      <c r="I3" s="162"/>
      <c r="J3" s="162"/>
      <c r="O3" s="1" t="str">
        <f>IF(ISBLANK(C3),"DEALER NAME",C3)</f>
        <v>DEALER NAME</v>
      </c>
      <c r="S3" s="8"/>
      <c r="T3" s="8"/>
      <c r="U3" s="9" t="s">
        <v>148</v>
      </c>
      <c r="W3" s="68" t="s">
        <v>188</v>
      </c>
    </row>
    <row r="4" spans="1:23" ht="15.6">
      <c r="B4" s="83" t="s">
        <v>171</v>
      </c>
      <c r="C4" s="159"/>
      <c r="D4" s="159"/>
      <c r="E4" s="159"/>
      <c r="F4" s="159"/>
      <c r="G4" s="8"/>
      <c r="H4" s="83" t="s">
        <v>56</v>
      </c>
      <c r="I4" s="162"/>
      <c r="J4" s="162"/>
      <c r="O4" s="3" t="str">
        <f>IF(ISBLANK(C4),"REFERENCE NAME",C4)</f>
        <v>REFERENCE NAME</v>
      </c>
      <c r="S4" s="8"/>
      <c r="T4" s="8"/>
      <c r="U4" s="9" t="s">
        <v>56</v>
      </c>
      <c r="W4" s="69">
        <f ca="1">TODAY()</f>
        <v>44855</v>
      </c>
    </row>
    <row r="5" spans="1:23">
      <c r="B5" s="83" t="s">
        <v>133</v>
      </c>
      <c r="C5" s="148"/>
      <c r="D5" s="148"/>
      <c r="E5" s="148"/>
      <c r="F5" s="148"/>
      <c r="G5" s="8"/>
      <c r="H5" s="83" t="s">
        <v>169</v>
      </c>
      <c r="I5" s="162"/>
      <c r="J5" s="162"/>
      <c r="O5" s="9" t="s">
        <v>133</v>
      </c>
      <c r="P5" s="76" t="str">
        <f>IF(ISBLANK(F5),"TBC",F5)</f>
        <v>TBC</v>
      </c>
      <c r="S5" s="8"/>
      <c r="T5" s="8"/>
      <c r="U5" s="9" t="s">
        <v>57</v>
      </c>
      <c r="W5" s="69">
        <f ca="1">TODAY()</f>
        <v>44855</v>
      </c>
    </row>
    <row r="6" spans="1:23">
      <c r="A6" s="75"/>
      <c r="B6" s="72"/>
      <c r="C6" s="72"/>
      <c r="D6" s="74"/>
      <c r="E6" s="73"/>
      <c r="F6" s="73"/>
      <c r="G6" s="73"/>
      <c r="H6" s="73"/>
      <c r="I6" s="73"/>
      <c r="J6" s="73"/>
      <c r="N6" s="75"/>
      <c r="O6" s="72"/>
      <c r="P6" s="72"/>
      <c r="Q6" s="74"/>
      <c r="R6" s="73"/>
      <c r="S6" s="73"/>
      <c r="T6" s="73"/>
      <c r="U6" s="73"/>
      <c r="V6" s="73"/>
      <c r="W6" s="73"/>
    </row>
    <row r="7" spans="1:23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K7" s="5"/>
      <c r="N7" s="4"/>
      <c r="O7" s="4"/>
      <c r="P7" s="8"/>
      <c r="Q7" s="73"/>
      <c r="R7" s="8">
        <v>1</v>
      </c>
      <c r="S7" s="8">
        <v>2</v>
      </c>
      <c r="T7" s="8">
        <v>3</v>
      </c>
      <c r="U7" s="8">
        <v>4</v>
      </c>
      <c r="V7" s="8">
        <v>5</v>
      </c>
      <c r="W7" s="8">
        <v>6</v>
      </c>
    </row>
    <row r="8" spans="1:23">
      <c r="A8" s="4"/>
      <c r="B8" s="84" t="s">
        <v>1</v>
      </c>
      <c r="C8" s="85" t="s">
        <v>168</v>
      </c>
      <c r="D8" s="85"/>
      <c r="E8" s="85"/>
      <c r="F8" s="85"/>
      <c r="G8" s="85"/>
      <c r="H8" s="85"/>
      <c r="I8" s="85"/>
      <c r="K8" s="5"/>
      <c r="N8" s="4"/>
      <c r="O8" s="70" t="s">
        <v>1</v>
      </c>
      <c r="P8" s="71" t="s">
        <v>2</v>
      </c>
      <c r="Q8" s="71" t="s">
        <v>62</v>
      </c>
      <c r="R8" s="71" t="s">
        <v>131</v>
      </c>
      <c r="S8" s="71" t="s">
        <v>132</v>
      </c>
      <c r="T8" s="71" t="s">
        <v>22</v>
      </c>
      <c r="U8" s="71" t="s">
        <v>28</v>
      </c>
      <c r="V8" s="71" t="s">
        <v>156</v>
      </c>
      <c r="W8" s="71" t="s">
        <v>157</v>
      </c>
    </row>
    <row r="9" spans="1:23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K9" s="5"/>
      <c r="N9" s="4"/>
      <c r="O9" s="10" t="s">
        <v>3</v>
      </c>
      <c r="P9" s="11" t="s">
        <v>23</v>
      </c>
      <c r="Q9" s="11" t="s">
        <v>64</v>
      </c>
      <c r="R9" s="14">
        <f>D9</f>
        <v>0</v>
      </c>
      <c r="S9" s="14">
        <f t="shared" ref="S9:W9" si="0">E9</f>
        <v>0</v>
      </c>
      <c r="T9" s="14">
        <f t="shared" si="0"/>
        <v>0</v>
      </c>
      <c r="U9" s="14">
        <f t="shared" si="0"/>
        <v>0</v>
      </c>
      <c r="V9" s="14">
        <f t="shared" si="0"/>
        <v>0</v>
      </c>
      <c r="W9" s="14">
        <f t="shared" si="0"/>
        <v>0</v>
      </c>
    </row>
    <row r="10" spans="1:23" ht="14.4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K10" s="5"/>
      <c r="N10" s="4"/>
      <c r="O10" s="10" t="s">
        <v>5</v>
      </c>
      <c r="P10" s="10" t="s">
        <v>52</v>
      </c>
      <c r="Q10" s="11" t="s">
        <v>23</v>
      </c>
      <c r="R10" s="15" t="str">
        <f>IF(D10&lt;5,"&lt;5",D10)</f>
        <v>&lt;5</v>
      </c>
      <c r="S10" s="15" t="str">
        <f t="shared" ref="S10:W13" si="1">IF(E10&lt;5,"&lt;5",E10)</f>
        <v>&lt;5</v>
      </c>
      <c r="T10" s="15" t="str">
        <f t="shared" si="1"/>
        <v>&lt;5</v>
      </c>
      <c r="U10" s="15" t="str">
        <f t="shared" si="1"/>
        <v>&lt;5</v>
      </c>
      <c r="V10" s="15" t="str">
        <f t="shared" si="1"/>
        <v>&lt;5</v>
      </c>
      <c r="W10" s="15" t="str">
        <f t="shared" si="1"/>
        <v>&lt;5</v>
      </c>
    </row>
    <row r="11" spans="1:23" ht="14.4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K11" s="5"/>
      <c r="N11" s="4"/>
      <c r="O11" s="10" t="s">
        <v>6</v>
      </c>
      <c r="P11" s="10" t="s">
        <v>52</v>
      </c>
      <c r="Q11" s="11" t="s">
        <v>65</v>
      </c>
      <c r="R11" s="15" t="str">
        <f>IF(D11&lt;5,"&lt;5",D11)</f>
        <v>&lt;5</v>
      </c>
      <c r="S11" s="15" t="str">
        <f t="shared" si="1"/>
        <v>&lt;5</v>
      </c>
      <c r="T11" s="15" t="str">
        <f t="shared" si="1"/>
        <v>&lt;5</v>
      </c>
      <c r="U11" s="15" t="str">
        <f t="shared" si="1"/>
        <v>&lt;5</v>
      </c>
      <c r="V11" s="15" t="str">
        <f t="shared" si="1"/>
        <v>&lt;5</v>
      </c>
      <c r="W11" s="15" t="str">
        <f t="shared" si="1"/>
        <v>&lt;5</v>
      </c>
    </row>
    <row r="12" spans="1:23" ht="14.4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K12" s="5"/>
      <c r="N12" s="4"/>
      <c r="O12" s="10" t="s">
        <v>7</v>
      </c>
      <c r="P12" s="10" t="s">
        <v>52</v>
      </c>
      <c r="Q12" s="11" t="s">
        <v>23</v>
      </c>
      <c r="R12" s="15" t="str">
        <f>IF(D12&lt;5,"&lt;5",D12)</f>
        <v>&lt;5</v>
      </c>
      <c r="S12" s="15" t="str">
        <f t="shared" si="1"/>
        <v>&lt;5</v>
      </c>
      <c r="T12" s="15" t="str">
        <f t="shared" si="1"/>
        <v>&lt;5</v>
      </c>
      <c r="U12" s="15" t="str">
        <f t="shared" si="1"/>
        <v>&lt;5</v>
      </c>
      <c r="V12" s="15" t="str">
        <f t="shared" si="1"/>
        <v>&lt;5</v>
      </c>
      <c r="W12" s="15" t="str">
        <f t="shared" si="1"/>
        <v>&lt;5</v>
      </c>
    </row>
    <row r="13" spans="1:23" ht="14.4">
      <c r="A13" s="4"/>
      <c r="B13" s="10" t="s">
        <v>8</v>
      </c>
      <c r="C13" s="10" t="s">
        <v>52</v>
      </c>
      <c r="D13" s="96">
        <f>D11-D12</f>
        <v>0</v>
      </c>
      <c r="E13" s="96">
        <f t="shared" ref="E13:I13" si="2">E11-E12</f>
        <v>0</v>
      </c>
      <c r="F13" s="96">
        <f t="shared" si="2"/>
        <v>0</v>
      </c>
      <c r="G13" s="96">
        <f t="shared" si="2"/>
        <v>0</v>
      </c>
      <c r="H13" s="96">
        <f t="shared" si="2"/>
        <v>0</v>
      </c>
      <c r="I13" s="96">
        <f t="shared" si="2"/>
        <v>0</v>
      </c>
      <c r="K13" s="5"/>
      <c r="N13" s="4"/>
      <c r="O13" s="10" t="s">
        <v>8</v>
      </c>
      <c r="P13" s="10" t="s">
        <v>52</v>
      </c>
      <c r="Q13" s="11" t="s">
        <v>23</v>
      </c>
      <c r="R13" s="11" t="str">
        <f>IF(D13&lt;5,"&lt;5",D13)</f>
        <v>&lt;5</v>
      </c>
      <c r="S13" s="11" t="str">
        <f t="shared" si="1"/>
        <v>&lt;5</v>
      </c>
      <c r="T13" s="11" t="str">
        <f t="shared" si="1"/>
        <v>&lt;5</v>
      </c>
      <c r="U13" s="11" t="str">
        <f t="shared" si="1"/>
        <v>&lt;5</v>
      </c>
      <c r="V13" s="11" t="str">
        <f t="shared" si="1"/>
        <v>&lt;5</v>
      </c>
      <c r="W13" s="11" t="str">
        <f t="shared" si="1"/>
        <v>&lt;5</v>
      </c>
    </row>
    <row r="14" spans="1:23" ht="14.4">
      <c r="A14" s="4"/>
      <c r="B14" s="10" t="s">
        <v>14</v>
      </c>
      <c r="C14" s="10" t="s">
        <v>53</v>
      </c>
      <c r="D14" s="96">
        <f>2*(IF(D9&lt;5,5,D9)-(5*10^(D8-10)))/(1+(0.94*10^(D8-10)))*10^(6-D8)</f>
        <v>9999999.9980600011</v>
      </c>
      <c r="E14" s="96">
        <f t="shared" ref="E14:I14" si="3">2*(IF(E9&lt;5,5,E9)-(5*10^(E8-10)))/(1+(0.94*10^(E8-10)))*10^(6-E8)</f>
        <v>9999999.9980600011</v>
      </c>
      <c r="F14" s="96">
        <f t="shared" si="3"/>
        <v>9999999.9980600011</v>
      </c>
      <c r="G14" s="96">
        <f t="shared" si="3"/>
        <v>9999999.9980600011</v>
      </c>
      <c r="H14" s="96">
        <f t="shared" si="3"/>
        <v>9999999.9980600011</v>
      </c>
      <c r="I14" s="96">
        <f t="shared" si="3"/>
        <v>9999999.9980600011</v>
      </c>
      <c r="K14" s="5"/>
      <c r="N14" s="4"/>
      <c r="O14" s="10" t="s">
        <v>14</v>
      </c>
      <c r="P14" s="10" t="s">
        <v>53</v>
      </c>
      <c r="Q14" s="11" t="s">
        <v>23</v>
      </c>
      <c r="R14" s="15">
        <f>IF(D14&lt;1,"&lt;1",D14)</f>
        <v>9999999.9980600011</v>
      </c>
      <c r="S14" s="15">
        <f t="shared" ref="S14:W14" si="4">IF(E14&lt;1,"&lt;1",E14)</f>
        <v>9999999.9980600011</v>
      </c>
      <c r="T14" s="15">
        <f t="shared" si="4"/>
        <v>9999999.9980600011</v>
      </c>
      <c r="U14" s="15">
        <f t="shared" si="4"/>
        <v>9999999.9980600011</v>
      </c>
      <c r="V14" s="15">
        <f t="shared" si="4"/>
        <v>9999999.9980600011</v>
      </c>
      <c r="W14" s="15">
        <f t="shared" si="4"/>
        <v>9999999.9980600011</v>
      </c>
    </row>
    <row r="15" spans="1:23">
      <c r="A15" s="4"/>
      <c r="B15" s="10" t="s">
        <v>17</v>
      </c>
      <c r="C15" s="11" t="s">
        <v>23</v>
      </c>
      <c r="D15" s="97">
        <f>+D8+0.5+VLOOKUP(IF(D9&lt;5,5,D9),LSI!$F$2:$G$25,2)+VLOOKUP(IF(D10&lt;5,5,D10),LSI!$H$2:$I$25,2)-12.1</f>
        <v>-10.6</v>
      </c>
      <c r="E15" s="97">
        <f>+E8+0.5+VLOOKUP(IF(E9&lt;5,5,E9),LSI!$F$2:$G$25,2)+VLOOKUP(IF(E10&lt;5,5,E10),LSI!$H$2:$I$25,2)-12.1</f>
        <v>-10.6</v>
      </c>
      <c r="F15" s="97">
        <f>+F8+0.5+VLOOKUP(IF(F9&lt;5,5,F9),LSI!$F$2:$G$25,2)+VLOOKUP(IF(F10&lt;5,5,F10),LSI!$H$2:$I$25,2)-12.1</f>
        <v>-10.6</v>
      </c>
      <c r="G15" s="97">
        <f>+G8+0.5+VLOOKUP(IF(G9&lt;5,5,G9),LSI!$F$2:$G$25,2)+VLOOKUP(IF(G10&lt;5,5,G10),LSI!$H$2:$I$25,2)-12.1</f>
        <v>-10.6</v>
      </c>
      <c r="H15" s="97">
        <f>+H8+0.5+VLOOKUP(IF(H9&lt;5,5,H9),LSI!$F$2:$G$25,2)+VLOOKUP(IF(H10&lt;5,5,H10),LSI!$H$2:$I$25,2)-12.1</f>
        <v>-10.6</v>
      </c>
      <c r="I15" s="97">
        <f>+I8+0.5+VLOOKUP(IF(I9&lt;5,5,I9),LSI!$F$2:$G$25,2)+VLOOKUP(IF(I10&lt;5,5,I10),LSI!$H$2:$I$25,2)-12.1</f>
        <v>-10.6</v>
      </c>
      <c r="K15" s="5"/>
      <c r="N15" s="4"/>
      <c r="O15" s="10" t="s">
        <v>17</v>
      </c>
      <c r="P15" s="11" t="s">
        <v>23</v>
      </c>
      <c r="Q15" s="11" t="s">
        <v>23</v>
      </c>
      <c r="R15" s="14">
        <f>D15</f>
        <v>-10.6</v>
      </c>
      <c r="S15" s="14">
        <f t="shared" ref="S15:W15" si="5">E15</f>
        <v>-10.6</v>
      </c>
      <c r="T15" s="14">
        <f t="shared" si="5"/>
        <v>-10.6</v>
      </c>
      <c r="U15" s="14">
        <f t="shared" si="5"/>
        <v>-10.6</v>
      </c>
      <c r="V15" s="14">
        <f t="shared" si="5"/>
        <v>-10.6</v>
      </c>
      <c r="W15" s="14">
        <f t="shared" si="5"/>
        <v>-10.6</v>
      </c>
    </row>
    <row r="16" spans="1:23" ht="14.4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K16" s="5"/>
      <c r="N16" s="4"/>
      <c r="O16" s="10" t="s">
        <v>9</v>
      </c>
      <c r="P16" s="10" t="s">
        <v>54</v>
      </c>
      <c r="Q16" s="11" t="s">
        <v>23</v>
      </c>
      <c r="R16" s="15" t="str">
        <f>IF(D16&lt;5,"&lt;5",D16)</f>
        <v>&lt;5</v>
      </c>
      <c r="S16" s="15" t="str">
        <f t="shared" ref="S16:W16" si="6">IF(E16&lt;5,"&lt;5",E16)</f>
        <v>&lt;5</v>
      </c>
      <c r="T16" s="15" t="str">
        <f t="shared" si="6"/>
        <v>&lt;5</v>
      </c>
      <c r="U16" s="15" t="str">
        <f t="shared" si="6"/>
        <v>&lt;5</v>
      </c>
      <c r="V16" s="15" t="str">
        <f t="shared" si="6"/>
        <v>&lt;5</v>
      </c>
      <c r="W16" s="15" t="str">
        <f t="shared" si="6"/>
        <v>&lt;5</v>
      </c>
    </row>
    <row r="17" spans="1:23" ht="14.4">
      <c r="A17" s="4"/>
      <c r="B17" s="10" t="s">
        <v>108</v>
      </c>
      <c r="C17" s="10" t="s">
        <v>109</v>
      </c>
      <c r="D17" s="15"/>
      <c r="E17" s="15"/>
      <c r="F17" s="15"/>
      <c r="G17" s="15"/>
      <c r="H17" s="15"/>
      <c r="I17" s="15"/>
      <c r="K17" s="5"/>
      <c r="N17" s="4"/>
      <c r="O17" s="10" t="s">
        <v>108</v>
      </c>
      <c r="P17" s="10" t="s">
        <v>109</v>
      </c>
      <c r="Q17" s="11" t="s">
        <v>23</v>
      </c>
      <c r="R17" s="15" t="str">
        <f>IF(D17&lt;1,"&lt;1",D17)</f>
        <v>&lt;1</v>
      </c>
      <c r="S17" s="15" t="str">
        <f t="shared" ref="S17:W17" si="7">IF(E17&lt;1,"&lt;1",E17)</f>
        <v>&lt;1</v>
      </c>
      <c r="T17" s="15" t="str">
        <f t="shared" si="7"/>
        <v>&lt;1</v>
      </c>
      <c r="U17" s="15" t="str">
        <f t="shared" si="7"/>
        <v>&lt;1</v>
      </c>
      <c r="V17" s="15" t="str">
        <f t="shared" si="7"/>
        <v>&lt;1</v>
      </c>
      <c r="W17" s="15" t="str">
        <f t="shared" si="7"/>
        <v>&lt;1</v>
      </c>
    </row>
    <row r="18" spans="1:23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K18" s="5"/>
      <c r="N18" s="4"/>
      <c r="O18" s="10" t="s">
        <v>10</v>
      </c>
      <c r="P18" s="10" t="s">
        <v>24</v>
      </c>
      <c r="Q18" s="11" t="s">
        <v>66</v>
      </c>
      <c r="R18" s="11" t="str">
        <f>IF(D18&lt;0.01,"&lt;0.01",D18)</f>
        <v>&lt;0.01</v>
      </c>
      <c r="S18" s="11" t="str">
        <f t="shared" ref="S18:W21" si="8">IF(E18&lt;0.01,"&lt;0.01",E18)</f>
        <v>&lt;0.01</v>
      </c>
      <c r="T18" s="11" t="str">
        <f t="shared" si="8"/>
        <v>&lt;0.01</v>
      </c>
      <c r="U18" s="11" t="str">
        <f t="shared" si="8"/>
        <v>&lt;0.01</v>
      </c>
      <c r="V18" s="11" t="str">
        <f t="shared" si="8"/>
        <v>&lt;0.01</v>
      </c>
      <c r="W18" s="11" t="str">
        <f t="shared" si="8"/>
        <v>&lt;0.01</v>
      </c>
    </row>
    <row r="19" spans="1:23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K19" s="5"/>
      <c r="N19" s="4"/>
      <c r="O19" s="10" t="s">
        <v>11</v>
      </c>
      <c r="P19" s="10" t="s">
        <v>24</v>
      </c>
      <c r="Q19" s="11" t="s">
        <v>67</v>
      </c>
      <c r="R19" s="11" t="str">
        <f>IF(D19&lt;0.01,"&lt;0.01",D19)</f>
        <v>&lt;0.01</v>
      </c>
      <c r="S19" s="11" t="str">
        <f t="shared" si="8"/>
        <v>&lt;0.01</v>
      </c>
      <c r="T19" s="11" t="str">
        <f t="shared" si="8"/>
        <v>&lt;0.01</v>
      </c>
      <c r="U19" s="11" t="str">
        <f t="shared" si="8"/>
        <v>&lt;0.01</v>
      </c>
      <c r="V19" s="11" t="str">
        <f t="shared" si="8"/>
        <v>&lt;0.01</v>
      </c>
      <c r="W19" s="11" t="str">
        <f t="shared" si="8"/>
        <v>&lt;0.01</v>
      </c>
    </row>
    <row r="20" spans="1:23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K20" s="5"/>
      <c r="N20" s="4"/>
      <c r="O20" s="10" t="s">
        <v>12</v>
      </c>
      <c r="P20" s="10" t="s">
        <v>24</v>
      </c>
      <c r="Q20" s="11" t="s">
        <v>42</v>
      </c>
      <c r="R20" s="11" t="str">
        <f>IF(D20&lt;0.01,"&lt;0.01",D20)</f>
        <v>&lt;0.01</v>
      </c>
      <c r="S20" s="11" t="str">
        <f t="shared" si="8"/>
        <v>&lt;0.01</v>
      </c>
      <c r="T20" s="11" t="str">
        <f t="shared" si="8"/>
        <v>&lt;0.01</v>
      </c>
      <c r="U20" s="11" t="str">
        <f t="shared" si="8"/>
        <v>&lt;0.01</v>
      </c>
      <c r="V20" s="11" t="str">
        <f t="shared" si="8"/>
        <v>&lt;0.01</v>
      </c>
      <c r="W20" s="11" t="str">
        <f t="shared" si="8"/>
        <v>&lt;0.01</v>
      </c>
    </row>
    <row r="21" spans="1:23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K21" s="5"/>
      <c r="N21" s="4"/>
      <c r="O21" s="10" t="s">
        <v>13</v>
      </c>
      <c r="P21" s="10" t="s">
        <v>24</v>
      </c>
      <c r="Q21" s="11" t="s">
        <v>39</v>
      </c>
      <c r="R21" s="11" t="str">
        <f>IF(D21&lt;0.01,"&lt;0.01",D21)</f>
        <v>&lt;0.01</v>
      </c>
      <c r="S21" s="11" t="str">
        <f t="shared" si="8"/>
        <v>&lt;0.01</v>
      </c>
      <c r="T21" s="11" t="str">
        <f t="shared" si="8"/>
        <v>&lt;0.01</v>
      </c>
      <c r="U21" s="11" t="str">
        <f t="shared" si="8"/>
        <v>&lt;0.01</v>
      </c>
      <c r="V21" s="11" t="str">
        <f t="shared" si="8"/>
        <v>&lt;0.01</v>
      </c>
      <c r="W21" s="11" t="str">
        <f t="shared" si="8"/>
        <v>&lt;0.01</v>
      </c>
    </row>
    <row r="22" spans="1:23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K22" s="5"/>
      <c r="N22" s="4"/>
      <c r="O22" s="10" t="s">
        <v>4</v>
      </c>
      <c r="P22" s="10" t="s">
        <v>24</v>
      </c>
      <c r="Q22" s="11" t="s">
        <v>69</v>
      </c>
      <c r="R22" s="11" t="str">
        <f>IF(D22&lt;10,"&lt;10",D22)</f>
        <v>&lt;10</v>
      </c>
      <c r="S22" s="11" t="str">
        <f t="shared" ref="S22:W22" si="9">IF(E22&lt;10,"&lt;10",E22)</f>
        <v>&lt;10</v>
      </c>
      <c r="T22" s="11" t="str">
        <f t="shared" si="9"/>
        <v>&lt;10</v>
      </c>
      <c r="U22" s="11" t="str">
        <f t="shared" si="9"/>
        <v>&lt;10</v>
      </c>
      <c r="V22" s="11" t="str">
        <f t="shared" si="9"/>
        <v>&lt;10</v>
      </c>
      <c r="W22" s="11" t="str">
        <f t="shared" si="9"/>
        <v>&lt;10</v>
      </c>
    </row>
    <row r="23" spans="1:23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K23" s="5"/>
      <c r="N23" s="4"/>
      <c r="O23" s="10" t="s">
        <v>15</v>
      </c>
      <c r="P23" s="10" t="s">
        <v>24</v>
      </c>
      <c r="Q23" s="11" t="s">
        <v>70</v>
      </c>
      <c r="R23" s="15" t="str">
        <f>IF(D23&lt;1,"&lt;1",D23)</f>
        <v>&lt;1</v>
      </c>
      <c r="S23" s="15" t="str">
        <f t="shared" ref="S23:W24" si="10">IF(E23&lt;1,"&lt;1",E23)</f>
        <v>&lt;1</v>
      </c>
      <c r="T23" s="15" t="str">
        <f t="shared" si="10"/>
        <v>&lt;1</v>
      </c>
      <c r="U23" s="15" t="str">
        <f t="shared" si="10"/>
        <v>&lt;1</v>
      </c>
      <c r="V23" s="15" t="str">
        <f t="shared" si="10"/>
        <v>&lt;1</v>
      </c>
      <c r="W23" s="15" t="str">
        <f t="shared" si="10"/>
        <v>&lt;1</v>
      </c>
    </row>
    <row r="24" spans="1:23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K24" s="5"/>
      <c r="N24" s="4"/>
      <c r="O24" s="10" t="s">
        <v>16</v>
      </c>
      <c r="P24" s="10" t="s">
        <v>24</v>
      </c>
      <c r="Q24" s="11" t="s">
        <v>65</v>
      </c>
      <c r="R24" s="15" t="str">
        <f>IF(D24&lt;1,"&lt;1",D24)</f>
        <v>&lt;1</v>
      </c>
      <c r="S24" s="15" t="str">
        <f t="shared" si="10"/>
        <v>&lt;1</v>
      </c>
      <c r="T24" s="15" t="str">
        <f t="shared" si="10"/>
        <v>&lt;1</v>
      </c>
      <c r="U24" s="15" t="str">
        <f t="shared" si="10"/>
        <v>&lt;1</v>
      </c>
      <c r="V24" s="15" t="str">
        <f t="shared" si="10"/>
        <v>&lt;1</v>
      </c>
      <c r="W24" s="15" t="str">
        <f t="shared" si="10"/>
        <v>&lt;1</v>
      </c>
    </row>
    <row r="25" spans="1:23" hidden="1">
      <c r="A25" s="4"/>
      <c r="B25" s="10" t="s">
        <v>178</v>
      </c>
      <c r="C25" s="10" t="s">
        <v>179</v>
      </c>
      <c r="D25" s="15"/>
      <c r="E25" s="15"/>
      <c r="F25" s="15"/>
      <c r="G25" s="15"/>
      <c r="H25" s="15"/>
      <c r="I25" s="15"/>
      <c r="K25" s="5"/>
      <c r="N25" s="4"/>
      <c r="O25" s="10" t="s">
        <v>178</v>
      </c>
      <c r="P25" s="10" t="s">
        <v>179</v>
      </c>
      <c r="Q25" s="11" t="s">
        <v>23</v>
      </c>
      <c r="R25" s="14" t="str">
        <f>IF(H25&lt;5,"&lt;5")</f>
        <v>&lt;5</v>
      </c>
      <c r="S25" s="14" t="str">
        <f t="shared" ref="S25:W25" si="11">IF(I25&lt;5,"&lt;5")</f>
        <v>&lt;5</v>
      </c>
      <c r="T25" s="14" t="str">
        <f t="shared" si="11"/>
        <v>&lt;5</v>
      </c>
      <c r="U25" s="14" t="str">
        <f t="shared" si="11"/>
        <v>&lt;5</v>
      </c>
      <c r="V25" s="14" t="str">
        <f t="shared" si="11"/>
        <v>&lt;5</v>
      </c>
      <c r="W25" s="14" t="str">
        <f t="shared" si="11"/>
        <v>&lt;5</v>
      </c>
    </row>
    <row r="26" spans="1:23">
      <c r="A26" s="4"/>
      <c r="B26" s="10" t="s">
        <v>178</v>
      </c>
      <c r="C26" s="10" t="s">
        <v>180</v>
      </c>
      <c r="D26" s="15"/>
      <c r="E26" s="15"/>
      <c r="F26" s="15"/>
      <c r="G26" s="15"/>
      <c r="H26" s="15"/>
      <c r="I26" s="15"/>
      <c r="K26" s="5"/>
      <c r="N26" s="4"/>
      <c r="O26" s="10" t="s">
        <v>178</v>
      </c>
      <c r="P26" s="10" t="s">
        <v>180</v>
      </c>
      <c r="Q26" s="11" t="s">
        <v>23</v>
      </c>
      <c r="R26" s="14">
        <f>D26</f>
        <v>0</v>
      </c>
      <c r="S26" s="14">
        <f t="shared" ref="S26:W26" si="12">E26</f>
        <v>0</v>
      </c>
      <c r="T26" s="14">
        <f t="shared" si="12"/>
        <v>0</v>
      </c>
      <c r="U26" s="14">
        <f t="shared" si="12"/>
        <v>0</v>
      </c>
      <c r="V26" s="14">
        <f t="shared" si="12"/>
        <v>0</v>
      </c>
      <c r="W26" s="14">
        <f t="shared" si="12"/>
        <v>0</v>
      </c>
    </row>
    <row r="27" spans="1:23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K27" s="5"/>
      <c r="N27" s="4"/>
      <c r="O27" s="10" t="s">
        <v>18</v>
      </c>
      <c r="P27" s="10" t="s">
        <v>25</v>
      </c>
      <c r="Q27" s="11" t="s">
        <v>71</v>
      </c>
      <c r="R27" s="14" t="str">
        <f>IF(D27&lt;0.05,"&lt;0.05",D27)</f>
        <v>&lt;0.05</v>
      </c>
      <c r="S27" s="14" t="str">
        <f t="shared" ref="S27:W27" si="13">IF(E27&lt;0.05,"&lt;0.05",E27)</f>
        <v>&lt;0.05</v>
      </c>
      <c r="T27" s="14" t="str">
        <f t="shared" si="13"/>
        <v>&lt;0.05</v>
      </c>
      <c r="U27" s="14" t="str">
        <f t="shared" si="13"/>
        <v>&lt;0.05</v>
      </c>
      <c r="V27" s="14" t="str">
        <f t="shared" si="13"/>
        <v>&lt;0.05</v>
      </c>
      <c r="W27" s="14" t="str">
        <f t="shared" si="13"/>
        <v>&lt;0.05</v>
      </c>
    </row>
    <row r="28" spans="1:23">
      <c r="A28" s="4"/>
      <c r="B28" s="10" t="s">
        <v>159</v>
      </c>
      <c r="C28" s="10" t="s">
        <v>160</v>
      </c>
      <c r="D28" s="15"/>
      <c r="E28" s="15"/>
      <c r="F28" s="15"/>
      <c r="G28" s="15"/>
      <c r="H28" s="15"/>
      <c r="I28" s="15"/>
      <c r="K28" s="5"/>
      <c r="N28" s="4"/>
      <c r="O28" s="10" t="s">
        <v>159</v>
      </c>
      <c r="P28" s="10" t="s">
        <v>160</v>
      </c>
      <c r="Q28" s="11" t="s">
        <v>23</v>
      </c>
      <c r="R28" s="15" t="str">
        <f>IF(D28&lt;5,"&lt;5",D28)</f>
        <v>&lt;5</v>
      </c>
      <c r="S28" s="15" t="str">
        <f t="shared" ref="S28:W29" si="14">IF(E28&lt;5,"&lt;5",E28)</f>
        <v>&lt;5</v>
      </c>
      <c r="T28" s="15" t="str">
        <f t="shared" si="14"/>
        <v>&lt;5</v>
      </c>
      <c r="U28" s="15" t="str">
        <f t="shared" si="14"/>
        <v>&lt;5</v>
      </c>
      <c r="V28" s="15" t="str">
        <f t="shared" si="14"/>
        <v>&lt;5</v>
      </c>
      <c r="W28" s="15" t="str">
        <f t="shared" si="14"/>
        <v>&lt;5</v>
      </c>
    </row>
    <row r="29" spans="1:23" ht="15" thickBo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K29" s="5"/>
      <c r="N29" s="4"/>
      <c r="O29" s="128" t="s">
        <v>19</v>
      </c>
      <c r="P29" s="128" t="s">
        <v>55</v>
      </c>
      <c r="Q29" s="129" t="s">
        <v>23</v>
      </c>
      <c r="R29" s="130" t="str">
        <f>IF(D29&lt;5,"&lt;5",D29)</f>
        <v>&lt;5</v>
      </c>
      <c r="S29" s="130" t="str">
        <f t="shared" si="14"/>
        <v>&lt;5</v>
      </c>
      <c r="T29" s="130" t="str">
        <f t="shared" si="14"/>
        <v>&lt;5</v>
      </c>
      <c r="U29" s="130" t="str">
        <f t="shared" si="14"/>
        <v>&lt;5</v>
      </c>
      <c r="V29" s="130" t="str">
        <f t="shared" si="14"/>
        <v>&lt;5</v>
      </c>
      <c r="W29" s="130" t="str">
        <f t="shared" si="14"/>
        <v>&lt;5</v>
      </c>
    </row>
    <row r="30" spans="1:23" ht="14.4" thickTop="1">
      <c r="A30" s="4"/>
      <c r="B30" s="10" t="s">
        <v>30</v>
      </c>
      <c r="C30" s="10" t="s">
        <v>29</v>
      </c>
      <c r="D30" s="11" t="s">
        <v>23</v>
      </c>
      <c r="E30" s="11" t="s">
        <v>23</v>
      </c>
      <c r="F30" s="11" t="s">
        <v>23</v>
      </c>
      <c r="G30" s="11" t="s">
        <v>23</v>
      </c>
      <c r="H30" s="11" t="s">
        <v>23</v>
      </c>
      <c r="I30" s="11" t="s">
        <v>23</v>
      </c>
      <c r="K30" s="5"/>
      <c r="N30" s="4"/>
      <c r="O30" s="127" t="s">
        <v>30</v>
      </c>
      <c r="P30" s="127" t="s">
        <v>29</v>
      </c>
      <c r="Q30" s="127" t="str">
        <f>IF(ISBLANK(D30)," ",D30)</f>
        <v>-</v>
      </c>
      <c r="R30" s="127" t="str">
        <f t="shared" ref="R30:W33" si="15">IF(ISBLANK(E30)," ",E30)</f>
        <v>-</v>
      </c>
      <c r="S30" s="127" t="str">
        <f t="shared" si="15"/>
        <v>-</v>
      </c>
      <c r="T30" s="127" t="str">
        <f t="shared" si="15"/>
        <v>-</v>
      </c>
      <c r="U30" s="127" t="str">
        <f t="shared" si="15"/>
        <v>-</v>
      </c>
      <c r="V30" s="127" t="str">
        <f t="shared" si="15"/>
        <v>-</v>
      </c>
      <c r="W30" s="127" t="str">
        <f t="shared" si="15"/>
        <v xml:space="preserve"> </v>
      </c>
    </row>
    <row r="31" spans="1:23">
      <c r="A31" s="4"/>
      <c r="B31" s="10" t="s">
        <v>31</v>
      </c>
      <c r="C31" s="10" t="s">
        <v>29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s="5"/>
      <c r="N31" s="4"/>
      <c r="O31" s="10" t="s">
        <v>31</v>
      </c>
      <c r="P31" s="10" t="s">
        <v>29</v>
      </c>
      <c r="Q31" s="10" t="str">
        <f t="shared" ref="Q31:Q33" si="16">IF(ISBLANK(D31)," ",D31)</f>
        <v>-</v>
      </c>
      <c r="R31" s="10" t="str">
        <f t="shared" si="15"/>
        <v>-</v>
      </c>
      <c r="S31" s="10" t="str">
        <f t="shared" si="15"/>
        <v>-</v>
      </c>
      <c r="T31" s="10" t="str">
        <f t="shared" si="15"/>
        <v>-</v>
      </c>
      <c r="U31" s="10" t="str">
        <f t="shared" si="15"/>
        <v>-</v>
      </c>
      <c r="V31" s="10" t="str">
        <f t="shared" si="15"/>
        <v>-</v>
      </c>
      <c r="W31" s="10" t="str">
        <f t="shared" si="15"/>
        <v xml:space="preserve"> </v>
      </c>
    </row>
    <row r="32" spans="1:23">
      <c r="A32" s="4"/>
      <c r="B32" s="10" t="s">
        <v>32</v>
      </c>
      <c r="C32" s="10" t="s">
        <v>34</v>
      </c>
      <c r="D32" s="11"/>
      <c r="E32" s="11"/>
      <c r="F32" s="11"/>
      <c r="G32" s="11"/>
      <c r="H32" s="11"/>
      <c r="I32" s="11"/>
      <c r="K32" s="5"/>
      <c r="N32" s="4"/>
      <c r="O32" s="10" t="s">
        <v>32</v>
      </c>
      <c r="P32" s="10" t="s">
        <v>34</v>
      </c>
      <c r="Q32" s="10" t="str">
        <f t="shared" si="16"/>
        <v xml:space="preserve"> </v>
      </c>
      <c r="R32" s="10" t="str">
        <f t="shared" si="15"/>
        <v xml:space="preserve"> </v>
      </c>
      <c r="S32" s="10" t="str">
        <f t="shared" si="15"/>
        <v xml:space="preserve"> </v>
      </c>
      <c r="T32" s="10" t="str">
        <f t="shared" si="15"/>
        <v xml:space="preserve"> </v>
      </c>
      <c r="U32" s="10" t="str">
        <f t="shared" si="15"/>
        <v xml:space="preserve"> </v>
      </c>
      <c r="V32" s="10" t="str">
        <f t="shared" si="15"/>
        <v xml:space="preserve"> </v>
      </c>
      <c r="W32" s="10" t="str">
        <f t="shared" si="15"/>
        <v xml:space="preserve"> </v>
      </c>
    </row>
    <row r="33" spans="1:24">
      <c r="A33" s="4"/>
      <c r="B33" s="10" t="s">
        <v>33</v>
      </c>
      <c r="C33" s="10" t="s">
        <v>34</v>
      </c>
      <c r="D33" s="11"/>
      <c r="E33" s="11"/>
      <c r="F33" s="11"/>
      <c r="G33" s="11"/>
      <c r="H33" s="11"/>
      <c r="I33" s="11"/>
      <c r="K33" s="5"/>
      <c r="N33" s="4"/>
      <c r="O33" s="10" t="s">
        <v>33</v>
      </c>
      <c r="P33" s="10" t="s">
        <v>34</v>
      </c>
      <c r="Q33" s="10" t="str">
        <f t="shared" si="16"/>
        <v xml:space="preserve"> </v>
      </c>
      <c r="R33" s="10" t="str">
        <f t="shared" si="15"/>
        <v xml:space="preserve"> </v>
      </c>
      <c r="S33" s="10" t="str">
        <f t="shared" si="15"/>
        <v xml:space="preserve"> </v>
      </c>
      <c r="T33" s="10" t="str">
        <f t="shared" si="15"/>
        <v xml:space="preserve"> </v>
      </c>
      <c r="U33" s="10" t="str">
        <f t="shared" si="15"/>
        <v xml:space="preserve"> </v>
      </c>
      <c r="V33" s="10" t="str">
        <f t="shared" si="15"/>
        <v xml:space="preserve"> </v>
      </c>
      <c r="W33" s="10" t="str">
        <f t="shared" si="15"/>
        <v xml:space="preserve"> </v>
      </c>
    </row>
    <row r="34" spans="1:24">
      <c r="A34" s="4"/>
      <c r="B34" s="65"/>
      <c r="C34" s="65"/>
      <c r="D34" s="67"/>
      <c r="E34" s="67"/>
      <c r="F34" s="67"/>
      <c r="G34" s="67"/>
      <c r="H34" s="67"/>
      <c r="I34" s="67"/>
      <c r="K34" s="5"/>
      <c r="N34" s="4"/>
      <c r="O34" s="65"/>
      <c r="P34" s="65"/>
      <c r="Q34" s="67"/>
      <c r="R34" s="67"/>
      <c r="S34" s="67"/>
      <c r="T34" s="67"/>
      <c r="U34" s="67"/>
      <c r="V34" s="67"/>
      <c r="W34" s="67"/>
      <c r="X34" s="5"/>
    </row>
    <row r="35" spans="1:24">
      <c r="A35" s="4"/>
      <c r="B35" s="7" t="s">
        <v>44</v>
      </c>
      <c r="C35" s="9"/>
      <c r="D35" s="8"/>
      <c r="E35" s="8"/>
      <c r="F35" s="8"/>
      <c r="G35" s="8"/>
      <c r="H35" s="8"/>
      <c r="I35" s="8"/>
      <c r="J35" s="8"/>
      <c r="K35" s="5"/>
      <c r="N35" s="4"/>
      <c r="O35" s="7" t="s">
        <v>44</v>
      </c>
      <c r="P35" s="9" t="s">
        <v>60</v>
      </c>
      <c r="Q35" s="8"/>
      <c r="R35" s="8"/>
      <c r="S35" s="8"/>
      <c r="T35" s="8"/>
      <c r="U35" s="8"/>
      <c r="V35" s="8"/>
      <c r="W35" s="8"/>
      <c r="X35" s="5"/>
    </row>
    <row r="36" spans="1:24">
      <c r="A36" s="4"/>
      <c r="B36" s="10" t="s">
        <v>45</v>
      </c>
      <c r="C36" s="141" t="s">
        <v>209</v>
      </c>
      <c r="D36" s="142"/>
      <c r="E36" s="143" t="s">
        <v>197</v>
      </c>
      <c r="F36" s="143"/>
      <c r="G36" s="58" t="s">
        <v>210</v>
      </c>
      <c r="H36" s="143" t="s">
        <v>201</v>
      </c>
      <c r="I36" s="144"/>
      <c r="K36" s="5"/>
      <c r="N36" s="4"/>
      <c r="O36" s="10" t="s">
        <v>45</v>
      </c>
      <c r="P36" s="57" t="str">
        <f>CONCATENATE(C36, " ", E36," ", G36, " ", H36)</f>
        <v>The sample was slightly discoloured  with no significant sediments</v>
      </c>
      <c r="Q36" s="58"/>
      <c r="R36" s="58"/>
      <c r="S36" s="58"/>
      <c r="T36" s="58"/>
      <c r="U36" s="58"/>
      <c r="V36" s="58"/>
      <c r="W36" s="59"/>
      <c r="X36" s="5"/>
    </row>
    <row r="37" spans="1:24">
      <c r="A37" s="4"/>
      <c r="B37" s="10" t="s">
        <v>46</v>
      </c>
      <c r="C37" s="141" t="s">
        <v>209</v>
      </c>
      <c r="D37" s="142"/>
      <c r="E37" s="143" t="s">
        <v>197</v>
      </c>
      <c r="F37" s="143"/>
      <c r="G37" s="58" t="s">
        <v>210</v>
      </c>
      <c r="H37" s="143" t="s">
        <v>201</v>
      </c>
      <c r="I37" s="144"/>
      <c r="K37" s="5"/>
      <c r="N37" s="4"/>
      <c r="O37" s="10" t="s">
        <v>46</v>
      </c>
      <c r="P37" s="57" t="str">
        <f t="shared" ref="P37:P41" si="17">CONCATENATE(C37, " ", E37," ", G37, " ", H37)</f>
        <v>The sample was slightly discoloured  with no significant sediments</v>
      </c>
      <c r="Q37" s="60"/>
      <c r="R37" s="58"/>
      <c r="S37" s="58"/>
      <c r="T37" s="58"/>
      <c r="U37" s="58"/>
      <c r="V37" s="58"/>
      <c r="W37" s="59"/>
      <c r="X37" s="5"/>
    </row>
    <row r="38" spans="1:24">
      <c r="A38" s="4"/>
      <c r="B38" s="10" t="s">
        <v>47</v>
      </c>
      <c r="C38" s="141" t="s">
        <v>209</v>
      </c>
      <c r="D38" s="142"/>
      <c r="E38" s="143" t="s">
        <v>197</v>
      </c>
      <c r="F38" s="143"/>
      <c r="G38" s="58" t="s">
        <v>210</v>
      </c>
      <c r="H38" s="143" t="s">
        <v>201</v>
      </c>
      <c r="I38" s="144"/>
      <c r="K38" s="5"/>
      <c r="N38" s="4"/>
      <c r="O38" s="10" t="s">
        <v>47</v>
      </c>
      <c r="P38" s="57" t="str">
        <f t="shared" si="17"/>
        <v>The sample was slightly discoloured  with no significant sediments</v>
      </c>
      <c r="Q38" s="58"/>
      <c r="R38" s="58"/>
      <c r="S38" s="58"/>
      <c r="T38" s="58"/>
      <c r="U38" s="58"/>
      <c r="V38" s="58"/>
      <c r="W38" s="59"/>
      <c r="X38" s="5"/>
    </row>
    <row r="39" spans="1:24">
      <c r="A39" s="4"/>
      <c r="B39" s="10" t="s">
        <v>48</v>
      </c>
      <c r="C39" s="141" t="s">
        <v>209</v>
      </c>
      <c r="D39" s="142"/>
      <c r="E39" s="143" t="s">
        <v>197</v>
      </c>
      <c r="F39" s="143"/>
      <c r="G39" s="58" t="s">
        <v>210</v>
      </c>
      <c r="H39" s="143" t="s">
        <v>201</v>
      </c>
      <c r="I39" s="144"/>
      <c r="K39" s="5"/>
      <c r="N39" s="4"/>
      <c r="O39" s="10" t="s">
        <v>48</v>
      </c>
      <c r="P39" s="57" t="str">
        <f t="shared" si="17"/>
        <v>The sample was slightly discoloured  with no significant sediments</v>
      </c>
      <c r="Q39" s="58"/>
      <c r="R39" s="58"/>
      <c r="S39" s="58"/>
      <c r="T39" s="58"/>
      <c r="U39" s="58"/>
      <c r="V39" s="58"/>
      <c r="W39" s="59"/>
      <c r="X39" s="5"/>
    </row>
    <row r="40" spans="1:24">
      <c r="A40" s="4"/>
      <c r="B40" s="10" t="s">
        <v>49</v>
      </c>
      <c r="C40" s="141" t="s">
        <v>209</v>
      </c>
      <c r="D40" s="142"/>
      <c r="E40" s="143" t="s">
        <v>197</v>
      </c>
      <c r="F40" s="143"/>
      <c r="G40" s="58" t="s">
        <v>210</v>
      </c>
      <c r="H40" s="143" t="s">
        <v>201</v>
      </c>
      <c r="I40" s="144"/>
      <c r="K40" s="5"/>
      <c r="N40" s="4"/>
      <c r="O40" s="10" t="s">
        <v>49</v>
      </c>
      <c r="P40" s="57" t="str">
        <f t="shared" si="17"/>
        <v>The sample was slightly discoloured  with no significant sediments</v>
      </c>
      <c r="Q40" s="58"/>
      <c r="R40" s="58"/>
      <c r="S40" s="58"/>
      <c r="T40" s="58"/>
      <c r="U40" s="58"/>
      <c r="V40" s="58"/>
      <c r="W40" s="59"/>
      <c r="X40" s="5"/>
    </row>
    <row r="41" spans="1:24">
      <c r="A41" s="4"/>
      <c r="B41" s="10" t="s">
        <v>50</v>
      </c>
      <c r="C41" s="141" t="s">
        <v>209</v>
      </c>
      <c r="D41" s="142"/>
      <c r="E41" s="143" t="s">
        <v>197</v>
      </c>
      <c r="F41" s="143"/>
      <c r="G41" s="58" t="s">
        <v>210</v>
      </c>
      <c r="H41" s="143" t="s">
        <v>201</v>
      </c>
      <c r="I41" s="144"/>
      <c r="K41" s="5"/>
      <c r="N41" s="4"/>
      <c r="O41" s="10" t="s">
        <v>50</v>
      </c>
      <c r="P41" s="57" t="str">
        <f t="shared" si="17"/>
        <v>The sample was slightly discoloured  with no significant sediments</v>
      </c>
      <c r="Q41" s="58"/>
      <c r="R41" s="58"/>
      <c r="S41" s="58"/>
      <c r="T41" s="58"/>
      <c r="U41" s="58"/>
      <c r="V41" s="58"/>
      <c r="W41" s="59"/>
      <c r="X41" s="5"/>
    </row>
    <row r="42" spans="1:24">
      <c r="A42" s="4"/>
      <c r="B42" s="65"/>
      <c r="C42" s="80"/>
      <c r="D42" s="80"/>
      <c r="E42" s="80"/>
      <c r="F42" s="80"/>
      <c r="G42" s="80"/>
      <c r="H42" s="80"/>
      <c r="I42" s="80"/>
      <c r="K42" s="5"/>
      <c r="N42" s="4"/>
      <c r="O42" s="55"/>
      <c r="P42" s="80"/>
      <c r="Q42" s="80"/>
      <c r="R42" s="80"/>
      <c r="S42" s="80"/>
      <c r="T42" s="80"/>
      <c r="U42" s="80"/>
      <c r="V42" s="80"/>
      <c r="W42" s="80"/>
      <c r="X42" s="5"/>
    </row>
    <row r="43" spans="1:24">
      <c r="A43" s="4"/>
      <c r="B43" s="4"/>
      <c r="C43" s="8"/>
      <c r="D43" s="8"/>
      <c r="E43" s="8"/>
      <c r="F43" s="8"/>
      <c r="G43" s="8"/>
      <c r="H43" s="8"/>
      <c r="I43" s="8"/>
      <c r="J43" s="8"/>
      <c r="K43" s="5"/>
      <c r="N43" s="4"/>
      <c r="O43" s="61" t="s">
        <v>62</v>
      </c>
      <c r="P43" s="62" t="s">
        <v>192</v>
      </c>
      <c r="Q43" s="63"/>
      <c r="R43" s="63"/>
      <c r="S43" s="63"/>
      <c r="T43" s="63"/>
      <c r="U43" s="63"/>
      <c r="V43" s="63"/>
      <c r="W43" s="63"/>
      <c r="X43" s="5"/>
    </row>
    <row r="44" spans="1:24">
      <c r="A44" s="4"/>
      <c r="B44" s="4"/>
      <c r="C44" s="8"/>
      <c r="D44" s="8"/>
      <c r="E44" s="8"/>
      <c r="F44" s="8"/>
      <c r="G44" s="8"/>
      <c r="H44" s="8"/>
      <c r="I44" s="8"/>
      <c r="J44" s="8"/>
      <c r="K44" s="5"/>
      <c r="N44" s="4"/>
      <c r="O44" s="55" t="s">
        <v>24</v>
      </c>
      <c r="P44" s="155" t="s">
        <v>129</v>
      </c>
      <c r="Q44" s="156"/>
      <c r="R44" s="156"/>
      <c r="S44" s="156"/>
      <c r="T44" s="156"/>
      <c r="U44" s="156"/>
      <c r="V44" s="156"/>
      <c r="W44" s="156"/>
      <c r="X44" s="5"/>
    </row>
    <row r="45" spans="1:24">
      <c r="A45" s="4"/>
      <c r="B45" s="4"/>
      <c r="C45" s="8"/>
      <c r="D45" s="8"/>
      <c r="E45" s="8"/>
      <c r="F45" s="8"/>
      <c r="G45" s="8"/>
      <c r="H45" s="8"/>
      <c r="I45" s="8"/>
      <c r="J45" s="8"/>
      <c r="K45" s="5"/>
      <c r="N45" s="4"/>
      <c r="O45" s="4"/>
      <c r="P45" s="8"/>
      <c r="Q45" s="8"/>
      <c r="R45" s="8"/>
      <c r="S45" s="8"/>
      <c r="T45" s="8"/>
      <c r="U45" s="8"/>
      <c r="V45" s="8"/>
      <c r="W45" s="8"/>
      <c r="X45" s="5"/>
    </row>
    <row r="46" spans="1:24">
      <c r="A46" s="4"/>
      <c r="B46" s="4"/>
      <c r="C46" s="8"/>
      <c r="D46" s="8"/>
      <c r="E46" s="8"/>
      <c r="F46" s="8"/>
      <c r="G46" s="8"/>
      <c r="H46" s="8"/>
      <c r="I46" s="8"/>
      <c r="J46" s="8"/>
      <c r="K46" s="5"/>
      <c r="N46" s="4"/>
      <c r="O46" s="4"/>
      <c r="P46" s="8"/>
      <c r="Q46" s="8"/>
      <c r="R46" s="8"/>
      <c r="S46" s="8"/>
      <c r="T46" s="8"/>
      <c r="U46" s="8"/>
      <c r="V46" s="8"/>
      <c r="W46" s="8"/>
      <c r="X46" s="5"/>
    </row>
    <row r="47" spans="1:24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  <c r="N47" s="4"/>
      <c r="O47" s="4" t="s">
        <v>190</v>
      </c>
      <c r="P47" s="8"/>
      <c r="Q47" s="8"/>
      <c r="R47" s="8"/>
      <c r="S47" s="8"/>
      <c r="T47" s="8"/>
      <c r="U47" s="8"/>
      <c r="V47" s="8"/>
      <c r="W47" s="8"/>
      <c r="X47" s="5"/>
    </row>
    <row r="48" spans="1:24">
      <c r="A48" s="4"/>
      <c r="B48" s="12"/>
      <c r="C48" s="8"/>
      <c r="D48" s="8"/>
      <c r="E48" s="8"/>
      <c r="F48" s="8"/>
      <c r="G48" s="8"/>
      <c r="H48" s="8"/>
      <c r="I48" s="8"/>
      <c r="J48" s="8"/>
      <c r="K48" s="5"/>
      <c r="N48" s="4"/>
      <c r="O48" s="4" t="s">
        <v>191</v>
      </c>
      <c r="P48" s="8"/>
      <c r="Q48" s="8"/>
      <c r="R48" s="8"/>
      <c r="S48" s="8"/>
      <c r="T48" s="8"/>
      <c r="U48" s="8"/>
      <c r="V48" s="8"/>
      <c r="W48" s="8"/>
      <c r="X48" s="5"/>
    </row>
    <row r="49" spans="1:24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N49" s="4"/>
      <c r="O49" s="4" t="s">
        <v>146</v>
      </c>
      <c r="P49" s="8"/>
      <c r="Q49" s="8"/>
      <c r="R49" s="8"/>
      <c r="S49" s="8"/>
      <c r="T49" s="8"/>
      <c r="U49" s="8"/>
      <c r="V49" s="8"/>
      <c r="W49" s="8"/>
      <c r="X49" s="5"/>
    </row>
    <row r="50" spans="1:24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N50" s="4"/>
      <c r="O50" s="12" t="s">
        <v>186</v>
      </c>
      <c r="P50" s="8"/>
      <c r="Q50" s="8"/>
      <c r="R50" s="8"/>
      <c r="S50" s="8"/>
      <c r="T50" s="8"/>
      <c r="U50" s="8"/>
      <c r="V50" s="8"/>
      <c r="W50" s="8"/>
      <c r="X50" s="5"/>
    </row>
    <row r="51" spans="1:24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</sheetData>
  <mergeCells count="25">
    <mergeCell ref="P44:W44"/>
    <mergeCell ref="C3:F3"/>
    <mergeCell ref="I3:J3"/>
    <mergeCell ref="C4:F4"/>
    <mergeCell ref="I4:J4"/>
    <mergeCell ref="C5:F5"/>
    <mergeCell ref="I5:J5"/>
    <mergeCell ref="C36:D36"/>
    <mergeCell ref="E36:F36"/>
    <mergeCell ref="H36:I36"/>
    <mergeCell ref="C37:D37"/>
    <mergeCell ref="E37:F37"/>
    <mergeCell ref="H37:I37"/>
    <mergeCell ref="C38:D38"/>
    <mergeCell ref="E38:F38"/>
    <mergeCell ref="H38:I38"/>
    <mergeCell ref="C41:D41"/>
    <mergeCell ref="E41:F41"/>
    <mergeCell ref="H41:I41"/>
    <mergeCell ref="C39:D39"/>
    <mergeCell ref="E39:F39"/>
    <mergeCell ref="H39:I39"/>
    <mergeCell ref="C40:D40"/>
    <mergeCell ref="E40:F40"/>
    <mergeCell ref="H40:I40"/>
  </mergeCells>
  <conditionalFormatting sqref="Q25">
    <cfRule type="cellIs" dxfId="66" priority="5" operator="equal">
      <formula>"Above MAV"</formula>
    </cfRule>
    <cfRule type="cellIs" dxfId="65" priority="6" operator="equal">
      <formula>"ALERT"</formula>
    </cfRule>
  </conditionalFormatting>
  <conditionalFormatting sqref="Q26">
    <cfRule type="cellIs" dxfId="64" priority="3" operator="equal">
      <formula>"Above MAV"</formula>
    </cfRule>
    <cfRule type="cellIs" dxfId="63" priority="4" operator="equal">
      <formula>"ALERT"</formula>
    </cfRule>
  </conditionalFormatting>
  <conditionalFormatting sqref="D13:I13">
    <cfRule type="cellIs" dxfId="62" priority="1" operator="lessThan">
      <formula>$D$12&lt;0</formula>
    </cfRule>
  </conditionalFormatting>
  <dataValidations disablePrompts="1" count="1">
    <dataValidation type="whole" allowBlank="1" showInputMessage="1" showErrorMessage="1" sqref="V3:V5" xr:uid="{A1DD5325-1718-4885-B63B-56BE8514307B}">
      <formula1>0</formula1>
      <formula2>2</formula2>
    </dataValidation>
  </dataValidations>
  <printOptions horizontalCentered="1"/>
  <pageMargins left="0" right="0" top="1.1709558823529411" bottom="1.3779527559055118" header="3.937007874015748E-2" footer="0"/>
  <pageSetup paperSize="9" scale="9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P7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 C7 P5</xm:sqref>
        </x14:dataValidation>
        <x14:dataValidation type="list" allowBlank="1" showInputMessage="1" showErrorMessage="1" xr:uid="{8F565116-E9A2-4312-9EF7-D7BC4B14238C}">
          <x14:formula1>
            <xm:f>Data!$A$55:$A$65</xm:f>
          </x14:formula1>
          <xm:sqref>D32:I33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D30:I31</xm:sqref>
        </x14:dataValidation>
        <x14:dataValidation type="list" showInputMessage="1" showErrorMessage="1" xr:uid="{99B9C25C-C903-409A-A886-EDFC77F3D021}">
          <x14:formula1>
            <xm:f>'Input Lookup sheet'!$B$13:$B$15</xm:f>
          </x14:formula1>
          <xm:sqref>E36:E41</xm:sqref>
        </x14:dataValidation>
        <x14:dataValidation type="list" showInputMessage="1" showErrorMessage="1" xr:uid="{1F2AFB54-65EE-46F0-AC83-6CAE3609A34A}">
          <x14:formula1>
            <xm:f>'Input Lookup sheet'!$B$19:$B$21</xm:f>
          </x14:formula1>
          <xm:sqref>H36:H41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96"/>
  <sheetViews>
    <sheetView view="pageLayout" zoomScale="115" zoomScaleNormal="110" zoomScaleSheetLayoutView="115" zoomScalePageLayoutView="115" workbookViewId="0">
      <selection activeCell="J2" sqref="J2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2" t="s">
        <v>0</v>
      </c>
      <c r="J1" s="13" t="str">
        <f>'R-CHE'!I1</f>
        <v>Rev10</v>
      </c>
    </row>
    <row r="2" spans="1:11">
      <c r="J2" s="13"/>
    </row>
    <row r="3" spans="1:11">
      <c r="B3" s="1" t="s">
        <v>59</v>
      </c>
      <c r="F3" s="8"/>
      <c r="G3" s="8"/>
      <c r="H3" s="9" t="s">
        <v>148</v>
      </c>
      <c r="J3" s="68" t="s">
        <v>188</v>
      </c>
    </row>
    <row r="4" spans="1:11" ht="15.6">
      <c r="B4" s="3" t="s">
        <v>58</v>
      </c>
      <c r="F4" s="8"/>
      <c r="G4" s="8"/>
      <c r="H4" s="9" t="s">
        <v>56</v>
      </c>
      <c r="J4" s="69">
        <v>43354</v>
      </c>
    </row>
    <row r="5" spans="1:11">
      <c r="B5" s="9" t="s">
        <v>133</v>
      </c>
      <c r="C5" s="76" t="s">
        <v>135</v>
      </c>
      <c r="F5" s="8"/>
      <c r="G5" s="8"/>
      <c r="H5" s="9" t="s">
        <v>57</v>
      </c>
      <c r="J5" s="69">
        <f ca="1">TODAY()</f>
        <v>44855</v>
      </c>
    </row>
    <row r="6" spans="1:11">
      <c r="A6" s="75"/>
      <c r="B6" s="72"/>
      <c r="C6" s="73"/>
      <c r="D6" s="74"/>
      <c r="E6" s="73"/>
      <c r="F6" s="73"/>
      <c r="G6" s="73"/>
      <c r="I6" s="73"/>
    </row>
    <row r="7" spans="1:11">
      <c r="A7" s="4"/>
      <c r="B7" s="70" t="s">
        <v>1</v>
      </c>
      <c r="C7" s="71" t="s">
        <v>2</v>
      </c>
      <c r="D7" s="71" t="s">
        <v>61</v>
      </c>
      <c r="E7" s="71" t="s">
        <v>62</v>
      </c>
      <c r="F7" s="71" t="s">
        <v>63</v>
      </c>
      <c r="G7" s="152" t="s">
        <v>44</v>
      </c>
      <c r="H7" s="153"/>
      <c r="I7" s="153"/>
      <c r="J7" s="154"/>
      <c r="K7" s="5"/>
    </row>
    <row r="8" spans="1:11">
      <c r="A8" s="4"/>
      <c r="B8" s="10" t="s">
        <v>30</v>
      </c>
      <c r="C8" s="10" t="s">
        <v>29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141"/>
      <c r="I8" s="142"/>
      <c r="J8" s="151"/>
      <c r="K8" s="5"/>
    </row>
    <row r="9" spans="1:11">
      <c r="A9" s="4"/>
      <c r="B9" s="10" t="s">
        <v>31</v>
      </c>
      <c r="C9" s="10" t="s">
        <v>29</v>
      </c>
      <c r="D9" s="11" t="s">
        <v>23</v>
      </c>
      <c r="E9" s="11" t="s">
        <v>23</v>
      </c>
      <c r="F9" s="11" t="s">
        <v>39</v>
      </c>
      <c r="G9" s="11" t="e">
        <f>VLOOKUP(D9,Lookup!C113:D114,2,FALSE)</f>
        <v>#N/A</v>
      </c>
      <c r="H9" s="141"/>
      <c r="I9" s="142"/>
      <c r="J9" s="151"/>
      <c r="K9" s="5"/>
    </row>
    <row r="10" spans="1:11">
      <c r="A10" s="4"/>
      <c r="B10" s="65"/>
      <c r="C10" s="65"/>
      <c r="D10" s="67"/>
      <c r="E10" s="67"/>
      <c r="F10" s="67"/>
      <c r="G10" s="67"/>
      <c r="H10" s="79"/>
      <c r="I10" s="79"/>
      <c r="J10" s="79"/>
      <c r="K10" s="5"/>
    </row>
    <row r="11" spans="1:11">
      <c r="A11" s="4"/>
      <c r="B11" s="55" t="s">
        <v>151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>
      <c r="A12" s="4"/>
      <c r="B12" s="98" t="str">
        <f>IF(D9="Present","The sample contained E. coli, which indicates faecal contamination. Drink bottled water or boiled (and cooled) water until treatment is installed",(IF(D8="Present","The presence of microorganisms in the sample indicates a significant health risk. Treatment is highly recommended.","Testing did not detect the presence of microorganisms in the sample however a form of treatment is recommended if not already installed.")))</f>
        <v>Testing did not detect the presence of microorganisms in the sample however a form of treatment is recommended if not already installed.</v>
      </c>
      <c r="K12" s="5"/>
    </row>
    <row r="13" spans="1:11">
      <c r="A13" s="4"/>
      <c r="B13" s="98" t="s">
        <v>152</v>
      </c>
      <c r="K13" s="5"/>
    </row>
    <row r="14" spans="1:11">
      <c r="A14" s="4"/>
      <c r="B14" s="77" t="s">
        <v>187</v>
      </c>
      <c r="K14" s="5"/>
    </row>
    <row r="15" spans="1:11">
      <c r="A15" s="4"/>
      <c r="B15" s="77" t="s">
        <v>177</v>
      </c>
      <c r="K15" s="5"/>
    </row>
    <row r="16" spans="1:11">
      <c r="A16" s="4"/>
      <c r="B16" s="77"/>
      <c r="C16" s="77"/>
      <c r="K16" s="5"/>
    </row>
    <row r="17" spans="1:11">
      <c r="A17" s="4"/>
      <c r="B17" s="61" t="s">
        <v>62</v>
      </c>
      <c r="C17" s="62" t="s">
        <v>192</v>
      </c>
      <c r="D17" s="63"/>
      <c r="E17" s="63"/>
      <c r="F17" s="63"/>
      <c r="G17" s="63"/>
      <c r="H17" s="63"/>
      <c r="I17" s="63"/>
      <c r="J17" s="63"/>
      <c r="K17" s="5"/>
    </row>
    <row r="18" spans="1:11">
      <c r="A18" s="4"/>
      <c r="B18" s="55" t="s">
        <v>63</v>
      </c>
      <c r="C18" s="156" t="s">
        <v>193</v>
      </c>
      <c r="D18" s="156"/>
      <c r="E18" s="156"/>
      <c r="F18" s="156"/>
      <c r="G18" s="156"/>
      <c r="H18" s="156"/>
      <c r="I18" s="156"/>
      <c r="J18" s="156"/>
      <c r="K18" s="5"/>
    </row>
    <row r="19" spans="1:11">
      <c r="A19" s="4"/>
      <c r="B19" s="55"/>
      <c r="C19" s="155"/>
      <c r="D19" s="156"/>
      <c r="E19" s="156"/>
      <c r="F19" s="156"/>
      <c r="G19" s="156"/>
      <c r="H19" s="156"/>
      <c r="I19" s="156"/>
      <c r="J19" s="156"/>
      <c r="K19" s="5"/>
    </row>
    <row r="20" spans="1:11">
      <c r="A20" s="4"/>
      <c r="B20" s="4"/>
      <c r="C20" s="8"/>
      <c r="D20" s="8"/>
      <c r="E20" s="8"/>
      <c r="F20" s="8"/>
      <c r="G20" s="8"/>
      <c r="H20" s="8"/>
      <c r="I20" s="8"/>
      <c r="J20" s="8"/>
      <c r="K20" s="5"/>
    </row>
    <row r="21" spans="1:11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</row>
    <row r="22" spans="1:11">
      <c r="A22" s="4"/>
      <c r="B22" s="4" t="s">
        <v>190</v>
      </c>
      <c r="C22" s="8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4" t="s">
        <v>191</v>
      </c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 t="s">
        <v>146</v>
      </c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2" t="s">
        <v>186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</sheetData>
  <mergeCells count="5">
    <mergeCell ref="G7:J7"/>
    <mergeCell ref="C18:J18"/>
    <mergeCell ref="C19:J19"/>
    <mergeCell ref="H8:J8"/>
    <mergeCell ref="H9:J9"/>
  </mergeCells>
  <conditionalFormatting sqref="G8:G10">
    <cfRule type="cellIs" dxfId="61" priority="6" operator="equal">
      <formula>"Above MAV"</formula>
    </cfRule>
    <cfRule type="cellIs" dxfId="60" priority="7" operator="equal">
      <formula>"ALERT"</formula>
    </cfRule>
  </conditionalFormatting>
  <conditionalFormatting sqref="B12">
    <cfRule type="containsText" dxfId="59" priority="1" operator="containsText" text="E. coli">
      <formula>NOT(ISERROR(SEARCH("E. coli",B12)))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2248-C234-4A12-99B8-4C090B9379AD}">
  <sheetPr>
    <pageSetUpPr fitToPage="1"/>
  </sheetPr>
  <dimension ref="A1:K110"/>
  <sheetViews>
    <sheetView view="pageLayout" zoomScale="115" zoomScaleNormal="110" zoomScalePageLayoutView="115" workbookViewId="0">
      <selection activeCell="J2" sqref="J2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2" t="s">
        <v>0</v>
      </c>
      <c r="J1" s="13" t="str">
        <f>'R-CHE'!I1</f>
        <v>Rev10</v>
      </c>
    </row>
    <row r="2" spans="1:11">
      <c r="J2" s="13"/>
    </row>
    <row r="3" spans="1:11">
      <c r="B3" s="1" t="s">
        <v>59</v>
      </c>
      <c r="F3" s="8"/>
      <c r="G3" s="8"/>
      <c r="H3" s="9" t="s">
        <v>148</v>
      </c>
      <c r="J3" s="68" t="s">
        <v>188</v>
      </c>
    </row>
    <row r="4" spans="1:11" ht="15.6">
      <c r="B4" s="3" t="s">
        <v>58</v>
      </c>
      <c r="F4" s="8"/>
      <c r="G4" s="8"/>
      <c r="H4" s="9" t="s">
        <v>56</v>
      </c>
      <c r="J4" s="69">
        <v>43354</v>
      </c>
    </row>
    <row r="5" spans="1:11">
      <c r="B5" s="9" t="s">
        <v>133</v>
      </c>
      <c r="C5" s="76" t="s">
        <v>135</v>
      </c>
      <c r="F5" s="8"/>
      <c r="G5" s="8"/>
      <c r="H5" s="9" t="s">
        <v>57</v>
      </c>
      <c r="J5" s="69">
        <f ca="1">TODAY()</f>
        <v>44855</v>
      </c>
    </row>
    <row r="6" spans="1:11">
      <c r="A6" s="75"/>
      <c r="B6" s="72"/>
      <c r="C6" s="73"/>
      <c r="D6" s="74"/>
      <c r="E6" s="73"/>
      <c r="F6" s="73"/>
      <c r="G6" s="73"/>
      <c r="I6" s="73"/>
    </row>
    <row r="7" spans="1:11">
      <c r="A7" s="4"/>
      <c r="B7" s="70" t="s">
        <v>1</v>
      </c>
      <c r="C7" s="71" t="s">
        <v>2</v>
      </c>
      <c r="D7" s="71" t="s">
        <v>61</v>
      </c>
      <c r="E7" s="71" t="s">
        <v>62</v>
      </c>
      <c r="F7" s="71" t="s">
        <v>63</v>
      </c>
      <c r="G7" s="152" t="s">
        <v>44</v>
      </c>
      <c r="H7" s="153"/>
      <c r="I7" s="153"/>
      <c r="J7" s="154"/>
      <c r="K7" s="5"/>
    </row>
    <row r="8" spans="1:11">
      <c r="A8" s="4"/>
      <c r="B8" s="10" t="s">
        <v>32</v>
      </c>
      <c r="C8" s="10" t="s">
        <v>34</v>
      </c>
      <c r="D8" s="11" t="s">
        <v>43</v>
      </c>
      <c r="E8" s="11" t="s">
        <v>23</v>
      </c>
      <c r="F8" s="11" t="s">
        <v>23</v>
      </c>
      <c r="G8" s="11" t="str">
        <f>VLOOKUP(D8,Lookup!C115:D118,2)</f>
        <v>Ideal</v>
      </c>
      <c r="H8" s="141"/>
      <c r="I8" s="142"/>
      <c r="J8" s="151"/>
      <c r="K8" s="5"/>
    </row>
    <row r="9" spans="1:11">
      <c r="A9" s="4"/>
      <c r="B9" s="10" t="s">
        <v>33</v>
      </c>
      <c r="C9" s="10" t="s">
        <v>34</v>
      </c>
      <c r="D9" s="11" t="s">
        <v>43</v>
      </c>
      <c r="E9" s="11" t="s">
        <v>23</v>
      </c>
      <c r="F9" s="11" t="s">
        <v>43</v>
      </c>
      <c r="G9" s="11" t="str">
        <f>VLOOKUP(D9,Lookup!C119:D122,2)</f>
        <v>Ideal</v>
      </c>
      <c r="H9" s="141"/>
      <c r="I9" s="142"/>
      <c r="J9" s="151"/>
      <c r="K9" s="5"/>
    </row>
    <row r="10" spans="1:11">
      <c r="A10" s="4"/>
      <c r="B10" s="65"/>
      <c r="C10" s="65"/>
      <c r="D10" s="67"/>
      <c r="E10" s="67"/>
      <c r="F10" s="67"/>
      <c r="G10" s="67"/>
      <c r="H10" s="98"/>
      <c r="I10" s="98"/>
      <c r="J10" s="98"/>
      <c r="K10" s="5"/>
    </row>
    <row r="11" spans="1:11">
      <c r="A11" s="4"/>
      <c r="B11" s="55" t="s">
        <v>151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>
      <c r="A12" s="4"/>
      <c r="B12" s="98" t="str">
        <f>IF(D9="&lt;1.1",(IF(D8="&lt;1.1","Testing did not detect the presence of microorganisms in the sample however a form of treatment is recommended if not already installed.","The presence of microorganisms in the sample indicates a significant health risk. Treatment is highly recommended.")),"The sample contained E. coli, which indicates faecal contamination. Drink bottled water or boiled (and cooled) water until treatment is installed")</f>
        <v>Testing did not detect the presence of microorganisms in the sample however a form of treatment is recommended if not already installed.</v>
      </c>
      <c r="K12" s="5"/>
    </row>
    <row r="13" spans="1:11">
      <c r="A13" s="4"/>
      <c r="B13" s="98" t="s">
        <v>152</v>
      </c>
      <c r="K13" s="5"/>
    </row>
    <row r="14" spans="1:11">
      <c r="A14" s="4"/>
      <c r="B14" s="98" t="s">
        <v>189</v>
      </c>
      <c r="K14" s="5"/>
    </row>
    <row r="15" spans="1:11">
      <c r="A15" s="4"/>
      <c r="B15" s="98" t="s">
        <v>187</v>
      </c>
      <c r="K15" s="5"/>
    </row>
    <row r="16" spans="1:11">
      <c r="A16" s="4"/>
      <c r="B16" s="98" t="s">
        <v>177</v>
      </c>
      <c r="K16" s="5"/>
    </row>
    <row r="17" spans="1:11">
      <c r="A17" s="4"/>
      <c r="B17" s="98"/>
      <c r="C17" s="98"/>
      <c r="K17" s="5"/>
    </row>
    <row r="18" spans="1:11">
      <c r="A18" s="4"/>
      <c r="B18" s="61" t="s">
        <v>62</v>
      </c>
      <c r="C18" s="62" t="s">
        <v>192</v>
      </c>
      <c r="D18" s="63"/>
      <c r="E18" s="63"/>
      <c r="F18" s="63"/>
      <c r="G18" s="63"/>
      <c r="H18" s="63"/>
      <c r="I18" s="63"/>
      <c r="J18" s="63"/>
      <c r="K18" s="5"/>
    </row>
    <row r="19" spans="1:11">
      <c r="A19" s="4"/>
      <c r="B19" s="55" t="s">
        <v>63</v>
      </c>
      <c r="C19" s="156" t="s">
        <v>193</v>
      </c>
      <c r="D19" s="156"/>
      <c r="E19" s="156"/>
      <c r="F19" s="156"/>
      <c r="G19" s="156"/>
      <c r="H19" s="156"/>
      <c r="I19" s="156"/>
      <c r="J19" s="156"/>
      <c r="K19" s="5"/>
    </row>
    <row r="20" spans="1:11">
      <c r="A20" s="4"/>
      <c r="B20" s="55"/>
      <c r="C20" s="155"/>
      <c r="D20" s="156"/>
      <c r="E20" s="156"/>
      <c r="F20" s="156"/>
      <c r="G20" s="156"/>
      <c r="H20" s="156"/>
      <c r="I20" s="156"/>
      <c r="J20" s="156"/>
      <c r="K20" s="5"/>
    </row>
    <row r="21" spans="1:11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</row>
    <row r="22" spans="1:11">
      <c r="A22" s="4"/>
      <c r="B22" s="4"/>
      <c r="C22" s="8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4" t="s">
        <v>190</v>
      </c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 t="s">
        <v>191</v>
      </c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146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12" t="s">
        <v>186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</sheetData>
  <mergeCells count="5">
    <mergeCell ref="C20:J20"/>
    <mergeCell ref="G7:J7"/>
    <mergeCell ref="H8:J8"/>
    <mergeCell ref="H9:J9"/>
    <mergeCell ref="C19:J19"/>
  </mergeCells>
  <conditionalFormatting sqref="G10">
    <cfRule type="cellIs" dxfId="58" priority="6" operator="equal">
      <formula>"Above MAV"</formula>
    </cfRule>
    <cfRule type="cellIs" dxfId="57" priority="7" operator="equal">
      <formula>"ALERT"</formula>
    </cfRule>
  </conditionalFormatting>
  <conditionalFormatting sqref="G8:G9">
    <cfRule type="cellIs" dxfId="56" priority="2" operator="equal">
      <formula>"Above MAV"</formula>
    </cfRule>
    <cfRule type="cellIs" dxfId="55" priority="3" operator="equal">
      <formula>"ALERT"</formula>
    </cfRule>
  </conditionalFormatting>
  <conditionalFormatting sqref="B12">
    <cfRule type="containsText" dxfId="54" priority="1" operator="containsText" text="E. coli">
      <formula>NOT(ISERROR(SEARCH("E. coli",B12)))</formula>
    </cfRule>
  </conditionalFormatting>
  <dataValidations count="1">
    <dataValidation type="whole" allowBlank="1" showInputMessage="1" showErrorMessage="1" sqref="I3:I5" xr:uid="{76F466B3-A5AC-4DDB-8E06-A970F060295A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33B87F-FACC-49D9-A0EE-CFB17CF62EF3}">
          <x14:formula1>
            <xm:f>Data!$A$55:$A$65</xm:f>
          </x14:formula1>
          <xm:sqref>D8:D9</xm:sqref>
        </x14:dataValidation>
        <x14:dataValidation type="list" allowBlank="1" showInputMessage="1" showErrorMessage="1" xr:uid="{722E95E3-E66E-47B3-9382-7D2477D3DF01}">
          <x14:formula1>
            <xm:f>Data!$A$39:$A$47</xm:f>
          </x14:formula1>
          <xm:sqref>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5BFF-C331-412D-938E-56C7630EE757}">
  <sheetPr>
    <pageSetUpPr fitToPage="1"/>
  </sheetPr>
  <dimension ref="A1:U138"/>
  <sheetViews>
    <sheetView view="pageLayout" topLeftCell="C1" zoomScaleNormal="110" zoomScaleSheetLayoutView="115" workbookViewId="0">
      <selection activeCell="G3" sqref="G3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7" width="10" style="1" customWidth="1"/>
    <col min="8" max="8" width="19.109375" style="1" bestFit="1" customWidth="1"/>
    <col min="9" max="9" width="13.88671875" style="1" customWidth="1"/>
    <col min="10" max="11" width="2" style="1" customWidth="1"/>
    <col min="12" max="12" width="18.6640625" style="1" customWidth="1"/>
    <col min="13" max="13" width="10.88671875" style="1" customWidth="1"/>
    <col min="14" max="20" width="10" style="1" customWidth="1"/>
    <col min="21" max="21" width="0.5546875" style="1" customWidth="1"/>
    <col min="22" max="16384" width="9.109375" style="1"/>
  </cols>
  <sheetData>
    <row r="1" spans="1:21" ht="22.8">
      <c r="B1" s="2" t="s">
        <v>167</v>
      </c>
      <c r="I1" s="13" t="str">
        <f>'R-CHE'!I1</f>
        <v>Rev10</v>
      </c>
      <c r="L1" s="2" t="s">
        <v>0</v>
      </c>
      <c r="T1" s="13" t="str">
        <f>'R-CHE'!I1</f>
        <v>Rev10</v>
      </c>
    </row>
    <row r="2" spans="1:21">
      <c r="I2" s="13"/>
      <c r="T2" s="13"/>
    </row>
    <row r="3" spans="1:21">
      <c r="B3" s="83" t="s">
        <v>170</v>
      </c>
      <c r="C3" s="145"/>
      <c r="D3" s="146"/>
      <c r="E3" s="146"/>
      <c r="F3" s="147"/>
      <c r="G3" s="8"/>
      <c r="H3" s="83" t="s">
        <v>148</v>
      </c>
      <c r="I3" s="109" t="s">
        <v>218</v>
      </c>
      <c r="L3" s="1" t="str">
        <f>IF(ISBLANK(C3),"DEALER NAME",C3)</f>
        <v>DEALER NAME</v>
      </c>
      <c r="P3" s="8"/>
      <c r="Q3" s="8"/>
      <c r="R3" s="9" t="s">
        <v>148</v>
      </c>
      <c r="T3" s="68" t="str">
        <f>I3</f>
        <v>20170714C+E01</v>
      </c>
    </row>
    <row r="4" spans="1:21" ht="15.6">
      <c r="B4" s="83" t="s">
        <v>171</v>
      </c>
      <c r="C4" s="145"/>
      <c r="D4" s="146"/>
      <c r="E4" s="146"/>
      <c r="F4" s="147"/>
      <c r="G4" s="8"/>
      <c r="H4" s="83" t="s">
        <v>56</v>
      </c>
      <c r="I4" s="110">
        <f ca="1">TODAY()</f>
        <v>44855</v>
      </c>
      <c r="L4" s="3" t="str">
        <f>IF(ISBLANK(C4),"REFERENCE NAME",C4)</f>
        <v>REFERENCE NAME</v>
      </c>
      <c r="P4" s="8"/>
      <c r="Q4" s="8"/>
      <c r="R4" s="9" t="s">
        <v>56</v>
      </c>
      <c r="T4" s="136">
        <f t="shared" ref="T4:T5" ca="1" si="0">I4</f>
        <v>44855</v>
      </c>
    </row>
    <row r="5" spans="1:21">
      <c r="B5" s="83" t="s">
        <v>133</v>
      </c>
      <c r="C5" s="148"/>
      <c r="D5" s="148"/>
      <c r="E5" s="148"/>
      <c r="F5" s="148"/>
      <c r="G5" s="8"/>
      <c r="H5" s="83" t="s">
        <v>57</v>
      </c>
      <c r="I5" s="110">
        <f ca="1">TODAY()</f>
        <v>44855</v>
      </c>
      <c r="L5" s="9" t="s">
        <v>133</v>
      </c>
      <c r="M5" s="76" t="str">
        <f>IF(ISBLANK(C5),"TBC",C5)</f>
        <v>TBC</v>
      </c>
      <c r="P5" s="8"/>
      <c r="Q5" s="8"/>
      <c r="R5" s="9" t="s">
        <v>57</v>
      </c>
      <c r="T5" s="136">
        <f t="shared" ca="1" si="0"/>
        <v>44855</v>
      </c>
    </row>
    <row r="6" spans="1:21">
      <c r="A6" s="75"/>
      <c r="B6" s="4"/>
      <c r="C6" s="8"/>
      <c r="D6" s="8"/>
      <c r="E6" s="8"/>
      <c r="F6" s="8"/>
      <c r="G6" s="8"/>
      <c r="H6" s="8"/>
      <c r="I6" s="8"/>
      <c r="J6" s="75"/>
      <c r="K6" s="75"/>
      <c r="L6" s="72"/>
      <c r="M6" s="73"/>
      <c r="N6" s="74"/>
      <c r="O6" s="73"/>
      <c r="P6" s="73"/>
      <c r="Q6" s="73"/>
      <c r="S6" s="73"/>
    </row>
    <row r="7" spans="1:21">
      <c r="A7" s="4"/>
      <c r="B7" s="84" t="s">
        <v>1</v>
      </c>
      <c r="C7" s="85" t="s">
        <v>168</v>
      </c>
      <c r="D7" s="85" t="s">
        <v>61</v>
      </c>
      <c r="E7" s="85" t="s">
        <v>204</v>
      </c>
      <c r="F7" s="85" t="s">
        <v>205</v>
      </c>
      <c r="G7" s="85" t="s">
        <v>206</v>
      </c>
      <c r="H7" s="149" t="s">
        <v>216</v>
      </c>
      <c r="I7" s="150"/>
      <c r="J7" s="4"/>
      <c r="K7" s="4"/>
      <c r="L7" s="70" t="s">
        <v>1</v>
      </c>
      <c r="M7" s="71" t="s">
        <v>2</v>
      </c>
      <c r="N7" s="71" t="s">
        <v>61</v>
      </c>
      <c r="O7" s="71" t="s">
        <v>62</v>
      </c>
      <c r="P7" s="71" t="s">
        <v>63</v>
      </c>
      <c r="Q7" s="152" t="s">
        <v>44</v>
      </c>
      <c r="R7" s="153"/>
      <c r="S7" s="153"/>
      <c r="T7" s="154"/>
      <c r="U7" s="5"/>
    </row>
    <row r="8" spans="1:21">
      <c r="A8" s="4"/>
      <c r="B8" s="10" t="s">
        <v>3</v>
      </c>
      <c r="C8" s="11" t="s">
        <v>23</v>
      </c>
      <c r="D8" s="14"/>
      <c r="E8" s="14"/>
      <c r="F8" s="11" t="s">
        <v>64</v>
      </c>
      <c r="G8" s="11" t="s">
        <v>23</v>
      </c>
      <c r="H8" s="137"/>
      <c r="I8" s="138"/>
      <c r="J8" s="4"/>
      <c r="K8" s="4"/>
      <c r="L8" s="10" t="s">
        <v>3</v>
      </c>
      <c r="M8" s="11" t="s">
        <v>23</v>
      </c>
      <c r="N8" s="14">
        <f>D8</f>
        <v>0</v>
      </c>
      <c r="O8" s="11" t="s">
        <v>64</v>
      </c>
      <c r="P8" s="11" t="s">
        <v>23</v>
      </c>
      <c r="Q8" s="11" t="e">
        <f>VLOOKUP(N8,Lookup!C3:D7,2)</f>
        <v>#N/A</v>
      </c>
      <c r="R8" s="141"/>
      <c r="S8" s="142"/>
      <c r="T8" s="151"/>
      <c r="U8" s="5"/>
    </row>
    <row r="9" spans="1:21" ht="14.4">
      <c r="A9" s="4"/>
      <c r="B9" s="10" t="s">
        <v>5</v>
      </c>
      <c r="C9" s="10" t="s">
        <v>52</v>
      </c>
      <c r="D9" s="15"/>
      <c r="E9" s="15">
        <v>5</v>
      </c>
      <c r="F9" s="11" t="s">
        <v>23</v>
      </c>
      <c r="G9" s="11" t="s">
        <v>23</v>
      </c>
      <c r="H9" s="137"/>
      <c r="I9" s="138"/>
      <c r="J9" s="4"/>
      <c r="K9" s="4"/>
      <c r="L9" s="10" t="s">
        <v>5</v>
      </c>
      <c r="M9" s="10" t="s">
        <v>52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41"/>
      <c r="S9" s="142"/>
      <c r="T9" s="151"/>
      <c r="U9" s="5"/>
    </row>
    <row r="10" spans="1:21" ht="14.4">
      <c r="A10" s="4"/>
      <c r="B10" s="10" t="s">
        <v>6</v>
      </c>
      <c r="C10" s="10" t="s">
        <v>52</v>
      </c>
      <c r="D10" s="15"/>
      <c r="E10" s="15">
        <v>5</v>
      </c>
      <c r="F10" s="11" t="s">
        <v>65</v>
      </c>
      <c r="G10" s="11" t="s">
        <v>23</v>
      </c>
      <c r="H10" s="137"/>
      <c r="I10" s="138"/>
      <c r="J10" s="4"/>
      <c r="K10" s="4"/>
      <c r="L10" s="10" t="s">
        <v>6</v>
      </c>
      <c r="M10" s="10" t="s">
        <v>52</v>
      </c>
      <c r="N10" s="15" t="str">
        <f t="shared" ref="N10:N11" si="1">IF(D10&lt;5,"&lt;5",D10)</f>
        <v>&lt;5</v>
      </c>
      <c r="O10" s="11" t="s">
        <v>65</v>
      </c>
      <c r="P10" s="11" t="s">
        <v>23</v>
      </c>
      <c r="Q10" s="11" t="str">
        <f>VLOOKUP(N10,Lookup!C27:D33,2)</f>
        <v>Trace</v>
      </c>
      <c r="R10" s="141"/>
      <c r="S10" s="142"/>
      <c r="T10" s="151"/>
      <c r="U10" s="5"/>
    </row>
    <row r="11" spans="1:21" ht="14.4">
      <c r="A11" s="4"/>
      <c r="B11" s="10" t="s">
        <v>7</v>
      </c>
      <c r="C11" s="10" t="s">
        <v>52</v>
      </c>
      <c r="D11" s="15"/>
      <c r="E11" s="15">
        <v>5</v>
      </c>
      <c r="F11" s="11" t="s">
        <v>23</v>
      </c>
      <c r="G11" s="11" t="s">
        <v>23</v>
      </c>
      <c r="H11" s="137"/>
      <c r="I11" s="138"/>
      <c r="J11" s="4"/>
      <c r="K11" s="4"/>
      <c r="L11" s="10" t="s">
        <v>7</v>
      </c>
      <c r="M11" s="10" t="s">
        <v>52</v>
      </c>
      <c r="N11" s="15" t="str">
        <f t="shared" si="1"/>
        <v>&lt;5</v>
      </c>
      <c r="O11" s="11" t="s">
        <v>23</v>
      </c>
      <c r="P11" s="11" t="s">
        <v>23</v>
      </c>
      <c r="Q11" s="11" t="str">
        <f>VLOOKUP(N11,Lookup!C35:D41,2)</f>
        <v>Trace</v>
      </c>
      <c r="R11" s="141"/>
      <c r="S11" s="142"/>
      <c r="T11" s="151"/>
      <c r="U11" s="5"/>
    </row>
    <row r="12" spans="1:21" ht="14.4">
      <c r="A12" s="4"/>
      <c r="B12" s="10" t="s">
        <v>8</v>
      </c>
      <c r="C12" s="10" t="s">
        <v>52</v>
      </c>
      <c r="D12" s="96">
        <f>D10-D11</f>
        <v>0</v>
      </c>
      <c r="E12" s="11">
        <v>5</v>
      </c>
      <c r="F12" s="11" t="s">
        <v>23</v>
      </c>
      <c r="G12" s="11" t="s">
        <v>23</v>
      </c>
      <c r="H12" s="137" t="str">
        <f>IF(D12&lt;0,"Switch Total &amp; Calcium Hardness values"," ")</f>
        <v xml:space="preserve"> </v>
      </c>
      <c r="I12" s="138"/>
      <c r="J12" s="4"/>
      <c r="K12" s="4"/>
      <c r="L12" s="10" t="s">
        <v>8</v>
      </c>
      <c r="M12" s="10" t="s">
        <v>52</v>
      </c>
      <c r="N12" s="11" t="str">
        <f>IF(D12&lt;5,"&lt;5",D12)</f>
        <v>&lt;5</v>
      </c>
      <c r="O12" s="11" t="s">
        <v>23</v>
      </c>
      <c r="P12" s="11" t="s">
        <v>23</v>
      </c>
      <c r="Q12" s="11" t="str">
        <f>VLOOKUP(N12,Lookup!C35:D41,2)</f>
        <v>Trace</v>
      </c>
      <c r="R12" s="141" t="s">
        <v>150</v>
      </c>
      <c r="S12" s="142"/>
      <c r="T12" s="151"/>
      <c r="U12" s="5"/>
    </row>
    <row r="13" spans="1:21" ht="14.4">
      <c r="A13" s="4"/>
      <c r="B13" s="10" t="s">
        <v>14</v>
      </c>
      <c r="C13" s="10" t="s">
        <v>53</v>
      </c>
      <c r="D13" s="96">
        <f>2*(IF(D9&lt;5,5,D9)-(5*10^(D8-10)))/(1+(0.94*10^(D8-10)))*10^(6-D8)</f>
        <v>9999999.9980600011</v>
      </c>
      <c r="E13" s="15"/>
      <c r="F13" s="11" t="s">
        <v>23</v>
      </c>
      <c r="G13" s="11" t="s">
        <v>23</v>
      </c>
      <c r="H13" s="137"/>
      <c r="I13" s="138"/>
      <c r="J13" s="4"/>
      <c r="K13" s="4"/>
      <c r="L13" s="10" t="s">
        <v>14</v>
      </c>
      <c r="M13" s="10" t="s">
        <v>53</v>
      </c>
      <c r="N13" s="15">
        <f>IF(D13&lt;1,"&lt;1",D13)</f>
        <v>9999999.9980600011</v>
      </c>
      <c r="O13" s="11" t="s">
        <v>23</v>
      </c>
      <c r="P13" s="11" t="s">
        <v>23</v>
      </c>
      <c r="Q13" s="11" t="str">
        <f>VLOOKUP(N13,Lookup!C98:D103,2)</f>
        <v>Very High</v>
      </c>
      <c r="R13" s="141" t="s">
        <v>150</v>
      </c>
      <c r="S13" s="142"/>
      <c r="T13" s="151"/>
      <c r="U13" s="5"/>
    </row>
    <row r="14" spans="1:21">
      <c r="A14" s="4"/>
      <c r="B14" s="10" t="s">
        <v>17</v>
      </c>
      <c r="C14" s="11" t="s">
        <v>23</v>
      </c>
      <c r="D14" s="97">
        <f>+D8+0.5+VLOOKUP(IF(D9&lt;5,5,D9),LSI!$F$2:$G$25,2)+VLOOKUP(IF(D10&lt;5,5,D10),LSI!$H$2:$I$25,2)-12.1</f>
        <v>-10.6</v>
      </c>
      <c r="E14" s="14"/>
      <c r="F14" s="11" t="s">
        <v>23</v>
      </c>
      <c r="G14" s="11" t="s">
        <v>23</v>
      </c>
      <c r="H14" s="137"/>
      <c r="I14" s="138"/>
      <c r="J14" s="4"/>
      <c r="K14" s="4"/>
      <c r="L14" s="10" t="s">
        <v>117</v>
      </c>
      <c r="M14" s="11" t="s">
        <v>23</v>
      </c>
      <c r="N14" s="14">
        <f>D14</f>
        <v>-10.6</v>
      </c>
      <c r="O14" s="11" t="s">
        <v>23</v>
      </c>
      <c r="P14" s="11" t="s">
        <v>23</v>
      </c>
      <c r="Q14" s="11" t="e">
        <f>VLOOKUP(N14,Lookup!C105:D109,2)</f>
        <v>#N/A</v>
      </c>
      <c r="R14" s="141" t="s">
        <v>150</v>
      </c>
      <c r="S14" s="142"/>
      <c r="T14" s="151"/>
      <c r="U14" s="5"/>
    </row>
    <row r="15" spans="1:21" ht="14.4">
      <c r="A15" s="4"/>
      <c r="B15" s="10" t="s">
        <v>9</v>
      </c>
      <c r="C15" s="10" t="s">
        <v>54</v>
      </c>
      <c r="D15" s="15"/>
      <c r="E15" s="15">
        <v>1</v>
      </c>
      <c r="F15" s="11" t="s">
        <v>23</v>
      </c>
      <c r="G15" s="11" t="s">
        <v>23</v>
      </c>
      <c r="H15" s="137"/>
      <c r="I15" s="138"/>
      <c r="J15" s="4"/>
      <c r="K15" s="4"/>
      <c r="L15" s="10" t="s">
        <v>9</v>
      </c>
      <c r="M15" s="10" t="s">
        <v>54</v>
      </c>
      <c r="N15" s="15" t="str">
        <f>IF(D15&lt;5,"&lt;5",D15)</f>
        <v>&lt;5</v>
      </c>
      <c r="O15" s="11" t="s">
        <v>23</v>
      </c>
      <c r="P15" s="11" t="s">
        <v>23</v>
      </c>
      <c r="Q15" s="11" t="str">
        <f>VLOOKUP(N15,Lookup!C43:D50,2)</f>
        <v>Not Detected</v>
      </c>
      <c r="R15" s="141"/>
      <c r="S15" s="142"/>
      <c r="T15" s="151"/>
      <c r="U15" s="5"/>
    </row>
    <row r="16" spans="1:21" ht="14.4">
      <c r="A16" s="4"/>
      <c r="B16" s="10" t="s">
        <v>108</v>
      </c>
      <c r="C16" s="10" t="s">
        <v>109</v>
      </c>
      <c r="D16" s="15"/>
      <c r="E16" s="15">
        <v>1</v>
      </c>
      <c r="F16" s="11" t="s">
        <v>23</v>
      </c>
      <c r="G16" s="11">
        <v>50</v>
      </c>
      <c r="H16" s="137"/>
      <c r="I16" s="138"/>
      <c r="J16" s="4"/>
      <c r="K16" s="4"/>
      <c r="L16" s="10" t="s">
        <v>108</v>
      </c>
      <c r="M16" s="10" t="s">
        <v>109</v>
      </c>
      <c r="N16" s="15" t="str">
        <f>IF(D16&lt;1,"&lt;1",D16)</f>
        <v>&lt;1</v>
      </c>
      <c r="O16" s="11" t="s">
        <v>23</v>
      </c>
      <c r="P16" s="11">
        <v>50</v>
      </c>
      <c r="Q16" s="11" t="str">
        <f>VLOOKUP(N16,Lookup!C89:D96,2)</f>
        <v>Not Detected</v>
      </c>
      <c r="R16" s="141"/>
      <c r="S16" s="142"/>
      <c r="T16" s="151"/>
      <c r="U16" s="5"/>
    </row>
    <row r="17" spans="1:21">
      <c r="A17" s="4"/>
      <c r="B17" s="10" t="s">
        <v>10</v>
      </c>
      <c r="C17" s="10" t="s">
        <v>24</v>
      </c>
      <c r="D17" s="11"/>
      <c r="E17" s="11">
        <v>0.01</v>
      </c>
      <c r="F17" s="11" t="s">
        <v>66</v>
      </c>
      <c r="G17" s="11" t="s">
        <v>23</v>
      </c>
      <c r="H17" s="139" t="str">
        <f>IF(D17&gt;=0.01,"Check if need to increase decimal on the right"," ")</f>
        <v xml:space="preserve"> </v>
      </c>
      <c r="I17" s="140"/>
      <c r="J17" s="4"/>
      <c r="K17" s="4"/>
      <c r="L17" s="10" t="s">
        <v>10</v>
      </c>
      <c r="M17" s="10" t="s">
        <v>24</v>
      </c>
      <c r="N17" s="14" t="str">
        <f>IF(D17&lt;0.01,"&lt;0.01",D17)</f>
        <v>&lt;0.01</v>
      </c>
      <c r="O17" s="11" t="s">
        <v>66</v>
      </c>
      <c r="P17" s="11" t="s">
        <v>23</v>
      </c>
      <c r="Q17" s="11" t="str">
        <f>VLOOKUP(N17,Lookup!C52:D59,2)</f>
        <v>Not Detected</v>
      </c>
      <c r="R17" s="141"/>
      <c r="S17" s="142"/>
      <c r="T17" s="151"/>
      <c r="U17" s="5"/>
    </row>
    <row r="18" spans="1:21">
      <c r="A18" s="4"/>
      <c r="B18" s="10" t="s">
        <v>11</v>
      </c>
      <c r="C18" s="10" t="s">
        <v>24</v>
      </c>
      <c r="D18" s="11"/>
      <c r="E18" s="11">
        <v>1.5</v>
      </c>
      <c r="F18" s="11" t="s">
        <v>67</v>
      </c>
      <c r="G18" s="11">
        <v>0.4</v>
      </c>
      <c r="H18" s="139" t="str">
        <f t="shared" ref="H18:H20" si="2">IF(D18&gt;=0.01,"Check if need to increase decimal on the right"," ")</f>
        <v xml:space="preserve"> </v>
      </c>
      <c r="I18" s="140"/>
      <c r="J18" s="4"/>
      <c r="K18" s="4"/>
      <c r="L18" s="10" t="s">
        <v>11</v>
      </c>
      <c r="M18" s="10" t="s">
        <v>24</v>
      </c>
      <c r="N18" s="14" t="str">
        <f>IF(D18&lt;0.01,"&lt;0.01",D18)</f>
        <v>&lt;0.01</v>
      </c>
      <c r="O18" s="11" t="s">
        <v>67</v>
      </c>
      <c r="P18" s="11">
        <v>0.4</v>
      </c>
      <c r="Q18" s="11" t="str">
        <f>VLOOKUP(N18,Lookup!C61:D65,2)</f>
        <v>Not Detected</v>
      </c>
      <c r="R18" s="141" t="s">
        <v>68</v>
      </c>
      <c r="S18" s="142"/>
      <c r="T18" s="151"/>
      <c r="U18" s="5"/>
    </row>
    <row r="19" spans="1:21">
      <c r="A19" s="4"/>
      <c r="B19" s="10" t="s">
        <v>12</v>
      </c>
      <c r="C19" s="10" t="s">
        <v>24</v>
      </c>
      <c r="D19" s="11"/>
      <c r="E19" s="11">
        <v>0.01</v>
      </c>
      <c r="F19" s="11" t="s">
        <v>42</v>
      </c>
      <c r="G19" s="11" t="s">
        <v>23</v>
      </c>
      <c r="H19" s="139" t="str">
        <f t="shared" si="2"/>
        <v xml:space="preserve"> </v>
      </c>
      <c r="I19" s="140"/>
      <c r="J19" s="4"/>
      <c r="K19" s="4"/>
      <c r="L19" s="10" t="s">
        <v>12</v>
      </c>
      <c r="M19" s="10" t="s">
        <v>24</v>
      </c>
      <c r="N19" s="81" t="str">
        <f>IF(D19&lt;0.01,"&lt;0.01",D19)</f>
        <v>&lt;0.01</v>
      </c>
      <c r="O19" s="11" t="s">
        <v>42</v>
      </c>
      <c r="P19" s="11" t="s">
        <v>23</v>
      </c>
      <c r="Q19" s="11" t="str">
        <f>VLOOKUP(N19,Lookup!C67:D72,2)</f>
        <v>Not Detected</v>
      </c>
      <c r="R19" s="141"/>
      <c r="S19" s="142"/>
      <c r="T19" s="151"/>
      <c r="U19" s="5"/>
    </row>
    <row r="20" spans="1:21">
      <c r="A20" s="4"/>
      <c r="B20" s="10" t="s">
        <v>13</v>
      </c>
      <c r="C20" s="10" t="s">
        <v>24</v>
      </c>
      <c r="D20" s="11"/>
      <c r="E20" s="11">
        <v>0.01</v>
      </c>
      <c r="F20" s="11" t="s">
        <v>39</v>
      </c>
      <c r="G20" s="15">
        <v>2</v>
      </c>
      <c r="H20" s="139" t="str">
        <f t="shared" si="2"/>
        <v xml:space="preserve"> </v>
      </c>
      <c r="I20" s="140"/>
      <c r="J20" s="4"/>
      <c r="K20" s="4"/>
      <c r="L20" s="10" t="s">
        <v>13</v>
      </c>
      <c r="M20" s="10" t="s">
        <v>24</v>
      </c>
      <c r="N20" s="81" t="str">
        <f>IF(D20&lt;0.01,"&lt;0.01",D20)</f>
        <v>&lt;0.01</v>
      </c>
      <c r="O20" s="11" t="s">
        <v>39</v>
      </c>
      <c r="P20" s="15">
        <v>2</v>
      </c>
      <c r="Q20" s="11" t="str">
        <f>VLOOKUP(N20,Lookup!C74:D78,2)</f>
        <v>Not Detected</v>
      </c>
      <c r="R20" s="141"/>
      <c r="S20" s="142"/>
      <c r="T20" s="151"/>
      <c r="U20" s="5"/>
    </row>
    <row r="21" spans="1:21">
      <c r="A21" s="4"/>
      <c r="B21" s="10" t="s">
        <v>4</v>
      </c>
      <c r="C21" s="10" t="s">
        <v>24</v>
      </c>
      <c r="D21" s="11"/>
      <c r="E21" s="11">
        <v>10</v>
      </c>
      <c r="F21" s="11" t="s">
        <v>69</v>
      </c>
      <c r="G21" s="11" t="s">
        <v>23</v>
      </c>
      <c r="H21" s="137"/>
      <c r="I21" s="138"/>
      <c r="J21" s="4"/>
      <c r="K21" s="4"/>
      <c r="L21" s="10" t="s">
        <v>4</v>
      </c>
      <c r="M21" s="10" t="s">
        <v>24</v>
      </c>
      <c r="N21" s="15" t="str">
        <f>IF(D21&lt;10,"&lt;10",D21)</f>
        <v>&lt;10</v>
      </c>
      <c r="O21" s="11" t="s">
        <v>69</v>
      </c>
      <c r="P21" s="11" t="s">
        <v>23</v>
      </c>
      <c r="Q21" s="11" t="str">
        <f>VLOOKUP(N21,Lookup!C9:D16,2)</f>
        <v>Trace</v>
      </c>
      <c r="R21" s="141" t="s">
        <v>150</v>
      </c>
      <c r="S21" s="142"/>
      <c r="T21" s="151"/>
      <c r="U21" s="5"/>
    </row>
    <row r="22" spans="1:21">
      <c r="A22" s="4"/>
      <c r="B22" s="10" t="s">
        <v>15</v>
      </c>
      <c r="C22" s="10" t="s">
        <v>24</v>
      </c>
      <c r="D22" s="15"/>
      <c r="E22" s="15">
        <v>1</v>
      </c>
      <c r="F22" s="11" t="s">
        <v>70</v>
      </c>
      <c r="G22" s="11" t="s">
        <v>23</v>
      </c>
      <c r="H22" s="137"/>
      <c r="I22" s="138"/>
      <c r="J22" s="4"/>
      <c r="K22" s="4"/>
      <c r="L22" s="10" t="s">
        <v>15</v>
      </c>
      <c r="M22" s="10" t="s">
        <v>24</v>
      </c>
      <c r="N22" s="15" t="str">
        <f>IF(D22&lt;1,"&lt;1",D22)</f>
        <v>&lt;1</v>
      </c>
      <c r="O22" s="11" t="s">
        <v>70</v>
      </c>
      <c r="P22" s="11" t="s">
        <v>23</v>
      </c>
      <c r="Q22" s="11" t="str">
        <f>VLOOKUP(N22,Lookup!C80:D87,2)</f>
        <v>Trace</v>
      </c>
      <c r="R22" s="141"/>
      <c r="S22" s="142"/>
      <c r="T22" s="151"/>
      <c r="U22" s="5"/>
    </row>
    <row r="23" spans="1:21">
      <c r="A23" s="4"/>
      <c r="B23" s="10" t="s">
        <v>16</v>
      </c>
      <c r="C23" s="10" t="s">
        <v>24</v>
      </c>
      <c r="D23" s="15"/>
      <c r="E23" s="15"/>
      <c r="F23" s="11" t="s">
        <v>65</v>
      </c>
      <c r="G23" s="11" t="s">
        <v>23</v>
      </c>
      <c r="H23" s="137"/>
      <c r="I23" s="138"/>
      <c r="J23" s="4"/>
      <c r="K23" s="4"/>
      <c r="L23" s="10" t="s">
        <v>16</v>
      </c>
      <c r="M23" s="10" t="s">
        <v>24</v>
      </c>
      <c r="N23" s="15" t="str">
        <f>IF(D23&lt;1,"&lt;1",D23)</f>
        <v>&lt;1</v>
      </c>
      <c r="O23" s="11" t="s">
        <v>65</v>
      </c>
      <c r="P23" s="11" t="s">
        <v>23</v>
      </c>
      <c r="Q23" s="11" t="str">
        <f>VLOOKUP(N23,Lookup!C80:D87,2)</f>
        <v>Trace</v>
      </c>
      <c r="R23" s="141"/>
      <c r="S23" s="142"/>
      <c r="T23" s="151"/>
      <c r="U23" s="5"/>
    </row>
    <row r="24" spans="1:21" hidden="1">
      <c r="A24" s="4"/>
      <c r="B24" s="10" t="s">
        <v>178</v>
      </c>
      <c r="C24" s="10" t="s">
        <v>179</v>
      </c>
      <c r="D24" s="15">
        <f ca="1">D25/10</f>
        <v>0</v>
      </c>
      <c r="E24" s="15"/>
      <c r="F24" s="11" t="s">
        <v>23</v>
      </c>
      <c r="G24" s="11" t="s">
        <v>23</v>
      </c>
      <c r="H24" s="137"/>
      <c r="I24" s="138"/>
      <c r="J24" s="4"/>
      <c r="K24" s="4"/>
      <c r="L24" s="10" t="s">
        <v>178</v>
      </c>
      <c r="M24" s="10" t="s">
        <v>179</v>
      </c>
      <c r="N24" s="15">
        <f ca="1">D24</f>
        <v>0</v>
      </c>
      <c r="O24" s="11" t="s">
        <v>23</v>
      </c>
      <c r="P24" s="11" t="s">
        <v>23</v>
      </c>
      <c r="Q24" s="11" t="s">
        <v>23</v>
      </c>
      <c r="R24" s="141"/>
      <c r="S24" s="142"/>
      <c r="T24" s="151"/>
      <c r="U24" s="5"/>
    </row>
    <row r="25" spans="1:21">
      <c r="A25" s="4"/>
      <c r="B25" s="10" t="s">
        <v>178</v>
      </c>
      <c r="C25" s="10" t="s">
        <v>180</v>
      </c>
      <c r="D25" s="15">
        <f ca="1">D24*10</f>
        <v>0</v>
      </c>
      <c r="E25" s="15"/>
      <c r="F25" s="11" t="s">
        <v>23</v>
      </c>
      <c r="G25" s="11" t="s">
        <v>23</v>
      </c>
      <c r="H25" s="137"/>
      <c r="I25" s="138"/>
      <c r="J25" s="4"/>
      <c r="K25" s="4"/>
      <c r="L25" s="10" t="s">
        <v>178</v>
      </c>
      <c r="M25" s="10" t="s">
        <v>180</v>
      </c>
      <c r="N25" s="14">
        <f ca="1">D25</f>
        <v>0</v>
      </c>
      <c r="O25" s="11" t="s">
        <v>23</v>
      </c>
      <c r="P25" s="11" t="s">
        <v>23</v>
      </c>
      <c r="Q25" s="11" t="s">
        <v>23</v>
      </c>
      <c r="R25" s="141"/>
      <c r="S25" s="142"/>
      <c r="T25" s="151"/>
      <c r="U25" s="5"/>
    </row>
    <row r="26" spans="1:21">
      <c r="A26" s="4"/>
      <c r="B26" s="10" t="s">
        <v>18</v>
      </c>
      <c r="C26" s="10" t="s">
        <v>25</v>
      </c>
      <c r="D26" s="11"/>
      <c r="E26" s="11">
        <v>0.05</v>
      </c>
      <c r="F26" s="11" t="s">
        <v>71</v>
      </c>
      <c r="G26" s="11" t="s">
        <v>23</v>
      </c>
      <c r="H26" s="137"/>
      <c r="I26" s="138"/>
      <c r="J26" s="4"/>
      <c r="K26" s="4"/>
      <c r="L26" s="10" t="s">
        <v>18</v>
      </c>
      <c r="M26" s="10" t="s">
        <v>25</v>
      </c>
      <c r="N26" s="15" t="str">
        <f>IF(D26&lt;0.05,"&lt;0.05",D26)</f>
        <v>&lt;0.05</v>
      </c>
      <c r="O26" s="11" t="s">
        <v>71</v>
      </c>
      <c r="P26" s="11" t="s">
        <v>23</v>
      </c>
      <c r="Q26" s="11" t="str">
        <f>VLOOKUP(N26,Lookup!C124:D131,2)</f>
        <v>Very Low</v>
      </c>
      <c r="R26" s="141"/>
      <c r="S26" s="142"/>
      <c r="T26" s="151"/>
      <c r="U26" s="5"/>
    </row>
    <row r="27" spans="1:21">
      <c r="A27" s="4"/>
      <c r="B27" s="10" t="s">
        <v>159</v>
      </c>
      <c r="C27" s="10" t="s">
        <v>160</v>
      </c>
      <c r="D27" s="15"/>
      <c r="E27" s="15">
        <v>5</v>
      </c>
      <c r="F27" s="11" t="s">
        <v>23</v>
      </c>
      <c r="G27" s="11" t="s">
        <v>23</v>
      </c>
      <c r="H27" s="137"/>
      <c r="I27" s="138"/>
      <c r="J27" s="4"/>
      <c r="K27" s="4"/>
      <c r="L27" s="10" t="s">
        <v>159</v>
      </c>
      <c r="M27" s="10" t="s">
        <v>160</v>
      </c>
      <c r="N27" s="15" t="str">
        <f>IF(D27&lt;5,"&lt;5",D27)</f>
        <v>&lt;5</v>
      </c>
      <c r="O27" s="11" t="s">
        <v>23</v>
      </c>
      <c r="P27" s="11" t="s">
        <v>23</v>
      </c>
      <c r="Q27" s="11" t="str">
        <f>VLOOKUP(N27,Lookup!C149:D152,2)</f>
        <v>Very Low</v>
      </c>
      <c r="R27" s="141"/>
      <c r="S27" s="142"/>
      <c r="T27" s="151"/>
      <c r="U27" s="5"/>
    </row>
    <row r="28" spans="1:21" ht="15" thickBot="1">
      <c r="A28" s="4"/>
      <c r="B28" s="10" t="s">
        <v>19</v>
      </c>
      <c r="C28" s="10" t="s">
        <v>55</v>
      </c>
      <c r="D28" s="14"/>
      <c r="E28" s="14">
        <v>5</v>
      </c>
      <c r="F28" s="11" t="s">
        <v>23</v>
      </c>
      <c r="G28" s="11" t="s">
        <v>23</v>
      </c>
      <c r="H28" s="137"/>
      <c r="I28" s="138"/>
      <c r="J28" s="4"/>
      <c r="K28" s="4"/>
      <c r="L28" s="128" t="s">
        <v>19</v>
      </c>
      <c r="M28" s="128" t="s">
        <v>55</v>
      </c>
      <c r="N28" s="132" t="str">
        <f>IF(D28&lt;5,"&lt;5",D28)</f>
        <v>&lt;5</v>
      </c>
      <c r="O28" s="129" t="s">
        <v>23</v>
      </c>
      <c r="P28" s="129" t="s">
        <v>23</v>
      </c>
      <c r="Q28" s="129" t="str">
        <f>VLOOKUP(N28,Lookup!C133:D139,2)</f>
        <v>Very Poor</v>
      </c>
      <c r="R28" s="163"/>
      <c r="S28" s="164"/>
      <c r="T28" s="165"/>
      <c r="U28" s="5"/>
    </row>
    <row r="29" spans="1:21" ht="14.4" thickTop="1">
      <c r="A29" s="4"/>
      <c r="B29" s="10" t="s">
        <v>30</v>
      </c>
      <c r="C29" s="10" t="s">
        <v>29</v>
      </c>
      <c r="D29" s="11" t="s">
        <v>23</v>
      </c>
      <c r="E29" s="15"/>
      <c r="F29" s="11" t="s">
        <v>23</v>
      </c>
      <c r="G29" s="11" t="s">
        <v>23</v>
      </c>
      <c r="H29" s="137"/>
      <c r="I29" s="138"/>
      <c r="J29" s="4"/>
      <c r="K29" s="4"/>
      <c r="L29" s="127" t="s">
        <v>30</v>
      </c>
      <c r="M29" s="127" t="s">
        <v>29</v>
      </c>
      <c r="N29" s="131" t="str">
        <f>IF(ISBLANK(D29)," ",D29)</f>
        <v>-</v>
      </c>
      <c r="O29" s="131" t="s">
        <v>23</v>
      </c>
      <c r="P29" s="131" t="s">
        <v>23</v>
      </c>
      <c r="Q29" s="11" t="e">
        <f>VLOOKUP(N29,Lookup!C111:D112,2,FALSE)</f>
        <v>#N/A</v>
      </c>
      <c r="R29" s="166"/>
      <c r="S29" s="167"/>
      <c r="T29" s="168"/>
      <c r="U29" s="5"/>
    </row>
    <row r="30" spans="1:21">
      <c r="A30" s="4"/>
      <c r="B30" s="10" t="s">
        <v>31</v>
      </c>
      <c r="C30" s="10" t="s">
        <v>29</v>
      </c>
      <c r="D30" s="11" t="s">
        <v>23</v>
      </c>
      <c r="E30" s="15"/>
      <c r="F30" s="11" t="s">
        <v>23</v>
      </c>
      <c r="G30" s="11" t="s">
        <v>23</v>
      </c>
      <c r="H30" s="137"/>
      <c r="I30" s="138"/>
      <c r="J30" s="4"/>
      <c r="K30" s="4"/>
      <c r="L30" s="10" t="s">
        <v>31</v>
      </c>
      <c r="M30" s="10" t="s">
        <v>29</v>
      </c>
      <c r="N30" s="11" t="str">
        <f>IF(ISBLANK(D30)," ",D30)</f>
        <v>-</v>
      </c>
      <c r="O30" s="11" t="s">
        <v>23</v>
      </c>
      <c r="P30" s="11" t="s">
        <v>39</v>
      </c>
      <c r="Q30" s="11" t="e">
        <f>VLOOKUP(N30,Lookup!C113:D114,2,FALSE)</f>
        <v>#N/A</v>
      </c>
      <c r="R30" s="141"/>
      <c r="S30" s="142"/>
      <c r="T30" s="151"/>
      <c r="U30" s="5"/>
    </row>
    <row r="31" spans="1:21">
      <c r="A31" s="4"/>
      <c r="B31" s="65"/>
      <c r="C31" s="65"/>
      <c r="D31" s="67"/>
      <c r="E31" s="67"/>
      <c r="F31" s="67"/>
      <c r="G31" s="67"/>
      <c r="H31" s="67"/>
      <c r="I31" s="67"/>
      <c r="J31" s="4"/>
      <c r="K31" s="4"/>
      <c r="L31" s="65"/>
      <c r="M31" s="65"/>
      <c r="N31" s="67"/>
      <c r="O31" s="67"/>
      <c r="P31" s="67"/>
      <c r="Q31" s="67"/>
      <c r="R31" s="98"/>
      <c r="S31" s="98"/>
      <c r="T31" s="98"/>
      <c r="U31" s="5"/>
    </row>
    <row r="32" spans="1:21">
      <c r="A32" s="4"/>
      <c r="B32" s="7" t="s">
        <v>207</v>
      </c>
      <c r="C32" s="141" t="s">
        <v>209</v>
      </c>
      <c r="D32" s="142"/>
      <c r="E32" s="143" t="s">
        <v>197</v>
      </c>
      <c r="F32" s="143"/>
      <c r="G32" s="58" t="s">
        <v>210</v>
      </c>
      <c r="H32" s="143" t="s">
        <v>201</v>
      </c>
      <c r="I32" s="144"/>
      <c r="J32" s="4"/>
      <c r="K32" s="4"/>
      <c r="L32" s="98" t="str">
        <f>CONCATENATE(B32, " ", C32, " ", E32," ", G32, " ", H32)</f>
        <v>Comments: The sample was slightly discoloured  with no significant sediments</v>
      </c>
      <c r="M32" s="4"/>
      <c r="N32" s="4"/>
      <c r="O32" s="4"/>
      <c r="P32" s="4"/>
      <c r="Q32" s="4"/>
      <c r="R32" s="4"/>
      <c r="S32" s="4"/>
      <c r="T32" s="4"/>
      <c r="U32" s="5"/>
    </row>
    <row r="33" spans="1:21">
      <c r="A33" s="4"/>
      <c r="B33" s="108" t="s">
        <v>211</v>
      </c>
      <c r="C33" s="111" t="str">
        <f>IF(D14&lt;-1.5,"The negative LSI indicates corrosive water.",IF(D10&gt;60,"The high hardness will likely cause lime scale, particularity at elevated temperatures"," "))</f>
        <v>The negative LSI indicates corrosive water.</v>
      </c>
      <c r="D33" s="112"/>
      <c r="E33" s="112"/>
      <c r="F33" s="112"/>
      <c r="G33" s="112"/>
      <c r="H33" s="112"/>
      <c r="I33" s="113"/>
      <c r="J33" s="4"/>
      <c r="K33" s="4"/>
      <c r="L33" s="98" t="str">
        <f t="shared" ref="L33:L39" si="3">C33</f>
        <v>The negative LSI indicates corrosive water.</v>
      </c>
      <c r="M33" s="98"/>
      <c r="U33" s="5"/>
    </row>
    <row r="34" spans="1:21">
      <c r="A34" s="4"/>
      <c r="B34" s="108" t="s">
        <v>212</v>
      </c>
      <c r="C34" s="111" t="str">
        <f>IF(D15&lt;50," ","The high silica level may cause scale, treatment options are available but expensive")</f>
        <v xml:space="preserve"> </v>
      </c>
      <c r="D34" s="114"/>
      <c r="E34" s="114"/>
      <c r="F34" s="114"/>
      <c r="G34" s="114"/>
      <c r="H34" s="115"/>
      <c r="I34" s="116"/>
      <c r="J34" s="4"/>
      <c r="K34" s="4"/>
      <c r="L34" s="98" t="str">
        <f t="shared" si="3"/>
        <v xml:space="preserve"> </v>
      </c>
      <c r="U34" s="5"/>
    </row>
    <row r="35" spans="1:21">
      <c r="A35" s="4"/>
      <c r="B35" s="108" t="s">
        <v>213</v>
      </c>
      <c r="C35" s="111" t="str">
        <f>IF(D17&lt;0.2," ","The high iron content may cause staining, taste and odour issues.")</f>
        <v xml:space="preserve"> </v>
      </c>
      <c r="D35" s="114"/>
      <c r="E35" s="114"/>
      <c r="F35" s="114"/>
      <c r="G35" s="114"/>
      <c r="H35" s="114"/>
      <c r="I35" s="116"/>
      <c r="J35" s="4"/>
      <c r="K35" s="4"/>
      <c r="L35" s="98" t="str">
        <f t="shared" si="3"/>
        <v xml:space="preserve"> </v>
      </c>
      <c r="U35" s="5"/>
    </row>
    <row r="36" spans="1:21">
      <c r="A36" s="4"/>
      <c r="B36" s="108" t="s">
        <v>214</v>
      </c>
      <c r="C36" s="111" t="str">
        <f>IF(D18&lt;0.04," ","The high manganese content may cause staining, taste and odour issues.")</f>
        <v xml:space="preserve"> </v>
      </c>
      <c r="D36" s="114"/>
      <c r="E36" s="114"/>
      <c r="F36" s="114"/>
      <c r="G36" s="114"/>
      <c r="H36" s="114"/>
      <c r="I36" s="116"/>
      <c r="J36" s="4"/>
      <c r="K36" s="4"/>
      <c r="L36" s="98" t="str">
        <f t="shared" si="3"/>
        <v xml:space="preserve"> </v>
      </c>
      <c r="U36" s="5"/>
    </row>
    <row r="37" spans="1:21">
      <c r="A37" s="4"/>
      <c r="B37" s="108" t="s">
        <v>217</v>
      </c>
      <c r="C37" s="111" t="str">
        <f>IF(D22&lt;200," ","The high chloride level indicates possible salt water intrusion")</f>
        <v xml:space="preserve"> </v>
      </c>
      <c r="D37" s="117"/>
      <c r="E37" s="117"/>
      <c r="F37" s="114"/>
      <c r="G37" s="114"/>
      <c r="H37" s="114"/>
      <c r="I37" s="116"/>
      <c r="J37" s="4"/>
      <c r="K37" s="4"/>
      <c r="L37" s="98" t="str">
        <f t="shared" si="3"/>
        <v xml:space="preserve"> </v>
      </c>
      <c r="M37" s="98"/>
      <c r="U37" s="5"/>
    </row>
    <row r="38" spans="1:21">
      <c r="A38" s="4"/>
      <c r="B38" s="108" t="s">
        <v>219</v>
      </c>
      <c r="C38" s="133" t="str">
        <f>IF(D30="Present","The sample contained E. coli, which indicates faecal contamination. Drink bottled water or boiled (and cooled) water until treatment is installed",(IF(D29="Present","The presence of microorganisms in the sample indicates a significant health risk. Treatment is highly recommended.","Testing did not detect the presence of microorganisms in the sample however a form of treatment is recommended if not already installed.")))</f>
        <v>Testing did not detect the presence of microorganisms in the sample however a form of treatment is recommended if not already installed.</v>
      </c>
      <c r="D38" s="134"/>
      <c r="E38" s="134"/>
      <c r="F38" s="134"/>
      <c r="G38" s="134"/>
      <c r="H38" s="134"/>
      <c r="I38" s="135"/>
      <c r="J38" s="4"/>
      <c r="K38" s="4"/>
      <c r="L38" s="98" t="str">
        <f t="shared" si="3"/>
        <v>Testing did not detect the presence of microorganisms in the sample however a form of treatment is recommended if not already installed.</v>
      </c>
      <c r="M38" s="98"/>
      <c r="U38" s="5"/>
    </row>
    <row r="39" spans="1:21">
      <c r="A39" s="4"/>
      <c r="B39" s="108" t="s">
        <v>215</v>
      </c>
      <c r="C39" s="118" t="str">
        <f>IF(COUNTIF(Q8:Q28,"Above MAV")&gt;0,"The sample contained results above the MAV for drinking water, treatment is highly recommended"," ")</f>
        <v xml:space="preserve"> </v>
      </c>
      <c r="D39" s="114"/>
      <c r="E39" s="114"/>
      <c r="F39" s="119"/>
      <c r="G39" s="119"/>
      <c r="H39" s="119"/>
      <c r="I39" s="120"/>
      <c r="J39" s="4"/>
      <c r="K39" s="4"/>
      <c r="L39" s="98" t="str">
        <f t="shared" si="3"/>
        <v xml:space="preserve"> </v>
      </c>
      <c r="M39" s="98"/>
      <c r="U39" s="5"/>
    </row>
    <row r="40" spans="1:21">
      <c r="A40" s="4"/>
      <c r="B40" s="108"/>
      <c r="C40" s="98"/>
      <c r="D40" s="8"/>
      <c r="E40" s="8"/>
      <c r="F40" s="5"/>
      <c r="G40" s="5"/>
      <c r="H40" s="5"/>
      <c r="I40" s="5"/>
      <c r="J40" s="4"/>
      <c r="K40" s="4"/>
      <c r="L40" s="98"/>
      <c r="M40" s="98"/>
      <c r="U40" s="5"/>
    </row>
    <row r="41" spans="1:21">
      <c r="A41" s="4"/>
      <c r="B41" s="98"/>
      <c r="C41" s="98"/>
      <c r="D41" s="5"/>
      <c r="E41" s="5"/>
      <c r="F41" s="5"/>
      <c r="G41" s="5"/>
      <c r="H41" s="5"/>
      <c r="I41" s="5"/>
      <c r="J41" s="4"/>
      <c r="K41" s="4"/>
      <c r="L41" s="61" t="s">
        <v>62</v>
      </c>
      <c r="M41" s="62" t="s">
        <v>192</v>
      </c>
      <c r="N41" s="63"/>
      <c r="O41" s="63"/>
      <c r="P41" s="63"/>
      <c r="Q41" s="63"/>
      <c r="R41" s="63"/>
      <c r="S41" s="63"/>
      <c r="T41" s="63"/>
      <c r="U41" s="5"/>
    </row>
    <row r="42" spans="1:21">
      <c r="A42" s="4"/>
      <c r="C42" s="98"/>
      <c r="D42" s="5"/>
      <c r="E42" s="5"/>
      <c r="F42" s="5"/>
      <c r="G42" s="5"/>
      <c r="H42" s="5"/>
      <c r="I42" s="5"/>
      <c r="J42" s="4"/>
      <c r="K42" s="4"/>
      <c r="L42" s="55" t="s">
        <v>63</v>
      </c>
      <c r="M42" s="156" t="s">
        <v>193</v>
      </c>
      <c r="N42" s="156"/>
      <c r="O42" s="156"/>
      <c r="P42" s="156"/>
      <c r="Q42" s="156"/>
      <c r="R42" s="156"/>
      <c r="S42" s="156"/>
      <c r="T42" s="156"/>
      <c r="U42" s="5"/>
    </row>
    <row r="43" spans="1:21">
      <c r="A43" s="4"/>
      <c r="C43" s="98"/>
      <c r="D43" s="5"/>
      <c r="E43" s="5"/>
      <c r="F43" s="5"/>
      <c r="G43" s="5"/>
      <c r="H43" s="5"/>
      <c r="I43" s="5"/>
      <c r="J43" s="4"/>
      <c r="K43" s="4"/>
      <c r="L43" s="55" t="s">
        <v>24</v>
      </c>
      <c r="M43" s="155" t="s">
        <v>129</v>
      </c>
      <c r="N43" s="156"/>
      <c r="O43" s="156"/>
      <c r="P43" s="156"/>
      <c r="Q43" s="156"/>
      <c r="R43" s="156"/>
      <c r="S43" s="156"/>
      <c r="T43" s="156"/>
      <c r="U43" s="5"/>
    </row>
    <row r="44" spans="1:21">
      <c r="A44" s="4"/>
      <c r="B44" s="98"/>
      <c r="C44" s="5"/>
      <c r="D44" s="5"/>
      <c r="E44" s="5"/>
      <c r="F44" s="5"/>
      <c r="G44" s="5"/>
      <c r="H44" s="5"/>
      <c r="I44" s="5"/>
      <c r="J44" s="4"/>
      <c r="K44" s="4"/>
      <c r="L44" s="4"/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8"/>
      <c r="C45" s="5"/>
      <c r="D45" s="99"/>
      <c r="E45" s="5"/>
      <c r="F45" s="5"/>
      <c r="G45" s="5"/>
      <c r="H45" s="5"/>
      <c r="I45" s="5"/>
      <c r="J45" s="4"/>
      <c r="K45" s="4"/>
      <c r="L45" s="4"/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8"/>
      <c r="C46" s="5"/>
      <c r="D46" s="5"/>
      <c r="E46" s="5"/>
      <c r="F46" s="5"/>
      <c r="G46" s="5"/>
      <c r="H46" s="5"/>
      <c r="I46" s="5"/>
      <c r="J46" s="4"/>
      <c r="K46" s="4"/>
      <c r="L46" s="4" t="s">
        <v>190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8"/>
      <c r="C47" s="5"/>
      <c r="D47" s="5"/>
      <c r="E47" s="5"/>
      <c r="F47" s="5"/>
      <c r="G47" s="5"/>
      <c r="H47" s="5"/>
      <c r="I47" s="5"/>
      <c r="J47" s="4"/>
      <c r="K47" s="4"/>
      <c r="L47" s="4" t="s">
        <v>191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98"/>
      <c r="C48" s="5"/>
      <c r="D48" s="5"/>
      <c r="E48" s="5"/>
      <c r="F48" s="5"/>
      <c r="G48" s="5"/>
      <c r="H48" s="5"/>
      <c r="I48" s="5"/>
      <c r="J48" s="4"/>
      <c r="K48" s="4"/>
      <c r="L48" s="4" t="s">
        <v>146</v>
      </c>
      <c r="M48" s="8"/>
      <c r="N48" s="8"/>
      <c r="O48" s="8"/>
      <c r="P48" s="8"/>
      <c r="Q48" s="8"/>
      <c r="R48" s="8"/>
      <c r="S48" s="8"/>
      <c r="T48" s="8"/>
      <c r="U48" s="5"/>
    </row>
    <row r="49" spans="1:21">
      <c r="A49" s="4"/>
      <c r="B49" s="98"/>
      <c r="C49" s="5"/>
      <c r="D49" s="5"/>
      <c r="E49" s="5"/>
      <c r="F49" s="5"/>
      <c r="G49" s="5"/>
      <c r="H49" s="5"/>
      <c r="I49" s="5"/>
      <c r="J49" s="4"/>
      <c r="K49" s="4"/>
      <c r="L49" s="12" t="s">
        <v>185</v>
      </c>
      <c r="M49" s="8"/>
      <c r="N49" s="8"/>
      <c r="O49" s="8"/>
      <c r="P49" s="8"/>
      <c r="Q49" s="8"/>
      <c r="R49" s="8"/>
      <c r="S49" s="8"/>
      <c r="T49" s="8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1">
      <c r="A134" s="4"/>
    </row>
    <row r="135" spans="1:21">
      <c r="A135" s="4"/>
    </row>
    <row r="136" spans="1:21">
      <c r="A136" s="4"/>
    </row>
    <row r="137" spans="1:21">
      <c r="A137" s="4"/>
    </row>
    <row r="138" spans="1:21">
      <c r="A138" s="4"/>
    </row>
  </sheetData>
  <mergeCells count="56">
    <mergeCell ref="R12:T12"/>
    <mergeCell ref="Q7:T7"/>
    <mergeCell ref="R8:T8"/>
    <mergeCell ref="R9:T9"/>
    <mergeCell ref="R10:T10"/>
    <mergeCell ref="R11:T11"/>
    <mergeCell ref="R21:T21"/>
    <mergeCell ref="R22:T22"/>
    <mergeCell ref="R23:T23"/>
    <mergeCell ref="R24:T24"/>
    <mergeCell ref="R13:T13"/>
    <mergeCell ref="R14:T14"/>
    <mergeCell ref="R15:T15"/>
    <mergeCell ref="R16:T16"/>
    <mergeCell ref="R17:T17"/>
    <mergeCell ref="R18:T18"/>
    <mergeCell ref="H14:I14"/>
    <mergeCell ref="M42:T42"/>
    <mergeCell ref="M43:T43"/>
    <mergeCell ref="C3:F3"/>
    <mergeCell ref="C4:F4"/>
    <mergeCell ref="C5:F5"/>
    <mergeCell ref="H7:I7"/>
    <mergeCell ref="H8:I8"/>
    <mergeCell ref="R25:T25"/>
    <mergeCell ref="R26:T26"/>
    <mergeCell ref="R27:T27"/>
    <mergeCell ref="R28:T28"/>
    <mergeCell ref="R29:T29"/>
    <mergeCell ref="R30:T30"/>
    <mergeCell ref="R19:T19"/>
    <mergeCell ref="R20:T20"/>
    <mergeCell ref="H9:I9"/>
    <mergeCell ref="H10:I10"/>
    <mergeCell ref="H11:I11"/>
    <mergeCell ref="H12:I12"/>
    <mergeCell ref="H13:I13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7:I27"/>
    <mergeCell ref="H28:I28"/>
    <mergeCell ref="C32:D32"/>
    <mergeCell ref="E32:F32"/>
    <mergeCell ref="H32:I32"/>
    <mergeCell ref="H29:I29"/>
    <mergeCell ref="H30:I30"/>
  </mergeCells>
  <conditionalFormatting sqref="Q8:Q28 Q31">
    <cfRule type="cellIs" dxfId="53" priority="28" operator="equal">
      <formula>"Above MAV"</formula>
    </cfRule>
    <cfRule type="cellIs" dxfId="52" priority="29" operator="equal">
      <formula>"ALERT"</formula>
    </cfRule>
  </conditionalFormatting>
  <conditionalFormatting sqref="P24">
    <cfRule type="cellIs" dxfId="51" priority="26" operator="equal">
      <formula>"Above MAV"</formula>
    </cfRule>
    <cfRule type="cellIs" dxfId="50" priority="27" operator="equal">
      <formula>"ALERT"</formula>
    </cfRule>
  </conditionalFormatting>
  <conditionalFormatting sqref="O24">
    <cfRule type="cellIs" dxfId="49" priority="24" operator="equal">
      <formula>"Above MAV"</formula>
    </cfRule>
    <cfRule type="cellIs" dxfId="48" priority="25" operator="equal">
      <formula>"ALERT"</formula>
    </cfRule>
  </conditionalFormatting>
  <conditionalFormatting sqref="O25">
    <cfRule type="cellIs" dxfId="47" priority="22" operator="equal">
      <formula>"Above MAV"</formula>
    </cfRule>
    <cfRule type="cellIs" dxfId="46" priority="23" operator="equal">
      <formula>"ALERT"</formula>
    </cfRule>
  </conditionalFormatting>
  <conditionalFormatting sqref="P25">
    <cfRule type="cellIs" dxfId="45" priority="20" operator="equal">
      <formula>"Above MAV"</formula>
    </cfRule>
    <cfRule type="cellIs" dxfId="44" priority="21" operator="equal">
      <formula>"ALERT"</formula>
    </cfRule>
  </conditionalFormatting>
  <conditionalFormatting sqref="D12">
    <cfRule type="cellIs" dxfId="43" priority="19" operator="lessThan">
      <formula>$D$12&lt;0</formula>
    </cfRule>
  </conditionalFormatting>
  <conditionalFormatting sqref="G24">
    <cfRule type="cellIs" dxfId="42" priority="17" operator="equal">
      <formula>"Above MAV"</formula>
    </cfRule>
    <cfRule type="cellIs" dxfId="41" priority="18" operator="equal">
      <formula>"ALERT"</formula>
    </cfRule>
  </conditionalFormatting>
  <conditionalFormatting sqref="F24">
    <cfRule type="cellIs" dxfId="40" priority="15" operator="equal">
      <formula>"Above MAV"</formula>
    </cfRule>
    <cfRule type="cellIs" dxfId="39" priority="16" operator="equal">
      <formula>"ALERT"</formula>
    </cfRule>
  </conditionalFormatting>
  <conditionalFormatting sqref="F25">
    <cfRule type="cellIs" dxfId="38" priority="13" operator="equal">
      <formula>"Above MAV"</formula>
    </cfRule>
    <cfRule type="cellIs" dxfId="37" priority="14" operator="equal">
      <formula>"ALERT"</formula>
    </cfRule>
  </conditionalFormatting>
  <conditionalFormatting sqref="G25">
    <cfRule type="cellIs" dxfId="36" priority="11" operator="equal">
      <formula>"Above MAV"</formula>
    </cfRule>
    <cfRule type="cellIs" dxfId="35" priority="12" operator="equal">
      <formula>"ALERT"</formula>
    </cfRule>
  </conditionalFormatting>
  <conditionalFormatting sqref="F29:F30">
    <cfRule type="cellIs" dxfId="34" priority="8" operator="equal">
      <formula>"Above MAV"</formula>
    </cfRule>
    <cfRule type="cellIs" dxfId="33" priority="9" operator="equal">
      <formula>"ALERT"</formula>
    </cfRule>
  </conditionalFormatting>
  <conditionalFormatting sqref="G29:G30">
    <cfRule type="cellIs" dxfId="32" priority="6" operator="equal">
      <formula>"Above MAV"</formula>
    </cfRule>
    <cfRule type="cellIs" dxfId="31" priority="7" operator="equal">
      <formula>"ALERT"</formula>
    </cfRule>
  </conditionalFormatting>
  <conditionalFormatting sqref="H12:I12">
    <cfRule type="containsText" dxfId="30" priority="4" operator="containsText" text="Hardness">
      <formula>NOT(ISERROR(SEARCH("Hardness",H12)))</formula>
    </cfRule>
  </conditionalFormatting>
  <conditionalFormatting sqref="Q29:Q30">
    <cfRule type="cellIs" dxfId="29" priority="2" operator="equal">
      <formula>"Above MAV"</formula>
    </cfRule>
    <cfRule type="cellIs" dxfId="28" priority="3" operator="equal">
      <formula>"ALERT"</formula>
    </cfRule>
  </conditionalFormatting>
  <conditionalFormatting sqref="L38">
    <cfRule type="containsText" dxfId="27" priority="1" operator="containsText" text="E. coli">
      <formula>NOT(ISERROR(SEARCH("E. coli",L38)))</formula>
    </cfRule>
  </conditionalFormatting>
  <dataValidations count="1">
    <dataValidation type="whole" allowBlank="1" showInputMessage="1" showErrorMessage="1" sqref="S3:S5" xr:uid="{6BCF2B02-C855-4564-890C-BA05ED636AE9}">
      <formula1>0</formula1>
      <formula2>2</formula2>
    </dataValidation>
  </dataValidations>
  <printOptions horizontalCentered="1"/>
  <pageMargins left="0" right="0" top="1.0629921259842521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30D08DF-6837-4ED8-AA2D-FA0DB795FFBE}">
          <x14:formula1>
            <xm:f>Data!$A$39:$A$47</xm:f>
          </x14:formula1>
          <xm:sqref>C5:C6 M5</xm:sqref>
        </x14:dataValidation>
        <x14:dataValidation type="list" allowBlank="1" showInputMessage="1" showErrorMessage="1" xr:uid="{F302FFAD-CB43-4F34-B6AB-DCCA8D480C9C}">
          <x14:formula1>
            <xm:f>Data!$A$4:$A$6</xm:f>
          </x14:formula1>
          <xm:sqref>D29:D30 N29:N30</xm:sqref>
        </x14:dataValidation>
        <x14:dataValidation type="list" showInputMessage="1" showErrorMessage="1" xr:uid="{AABC1A41-D401-4B95-A966-F104A62448E3}">
          <x14:formula1>
            <xm:f>'Input Lookup sheet'!$B$13:$B$15</xm:f>
          </x14:formula1>
          <xm:sqref>E32</xm:sqref>
        </x14:dataValidation>
        <x14:dataValidation type="list" showInputMessage="1" showErrorMessage="1" xr:uid="{4ECA7CDC-04E2-499B-8F88-DC793EBB9490}">
          <x14:formula1>
            <xm:f>'Input Lookup sheet'!$B$19:$B$21</xm:f>
          </x14:formula1>
          <xm:sqref>H32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45DD-CCB3-48FB-AEE1-EFD4021A1A26}">
  <sheetPr>
    <pageSetUpPr fitToPage="1"/>
  </sheetPr>
  <dimension ref="A1:U138"/>
  <sheetViews>
    <sheetView view="pageLayout" topLeftCell="C1" zoomScaleNormal="110" zoomScaleSheetLayoutView="115" workbookViewId="0">
      <selection activeCell="H20" sqref="H20:I20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7" width="10" style="1" customWidth="1"/>
    <col min="8" max="8" width="19.109375" style="1" bestFit="1" customWidth="1"/>
    <col min="9" max="9" width="13.88671875" style="1" customWidth="1"/>
    <col min="10" max="11" width="2" style="1" customWidth="1"/>
    <col min="12" max="12" width="18.6640625" style="1" customWidth="1"/>
    <col min="13" max="13" width="10.88671875" style="1" customWidth="1"/>
    <col min="14" max="20" width="10" style="1" customWidth="1"/>
    <col min="21" max="21" width="0.5546875" style="1" customWidth="1"/>
    <col min="22" max="16384" width="9.109375" style="1"/>
  </cols>
  <sheetData>
    <row r="1" spans="1:21" ht="22.8">
      <c r="B1" s="2" t="s">
        <v>167</v>
      </c>
      <c r="I1" s="13" t="str">
        <f>'R-CHE'!I1</f>
        <v>Rev10</v>
      </c>
      <c r="L1" s="2" t="s">
        <v>0</v>
      </c>
      <c r="T1" s="13" t="str">
        <f>'R-CHE'!I1</f>
        <v>Rev10</v>
      </c>
    </row>
    <row r="2" spans="1:21">
      <c r="I2" s="13"/>
      <c r="T2" s="13"/>
    </row>
    <row r="3" spans="1:21">
      <c r="B3" s="83" t="s">
        <v>170</v>
      </c>
      <c r="C3" s="145"/>
      <c r="D3" s="146"/>
      <c r="E3" s="146"/>
      <c r="F3" s="147"/>
      <c r="G3" s="8"/>
      <c r="H3" s="83" t="s">
        <v>148</v>
      </c>
      <c r="I3" s="109" t="s">
        <v>220</v>
      </c>
      <c r="L3" s="1" t="str">
        <f>IF(ISBLANK(C3),"DEALER NAME",C3)</f>
        <v>DEALER NAME</v>
      </c>
      <c r="P3" s="8"/>
      <c r="Q3" s="8"/>
      <c r="R3" s="9" t="s">
        <v>148</v>
      </c>
      <c r="T3" s="68" t="str">
        <f>I3</f>
        <v>20170714C+M01</v>
      </c>
    </row>
    <row r="4" spans="1:21" ht="15.6">
      <c r="B4" s="83" t="s">
        <v>171</v>
      </c>
      <c r="C4" s="145"/>
      <c r="D4" s="146"/>
      <c r="E4" s="146"/>
      <c r="F4" s="147"/>
      <c r="G4" s="8"/>
      <c r="H4" s="83" t="s">
        <v>56</v>
      </c>
      <c r="I4" s="110">
        <f ca="1">TODAY()</f>
        <v>44855</v>
      </c>
      <c r="L4" s="3" t="str">
        <f>IF(ISBLANK(C4),"REFERENCE NAME",C4)</f>
        <v>REFERENCE NAME</v>
      </c>
      <c r="P4" s="8"/>
      <c r="Q4" s="8"/>
      <c r="R4" s="9" t="s">
        <v>56</v>
      </c>
      <c r="T4" s="136">
        <f t="shared" ref="T4:T5" ca="1" si="0">I4</f>
        <v>44855</v>
      </c>
    </row>
    <row r="5" spans="1:21">
      <c r="B5" s="83" t="s">
        <v>133</v>
      </c>
      <c r="C5" s="148"/>
      <c r="D5" s="148"/>
      <c r="E5" s="148"/>
      <c r="F5" s="148"/>
      <c r="G5" s="8"/>
      <c r="H5" s="83" t="s">
        <v>57</v>
      </c>
      <c r="I5" s="110">
        <f ca="1">TODAY()</f>
        <v>44855</v>
      </c>
      <c r="L5" s="9" t="s">
        <v>133</v>
      </c>
      <c r="M5" s="76" t="str">
        <f>IF(ISBLANK(C5),"TBC",C5)</f>
        <v>TBC</v>
      </c>
      <c r="P5" s="8"/>
      <c r="Q5" s="8"/>
      <c r="R5" s="9" t="s">
        <v>57</v>
      </c>
      <c r="T5" s="136">
        <f t="shared" ca="1" si="0"/>
        <v>44855</v>
      </c>
    </row>
    <row r="6" spans="1:21">
      <c r="A6" s="75"/>
      <c r="B6" s="4"/>
      <c r="C6" s="8"/>
      <c r="D6" s="8"/>
      <c r="E6" s="8"/>
      <c r="F6" s="8"/>
      <c r="G6" s="8"/>
      <c r="H6" s="8"/>
      <c r="I6" s="8"/>
      <c r="J6" s="75"/>
      <c r="K6" s="75"/>
      <c r="L6" s="72"/>
      <c r="M6" s="73"/>
      <c r="N6" s="74"/>
      <c r="O6" s="73"/>
      <c r="P6" s="73"/>
      <c r="Q6" s="73"/>
      <c r="S6" s="73"/>
    </row>
    <row r="7" spans="1:21">
      <c r="A7" s="4"/>
      <c r="B7" s="84" t="s">
        <v>1</v>
      </c>
      <c r="C7" s="85" t="s">
        <v>168</v>
      </c>
      <c r="D7" s="85" t="s">
        <v>61</v>
      </c>
      <c r="E7" s="85" t="s">
        <v>204</v>
      </c>
      <c r="F7" s="85" t="s">
        <v>205</v>
      </c>
      <c r="G7" s="85" t="s">
        <v>206</v>
      </c>
      <c r="H7" s="149" t="s">
        <v>216</v>
      </c>
      <c r="I7" s="150"/>
      <c r="J7" s="4"/>
      <c r="K7" s="4"/>
      <c r="L7" s="70" t="s">
        <v>1</v>
      </c>
      <c r="M7" s="71" t="s">
        <v>2</v>
      </c>
      <c r="N7" s="71" t="s">
        <v>61</v>
      </c>
      <c r="O7" s="71" t="s">
        <v>62</v>
      </c>
      <c r="P7" s="71" t="s">
        <v>63</v>
      </c>
      <c r="Q7" s="152" t="s">
        <v>44</v>
      </c>
      <c r="R7" s="153"/>
      <c r="S7" s="153"/>
      <c r="T7" s="154"/>
      <c r="U7" s="5"/>
    </row>
    <row r="8" spans="1:21">
      <c r="A8" s="4"/>
      <c r="B8" s="10" t="s">
        <v>3</v>
      </c>
      <c r="C8" s="11" t="s">
        <v>23</v>
      </c>
      <c r="D8" s="14"/>
      <c r="E8" s="14"/>
      <c r="F8" s="11" t="s">
        <v>64</v>
      </c>
      <c r="G8" s="11" t="s">
        <v>23</v>
      </c>
      <c r="H8" s="137"/>
      <c r="I8" s="138"/>
      <c r="J8" s="4"/>
      <c r="K8" s="4"/>
      <c r="L8" s="10" t="s">
        <v>3</v>
      </c>
      <c r="M8" s="11" t="s">
        <v>23</v>
      </c>
      <c r="N8" s="14">
        <f>D8</f>
        <v>0</v>
      </c>
      <c r="O8" s="11" t="s">
        <v>64</v>
      </c>
      <c r="P8" s="11" t="s">
        <v>23</v>
      </c>
      <c r="Q8" s="11" t="e">
        <f>VLOOKUP(N8,Lookup!C3:D7,2)</f>
        <v>#N/A</v>
      </c>
      <c r="R8" s="141"/>
      <c r="S8" s="142"/>
      <c r="T8" s="151"/>
      <c r="U8" s="5"/>
    </row>
    <row r="9" spans="1:21" ht="14.4">
      <c r="A9" s="4"/>
      <c r="B9" s="10" t="s">
        <v>5</v>
      </c>
      <c r="C9" s="10" t="s">
        <v>52</v>
      </c>
      <c r="D9" s="15"/>
      <c r="E9" s="15">
        <v>5</v>
      </c>
      <c r="F9" s="11" t="s">
        <v>23</v>
      </c>
      <c r="G9" s="11" t="s">
        <v>23</v>
      </c>
      <c r="H9" s="137"/>
      <c r="I9" s="138"/>
      <c r="J9" s="4"/>
      <c r="K9" s="4"/>
      <c r="L9" s="10" t="s">
        <v>5</v>
      </c>
      <c r="M9" s="10" t="s">
        <v>52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41"/>
      <c r="S9" s="142"/>
      <c r="T9" s="151"/>
      <c r="U9" s="5"/>
    </row>
    <row r="10" spans="1:21" ht="14.4">
      <c r="A10" s="4"/>
      <c r="B10" s="10" t="s">
        <v>6</v>
      </c>
      <c r="C10" s="10" t="s">
        <v>52</v>
      </c>
      <c r="D10" s="15"/>
      <c r="E10" s="15">
        <v>5</v>
      </c>
      <c r="F10" s="11" t="s">
        <v>65</v>
      </c>
      <c r="G10" s="11" t="s">
        <v>23</v>
      </c>
      <c r="H10" s="137"/>
      <c r="I10" s="138"/>
      <c r="J10" s="4"/>
      <c r="K10" s="4"/>
      <c r="L10" s="10" t="s">
        <v>6</v>
      </c>
      <c r="M10" s="10" t="s">
        <v>52</v>
      </c>
      <c r="N10" s="15" t="str">
        <f t="shared" ref="N10:N11" si="1">IF(D10&lt;5,"&lt;5",D10)</f>
        <v>&lt;5</v>
      </c>
      <c r="O10" s="11" t="s">
        <v>65</v>
      </c>
      <c r="P10" s="11" t="s">
        <v>23</v>
      </c>
      <c r="Q10" s="11" t="str">
        <f>VLOOKUP(N10,Lookup!C27:D33,2)</f>
        <v>Trace</v>
      </c>
      <c r="R10" s="141"/>
      <c r="S10" s="142"/>
      <c r="T10" s="151"/>
      <c r="U10" s="5"/>
    </row>
    <row r="11" spans="1:21" ht="14.4">
      <c r="A11" s="4"/>
      <c r="B11" s="10" t="s">
        <v>7</v>
      </c>
      <c r="C11" s="10" t="s">
        <v>52</v>
      </c>
      <c r="D11" s="15"/>
      <c r="E11" s="15">
        <v>5</v>
      </c>
      <c r="F11" s="11" t="s">
        <v>23</v>
      </c>
      <c r="G11" s="11" t="s">
        <v>23</v>
      </c>
      <c r="H11" s="137"/>
      <c r="I11" s="138"/>
      <c r="J11" s="4"/>
      <c r="K11" s="4"/>
      <c r="L11" s="10" t="s">
        <v>7</v>
      </c>
      <c r="M11" s="10" t="s">
        <v>52</v>
      </c>
      <c r="N11" s="15" t="str">
        <f t="shared" si="1"/>
        <v>&lt;5</v>
      </c>
      <c r="O11" s="11" t="s">
        <v>23</v>
      </c>
      <c r="P11" s="11" t="s">
        <v>23</v>
      </c>
      <c r="Q11" s="11" t="str">
        <f>VLOOKUP(N11,Lookup!C35:D41,2)</f>
        <v>Trace</v>
      </c>
      <c r="R11" s="141"/>
      <c r="S11" s="142"/>
      <c r="T11" s="151"/>
      <c r="U11" s="5"/>
    </row>
    <row r="12" spans="1:21" ht="14.4">
      <c r="A12" s="4"/>
      <c r="B12" s="10" t="s">
        <v>8</v>
      </c>
      <c r="C12" s="10" t="s">
        <v>52</v>
      </c>
      <c r="D12" s="96">
        <f>D10-D11</f>
        <v>0</v>
      </c>
      <c r="E12" s="11">
        <v>5</v>
      </c>
      <c r="F12" s="11" t="s">
        <v>23</v>
      </c>
      <c r="G12" s="11" t="s">
        <v>23</v>
      </c>
      <c r="H12" s="137" t="str">
        <f>IF(D12&lt;0,"Switch Total &amp; Calcium Hardness values"," ")</f>
        <v xml:space="preserve"> </v>
      </c>
      <c r="I12" s="138"/>
      <c r="J12" s="4"/>
      <c r="K12" s="4"/>
      <c r="L12" s="10" t="s">
        <v>8</v>
      </c>
      <c r="M12" s="10" t="s">
        <v>52</v>
      </c>
      <c r="N12" s="11" t="str">
        <f>IF(D12&lt;5,"&lt;5",D12)</f>
        <v>&lt;5</v>
      </c>
      <c r="O12" s="11" t="s">
        <v>23</v>
      </c>
      <c r="P12" s="11" t="s">
        <v>23</v>
      </c>
      <c r="Q12" s="11" t="str">
        <f>VLOOKUP(N12,Lookup!C35:D41,2)</f>
        <v>Trace</v>
      </c>
      <c r="R12" s="141" t="s">
        <v>150</v>
      </c>
      <c r="S12" s="142"/>
      <c r="T12" s="151"/>
      <c r="U12" s="5"/>
    </row>
    <row r="13" spans="1:21" ht="14.4">
      <c r="A13" s="4"/>
      <c r="B13" s="10" t="s">
        <v>14</v>
      </c>
      <c r="C13" s="10" t="s">
        <v>53</v>
      </c>
      <c r="D13" s="96">
        <f>2*(IF(D9&lt;5,5,D9)-(5*10^(D8-10)))/(1+(0.94*10^(D8-10)))*10^(6-D8)</f>
        <v>9999999.9980600011</v>
      </c>
      <c r="E13" s="15"/>
      <c r="F13" s="11" t="s">
        <v>23</v>
      </c>
      <c r="G13" s="11" t="s">
        <v>23</v>
      </c>
      <c r="H13" s="137"/>
      <c r="I13" s="138"/>
      <c r="J13" s="4"/>
      <c r="K13" s="4"/>
      <c r="L13" s="10" t="s">
        <v>14</v>
      </c>
      <c r="M13" s="10" t="s">
        <v>53</v>
      </c>
      <c r="N13" s="15">
        <f>IF(D13&lt;1,"&lt;1",D13)</f>
        <v>9999999.9980600011</v>
      </c>
      <c r="O13" s="11" t="s">
        <v>23</v>
      </c>
      <c r="P13" s="11" t="s">
        <v>23</v>
      </c>
      <c r="Q13" s="11" t="str">
        <f>VLOOKUP(N13,Lookup!C98:D103,2)</f>
        <v>Very High</v>
      </c>
      <c r="R13" s="141" t="s">
        <v>150</v>
      </c>
      <c r="S13" s="142"/>
      <c r="T13" s="151"/>
      <c r="U13" s="5"/>
    </row>
    <row r="14" spans="1:21">
      <c r="A14" s="4"/>
      <c r="B14" s="10" t="s">
        <v>17</v>
      </c>
      <c r="C14" s="11" t="s">
        <v>23</v>
      </c>
      <c r="D14" s="97">
        <f>+D8+0.5+VLOOKUP(IF(D9&lt;5,5,D9),LSI!$F$2:$G$25,2)+VLOOKUP(IF(D10&lt;5,5,D10),LSI!$H$2:$I$25,2)-12.1</f>
        <v>-10.6</v>
      </c>
      <c r="E14" s="14"/>
      <c r="F14" s="11" t="s">
        <v>23</v>
      </c>
      <c r="G14" s="11" t="s">
        <v>23</v>
      </c>
      <c r="H14" s="137"/>
      <c r="I14" s="138"/>
      <c r="J14" s="4"/>
      <c r="K14" s="4"/>
      <c r="L14" s="10" t="s">
        <v>117</v>
      </c>
      <c r="M14" s="11" t="s">
        <v>23</v>
      </c>
      <c r="N14" s="14">
        <f>D14</f>
        <v>-10.6</v>
      </c>
      <c r="O14" s="11" t="s">
        <v>23</v>
      </c>
      <c r="P14" s="11" t="s">
        <v>23</v>
      </c>
      <c r="Q14" s="11" t="e">
        <f>VLOOKUP(N14,Lookup!C105:D109,2)</f>
        <v>#N/A</v>
      </c>
      <c r="R14" s="141" t="s">
        <v>150</v>
      </c>
      <c r="S14" s="142"/>
      <c r="T14" s="151"/>
      <c r="U14" s="5"/>
    </row>
    <row r="15" spans="1:21" ht="14.4">
      <c r="A15" s="4"/>
      <c r="B15" s="10" t="s">
        <v>9</v>
      </c>
      <c r="C15" s="10" t="s">
        <v>54</v>
      </c>
      <c r="D15" s="15"/>
      <c r="E15" s="15">
        <v>1</v>
      </c>
      <c r="F15" s="11" t="s">
        <v>23</v>
      </c>
      <c r="G15" s="11" t="s">
        <v>23</v>
      </c>
      <c r="H15" s="137"/>
      <c r="I15" s="138"/>
      <c r="J15" s="4"/>
      <c r="K15" s="4"/>
      <c r="L15" s="10" t="s">
        <v>9</v>
      </c>
      <c r="M15" s="10" t="s">
        <v>54</v>
      </c>
      <c r="N15" s="15" t="str">
        <f>IF(D15&lt;5,"&lt;5",D15)</f>
        <v>&lt;5</v>
      </c>
      <c r="O15" s="11" t="s">
        <v>23</v>
      </c>
      <c r="P15" s="11" t="s">
        <v>23</v>
      </c>
      <c r="Q15" s="11" t="str">
        <f>VLOOKUP(N15,Lookup!C43:D50,2)</f>
        <v>Not Detected</v>
      </c>
      <c r="R15" s="141"/>
      <c r="S15" s="142"/>
      <c r="T15" s="151"/>
      <c r="U15" s="5"/>
    </row>
    <row r="16" spans="1:21" ht="14.4">
      <c r="A16" s="4"/>
      <c r="B16" s="10" t="s">
        <v>108</v>
      </c>
      <c r="C16" s="10" t="s">
        <v>109</v>
      </c>
      <c r="D16" s="15"/>
      <c r="E16" s="15">
        <v>1</v>
      </c>
      <c r="F16" s="11" t="s">
        <v>23</v>
      </c>
      <c r="G16" s="11">
        <v>50</v>
      </c>
      <c r="H16" s="137"/>
      <c r="I16" s="138"/>
      <c r="J16" s="4"/>
      <c r="K16" s="4"/>
      <c r="L16" s="10" t="s">
        <v>108</v>
      </c>
      <c r="M16" s="10" t="s">
        <v>109</v>
      </c>
      <c r="N16" s="15" t="str">
        <f>IF(D16&lt;1,"&lt;1",D16)</f>
        <v>&lt;1</v>
      </c>
      <c r="O16" s="11" t="s">
        <v>23</v>
      </c>
      <c r="P16" s="11">
        <v>50</v>
      </c>
      <c r="Q16" s="11" t="str">
        <f>VLOOKUP(N16,Lookup!C89:D96,2)</f>
        <v>Not Detected</v>
      </c>
      <c r="R16" s="141"/>
      <c r="S16" s="142"/>
      <c r="T16" s="151"/>
      <c r="U16" s="5"/>
    </row>
    <row r="17" spans="1:21">
      <c r="A17" s="4"/>
      <c r="B17" s="10" t="s">
        <v>10</v>
      </c>
      <c r="C17" s="10" t="s">
        <v>24</v>
      </c>
      <c r="D17" s="11"/>
      <c r="E17" s="11">
        <v>0.01</v>
      </c>
      <c r="F17" s="11" t="s">
        <v>66</v>
      </c>
      <c r="G17" s="11" t="s">
        <v>23</v>
      </c>
      <c r="H17" s="139" t="str">
        <f>IF(D17&gt;=0.01,"Check if need to increase decimal on the right"," ")</f>
        <v xml:space="preserve"> </v>
      </c>
      <c r="I17" s="140"/>
      <c r="J17" s="4"/>
      <c r="K17" s="4"/>
      <c r="L17" s="10" t="s">
        <v>10</v>
      </c>
      <c r="M17" s="10" t="s">
        <v>24</v>
      </c>
      <c r="N17" s="14" t="str">
        <f>IF(D17&lt;0.01,"&lt;0.01",D17)</f>
        <v>&lt;0.01</v>
      </c>
      <c r="O17" s="11" t="s">
        <v>66</v>
      </c>
      <c r="P17" s="11" t="s">
        <v>23</v>
      </c>
      <c r="Q17" s="11" t="str">
        <f>VLOOKUP(N17,Lookup!C52:D59,2)</f>
        <v>Not Detected</v>
      </c>
      <c r="R17" s="141"/>
      <c r="S17" s="142"/>
      <c r="T17" s="151"/>
      <c r="U17" s="5"/>
    </row>
    <row r="18" spans="1:21">
      <c r="A18" s="4"/>
      <c r="B18" s="10" t="s">
        <v>11</v>
      </c>
      <c r="C18" s="10" t="s">
        <v>24</v>
      </c>
      <c r="D18" s="11"/>
      <c r="E18" s="11">
        <v>1.5</v>
      </c>
      <c r="F18" s="11" t="s">
        <v>67</v>
      </c>
      <c r="G18" s="11">
        <v>0.4</v>
      </c>
      <c r="H18" s="139" t="str">
        <f t="shared" ref="H18:H20" si="2">IF(D18&gt;=0.01,"Check if need to increase decimal on the right"," ")</f>
        <v xml:space="preserve"> </v>
      </c>
      <c r="I18" s="140"/>
      <c r="J18" s="4"/>
      <c r="K18" s="4"/>
      <c r="L18" s="10" t="s">
        <v>11</v>
      </c>
      <c r="M18" s="10" t="s">
        <v>24</v>
      </c>
      <c r="N18" s="14" t="str">
        <f>IF(D18&lt;0.01,"&lt;0.01",D18)</f>
        <v>&lt;0.01</v>
      </c>
      <c r="O18" s="11" t="s">
        <v>67</v>
      </c>
      <c r="P18" s="11">
        <v>0.4</v>
      </c>
      <c r="Q18" s="11" t="str">
        <f>VLOOKUP(N18,Lookup!C61:D65,2)</f>
        <v>Not Detected</v>
      </c>
      <c r="R18" s="141" t="s">
        <v>68</v>
      </c>
      <c r="S18" s="142"/>
      <c r="T18" s="151"/>
      <c r="U18" s="5"/>
    </row>
    <row r="19" spans="1:21">
      <c r="A19" s="4"/>
      <c r="B19" s="10" t="s">
        <v>12</v>
      </c>
      <c r="C19" s="10" t="s">
        <v>24</v>
      </c>
      <c r="D19" s="11"/>
      <c r="E19" s="11">
        <v>0.01</v>
      </c>
      <c r="F19" s="11" t="s">
        <v>42</v>
      </c>
      <c r="G19" s="11" t="s">
        <v>23</v>
      </c>
      <c r="H19" s="139" t="str">
        <f t="shared" si="2"/>
        <v xml:space="preserve"> </v>
      </c>
      <c r="I19" s="140"/>
      <c r="J19" s="4"/>
      <c r="K19" s="4"/>
      <c r="L19" s="10" t="s">
        <v>12</v>
      </c>
      <c r="M19" s="10" t="s">
        <v>24</v>
      </c>
      <c r="N19" s="81" t="str">
        <f>IF(D19&lt;0.01,"&lt;0.01",D19)</f>
        <v>&lt;0.01</v>
      </c>
      <c r="O19" s="11" t="s">
        <v>42</v>
      </c>
      <c r="P19" s="11" t="s">
        <v>23</v>
      </c>
      <c r="Q19" s="11" t="str">
        <f>VLOOKUP(N19,Lookup!C67:D72,2)</f>
        <v>Not Detected</v>
      </c>
      <c r="R19" s="141"/>
      <c r="S19" s="142"/>
      <c r="T19" s="151"/>
      <c r="U19" s="5"/>
    </row>
    <row r="20" spans="1:21">
      <c r="A20" s="4"/>
      <c r="B20" s="10" t="s">
        <v>13</v>
      </c>
      <c r="C20" s="10" t="s">
        <v>24</v>
      </c>
      <c r="D20" s="11"/>
      <c r="E20" s="11">
        <v>0.01</v>
      </c>
      <c r="F20" s="11" t="s">
        <v>39</v>
      </c>
      <c r="G20" s="15">
        <v>2</v>
      </c>
      <c r="H20" s="139" t="str">
        <f t="shared" si="2"/>
        <v xml:space="preserve"> </v>
      </c>
      <c r="I20" s="140"/>
      <c r="J20" s="4"/>
      <c r="K20" s="4"/>
      <c r="L20" s="10" t="s">
        <v>13</v>
      </c>
      <c r="M20" s="10" t="s">
        <v>24</v>
      </c>
      <c r="N20" s="81" t="str">
        <f>IF(D20&lt;0.01,"&lt;0.01",D20)</f>
        <v>&lt;0.01</v>
      </c>
      <c r="O20" s="11" t="s">
        <v>39</v>
      </c>
      <c r="P20" s="15">
        <v>2</v>
      </c>
      <c r="Q20" s="11" t="str">
        <f>VLOOKUP(N20,Lookup!C74:D78,2)</f>
        <v>Not Detected</v>
      </c>
      <c r="R20" s="141"/>
      <c r="S20" s="142"/>
      <c r="T20" s="151"/>
      <c r="U20" s="5"/>
    </row>
    <row r="21" spans="1:21">
      <c r="A21" s="4"/>
      <c r="B21" s="10" t="s">
        <v>4</v>
      </c>
      <c r="C21" s="10" t="s">
        <v>24</v>
      </c>
      <c r="D21" s="11"/>
      <c r="E21" s="11">
        <v>10</v>
      </c>
      <c r="F21" s="11" t="s">
        <v>69</v>
      </c>
      <c r="G21" s="11" t="s">
        <v>23</v>
      </c>
      <c r="H21" s="137"/>
      <c r="I21" s="138"/>
      <c r="J21" s="4"/>
      <c r="K21" s="4"/>
      <c r="L21" s="10" t="s">
        <v>4</v>
      </c>
      <c r="M21" s="10" t="s">
        <v>24</v>
      </c>
      <c r="N21" s="15" t="str">
        <f>IF(D21&lt;10,"&lt;10",D21)</f>
        <v>&lt;10</v>
      </c>
      <c r="O21" s="11" t="s">
        <v>69</v>
      </c>
      <c r="P21" s="11" t="s">
        <v>23</v>
      </c>
      <c r="Q21" s="11" t="str">
        <f>VLOOKUP(N21,Lookup!C9:D16,2)</f>
        <v>Trace</v>
      </c>
      <c r="R21" s="141" t="s">
        <v>150</v>
      </c>
      <c r="S21" s="142"/>
      <c r="T21" s="151"/>
      <c r="U21" s="5"/>
    </row>
    <row r="22" spans="1:21">
      <c r="A22" s="4"/>
      <c r="B22" s="10" t="s">
        <v>15</v>
      </c>
      <c r="C22" s="10" t="s">
        <v>24</v>
      </c>
      <c r="D22" s="15"/>
      <c r="E22" s="15">
        <v>1</v>
      </c>
      <c r="F22" s="11" t="s">
        <v>70</v>
      </c>
      <c r="G22" s="11" t="s">
        <v>23</v>
      </c>
      <c r="H22" s="137"/>
      <c r="I22" s="138"/>
      <c r="J22" s="4"/>
      <c r="K22" s="4"/>
      <c r="L22" s="10" t="s">
        <v>15</v>
      </c>
      <c r="M22" s="10" t="s">
        <v>24</v>
      </c>
      <c r="N22" s="15" t="str">
        <f>IF(D22&lt;1,"&lt;1",D22)</f>
        <v>&lt;1</v>
      </c>
      <c r="O22" s="11" t="s">
        <v>70</v>
      </c>
      <c r="P22" s="11" t="s">
        <v>23</v>
      </c>
      <c r="Q22" s="11" t="str">
        <f>VLOOKUP(N22,Lookup!C80:D87,2)</f>
        <v>Trace</v>
      </c>
      <c r="R22" s="141"/>
      <c r="S22" s="142"/>
      <c r="T22" s="151"/>
      <c r="U22" s="5"/>
    </row>
    <row r="23" spans="1:21">
      <c r="A23" s="4"/>
      <c r="B23" s="10" t="s">
        <v>16</v>
      </c>
      <c r="C23" s="10" t="s">
        <v>24</v>
      </c>
      <c r="D23" s="15"/>
      <c r="E23" s="15"/>
      <c r="F23" s="11" t="s">
        <v>65</v>
      </c>
      <c r="G23" s="11" t="s">
        <v>23</v>
      </c>
      <c r="H23" s="137"/>
      <c r="I23" s="138"/>
      <c r="J23" s="4"/>
      <c r="K23" s="4"/>
      <c r="L23" s="10" t="s">
        <v>16</v>
      </c>
      <c r="M23" s="10" t="s">
        <v>24</v>
      </c>
      <c r="N23" s="15" t="str">
        <f>IF(D23&lt;1,"&lt;1",D23)</f>
        <v>&lt;1</v>
      </c>
      <c r="O23" s="11" t="s">
        <v>65</v>
      </c>
      <c r="P23" s="11" t="s">
        <v>23</v>
      </c>
      <c r="Q23" s="11" t="str">
        <f>VLOOKUP(N23,Lookup!C80:D87,2)</f>
        <v>Trace</v>
      </c>
      <c r="R23" s="141"/>
      <c r="S23" s="142"/>
      <c r="T23" s="151"/>
      <c r="U23" s="5"/>
    </row>
    <row r="24" spans="1:21" hidden="1">
      <c r="A24" s="4"/>
      <c r="B24" s="10" t="s">
        <v>178</v>
      </c>
      <c r="C24" s="10" t="s">
        <v>179</v>
      </c>
      <c r="D24" s="15">
        <f ca="1">D25/10</f>
        <v>0</v>
      </c>
      <c r="E24" s="15"/>
      <c r="F24" s="11" t="s">
        <v>23</v>
      </c>
      <c r="G24" s="11" t="s">
        <v>23</v>
      </c>
      <c r="H24" s="137"/>
      <c r="I24" s="138"/>
      <c r="J24" s="4"/>
      <c r="K24" s="4"/>
      <c r="L24" s="10" t="s">
        <v>178</v>
      </c>
      <c r="M24" s="10" t="s">
        <v>179</v>
      </c>
      <c r="N24" s="15">
        <f ca="1">D24</f>
        <v>0</v>
      </c>
      <c r="O24" s="11" t="s">
        <v>23</v>
      </c>
      <c r="P24" s="11" t="s">
        <v>23</v>
      </c>
      <c r="Q24" s="11" t="s">
        <v>23</v>
      </c>
      <c r="R24" s="141"/>
      <c r="S24" s="142"/>
      <c r="T24" s="151"/>
      <c r="U24" s="5"/>
    </row>
    <row r="25" spans="1:21">
      <c r="A25" s="4"/>
      <c r="B25" s="10" t="s">
        <v>178</v>
      </c>
      <c r="C25" s="10" t="s">
        <v>180</v>
      </c>
      <c r="D25" s="15">
        <f ca="1">D24*10</f>
        <v>0</v>
      </c>
      <c r="E25" s="15"/>
      <c r="F25" s="11" t="s">
        <v>23</v>
      </c>
      <c r="G25" s="11" t="s">
        <v>23</v>
      </c>
      <c r="H25" s="137"/>
      <c r="I25" s="138"/>
      <c r="J25" s="4"/>
      <c r="K25" s="4"/>
      <c r="L25" s="10" t="s">
        <v>178</v>
      </c>
      <c r="M25" s="10" t="s">
        <v>180</v>
      </c>
      <c r="N25" s="14">
        <f ca="1">D25</f>
        <v>0</v>
      </c>
      <c r="O25" s="11" t="s">
        <v>23</v>
      </c>
      <c r="P25" s="11" t="s">
        <v>23</v>
      </c>
      <c r="Q25" s="11" t="s">
        <v>23</v>
      </c>
      <c r="R25" s="141"/>
      <c r="S25" s="142"/>
      <c r="T25" s="151"/>
      <c r="U25" s="5"/>
    </row>
    <row r="26" spans="1:21">
      <c r="A26" s="4"/>
      <c r="B26" s="10" t="s">
        <v>18</v>
      </c>
      <c r="C26" s="10" t="s">
        <v>25</v>
      </c>
      <c r="D26" s="11"/>
      <c r="E26" s="11">
        <v>0.05</v>
      </c>
      <c r="F26" s="11" t="s">
        <v>71</v>
      </c>
      <c r="G26" s="11" t="s">
        <v>23</v>
      </c>
      <c r="H26" s="137"/>
      <c r="I26" s="138"/>
      <c r="J26" s="4"/>
      <c r="K26" s="4"/>
      <c r="L26" s="10" t="s">
        <v>18</v>
      </c>
      <c r="M26" s="10" t="s">
        <v>25</v>
      </c>
      <c r="N26" s="15" t="str">
        <f>IF(D26&lt;0.05,"&lt;0.05",D26)</f>
        <v>&lt;0.05</v>
      </c>
      <c r="O26" s="11" t="s">
        <v>71</v>
      </c>
      <c r="P26" s="11" t="s">
        <v>23</v>
      </c>
      <c r="Q26" s="11" t="str">
        <f>VLOOKUP(N26,Lookup!C124:D131,2)</f>
        <v>Very Low</v>
      </c>
      <c r="R26" s="141"/>
      <c r="S26" s="142"/>
      <c r="T26" s="151"/>
      <c r="U26" s="5"/>
    </row>
    <row r="27" spans="1:21">
      <c r="A27" s="4"/>
      <c r="B27" s="10" t="s">
        <v>159</v>
      </c>
      <c r="C27" s="10" t="s">
        <v>160</v>
      </c>
      <c r="D27" s="15"/>
      <c r="E27" s="15">
        <v>5</v>
      </c>
      <c r="F27" s="11" t="s">
        <v>23</v>
      </c>
      <c r="G27" s="11" t="s">
        <v>23</v>
      </c>
      <c r="H27" s="137"/>
      <c r="I27" s="138"/>
      <c r="J27" s="4"/>
      <c r="K27" s="4"/>
      <c r="L27" s="10" t="s">
        <v>159</v>
      </c>
      <c r="M27" s="10" t="s">
        <v>160</v>
      </c>
      <c r="N27" s="15" t="str">
        <f>IF(D27&lt;5,"&lt;5",D27)</f>
        <v>&lt;5</v>
      </c>
      <c r="O27" s="11" t="s">
        <v>23</v>
      </c>
      <c r="P27" s="11" t="s">
        <v>23</v>
      </c>
      <c r="Q27" s="11" t="str">
        <f>VLOOKUP(N27,Lookup!C149:D152,2)</f>
        <v>Very Low</v>
      </c>
      <c r="R27" s="141"/>
      <c r="S27" s="142"/>
      <c r="T27" s="151"/>
      <c r="U27" s="5"/>
    </row>
    <row r="28" spans="1:21" ht="15" thickBot="1">
      <c r="A28" s="4"/>
      <c r="B28" s="10" t="s">
        <v>19</v>
      </c>
      <c r="C28" s="10" t="s">
        <v>55</v>
      </c>
      <c r="D28" s="14"/>
      <c r="E28" s="14">
        <v>5</v>
      </c>
      <c r="F28" s="11" t="s">
        <v>23</v>
      </c>
      <c r="G28" s="11" t="s">
        <v>23</v>
      </c>
      <c r="H28" s="137"/>
      <c r="I28" s="138"/>
      <c r="J28" s="4"/>
      <c r="K28" s="4"/>
      <c r="L28" s="128" t="s">
        <v>19</v>
      </c>
      <c r="M28" s="128" t="s">
        <v>55</v>
      </c>
      <c r="N28" s="132" t="str">
        <f>IF(D28&lt;5,"&lt;5",D28)</f>
        <v>&lt;5</v>
      </c>
      <c r="O28" s="129" t="s">
        <v>23</v>
      </c>
      <c r="P28" s="129" t="s">
        <v>23</v>
      </c>
      <c r="Q28" s="129" t="str">
        <f>VLOOKUP(N28,Lookup!C133:D139,2)</f>
        <v>Very Poor</v>
      </c>
      <c r="R28" s="163"/>
      <c r="S28" s="164"/>
      <c r="T28" s="165"/>
      <c r="U28" s="5"/>
    </row>
    <row r="29" spans="1:21" ht="14.4" thickTop="1">
      <c r="A29" s="4"/>
      <c r="B29" s="10" t="s">
        <v>32</v>
      </c>
      <c r="C29" s="10" t="s">
        <v>34</v>
      </c>
      <c r="D29" s="11" t="s">
        <v>43</v>
      </c>
      <c r="E29" s="15"/>
      <c r="F29" s="11" t="s">
        <v>23</v>
      </c>
      <c r="G29" s="11" t="s">
        <v>23</v>
      </c>
      <c r="H29" s="137"/>
      <c r="I29" s="138"/>
      <c r="J29" s="4"/>
      <c r="K29" s="4"/>
      <c r="L29" s="10" t="s">
        <v>32</v>
      </c>
      <c r="M29" s="10" t="s">
        <v>34</v>
      </c>
      <c r="N29" s="131" t="str">
        <f>D29</f>
        <v>&lt;1.1</v>
      </c>
      <c r="O29" s="131" t="s">
        <v>23</v>
      </c>
      <c r="P29" s="131" t="s">
        <v>23</v>
      </c>
      <c r="Q29" s="11" t="str">
        <f>VLOOKUP(N29,Lookup!C115:D118,2)</f>
        <v>Ideal</v>
      </c>
      <c r="R29" s="166"/>
      <c r="S29" s="167"/>
      <c r="T29" s="168"/>
      <c r="U29" s="5"/>
    </row>
    <row r="30" spans="1:21">
      <c r="A30" s="4"/>
      <c r="B30" s="10" t="s">
        <v>33</v>
      </c>
      <c r="C30" s="10" t="s">
        <v>34</v>
      </c>
      <c r="D30" s="11" t="s">
        <v>43</v>
      </c>
      <c r="E30" s="15"/>
      <c r="F30" s="11" t="s">
        <v>23</v>
      </c>
      <c r="G30" s="11" t="s">
        <v>23</v>
      </c>
      <c r="H30" s="137"/>
      <c r="I30" s="138"/>
      <c r="J30" s="4"/>
      <c r="K30" s="4"/>
      <c r="L30" s="10" t="s">
        <v>33</v>
      </c>
      <c r="M30" s="10" t="s">
        <v>34</v>
      </c>
      <c r="N30" s="11" t="str">
        <f>D30</f>
        <v>&lt;1.1</v>
      </c>
      <c r="O30" s="11" t="s">
        <v>23</v>
      </c>
      <c r="P30" s="11" t="s">
        <v>39</v>
      </c>
      <c r="Q30" s="11" t="str">
        <f>VLOOKUP(N30,Lookup!C119:D122,2)</f>
        <v>Ideal</v>
      </c>
      <c r="R30" s="141"/>
      <c r="S30" s="142"/>
      <c r="T30" s="151"/>
      <c r="U30" s="5"/>
    </row>
    <row r="31" spans="1:21">
      <c r="A31" s="4"/>
      <c r="B31" s="65"/>
      <c r="C31" s="65"/>
      <c r="D31" s="67"/>
      <c r="E31" s="67"/>
      <c r="F31" s="67"/>
      <c r="G31" s="67"/>
      <c r="H31" s="67"/>
      <c r="I31" s="67"/>
      <c r="J31" s="4"/>
      <c r="K31" s="4"/>
      <c r="L31" s="65"/>
      <c r="M31" s="65"/>
      <c r="N31" s="67"/>
      <c r="O31" s="67"/>
      <c r="P31" s="67"/>
      <c r="Q31" s="67"/>
      <c r="R31" s="98"/>
      <c r="S31" s="98"/>
      <c r="T31" s="98"/>
      <c r="U31" s="5"/>
    </row>
    <row r="32" spans="1:21">
      <c r="A32" s="4"/>
      <c r="B32" s="7" t="s">
        <v>207</v>
      </c>
      <c r="C32" s="141" t="s">
        <v>209</v>
      </c>
      <c r="D32" s="142"/>
      <c r="E32" s="143" t="s">
        <v>197</v>
      </c>
      <c r="F32" s="143"/>
      <c r="G32" s="58" t="s">
        <v>210</v>
      </c>
      <c r="H32" s="143" t="s">
        <v>201</v>
      </c>
      <c r="I32" s="144"/>
      <c r="J32" s="4"/>
      <c r="K32" s="4"/>
      <c r="L32" s="98" t="str">
        <f>CONCATENATE(B32, " ", C32, " ", E32," ", G32, " ", H32)</f>
        <v>Comments: The sample was slightly discoloured  with no significant sediments</v>
      </c>
      <c r="M32" s="4"/>
      <c r="N32" s="4"/>
      <c r="O32" s="4"/>
      <c r="P32" s="4"/>
      <c r="Q32" s="4"/>
      <c r="R32" s="4"/>
      <c r="S32" s="4"/>
      <c r="T32" s="4"/>
      <c r="U32" s="5"/>
    </row>
    <row r="33" spans="1:21">
      <c r="A33" s="4"/>
      <c r="B33" s="108" t="s">
        <v>211</v>
      </c>
      <c r="C33" s="111" t="str">
        <f>IF(D14&lt;-1.5,"The negative LSI indicates corrosive water.",IF(D10&gt;60,"The high hardness will likely cause lime scale, particularity at elevated temperatures"," "))</f>
        <v>The negative LSI indicates corrosive water.</v>
      </c>
      <c r="D33" s="112"/>
      <c r="E33" s="112"/>
      <c r="F33" s="112"/>
      <c r="G33" s="112"/>
      <c r="H33" s="112"/>
      <c r="I33" s="113"/>
      <c r="J33" s="4"/>
      <c r="K33" s="4"/>
      <c r="L33" s="98" t="str">
        <f t="shared" ref="L33:L39" si="3">C33</f>
        <v>The negative LSI indicates corrosive water.</v>
      </c>
      <c r="M33" s="98"/>
      <c r="U33" s="5"/>
    </row>
    <row r="34" spans="1:21">
      <c r="A34" s="4"/>
      <c r="B34" s="108" t="s">
        <v>212</v>
      </c>
      <c r="C34" s="111" t="str">
        <f>IF(D15&lt;50," ","The high silica level may cause scale, treatment options are available but expensive")</f>
        <v xml:space="preserve"> </v>
      </c>
      <c r="D34" s="114"/>
      <c r="E34" s="114"/>
      <c r="F34" s="114"/>
      <c r="G34" s="114"/>
      <c r="H34" s="115"/>
      <c r="I34" s="116"/>
      <c r="J34" s="4"/>
      <c r="K34" s="4"/>
      <c r="L34" s="98" t="str">
        <f t="shared" si="3"/>
        <v xml:space="preserve"> </v>
      </c>
      <c r="U34" s="5"/>
    </row>
    <row r="35" spans="1:21">
      <c r="A35" s="4"/>
      <c r="B35" s="108" t="s">
        <v>213</v>
      </c>
      <c r="C35" s="111" t="str">
        <f>IF(D17&lt;0.2," ","The high iron content may cause staining, taste and odour issues.")</f>
        <v xml:space="preserve"> </v>
      </c>
      <c r="D35" s="114"/>
      <c r="E35" s="114"/>
      <c r="F35" s="114"/>
      <c r="G35" s="114"/>
      <c r="H35" s="114"/>
      <c r="I35" s="116"/>
      <c r="J35" s="4"/>
      <c r="K35" s="4"/>
      <c r="L35" s="98" t="str">
        <f t="shared" si="3"/>
        <v xml:space="preserve"> </v>
      </c>
      <c r="U35" s="5"/>
    </row>
    <row r="36" spans="1:21">
      <c r="A36" s="4"/>
      <c r="B36" s="108" t="s">
        <v>214</v>
      </c>
      <c r="C36" s="111" t="str">
        <f>IF(D18&lt;0.04," ","The high manganese content may cause staining, taste and odour issues.")</f>
        <v xml:space="preserve"> </v>
      </c>
      <c r="D36" s="114"/>
      <c r="E36" s="114"/>
      <c r="F36" s="114"/>
      <c r="G36" s="114"/>
      <c r="H36" s="114"/>
      <c r="I36" s="116"/>
      <c r="J36" s="4"/>
      <c r="K36" s="4"/>
      <c r="L36" s="98" t="str">
        <f t="shared" si="3"/>
        <v xml:space="preserve"> </v>
      </c>
      <c r="U36" s="5"/>
    </row>
    <row r="37" spans="1:21">
      <c r="A37" s="4"/>
      <c r="B37" s="108" t="s">
        <v>217</v>
      </c>
      <c r="C37" s="111" t="str">
        <f>IF(D22&lt;200," ","The high chloride level indicates possible salt water intrusion")</f>
        <v xml:space="preserve"> </v>
      </c>
      <c r="D37" s="117"/>
      <c r="E37" s="117"/>
      <c r="F37" s="114"/>
      <c r="G37" s="114"/>
      <c r="H37" s="114"/>
      <c r="I37" s="116"/>
      <c r="J37" s="4"/>
      <c r="K37" s="4"/>
      <c r="L37" s="98" t="str">
        <f t="shared" si="3"/>
        <v xml:space="preserve"> </v>
      </c>
      <c r="M37" s="98"/>
      <c r="U37" s="5"/>
    </row>
    <row r="38" spans="1:21">
      <c r="A38" s="4"/>
      <c r="B38" s="108" t="s">
        <v>219</v>
      </c>
      <c r="C38" s="133" t="str">
        <f>IF(D30="&lt;1.1",(IF(D29="&lt;1.1","Testing did not detect the presence of microorganisms in the sample however a form of treatment is recommended if not already installed.","The presence of microorganisms in the sample indicates a significant health risk. Treatment is highly recommended.")),"The sample contained E. coli, which indicates faecal contamination. Drink bottled water or boiled (and cooled) water until treatment is installed")</f>
        <v>Testing did not detect the presence of microorganisms in the sample however a form of treatment is recommended if not already installed.</v>
      </c>
      <c r="D38" s="134"/>
      <c r="E38" s="134"/>
      <c r="F38" s="134"/>
      <c r="G38" s="134"/>
      <c r="H38" s="134"/>
      <c r="I38" s="135"/>
      <c r="J38" s="4"/>
      <c r="K38" s="4"/>
      <c r="L38" s="98" t="str">
        <f t="shared" si="3"/>
        <v>Testing did not detect the presence of microorganisms in the sample however a form of treatment is recommended if not already installed.</v>
      </c>
      <c r="M38" s="98"/>
      <c r="U38" s="5"/>
    </row>
    <row r="39" spans="1:21">
      <c r="A39" s="4"/>
      <c r="B39" s="108" t="s">
        <v>215</v>
      </c>
      <c r="C39" s="118" t="str">
        <f>IF(COUNTIF(Q8:Q28,"Above MAV")&gt;0,"The sample contained results above the MAV for drinking water, treatment is highly recommended"," ")</f>
        <v xml:space="preserve"> </v>
      </c>
      <c r="D39" s="114"/>
      <c r="E39" s="114"/>
      <c r="F39" s="119"/>
      <c r="G39" s="119"/>
      <c r="H39" s="119"/>
      <c r="I39" s="120"/>
      <c r="J39" s="4"/>
      <c r="K39" s="4"/>
      <c r="L39" s="98" t="str">
        <f t="shared" si="3"/>
        <v xml:space="preserve"> </v>
      </c>
      <c r="M39" s="98"/>
      <c r="U39" s="5"/>
    </row>
    <row r="40" spans="1:21">
      <c r="A40" s="4"/>
      <c r="B40" s="108"/>
      <c r="C40" s="98"/>
      <c r="D40" s="8"/>
      <c r="E40" s="8"/>
      <c r="F40" s="5"/>
      <c r="G40" s="5"/>
      <c r="H40" s="5"/>
      <c r="I40" s="5"/>
      <c r="J40" s="4"/>
      <c r="K40" s="4"/>
      <c r="L40" s="98"/>
      <c r="M40" s="98"/>
      <c r="U40" s="5"/>
    </row>
    <row r="41" spans="1:21">
      <c r="A41" s="4"/>
      <c r="B41" s="98"/>
      <c r="C41" s="98"/>
      <c r="D41" s="5"/>
      <c r="E41" s="5"/>
      <c r="F41" s="5"/>
      <c r="G41" s="5"/>
      <c r="H41" s="5"/>
      <c r="I41" s="5"/>
      <c r="J41" s="4"/>
      <c r="K41" s="4"/>
      <c r="L41" s="61" t="s">
        <v>62</v>
      </c>
      <c r="M41" s="62" t="s">
        <v>192</v>
      </c>
      <c r="N41" s="63"/>
      <c r="O41" s="63"/>
      <c r="P41" s="63"/>
      <c r="Q41" s="63"/>
      <c r="R41" s="63"/>
      <c r="S41" s="63"/>
      <c r="T41" s="63"/>
      <c r="U41" s="5"/>
    </row>
    <row r="42" spans="1:21">
      <c r="A42" s="4"/>
      <c r="C42" s="98"/>
      <c r="D42" s="5"/>
      <c r="E42" s="5"/>
      <c r="F42" s="5"/>
      <c r="G42" s="5"/>
      <c r="H42" s="5"/>
      <c r="I42" s="5"/>
      <c r="J42" s="4"/>
      <c r="K42" s="4"/>
      <c r="L42" s="55" t="s">
        <v>63</v>
      </c>
      <c r="M42" s="156" t="s">
        <v>193</v>
      </c>
      <c r="N42" s="156"/>
      <c r="O42" s="156"/>
      <c r="P42" s="156"/>
      <c r="Q42" s="156"/>
      <c r="R42" s="156"/>
      <c r="S42" s="156"/>
      <c r="T42" s="156"/>
      <c r="U42" s="5"/>
    </row>
    <row r="43" spans="1:21">
      <c r="A43" s="4"/>
      <c r="C43" s="98"/>
      <c r="D43" s="5"/>
      <c r="E43" s="5"/>
      <c r="F43" s="5"/>
      <c r="G43" s="5"/>
      <c r="H43" s="5"/>
      <c r="I43" s="5"/>
      <c r="J43" s="4"/>
      <c r="K43" s="4"/>
      <c r="L43" s="55" t="s">
        <v>24</v>
      </c>
      <c r="M43" s="155" t="s">
        <v>129</v>
      </c>
      <c r="N43" s="156"/>
      <c r="O43" s="156"/>
      <c r="P43" s="156"/>
      <c r="Q43" s="156"/>
      <c r="R43" s="156"/>
      <c r="S43" s="156"/>
      <c r="T43" s="156"/>
      <c r="U43" s="5"/>
    </row>
    <row r="44" spans="1:21">
      <c r="A44" s="4"/>
      <c r="B44" s="98"/>
      <c r="C44" s="5"/>
      <c r="D44" s="5"/>
      <c r="E44" s="5"/>
      <c r="F44" s="5"/>
      <c r="G44" s="5"/>
      <c r="H44" s="5"/>
      <c r="I44" s="5"/>
      <c r="J44" s="4"/>
      <c r="K44" s="4"/>
      <c r="L44" s="4"/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8"/>
      <c r="C45" s="5"/>
      <c r="D45" s="99"/>
      <c r="E45" s="5"/>
      <c r="F45" s="5"/>
      <c r="G45" s="5"/>
      <c r="H45" s="5"/>
      <c r="I45" s="5"/>
      <c r="J45" s="4"/>
      <c r="K45" s="4"/>
      <c r="L45" s="4"/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8"/>
      <c r="C46" s="5"/>
      <c r="D46" s="5"/>
      <c r="E46" s="5"/>
      <c r="F46" s="5"/>
      <c r="G46" s="5"/>
      <c r="H46" s="5"/>
      <c r="I46" s="5"/>
      <c r="J46" s="4"/>
      <c r="K46" s="4"/>
      <c r="L46" s="4" t="s">
        <v>190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8"/>
      <c r="C47" s="5"/>
      <c r="D47" s="5"/>
      <c r="E47" s="5"/>
      <c r="F47" s="5"/>
      <c r="G47" s="5"/>
      <c r="H47" s="5"/>
      <c r="I47" s="5"/>
      <c r="J47" s="4"/>
      <c r="K47" s="4"/>
      <c r="L47" s="4" t="s">
        <v>191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98"/>
      <c r="C48" s="5"/>
      <c r="D48" s="5"/>
      <c r="E48" s="5"/>
      <c r="F48" s="5"/>
      <c r="G48" s="5"/>
      <c r="H48" s="5"/>
      <c r="I48" s="5"/>
      <c r="J48" s="4"/>
      <c r="K48" s="4"/>
      <c r="L48" s="4" t="s">
        <v>146</v>
      </c>
      <c r="M48" s="8"/>
      <c r="N48" s="8"/>
      <c r="O48" s="8"/>
      <c r="P48" s="8"/>
      <c r="Q48" s="8"/>
      <c r="R48" s="8"/>
      <c r="S48" s="8"/>
      <c r="T48" s="8"/>
      <c r="U48" s="5"/>
    </row>
    <row r="49" spans="1:21">
      <c r="A49" s="4"/>
      <c r="B49" s="98"/>
      <c r="C49" s="5"/>
      <c r="D49" s="5"/>
      <c r="E49" s="5"/>
      <c r="F49" s="5"/>
      <c r="G49" s="5"/>
      <c r="H49" s="5"/>
      <c r="I49" s="5"/>
      <c r="J49" s="4"/>
      <c r="K49" s="4"/>
      <c r="L49" s="12" t="s">
        <v>185</v>
      </c>
      <c r="M49" s="8"/>
      <c r="N49" s="8"/>
      <c r="O49" s="8"/>
      <c r="P49" s="8"/>
      <c r="Q49" s="8"/>
      <c r="R49" s="8"/>
      <c r="S49" s="8"/>
      <c r="T49" s="8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1">
      <c r="A134" s="4"/>
    </row>
    <row r="135" spans="1:21">
      <c r="A135" s="4"/>
    </row>
    <row r="136" spans="1:21">
      <c r="A136" s="4"/>
    </row>
    <row r="137" spans="1:21">
      <c r="A137" s="4"/>
    </row>
    <row r="138" spans="1:21">
      <c r="A138" s="4"/>
    </row>
  </sheetData>
  <mergeCells count="56">
    <mergeCell ref="H8:I8"/>
    <mergeCell ref="R8:T8"/>
    <mergeCell ref="C3:F3"/>
    <mergeCell ref="C4:F4"/>
    <mergeCell ref="C5:F5"/>
    <mergeCell ref="H7:I7"/>
    <mergeCell ref="Q7:T7"/>
    <mergeCell ref="H9:I9"/>
    <mergeCell ref="R9:T9"/>
    <mergeCell ref="H10:I10"/>
    <mergeCell ref="R10:T10"/>
    <mergeCell ref="H11:I11"/>
    <mergeCell ref="R11:T11"/>
    <mergeCell ref="H12:I12"/>
    <mergeCell ref="R12:T12"/>
    <mergeCell ref="H13:I13"/>
    <mergeCell ref="R13:T13"/>
    <mergeCell ref="H14:I14"/>
    <mergeCell ref="R14:T14"/>
    <mergeCell ref="H15:I15"/>
    <mergeCell ref="R15:T15"/>
    <mergeCell ref="H16:I16"/>
    <mergeCell ref="R16:T16"/>
    <mergeCell ref="H17:I17"/>
    <mergeCell ref="R17:T17"/>
    <mergeCell ref="H18:I18"/>
    <mergeCell ref="R18:T18"/>
    <mergeCell ref="H19:I19"/>
    <mergeCell ref="R19:T19"/>
    <mergeCell ref="H20:I20"/>
    <mergeCell ref="R20:T20"/>
    <mergeCell ref="H21:I21"/>
    <mergeCell ref="R21:T21"/>
    <mergeCell ref="H22:I22"/>
    <mergeCell ref="R22:T22"/>
    <mergeCell ref="H23:I23"/>
    <mergeCell ref="R23:T23"/>
    <mergeCell ref="H24:I24"/>
    <mergeCell ref="R24:T24"/>
    <mergeCell ref="H25:I25"/>
    <mergeCell ref="R25:T25"/>
    <mergeCell ref="H26:I26"/>
    <mergeCell ref="R26:T26"/>
    <mergeCell ref="H27:I27"/>
    <mergeCell ref="R27:T27"/>
    <mergeCell ref="H28:I28"/>
    <mergeCell ref="R28:T28"/>
    <mergeCell ref="H29:I29"/>
    <mergeCell ref="R29:T29"/>
    <mergeCell ref="M43:T43"/>
    <mergeCell ref="H30:I30"/>
    <mergeCell ref="R30:T30"/>
    <mergeCell ref="C32:D32"/>
    <mergeCell ref="E32:F32"/>
    <mergeCell ref="H32:I32"/>
    <mergeCell ref="M42:T42"/>
  </mergeCells>
  <conditionalFormatting sqref="Q8:Q28 Q31">
    <cfRule type="cellIs" dxfId="26" priority="26" operator="equal">
      <formula>"Above MAV"</formula>
    </cfRule>
    <cfRule type="cellIs" dxfId="25" priority="27" operator="equal">
      <formula>"ALERT"</formula>
    </cfRule>
  </conditionalFormatting>
  <conditionalFormatting sqref="P24">
    <cfRule type="cellIs" dxfId="24" priority="24" operator="equal">
      <formula>"Above MAV"</formula>
    </cfRule>
    <cfRule type="cellIs" dxfId="23" priority="25" operator="equal">
      <formula>"ALERT"</formula>
    </cfRule>
  </conditionalFormatting>
  <conditionalFormatting sqref="O24">
    <cfRule type="cellIs" dxfId="22" priority="22" operator="equal">
      <formula>"Above MAV"</formula>
    </cfRule>
    <cfRule type="cellIs" dxfId="21" priority="23" operator="equal">
      <formula>"ALERT"</formula>
    </cfRule>
  </conditionalFormatting>
  <conditionalFormatting sqref="O25">
    <cfRule type="cellIs" dxfId="20" priority="20" operator="equal">
      <formula>"Above MAV"</formula>
    </cfRule>
    <cfRule type="cellIs" dxfId="19" priority="21" operator="equal">
      <formula>"ALERT"</formula>
    </cfRule>
  </conditionalFormatting>
  <conditionalFormatting sqref="P25">
    <cfRule type="cellIs" dxfId="18" priority="18" operator="equal">
      <formula>"Above MAV"</formula>
    </cfRule>
    <cfRule type="cellIs" dxfId="17" priority="19" operator="equal">
      <formula>"ALERT"</formula>
    </cfRule>
  </conditionalFormatting>
  <conditionalFormatting sqref="D12">
    <cfRule type="cellIs" dxfId="16" priority="17" operator="lessThan">
      <formula>$D$12&lt;0</formula>
    </cfRule>
  </conditionalFormatting>
  <conditionalFormatting sqref="G24">
    <cfRule type="cellIs" dxfId="15" priority="15" operator="equal">
      <formula>"Above MAV"</formula>
    </cfRule>
    <cfRule type="cellIs" dxfId="14" priority="16" operator="equal">
      <formula>"ALERT"</formula>
    </cfRule>
  </conditionalFormatting>
  <conditionalFormatting sqref="F24">
    <cfRule type="cellIs" dxfId="13" priority="13" operator="equal">
      <formula>"Above MAV"</formula>
    </cfRule>
    <cfRule type="cellIs" dxfId="12" priority="14" operator="equal">
      <formula>"ALERT"</formula>
    </cfRule>
  </conditionalFormatting>
  <conditionalFormatting sqref="F25">
    <cfRule type="cellIs" dxfId="11" priority="11" operator="equal">
      <formula>"Above MAV"</formula>
    </cfRule>
    <cfRule type="cellIs" dxfId="10" priority="12" operator="equal">
      <formula>"ALERT"</formula>
    </cfRule>
  </conditionalFormatting>
  <conditionalFormatting sqref="G25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9:F30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G29:G30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H12:I12">
    <cfRule type="containsText" dxfId="3" priority="4" operator="containsText" text="Hardness">
      <formula>NOT(ISERROR(SEARCH("Hardness",H12)))</formula>
    </cfRule>
  </conditionalFormatting>
  <conditionalFormatting sqref="Q29:Q30">
    <cfRule type="cellIs" dxfId="2" priority="2" operator="equal">
      <formula>"Above MAV"</formula>
    </cfRule>
    <cfRule type="cellIs" dxfId="1" priority="3" operator="equal">
      <formula>"ALERT"</formula>
    </cfRule>
  </conditionalFormatting>
  <conditionalFormatting sqref="L38">
    <cfRule type="containsText" dxfId="0" priority="1" operator="containsText" text="E. coli">
      <formula>NOT(ISERROR(SEARCH("E. coli",L38)))</formula>
    </cfRule>
  </conditionalFormatting>
  <dataValidations count="1">
    <dataValidation type="whole" allowBlank="1" showInputMessage="1" showErrorMessage="1" sqref="S3:S5" xr:uid="{480CA1AC-42DB-4759-A7C5-44F9147C442E}">
      <formula1>0</formula1>
      <formula2>2</formula2>
    </dataValidation>
  </dataValidations>
  <printOptions horizontalCentered="1"/>
  <pageMargins left="0" right="0" top="1.0629921259842521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B5D1CF49-421F-4A35-A601-58CC2CF0005A}">
          <x14:formula1>
            <xm:f>'Input Lookup sheet'!$B$19:$B$21</xm:f>
          </x14:formula1>
          <xm:sqref>H32</xm:sqref>
        </x14:dataValidation>
        <x14:dataValidation type="list" showInputMessage="1" showErrorMessage="1" xr:uid="{4B8C86E0-DE42-4B0C-9375-E848C8532064}">
          <x14:formula1>
            <xm:f>'Input Lookup sheet'!$B$13:$B$15</xm:f>
          </x14:formula1>
          <xm:sqref>E32</xm:sqref>
        </x14:dataValidation>
        <x14:dataValidation type="list" allowBlank="1" showInputMessage="1" showErrorMessage="1" xr:uid="{E938F206-00E7-4210-9AC5-D0ED08358659}">
          <x14:formula1>
            <xm:f>Data!$A$39:$A$47</xm:f>
          </x14:formula1>
          <xm:sqref>C5:C6 M5</xm:sqref>
        </x14:dataValidation>
        <x14:dataValidation type="list" allowBlank="1" showInputMessage="1" showErrorMessage="1" xr:uid="{B2D71D16-5648-4301-B8DE-94B570ABE927}">
          <x14:formula1>
            <xm:f>Data!$A$55:$A$65</xm:f>
          </x14:formula1>
          <xm:sqref>D29:D30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Normal="110" workbookViewId="0">
      <selection activeCell="F37" sqref="E37:F37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87" t="s">
        <v>167</v>
      </c>
      <c r="J1" s="13" t="e">
        <f>#REF!</f>
        <v>#REF!</v>
      </c>
    </row>
    <row r="2" spans="1:11" ht="22.8">
      <c r="B2" s="2" t="s">
        <v>172</v>
      </c>
      <c r="J2" s="13"/>
    </row>
    <row r="3" spans="1:11">
      <c r="J3" s="13"/>
    </row>
    <row r="4" spans="1:11" ht="22.5" customHeight="1">
      <c r="B4" s="83" t="s">
        <v>170</v>
      </c>
      <c r="C4" s="162"/>
      <c r="D4" s="162"/>
      <c r="E4" s="162"/>
      <c r="F4" s="162"/>
      <c r="G4" s="8"/>
      <c r="H4" s="83" t="s">
        <v>148</v>
      </c>
      <c r="I4" s="162"/>
      <c r="J4" s="162"/>
    </row>
    <row r="5" spans="1:11" ht="22.5" customHeight="1">
      <c r="B5" s="83" t="s">
        <v>171</v>
      </c>
      <c r="C5" s="162"/>
      <c r="D5" s="162"/>
      <c r="E5" s="162"/>
      <c r="F5" s="162"/>
      <c r="G5" s="8"/>
      <c r="H5" s="83" t="s">
        <v>56</v>
      </c>
      <c r="I5" s="162"/>
      <c r="J5" s="162"/>
    </row>
    <row r="6" spans="1:11" ht="22.5" customHeight="1">
      <c r="B6" s="83" t="s">
        <v>133</v>
      </c>
      <c r="C6" s="169"/>
      <c r="D6" s="169"/>
      <c r="E6" s="169"/>
      <c r="F6" s="169"/>
      <c r="G6" s="8"/>
      <c r="H6" s="83" t="s">
        <v>169</v>
      </c>
      <c r="I6" s="162"/>
      <c r="J6" s="162"/>
    </row>
    <row r="7" spans="1:11">
      <c r="A7" s="75"/>
      <c r="B7" s="72"/>
      <c r="C7" s="72"/>
      <c r="D7" s="74"/>
      <c r="E7" s="73"/>
      <c r="F7" s="73"/>
      <c r="G7" s="73"/>
      <c r="H7" s="73"/>
      <c r="I7" s="73"/>
      <c r="J7" s="73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4" t="s">
        <v>1</v>
      </c>
      <c r="C9" s="85" t="s">
        <v>168</v>
      </c>
      <c r="D9" s="85"/>
      <c r="E9" s="85"/>
      <c r="F9" s="85"/>
      <c r="G9" s="85"/>
      <c r="H9" s="85"/>
      <c r="I9" s="85"/>
      <c r="J9" s="85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7</v>
      </c>
      <c r="C13" s="10" t="s">
        <v>52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9</v>
      </c>
      <c r="C14" s="10" t="s">
        <v>54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108</v>
      </c>
      <c r="C15" s="10" t="s">
        <v>109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10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11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12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13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</v>
      </c>
      <c r="C21" s="10" t="s">
        <v>24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16</v>
      </c>
      <c r="C22" s="10" t="s">
        <v>24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178</v>
      </c>
      <c r="C23" s="86" t="s">
        <v>182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18</v>
      </c>
      <c r="C24" s="10" t="s">
        <v>25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159</v>
      </c>
      <c r="C25" s="10" t="s">
        <v>160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19</v>
      </c>
      <c r="C26" s="10" t="s">
        <v>55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65"/>
      <c r="C27" s="65"/>
      <c r="D27" s="67"/>
      <c r="E27" s="67"/>
      <c r="F27" s="67"/>
      <c r="G27" s="67"/>
      <c r="H27" s="67"/>
      <c r="I27" s="67"/>
      <c r="J27" s="67"/>
      <c r="K27" s="5"/>
    </row>
    <row r="28" spans="1:11">
      <c r="A28" s="4"/>
      <c r="B28" s="7" t="s">
        <v>44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45</v>
      </c>
      <c r="C29" s="57" t="s">
        <v>176</v>
      </c>
      <c r="D29" s="60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46</v>
      </c>
      <c r="C30" s="57" t="s">
        <v>176</v>
      </c>
      <c r="D30" s="60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47</v>
      </c>
      <c r="C31" s="57" t="s">
        <v>176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48</v>
      </c>
      <c r="C32" s="57" t="s">
        <v>176</v>
      </c>
      <c r="D32" s="58"/>
      <c r="E32" s="58"/>
      <c r="F32" s="58"/>
      <c r="G32" s="58"/>
      <c r="H32" s="58"/>
      <c r="I32" s="58"/>
      <c r="J32" s="59"/>
      <c r="K32" s="5"/>
    </row>
    <row r="33" spans="1:11" ht="20.25" customHeight="1">
      <c r="A33" s="4"/>
      <c r="B33" s="10" t="s">
        <v>49</v>
      </c>
      <c r="C33" s="57" t="s">
        <v>176</v>
      </c>
      <c r="D33" s="58"/>
      <c r="E33" s="58"/>
      <c r="F33" s="58"/>
      <c r="G33" s="58"/>
      <c r="H33" s="58"/>
      <c r="I33" s="58"/>
      <c r="J33" s="59"/>
      <c r="K33" s="5"/>
    </row>
    <row r="34" spans="1:11" ht="20.25" customHeight="1">
      <c r="A34" s="4"/>
      <c r="B34" s="10" t="s">
        <v>50</v>
      </c>
      <c r="C34" s="57" t="s">
        <v>176</v>
      </c>
      <c r="D34" s="58"/>
      <c r="E34" s="58"/>
      <c r="F34" s="58"/>
      <c r="G34" s="58"/>
      <c r="H34" s="58"/>
      <c r="I34" s="58"/>
      <c r="J34" s="59"/>
      <c r="K34" s="5"/>
    </row>
    <row r="35" spans="1:11" ht="20.25" customHeight="1">
      <c r="A35" s="4"/>
      <c r="B35" s="10" t="s">
        <v>51</v>
      </c>
      <c r="C35" s="57" t="s">
        <v>176</v>
      </c>
      <c r="D35" s="58"/>
      <c r="E35" s="58"/>
      <c r="F35" s="58"/>
      <c r="G35" s="58"/>
      <c r="H35" s="58"/>
      <c r="I35" s="58"/>
      <c r="J35" s="59"/>
      <c r="K35" s="5"/>
    </row>
    <row r="36" spans="1:11">
      <c r="A36" s="4"/>
      <c r="B36" s="65"/>
      <c r="C36" s="80"/>
      <c r="D36" s="80"/>
      <c r="E36" s="80"/>
      <c r="F36" s="80"/>
      <c r="G36" s="80"/>
      <c r="H36" s="80"/>
      <c r="I36" s="80"/>
      <c r="J36" s="80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85" zoomScaleNormal="110" zoomScalePageLayoutView="85" workbookViewId="0">
      <selection activeCell="C4" sqref="C4:F4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87" t="s">
        <v>167</v>
      </c>
      <c r="J1" s="13" t="e">
        <f>#REF!</f>
        <v>#REF!</v>
      </c>
    </row>
    <row r="2" spans="1:11" ht="22.8">
      <c r="B2" s="2" t="s">
        <v>173</v>
      </c>
      <c r="J2" s="13"/>
    </row>
    <row r="3" spans="1:11">
      <c r="J3" s="13"/>
    </row>
    <row r="4" spans="1:11" ht="22.5" customHeight="1">
      <c r="B4" s="83" t="s">
        <v>170</v>
      </c>
      <c r="C4" s="162"/>
      <c r="D4" s="162"/>
      <c r="E4" s="162"/>
      <c r="F4" s="162"/>
      <c r="G4" s="8"/>
      <c r="H4" s="83" t="s">
        <v>148</v>
      </c>
      <c r="I4" s="162"/>
      <c r="J4" s="162"/>
    </row>
    <row r="5" spans="1:11" ht="22.5" customHeight="1">
      <c r="B5" s="83" t="s">
        <v>171</v>
      </c>
      <c r="C5" s="162"/>
      <c r="D5" s="162"/>
      <c r="E5" s="162"/>
      <c r="F5" s="162"/>
      <c r="G5" s="8"/>
      <c r="H5" s="83" t="s">
        <v>56</v>
      </c>
      <c r="I5" s="162"/>
      <c r="J5" s="162"/>
    </row>
    <row r="6" spans="1:11" ht="22.5" customHeight="1">
      <c r="B6" s="83" t="s">
        <v>133</v>
      </c>
      <c r="C6" s="169"/>
      <c r="D6" s="169"/>
      <c r="E6" s="169"/>
      <c r="F6" s="169"/>
      <c r="G6" s="8"/>
      <c r="H6" s="83" t="s">
        <v>169</v>
      </c>
      <c r="I6" s="162"/>
      <c r="J6" s="162"/>
    </row>
    <row r="7" spans="1:11">
      <c r="A7" s="75"/>
      <c r="B7" s="72"/>
      <c r="C7" s="72"/>
      <c r="D7" s="74"/>
      <c r="E7" s="73"/>
      <c r="F7" s="73"/>
      <c r="G7" s="73"/>
      <c r="H7" s="73"/>
      <c r="I7" s="73"/>
      <c r="J7" s="73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4" t="s">
        <v>1</v>
      </c>
      <c r="C9" s="85" t="s">
        <v>168</v>
      </c>
      <c r="D9" s="85"/>
      <c r="E9" s="85"/>
      <c r="F9" s="85"/>
      <c r="G9" s="85"/>
      <c r="H9" s="85"/>
      <c r="I9" s="85"/>
      <c r="J9" s="85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18</v>
      </c>
      <c r="C17" s="10" t="s">
        <v>25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19</v>
      </c>
      <c r="C18" s="10" t="s">
        <v>55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65"/>
      <c r="C19" s="65"/>
      <c r="D19" s="67"/>
      <c r="E19" s="67"/>
      <c r="F19" s="67"/>
      <c r="G19" s="67"/>
      <c r="H19" s="67"/>
      <c r="I19" s="67"/>
      <c r="J19" s="67"/>
      <c r="K19" s="5"/>
    </row>
    <row r="20" spans="1:11">
      <c r="A20" s="4"/>
      <c r="B20" s="7" t="s">
        <v>44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45</v>
      </c>
      <c r="C21" s="57" t="s">
        <v>130</v>
      </c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46</v>
      </c>
      <c r="C22" s="57" t="s">
        <v>130</v>
      </c>
      <c r="D22" s="60"/>
      <c r="E22" s="58"/>
      <c r="F22" s="58"/>
      <c r="G22" s="58"/>
      <c r="H22" s="58"/>
      <c r="I22" s="58"/>
      <c r="J22" s="59"/>
      <c r="K22" s="5"/>
    </row>
    <row r="23" spans="1:11" ht="20.25" customHeight="1">
      <c r="A23" s="4"/>
      <c r="B23" s="10" t="s">
        <v>47</v>
      </c>
      <c r="C23" s="57" t="s">
        <v>130</v>
      </c>
      <c r="D23" s="58"/>
      <c r="E23" s="58"/>
      <c r="F23" s="58"/>
      <c r="G23" s="58"/>
      <c r="H23" s="58"/>
      <c r="I23" s="58"/>
      <c r="J23" s="59"/>
      <c r="K23" s="5"/>
    </row>
    <row r="24" spans="1:11" ht="20.25" customHeight="1">
      <c r="A24" s="4"/>
      <c r="B24" s="10" t="s">
        <v>48</v>
      </c>
      <c r="C24" s="57" t="s">
        <v>130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49</v>
      </c>
      <c r="C25" s="57" t="s">
        <v>130</v>
      </c>
      <c r="D25" s="58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50</v>
      </c>
      <c r="C26" s="57" t="s">
        <v>130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51</v>
      </c>
      <c r="C27" s="57" t="s">
        <v>130</v>
      </c>
      <c r="D27" s="58"/>
      <c r="E27" s="58"/>
      <c r="F27" s="58"/>
      <c r="G27" s="58"/>
      <c r="H27" s="58"/>
      <c r="I27" s="58"/>
      <c r="J27" s="59"/>
      <c r="K27" s="5"/>
    </row>
    <row r="28" spans="1:11">
      <c r="A28" s="4"/>
      <c r="B28" s="65"/>
      <c r="C28" s="80"/>
      <c r="D28" s="80"/>
      <c r="E28" s="80"/>
      <c r="F28" s="80"/>
      <c r="G28" s="80"/>
      <c r="H28" s="80"/>
      <c r="I28" s="80"/>
      <c r="J28" s="80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1"/>
  <sheetViews>
    <sheetView view="pageLayout" zoomScale="85" zoomScaleNormal="110" zoomScalePageLayoutView="85" workbookViewId="0">
      <selection activeCell="J26" sqref="J26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87" t="s">
        <v>167</v>
      </c>
      <c r="J1" s="13" t="e">
        <f>#REF!</f>
        <v>#REF!</v>
      </c>
    </row>
    <row r="2" spans="1:11" ht="22.8">
      <c r="B2" s="2" t="s">
        <v>22</v>
      </c>
      <c r="J2" s="13"/>
    </row>
    <row r="3" spans="1:11">
      <c r="J3" s="13"/>
    </row>
    <row r="4" spans="1:11" ht="22.5" customHeight="1">
      <c r="B4" s="83" t="s">
        <v>170</v>
      </c>
      <c r="C4" s="162"/>
      <c r="D4" s="162"/>
      <c r="E4" s="162"/>
      <c r="F4" s="162"/>
      <c r="G4" s="8"/>
      <c r="H4" s="83" t="s">
        <v>148</v>
      </c>
      <c r="I4" s="162"/>
      <c r="J4" s="162"/>
    </row>
    <row r="5" spans="1:11" ht="22.5" customHeight="1">
      <c r="B5" s="83" t="s">
        <v>171</v>
      </c>
      <c r="C5" s="162"/>
      <c r="D5" s="162"/>
      <c r="E5" s="162"/>
      <c r="F5" s="162"/>
      <c r="G5" s="8"/>
      <c r="H5" s="83" t="s">
        <v>56</v>
      </c>
      <c r="I5" s="162"/>
      <c r="J5" s="162"/>
    </row>
    <row r="6" spans="1:11" ht="22.5" customHeight="1">
      <c r="B6" s="83" t="s">
        <v>133</v>
      </c>
      <c r="C6" s="169"/>
      <c r="D6" s="169"/>
      <c r="E6" s="169"/>
      <c r="F6" s="169"/>
      <c r="G6" s="8"/>
      <c r="H6" s="83" t="s">
        <v>169</v>
      </c>
      <c r="I6" s="162"/>
      <c r="J6" s="162"/>
    </row>
    <row r="7" spans="1:11">
      <c r="A7" s="75"/>
      <c r="B7" s="72"/>
      <c r="C7" s="72"/>
      <c r="D7" s="74"/>
      <c r="E7" s="73"/>
      <c r="F7" s="73"/>
      <c r="G7" s="73"/>
      <c r="H7" s="73"/>
      <c r="I7" s="73"/>
      <c r="J7" s="73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4" t="s">
        <v>1</v>
      </c>
      <c r="C9" s="85" t="s">
        <v>168</v>
      </c>
      <c r="D9" s="85" t="s">
        <v>131</v>
      </c>
      <c r="E9" s="85" t="s">
        <v>132</v>
      </c>
      <c r="F9" s="85" t="s">
        <v>22</v>
      </c>
      <c r="G9" s="85" t="s">
        <v>28</v>
      </c>
      <c r="H9" s="85" t="s">
        <v>156</v>
      </c>
      <c r="I9" s="85" t="s">
        <v>157</v>
      </c>
      <c r="J9" s="85" t="s">
        <v>158</v>
      </c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10</v>
      </c>
      <c r="C13" s="10" t="s">
        <v>24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11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15</v>
      </c>
      <c r="C16" s="10" t="s">
        <v>24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16</v>
      </c>
      <c r="C17" s="10" t="s">
        <v>24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178</v>
      </c>
      <c r="C18" s="86" t="s">
        <v>182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18</v>
      </c>
      <c r="C19" s="10" t="s">
        <v>25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159</v>
      </c>
      <c r="C20" s="10" t="s">
        <v>160</v>
      </c>
      <c r="D20" s="15"/>
      <c r="E20" s="15"/>
      <c r="F20" s="15"/>
      <c r="G20" s="15"/>
      <c r="H20" s="15"/>
      <c r="I20" s="15"/>
      <c r="J20" s="15"/>
      <c r="K20" s="5"/>
    </row>
    <row r="21" spans="1:11" ht="22.5" customHeight="1">
      <c r="A21" s="4"/>
      <c r="B21" s="10" t="s">
        <v>19</v>
      </c>
      <c r="C21" s="10" t="s">
        <v>55</v>
      </c>
      <c r="D21" s="14"/>
      <c r="E21" s="14"/>
      <c r="F21" s="14"/>
      <c r="G21" s="14"/>
      <c r="H21" s="14"/>
      <c r="I21" s="14"/>
      <c r="J21" s="14"/>
      <c r="K21" s="5"/>
    </row>
    <row r="22" spans="1:11">
      <c r="A22" s="4"/>
      <c r="B22" s="65"/>
      <c r="C22" s="65"/>
      <c r="D22" s="67"/>
      <c r="E22" s="67"/>
      <c r="F22" s="67"/>
      <c r="G22" s="67"/>
      <c r="H22" s="67"/>
      <c r="I22" s="67"/>
      <c r="J22" s="67"/>
      <c r="K22" s="5"/>
    </row>
    <row r="23" spans="1:11">
      <c r="A23" s="4"/>
      <c r="B23" s="7" t="s">
        <v>44</v>
      </c>
      <c r="C23" s="9"/>
      <c r="D23" s="8"/>
      <c r="E23" s="8"/>
      <c r="F23" s="8"/>
      <c r="G23" s="8"/>
      <c r="H23" s="8"/>
      <c r="I23" s="8"/>
      <c r="J23" s="8"/>
      <c r="K23" s="5"/>
    </row>
    <row r="24" spans="1:11" ht="20.25" customHeight="1">
      <c r="A24" s="4"/>
      <c r="B24" s="10" t="s">
        <v>45</v>
      </c>
      <c r="C24" s="57" t="s">
        <v>130</v>
      </c>
      <c r="D24" s="58"/>
      <c r="E24" s="58"/>
      <c r="F24" s="58"/>
      <c r="G24" s="58"/>
      <c r="H24" s="58"/>
      <c r="I24" s="58"/>
      <c r="J24" s="59"/>
      <c r="K24" s="5"/>
    </row>
    <row r="25" spans="1:11" ht="20.25" customHeight="1">
      <c r="A25" s="4"/>
      <c r="B25" s="10" t="s">
        <v>46</v>
      </c>
      <c r="C25" s="57" t="s">
        <v>130</v>
      </c>
      <c r="D25" s="60"/>
      <c r="E25" s="58"/>
      <c r="F25" s="58"/>
      <c r="G25" s="58"/>
      <c r="H25" s="58"/>
      <c r="I25" s="58"/>
      <c r="J25" s="59"/>
      <c r="K25" s="5"/>
    </row>
    <row r="26" spans="1:11" ht="20.25" customHeight="1">
      <c r="A26" s="4"/>
      <c r="B26" s="10" t="s">
        <v>47</v>
      </c>
      <c r="C26" s="57" t="s">
        <v>130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48</v>
      </c>
      <c r="C27" s="57" t="s">
        <v>130</v>
      </c>
      <c r="D27" s="58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49</v>
      </c>
      <c r="C28" s="57" t="s">
        <v>130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50</v>
      </c>
      <c r="C29" s="57" t="s">
        <v>130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51</v>
      </c>
      <c r="C30" s="57" t="s">
        <v>130</v>
      </c>
      <c r="D30" s="58"/>
      <c r="E30" s="58"/>
      <c r="F30" s="58"/>
      <c r="G30" s="58"/>
      <c r="H30" s="58"/>
      <c r="I30" s="58"/>
      <c r="J30" s="59"/>
      <c r="K30" s="5"/>
    </row>
    <row r="31" spans="1:11">
      <c r="A31" s="4"/>
      <c r="B31" s="65"/>
      <c r="C31" s="80"/>
      <c r="D31" s="80"/>
      <c r="E31" s="80"/>
      <c r="F31" s="80"/>
      <c r="G31" s="80"/>
      <c r="H31" s="80"/>
      <c r="I31" s="80"/>
      <c r="J31" s="80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12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85" zoomScaleNormal="110" zoomScalePageLayoutView="85" workbookViewId="0">
      <selection activeCell="C4" sqref="C4:F4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87" t="s">
        <v>167</v>
      </c>
      <c r="J1" s="13" t="e">
        <f>#REF!</f>
        <v>#REF!</v>
      </c>
    </row>
    <row r="2" spans="1:11" ht="22.8">
      <c r="B2" s="2" t="s">
        <v>174</v>
      </c>
      <c r="J2" s="13"/>
    </row>
    <row r="3" spans="1:11">
      <c r="J3" s="13"/>
    </row>
    <row r="4" spans="1:11" ht="22.5" customHeight="1">
      <c r="B4" s="83" t="s">
        <v>170</v>
      </c>
      <c r="C4" s="162"/>
      <c r="D4" s="162"/>
      <c r="E4" s="162"/>
      <c r="F4" s="162"/>
      <c r="G4" s="8"/>
      <c r="H4" s="83" t="s">
        <v>148</v>
      </c>
      <c r="I4" s="162"/>
      <c r="J4" s="162"/>
    </row>
    <row r="5" spans="1:11" ht="22.5" customHeight="1">
      <c r="B5" s="83" t="s">
        <v>171</v>
      </c>
      <c r="C5" s="162"/>
      <c r="D5" s="162"/>
      <c r="E5" s="162"/>
      <c r="F5" s="162"/>
      <c r="G5" s="8"/>
      <c r="H5" s="83" t="s">
        <v>56</v>
      </c>
      <c r="I5" s="162"/>
      <c r="J5" s="162"/>
    </row>
    <row r="6" spans="1:11" ht="22.5" customHeight="1">
      <c r="B6" s="83" t="s">
        <v>133</v>
      </c>
      <c r="C6" s="169"/>
      <c r="D6" s="169"/>
      <c r="E6" s="169"/>
      <c r="F6" s="169"/>
      <c r="G6" s="8"/>
      <c r="H6" s="83" t="s">
        <v>169</v>
      </c>
      <c r="I6" s="162"/>
      <c r="J6" s="162"/>
    </row>
    <row r="7" spans="1:11">
      <c r="A7" s="75"/>
      <c r="B7" s="72"/>
      <c r="C7" s="72"/>
      <c r="D7" s="74"/>
      <c r="E7" s="73"/>
      <c r="F7" s="73"/>
      <c r="G7" s="73"/>
      <c r="H7" s="73"/>
      <c r="I7" s="73"/>
      <c r="J7" s="73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4" t="s">
        <v>1</v>
      </c>
      <c r="C9" s="85" t="s">
        <v>168</v>
      </c>
      <c r="D9" s="85"/>
      <c r="E9" s="85"/>
      <c r="F9" s="85"/>
      <c r="G9" s="85"/>
      <c r="H9" s="85"/>
      <c r="I9" s="85"/>
      <c r="J9" s="85"/>
      <c r="K9" s="5"/>
    </row>
    <row r="10" spans="1:11" ht="22.5" customHeight="1">
      <c r="A10" s="4"/>
      <c r="B10" s="10" t="s">
        <v>30</v>
      </c>
      <c r="C10" s="10" t="s">
        <v>29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31</v>
      </c>
      <c r="C11" s="10" t="s">
        <v>29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32</v>
      </c>
      <c r="C12" s="10" t="s">
        <v>34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33</v>
      </c>
      <c r="C13" s="10" t="s">
        <v>34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65"/>
      <c r="C14" s="65"/>
      <c r="D14" s="67"/>
      <c r="E14" s="67"/>
      <c r="F14" s="67"/>
      <c r="G14" s="67"/>
      <c r="H14" s="67"/>
      <c r="I14" s="67"/>
      <c r="J14" s="67"/>
      <c r="K14" s="5"/>
    </row>
    <row r="15" spans="1:11">
      <c r="A15" s="4"/>
      <c r="B15" s="7" t="s">
        <v>44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45</v>
      </c>
      <c r="C16" s="57"/>
      <c r="D16" s="58"/>
      <c r="E16" s="58"/>
      <c r="F16" s="58"/>
      <c r="G16" s="58"/>
      <c r="H16" s="58"/>
      <c r="I16" s="58"/>
      <c r="J16" s="59"/>
      <c r="K16" s="5"/>
    </row>
    <row r="17" spans="1:11" ht="20.25" customHeight="1">
      <c r="A17" s="4"/>
      <c r="B17" s="10" t="s">
        <v>46</v>
      </c>
      <c r="C17" s="57"/>
      <c r="D17" s="60"/>
      <c r="E17" s="58"/>
      <c r="F17" s="58"/>
      <c r="G17" s="58"/>
      <c r="H17" s="58"/>
      <c r="I17" s="58"/>
      <c r="J17" s="59"/>
      <c r="K17" s="5"/>
    </row>
    <row r="18" spans="1:11" ht="20.25" customHeight="1">
      <c r="A18" s="4"/>
      <c r="B18" s="10" t="s">
        <v>47</v>
      </c>
      <c r="C18" s="57"/>
      <c r="D18" s="58"/>
      <c r="E18" s="58"/>
      <c r="F18" s="58"/>
      <c r="G18" s="58"/>
      <c r="H18" s="58"/>
      <c r="I18" s="58"/>
      <c r="J18" s="59"/>
      <c r="K18" s="5"/>
    </row>
    <row r="19" spans="1:11" ht="20.25" customHeight="1">
      <c r="A19" s="4"/>
      <c r="B19" s="10" t="s">
        <v>48</v>
      </c>
      <c r="C19" s="57"/>
      <c r="D19" s="58"/>
      <c r="E19" s="58"/>
      <c r="F19" s="58"/>
      <c r="G19" s="58"/>
      <c r="H19" s="58"/>
      <c r="I19" s="58"/>
      <c r="J19" s="59"/>
      <c r="K19" s="5"/>
    </row>
    <row r="20" spans="1:11" ht="20.25" customHeight="1">
      <c r="A20" s="4"/>
      <c r="B20" s="10" t="s">
        <v>49</v>
      </c>
      <c r="C20" s="57"/>
      <c r="D20" s="58"/>
      <c r="E20" s="58"/>
      <c r="F20" s="58"/>
      <c r="G20" s="58"/>
      <c r="H20" s="58"/>
      <c r="I20" s="58"/>
      <c r="J20" s="59"/>
      <c r="K20" s="5"/>
    </row>
    <row r="21" spans="1:11" ht="20.25" customHeight="1">
      <c r="A21" s="4"/>
      <c r="B21" s="10" t="s">
        <v>50</v>
      </c>
      <c r="C21" s="57"/>
      <c r="D21" s="58"/>
      <c r="E21" s="58"/>
      <c r="F21" s="58"/>
      <c r="G21" s="58"/>
      <c r="H21" s="58"/>
      <c r="I21" s="58"/>
      <c r="J21" s="59"/>
      <c r="K21" s="5"/>
    </row>
    <row r="22" spans="1:11" ht="20.25" customHeight="1">
      <c r="A22" s="4"/>
      <c r="B22" s="10" t="s">
        <v>51</v>
      </c>
      <c r="C22" s="57"/>
      <c r="D22" s="58"/>
      <c r="E22" s="58"/>
      <c r="F22" s="58"/>
      <c r="G22" s="58"/>
      <c r="H22" s="58"/>
      <c r="I22" s="58"/>
      <c r="J22" s="59"/>
      <c r="K22" s="5"/>
    </row>
    <row r="23" spans="1:11">
      <c r="A23" s="4"/>
      <c r="B23" s="65"/>
      <c r="C23" s="80"/>
      <c r="D23" s="80"/>
      <c r="E23" s="80"/>
      <c r="F23" s="80"/>
      <c r="G23" s="80"/>
      <c r="H23" s="80"/>
      <c r="I23" s="80"/>
      <c r="J23" s="80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topLeftCell="A7" zoomScale="85" zoomScaleNormal="110" zoomScalePageLayoutView="85" workbookViewId="0">
      <selection activeCell="C4" sqref="C4:F4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87" t="s">
        <v>167</v>
      </c>
      <c r="J1" s="13" t="e">
        <f>#REF!</f>
        <v>#REF!</v>
      </c>
    </row>
    <row r="2" spans="1:11" ht="22.8">
      <c r="B2" s="2" t="s">
        <v>175</v>
      </c>
      <c r="J2" s="13"/>
    </row>
    <row r="3" spans="1:11">
      <c r="J3" s="13"/>
    </row>
    <row r="4" spans="1:11" ht="22.5" customHeight="1">
      <c r="B4" s="83" t="s">
        <v>170</v>
      </c>
      <c r="C4" s="162"/>
      <c r="D4" s="162"/>
      <c r="E4" s="162"/>
      <c r="F4" s="162"/>
      <c r="G4" s="8"/>
      <c r="H4" s="83" t="s">
        <v>148</v>
      </c>
      <c r="I4" s="162"/>
      <c r="J4" s="162"/>
    </row>
    <row r="5" spans="1:11" ht="22.5" customHeight="1">
      <c r="B5" s="83" t="s">
        <v>171</v>
      </c>
      <c r="C5" s="162"/>
      <c r="D5" s="162"/>
      <c r="E5" s="162"/>
      <c r="F5" s="162"/>
      <c r="G5" s="8"/>
      <c r="H5" s="83" t="s">
        <v>56</v>
      </c>
      <c r="I5" s="162"/>
      <c r="J5" s="162"/>
    </row>
    <row r="6" spans="1:11" ht="22.5" customHeight="1">
      <c r="B6" s="83" t="s">
        <v>133</v>
      </c>
      <c r="C6" s="169" t="s">
        <v>147</v>
      </c>
      <c r="D6" s="169"/>
      <c r="E6" s="169"/>
      <c r="F6" s="169"/>
      <c r="G6" s="8"/>
      <c r="H6" s="83" t="s">
        <v>169</v>
      </c>
      <c r="I6" s="162"/>
      <c r="J6" s="162"/>
    </row>
    <row r="7" spans="1:11">
      <c r="A7" s="75"/>
      <c r="B7" s="72"/>
      <c r="C7" s="72"/>
      <c r="D7" s="74"/>
      <c r="E7" s="73"/>
      <c r="F7" s="73"/>
      <c r="G7" s="73"/>
      <c r="H7" s="73"/>
      <c r="I7" s="73"/>
      <c r="J7" s="73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84" t="s">
        <v>1</v>
      </c>
      <c r="C9" s="85" t="s">
        <v>168</v>
      </c>
      <c r="D9" s="85"/>
      <c r="E9" s="85"/>
      <c r="F9" s="85"/>
      <c r="G9" s="85"/>
      <c r="H9" s="85"/>
      <c r="I9" s="85"/>
      <c r="J9" s="85"/>
      <c r="K9" s="5"/>
    </row>
    <row r="10" spans="1:11" ht="22.5" customHeight="1">
      <c r="A10" s="4"/>
      <c r="B10" s="10" t="s">
        <v>3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5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6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9</v>
      </c>
      <c r="C13" s="10" t="s">
        <v>54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10</v>
      </c>
      <c r="C14" s="10" t="s">
        <v>24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11</v>
      </c>
      <c r="C15" s="10" t="s">
        <v>24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12</v>
      </c>
      <c r="C16" s="10" t="s">
        <v>24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</v>
      </c>
      <c r="C17" s="10" t="s">
        <v>24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15</v>
      </c>
      <c r="C18" s="10" t="s">
        <v>24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178</v>
      </c>
      <c r="C19" s="86" t="s">
        <v>182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18</v>
      </c>
      <c r="C20" s="10" t="s">
        <v>25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159</v>
      </c>
      <c r="C21" s="10" t="s">
        <v>160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19</v>
      </c>
      <c r="C22" s="10" t="s">
        <v>55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20</v>
      </c>
      <c r="C23" s="10" t="s">
        <v>24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65"/>
      <c r="C24" s="65"/>
      <c r="D24" s="67"/>
      <c r="E24" s="67"/>
      <c r="F24" s="67"/>
      <c r="G24" s="67"/>
      <c r="H24" s="67"/>
      <c r="I24" s="67"/>
      <c r="J24" s="67"/>
      <c r="K24" s="5"/>
    </row>
    <row r="25" spans="1:11">
      <c r="A25" s="4"/>
      <c r="B25" s="7" t="s">
        <v>44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45</v>
      </c>
      <c r="C26" s="57" t="s">
        <v>130</v>
      </c>
      <c r="D26" s="58"/>
      <c r="E26" s="58"/>
      <c r="F26" s="58"/>
      <c r="G26" s="58"/>
      <c r="H26" s="58"/>
      <c r="I26" s="58"/>
      <c r="J26" s="59"/>
      <c r="K26" s="5"/>
    </row>
    <row r="27" spans="1:11" ht="20.25" customHeight="1">
      <c r="A27" s="4"/>
      <c r="B27" s="10" t="s">
        <v>46</v>
      </c>
      <c r="C27" s="57" t="s">
        <v>130</v>
      </c>
      <c r="D27" s="60"/>
      <c r="E27" s="58"/>
      <c r="F27" s="58"/>
      <c r="G27" s="58"/>
      <c r="H27" s="58"/>
      <c r="I27" s="58"/>
      <c r="J27" s="59"/>
      <c r="K27" s="5"/>
    </row>
    <row r="28" spans="1:11" ht="20.25" customHeight="1">
      <c r="A28" s="4"/>
      <c r="B28" s="10" t="s">
        <v>47</v>
      </c>
      <c r="C28" s="57" t="s">
        <v>130</v>
      </c>
      <c r="D28" s="58"/>
      <c r="E28" s="58"/>
      <c r="F28" s="58"/>
      <c r="G28" s="58"/>
      <c r="H28" s="58"/>
      <c r="I28" s="58"/>
      <c r="J28" s="59"/>
      <c r="K28" s="5"/>
    </row>
    <row r="29" spans="1:11" ht="20.25" customHeight="1">
      <c r="A29" s="4"/>
      <c r="B29" s="10" t="s">
        <v>48</v>
      </c>
      <c r="C29" s="57" t="s">
        <v>130</v>
      </c>
      <c r="D29" s="58"/>
      <c r="E29" s="58"/>
      <c r="F29" s="58"/>
      <c r="G29" s="58"/>
      <c r="H29" s="58"/>
      <c r="I29" s="58"/>
      <c r="J29" s="59"/>
      <c r="K29" s="5"/>
    </row>
    <row r="30" spans="1:11" ht="20.25" customHeight="1">
      <c r="A30" s="4"/>
      <c r="B30" s="10" t="s">
        <v>49</v>
      </c>
      <c r="C30" s="57" t="s">
        <v>130</v>
      </c>
      <c r="D30" s="58"/>
      <c r="E30" s="58"/>
      <c r="F30" s="58"/>
      <c r="G30" s="58"/>
      <c r="H30" s="58"/>
      <c r="I30" s="58"/>
      <c r="J30" s="59"/>
      <c r="K30" s="5"/>
    </row>
    <row r="31" spans="1:11" ht="20.25" customHeight="1">
      <c r="A31" s="4"/>
      <c r="B31" s="10" t="s">
        <v>50</v>
      </c>
      <c r="C31" s="57" t="s">
        <v>130</v>
      </c>
      <c r="D31" s="58"/>
      <c r="E31" s="58"/>
      <c r="F31" s="58"/>
      <c r="G31" s="58"/>
      <c r="H31" s="58"/>
      <c r="I31" s="58"/>
      <c r="J31" s="59"/>
      <c r="K31" s="5"/>
    </row>
    <row r="32" spans="1:11" ht="20.25" customHeight="1">
      <c r="A32" s="4"/>
      <c r="B32" s="10" t="s">
        <v>51</v>
      </c>
      <c r="C32" s="57" t="s">
        <v>130</v>
      </c>
      <c r="D32" s="58"/>
      <c r="E32" s="58"/>
      <c r="F32" s="58"/>
      <c r="G32" s="58"/>
      <c r="H32" s="58"/>
      <c r="I32" s="58"/>
      <c r="J32" s="59"/>
      <c r="K32" s="5"/>
    </row>
    <row r="33" spans="1:11">
      <c r="A33" s="4"/>
      <c r="B33" s="65"/>
      <c r="C33" s="80"/>
      <c r="D33" s="80"/>
      <c r="E33" s="80"/>
      <c r="F33" s="80"/>
      <c r="G33" s="80"/>
      <c r="H33" s="80"/>
      <c r="I33" s="80"/>
      <c r="J33" s="80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55" zoomScaleNormal="110" zoomScalePageLayoutView="55" workbookViewId="0">
      <selection activeCell="Q32" sqref="Q32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2" t="s">
        <v>167</v>
      </c>
      <c r="J1" s="13" t="e">
        <f>#REF!</f>
        <v>#REF!</v>
      </c>
    </row>
    <row r="2" spans="1:11">
      <c r="J2" s="13"/>
    </row>
    <row r="3" spans="1:11" ht="22.5" customHeight="1">
      <c r="B3" s="83" t="s">
        <v>170</v>
      </c>
      <c r="C3" s="162"/>
      <c r="D3" s="162"/>
      <c r="E3" s="162"/>
      <c r="F3" s="162"/>
      <c r="G3" s="8"/>
      <c r="H3" s="83" t="s">
        <v>148</v>
      </c>
      <c r="I3" s="162"/>
      <c r="J3" s="162"/>
    </row>
    <row r="4" spans="1:11" ht="22.5" customHeight="1">
      <c r="B4" s="83" t="s">
        <v>171</v>
      </c>
      <c r="C4" s="162"/>
      <c r="D4" s="162"/>
      <c r="E4" s="162"/>
      <c r="F4" s="162"/>
      <c r="G4" s="8"/>
      <c r="H4" s="83" t="s">
        <v>56</v>
      </c>
      <c r="I4" s="162"/>
      <c r="J4" s="162"/>
    </row>
    <row r="5" spans="1:11" ht="22.5" customHeight="1">
      <c r="B5" s="83" t="s">
        <v>133</v>
      </c>
      <c r="C5" s="169"/>
      <c r="D5" s="169"/>
      <c r="E5" s="169"/>
      <c r="F5" s="169"/>
      <c r="G5" s="8"/>
      <c r="H5" s="83" t="s">
        <v>169</v>
      </c>
      <c r="I5" s="162"/>
      <c r="J5" s="162"/>
    </row>
    <row r="6" spans="1:11">
      <c r="A6" s="75"/>
      <c r="B6" s="72"/>
      <c r="C6" s="72"/>
      <c r="D6" s="74"/>
      <c r="E6" s="73"/>
      <c r="F6" s="73"/>
      <c r="G6" s="73"/>
      <c r="H6" s="73"/>
      <c r="I6" s="73"/>
      <c r="J6" s="73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4" t="s">
        <v>1</v>
      </c>
      <c r="C8" s="85" t="s">
        <v>168</v>
      </c>
      <c r="D8" s="85"/>
      <c r="E8" s="85"/>
      <c r="F8" s="85"/>
      <c r="G8" s="85"/>
      <c r="H8" s="85"/>
      <c r="I8" s="85"/>
      <c r="J8" s="85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108</v>
      </c>
      <c r="C17" s="10" t="s">
        <v>109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178</v>
      </c>
      <c r="C25" s="10" t="s">
        <v>179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178</v>
      </c>
      <c r="C26" s="10" t="s">
        <v>180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159</v>
      </c>
      <c r="C28" s="10" t="s">
        <v>160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1"/>
      <c r="E31" s="81"/>
      <c r="F31" s="81"/>
      <c r="G31" s="81"/>
      <c r="H31" s="81"/>
      <c r="I31" s="81"/>
      <c r="J31" s="81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65"/>
      <c r="C37" s="65"/>
      <c r="D37" s="67"/>
      <c r="E37" s="67"/>
      <c r="F37" s="67"/>
      <c r="G37" s="67"/>
      <c r="H37" s="67"/>
      <c r="I37" s="67"/>
      <c r="J37" s="67"/>
      <c r="K37" s="5"/>
    </row>
    <row r="38" spans="1:11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45</v>
      </c>
      <c r="C39" s="57" t="s">
        <v>176</v>
      </c>
      <c r="D39" s="58"/>
      <c r="E39" s="58"/>
      <c r="F39" s="58"/>
      <c r="G39" s="58"/>
      <c r="H39" s="58"/>
      <c r="I39" s="58"/>
      <c r="J39" s="59"/>
      <c r="K39" s="5"/>
    </row>
    <row r="40" spans="1:11" ht="20.25" customHeight="1">
      <c r="A40" s="4"/>
      <c r="B40" s="10" t="s">
        <v>46</v>
      </c>
      <c r="C40" s="57" t="s">
        <v>176</v>
      </c>
      <c r="D40" s="60"/>
      <c r="E40" s="58"/>
      <c r="F40" s="58"/>
      <c r="G40" s="58"/>
      <c r="H40" s="58"/>
      <c r="I40" s="58"/>
      <c r="J40" s="59"/>
      <c r="K40" s="5"/>
    </row>
    <row r="41" spans="1:11" ht="20.25" customHeight="1">
      <c r="A41" s="4"/>
      <c r="B41" s="10" t="s">
        <v>47</v>
      </c>
      <c r="C41" s="57" t="s">
        <v>176</v>
      </c>
      <c r="D41" s="58"/>
      <c r="E41" s="58"/>
      <c r="F41" s="58"/>
      <c r="G41" s="58"/>
      <c r="H41" s="58"/>
      <c r="I41" s="58"/>
      <c r="J41" s="59"/>
      <c r="K41" s="5"/>
    </row>
    <row r="42" spans="1:11" ht="20.25" customHeight="1">
      <c r="A42" s="4"/>
      <c r="B42" s="10" t="s">
        <v>48</v>
      </c>
      <c r="C42" s="57" t="s">
        <v>176</v>
      </c>
      <c r="D42" s="58"/>
      <c r="E42" s="58"/>
      <c r="F42" s="58"/>
      <c r="G42" s="58"/>
      <c r="H42" s="58"/>
      <c r="I42" s="58"/>
      <c r="J42" s="59"/>
      <c r="K42" s="5"/>
    </row>
    <row r="43" spans="1:11" ht="20.25" customHeight="1">
      <c r="A43" s="4"/>
      <c r="B43" s="10" t="s">
        <v>49</v>
      </c>
      <c r="C43" s="57" t="s">
        <v>176</v>
      </c>
      <c r="D43" s="58"/>
      <c r="E43" s="58"/>
      <c r="F43" s="58"/>
      <c r="G43" s="58"/>
      <c r="H43" s="58"/>
      <c r="I43" s="58"/>
      <c r="J43" s="59"/>
      <c r="K43" s="5"/>
    </row>
    <row r="44" spans="1:11" ht="20.25" customHeight="1">
      <c r="A44" s="4"/>
      <c r="B44" s="10" t="s">
        <v>50</v>
      </c>
      <c r="C44" s="57" t="s">
        <v>176</v>
      </c>
      <c r="D44" s="58"/>
      <c r="E44" s="58"/>
      <c r="F44" s="58"/>
      <c r="G44" s="58"/>
      <c r="H44" s="58"/>
      <c r="I44" s="58"/>
      <c r="J44" s="59"/>
      <c r="K44" s="5"/>
    </row>
    <row r="45" spans="1:11" ht="20.25" customHeight="1">
      <c r="A45" s="4"/>
      <c r="B45" s="10" t="s">
        <v>51</v>
      </c>
      <c r="C45" s="57" t="s">
        <v>176</v>
      </c>
      <c r="D45" s="58"/>
      <c r="E45" s="58"/>
      <c r="F45" s="58"/>
      <c r="G45" s="58"/>
      <c r="H45" s="58"/>
      <c r="I45" s="58"/>
      <c r="J45" s="59"/>
      <c r="K45" s="5"/>
    </row>
    <row r="46" spans="1:11">
      <c r="A46" s="4"/>
      <c r="B46" s="65"/>
      <c r="C46" s="80"/>
      <c r="D46" s="80"/>
      <c r="E46" s="80"/>
      <c r="F46" s="80"/>
      <c r="G46" s="80"/>
      <c r="H46" s="80"/>
      <c r="I46" s="80"/>
      <c r="J46" s="80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7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6"/>
  <sheetViews>
    <sheetView topLeftCell="A34" workbookViewId="0"/>
  </sheetViews>
  <sheetFormatPr defaultRowHeight="14.4"/>
  <cols>
    <col min="7" max="7" width="6.109375" customWidth="1"/>
    <col min="8" max="8" width="6.5546875" customWidth="1"/>
    <col min="9" max="9" width="9.109375" style="6"/>
  </cols>
  <sheetData>
    <row r="1" spans="1:9">
      <c r="A1" t="s">
        <v>21</v>
      </c>
    </row>
    <row r="2" spans="1:9">
      <c r="E2" t="s">
        <v>184</v>
      </c>
    </row>
    <row r="3" spans="1:9">
      <c r="A3" t="s">
        <v>35</v>
      </c>
    </row>
    <row r="4" spans="1:9">
      <c r="A4" s="6" t="s">
        <v>23</v>
      </c>
      <c r="F4" s="6"/>
      <c r="H4" s="6"/>
    </row>
    <row r="5" spans="1:9">
      <c r="A5" s="6" t="s">
        <v>36</v>
      </c>
      <c r="F5" s="6"/>
      <c r="H5" s="6"/>
    </row>
    <row r="6" spans="1:9">
      <c r="A6" s="6" t="s">
        <v>39</v>
      </c>
      <c r="F6" s="6"/>
      <c r="H6" s="6"/>
    </row>
    <row r="7" spans="1:9">
      <c r="H7" s="6"/>
    </row>
    <row r="9" spans="1:9">
      <c r="H9" s="6"/>
    </row>
    <row r="10" spans="1:9" s="36" customFormat="1">
      <c r="H10" s="37"/>
      <c r="I10" s="37"/>
    </row>
    <row r="11" spans="1:9">
      <c r="A11" t="s">
        <v>37</v>
      </c>
      <c r="C11" s="6"/>
      <c r="H11" s="6"/>
    </row>
    <row r="12" spans="1:9">
      <c r="A12">
        <v>0.01</v>
      </c>
      <c r="B12" s="6" t="s">
        <v>40</v>
      </c>
      <c r="C12" s="6"/>
      <c r="D12" t="s">
        <v>10</v>
      </c>
      <c r="G12" s="16"/>
      <c r="H12" s="6"/>
    </row>
    <row r="13" spans="1:9">
      <c r="B13" s="6"/>
      <c r="C13" s="6"/>
      <c r="D13" t="s">
        <v>11</v>
      </c>
      <c r="G13" s="16"/>
      <c r="H13" s="6"/>
    </row>
    <row r="14" spans="1:9">
      <c r="B14" s="6"/>
      <c r="C14" s="6"/>
      <c r="D14" t="s">
        <v>12</v>
      </c>
    </row>
    <row r="15" spans="1:9">
      <c r="B15" s="6"/>
      <c r="C15" s="6"/>
      <c r="D15" t="s">
        <v>13</v>
      </c>
      <c r="H15" s="6"/>
    </row>
    <row r="16" spans="1:9">
      <c r="C16" s="6"/>
      <c r="H16" s="6"/>
    </row>
    <row r="17" spans="1:8">
      <c r="A17">
        <v>0.05</v>
      </c>
      <c r="B17" s="6" t="s">
        <v>41</v>
      </c>
      <c r="C17" s="6"/>
      <c r="D17" t="s">
        <v>18</v>
      </c>
      <c r="H17" s="6"/>
    </row>
    <row r="18" spans="1:8">
      <c r="B18" s="6"/>
      <c r="C18" s="6"/>
    </row>
    <row r="19" spans="1:8">
      <c r="A19" s="16">
        <v>0.1</v>
      </c>
      <c r="B19" s="6" t="s">
        <v>42</v>
      </c>
      <c r="C19" s="6"/>
      <c r="D19" t="s">
        <v>27</v>
      </c>
      <c r="H19" s="6"/>
    </row>
    <row r="20" spans="1:8">
      <c r="A20" s="16"/>
      <c r="B20" s="6"/>
      <c r="C20" s="6"/>
      <c r="D20" t="s">
        <v>20</v>
      </c>
      <c r="H20" s="6"/>
    </row>
    <row r="21" spans="1:8">
      <c r="C21" s="6"/>
    </row>
    <row r="22" spans="1:8">
      <c r="A22">
        <v>1</v>
      </c>
      <c r="B22" s="6" t="s">
        <v>39</v>
      </c>
      <c r="C22" s="6"/>
      <c r="D22" t="s">
        <v>9</v>
      </c>
      <c r="H22" s="6"/>
    </row>
    <row r="23" spans="1:8">
      <c r="B23" s="6"/>
      <c r="C23" s="6"/>
      <c r="D23" t="s">
        <v>15</v>
      </c>
      <c r="H23" s="6"/>
    </row>
    <row r="24" spans="1:8">
      <c r="B24" s="6"/>
      <c r="C24" s="6"/>
      <c r="D24" t="s">
        <v>16</v>
      </c>
      <c r="H24" s="6"/>
    </row>
    <row r="25" spans="1:8">
      <c r="C25" s="6"/>
      <c r="H25" s="6"/>
    </row>
    <row r="26" spans="1:8">
      <c r="A26">
        <v>1.1000000000000001</v>
      </c>
      <c r="B26" s="6" t="s">
        <v>43</v>
      </c>
      <c r="C26" s="6"/>
      <c r="D26" t="s">
        <v>32</v>
      </c>
      <c r="H26" s="6"/>
    </row>
    <row r="27" spans="1:8">
      <c r="B27" s="6"/>
      <c r="C27" s="6"/>
      <c r="D27" t="s">
        <v>33</v>
      </c>
      <c r="H27" s="6"/>
    </row>
    <row r="28" spans="1:8">
      <c r="C28" s="6"/>
      <c r="H28" s="6"/>
    </row>
    <row r="29" spans="1:8">
      <c r="A29">
        <v>5</v>
      </c>
      <c r="B29" s="6" t="s">
        <v>38</v>
      </c>
      <c r="C29" s="6"/>
      <c r="D29" t="s">
        <v>5</v>
      </c>
      <c r="H29" s="6"/>
    </row>
    <row r="30" spans="1:8">
      <c r="B30" s="6"/>
      <c r="C30" s="6"/>
      <c r="D30" t="s">
        <v>6</v>
      </c>
      <c r="H30" s="6"/>
    </row>
    <row r="31" spans="1:8">
      <c r="B31" s="6"/>
      <c r="C31" s="6"/>
      <c r="D31" t="s">
        <v>7</v>
      </c>
      <c r="H31" s="6"/>
    </row>
    <row r="32" spans="1:8">
      <c r="B32" s="6"/>
      <c r="C32" s="6"/>
      <c r="D32" t="s">
        <v>8</v>
      </c>
      <c r="H32" s="6"/>
    </row>
    <row r="33" spans="1:9">
      <c r="B33" s="6"/>
      <c r="C33" s="6"/>
      <c r="D33" t="s">
        <v>14</v>
      </c>
      <c r="H33" s="6"/>
    </row>
    <row r="34" spans="1:9">
      <c r="B34" s="6"/>
      <c r="C34" s="6"/>
      <c r="D34" t="s">
        <v>4</v>
      </c>
    </row>
    <row r="35" spans="1:9">
      <c r="B35" s="6"/>
      <c r="C35" s="6"/>
      <c r="D35" t="s">
        <v>19</v>
      </c>
    </row>
    <row r="36" spans="1:9" s="36" customFormat="1">
      <c r="I36" s="37"/>
    </row>
    <row r="38" spans="1:9">
      <c r="A38" t="s">
        <v>133</v>
      </c>
    </row>
    <row r="39" spans="1:9">
      <c r="A39" t="s">
        <v>134</v>
      </c>
    </row>
    <row r="40" spans="1:9">
      <c r="A40" t="s">
        <v>135</v>
      </c>
    </row>
    <row r="41" spans="1:9">
      <c r="A41" t="s">
        <v>136</v>
      </c>
    </row>
    <row r="42" spans="1:9">
      <c r="A42" t="s">
        <v>138</v>
      </c>
    </row>
    <row r="43" spans="1:9">
      <c r="A43" t="s">
        <v>139</v>
      </c>
    </row>
    <row r="44" spans="1:9">
      <c r="A44" t="s">
        <v>140</v>
      </c>
    </row>
    <row r="45" spans="1:9">
      <c r="A45" t="s">
        <v>141</v>
      </c>
    </row>
    <row r="46" spans="1:9" s="51" customFormat="1">
      <c r="A46" s="51" t="s">
        <v>147</v>
      </c>
      <c r="I46" s="6"/>
    </row>
    <row r="47" spans="1:9">
      <c r="A47" t="s">
        <v>137</v>
      </c>
    </row>
    <row r="49" spans="1:9" s="51" customFormat="1">
      <c r="A49" s="51" t="s">
        <v>145</v>
      </c>
      <c r="I49" s="6"/>
    </row>
    <row r="50" spans="1:9" s="51" customFormat="1">
      <c r="A50" s="56" t="s">
        <v>144</v>
      </c>
      <c r="I50" s="6"/>
    </row>
    <row r="51" spans="1:9">
      <c r="A51" s="56" t="s">
        <v>142</v>
      </c>
    </row>
    <row r="52" spans="1:9">
      <c r="A52" s="64" t="s">
        <v>143</v>
      </c>
    </row>
    <row r="54" spans="1:9">
      <c r="A54" t="s">
        <v>164</v>
      </c>
      <c r="B54" t="s">
        <v>166</v>
      </c>
    </row>
    <row r="55" spans="1:9">
      <c r="A55" s="82" t="s">
        <v>43</v>
      </c>
      <c r="B55">
        <v>0</v>
      </c>
    </row>
    <row r="56" spans="1:9">
      <c r="A56">
        <v>1.1000000000000001</v>
      </c>
      <c r="B56">
        <v>1</v>
      </c>
    </row>
    <row r="57" spans="1:9">
      <c r="A57">
        <v>2.2000000000000002</v>
      </c>
      <c r="B57">
        <v>2</v>
      </c>
    </row>
    <row r="58" spans="1:9">
      <c r="A58">
        <v>3.6</v>
      </c>
      <c r="B58" s="51">
        <v>3</v>
      </c>
    </row>
    <row r="59" spans="1:9">
      <c r="A59">
        <v>5.0999999999999996</v>
      </c>
      <c r="B59" s="51">
        <v>4</v>
      </c>
    </row>
    <row r="60" spans="1:9">
      <c r="A60">
        <v>6.9</v>
      </c>
      <c r="B60" s="51">
        <v>5</v>
      </c>
    </row>
    <row r="61" spans="1:9">
      <c r="A61">
        <v>9.1999999999999993</v>
      </c>
      <c r="B61" s="51">
        <v>6</v>
      </c>
    </row>
    <row r="62" spans="1:9">
      <c r="A62">
        <v>12</v>
      </c>
      <c r="B62" s="51">
        <v>7</v>
      </c>
    </row>
    <row r="63" spans="1:9">
      <c r="A63">
        <v>16</v>
      </c>
      <c r="B63" s="51">
        <v>8</v>
      </c>
    </row>
    <row r="64" spans="1:9">
      <c r="A64">
        <v>23</v>
      </c>
      <c r="B64" s="51">
        <v>9</v>
      </c>
    </row>
    <row r="65" spans="1:2">
      <c r="A65" s="82" t="s">
        <v>165</v>
      </c>
      <c r="B65" s="51">
        <v>10</v>
      </c>
    </row>
    <row r="66" spans="1:2">
      <c r="B66" s="5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88" zoomScaleNormal="100" workbookViewId="0">
      <selection activeCell="C105" sqref="C105"/>
    </sheetView>
  </sheetViews>
  <sheetFormatPr defaultColWidth="9.109375" defaultRowHeight="14.4"/>
  <cols>
    <col min="1" max="16384" width="9.109375" style="38"/>
  </cols>
  <sheetData>
    <row r="1" spans="2:5">
      <c r="B1" s="38" t="s">
        <v>110</v>
      </c>
    </row>
    <row r="2" spans="2:5">
      <c r="B2" s="22" t="s">
        <v>73</v>
      </c>
    </row>
    <row r="3" spans="2:5">
      <c r="C3" s="41">
        <v>1</v>
      </c>
      <c r="D3" s="23" t="s">
        <v>74</v>
      </c>
      <c r="E3" s="17"/>
    </row>
    <row r="4" spans="2:5">
      <c r="C4" s="19">
        <v>5.5</v>
      </c>
      <c r="D4" s="23" t="s">
        <v>74</v>
      </c>
      <c r="E4" s="17"/>
    </row>
    <row r="5" spans="2:5">
      <c r="B5" s="22"/>
      <c r="C5" s="41">
        <v>5.7</v>
      </c>
      <c r="D5" s="23" t="s">
        <v>79</v>
      </c>
      <c r="E5" s="17"/>
    </row>
    <row r="6" spans="2:5">
      <c r="B6" s="22"/>
      <c r="C6" s="21">
        <v>7</v>
      </c>
      <c r="D6" s="39" t="s">
        <v>81</v>
      </c>
      <c r="E6" s="17"/>
    </row>
    <row r="7" spans="2:5">
      <c r="B7" s="22"/>
      <c r="C7" s="21">
        <v>8.1</v>
      </c>
      <c r="D7" s="39" t="s">
        <v>85</v>
      </c>
      <c r="E7" s="17"/>
    </row>
    <row r="8" spans="2:5">
      <c r="B8" s="22" t="s">
        <v>87</v>
      </c>
      <c r="C8" s="21"/>
      <c r="D8" s="23"/>
      <c r="E8" s="17"/>
    </row>
    <row r="9" spans="2:5">
      <c r="C9" s="21" t="s">
        <v>72</v>
      </c>
      <c r="D9" s="39" t="s">
        <v>76</v>
      </c>
      <c r="E9" s="17"/>
    </row>
    <row r="10" spans="2:5">
      <c r="B10" s="22"/>
      <c r="C10" s="19">
        <v>10</v>
      </c>
      <c r="D10" s="23" t="s">
        <v>80</v>
      </c>
      <c r="E10" s="17"/>
    </row>
    <row r="11" spans="2:5">
      <c r="B11" s="22"/>
      <c r="C11" s="25">
        <v>99</v>
      </c>
      <c r="D11" s="39" t="s">
        <v>80</v>
      </c>
      <c r="E11" s="17"/>
    </row>
    <row r="12" spans="2:5">
      <c r="B12" s="22"/>
      <c r="C12" s="25">
        <v>100</v>
      </c>
      <c r="D12" s="23" t="s">
        <v>82</v>
      </c>
      <c r="E12" s="17"/>
    </row>
    <row r="13" spans="2:5">
      <c r="B13" s="22"/>
      <c r="C13" s="25">
        <v>299</v>
      </c>
      <c r="D13" s="39" t="s">
        <v>82</v>
      </c>
      <c r="E13" s="17"/>
    </row>
    <row r="14" spans="2:5">
      <c r="B14" s="22"/>
      <c r="C14" s="25">
        <v>300</v>
      </c>
      <c r="D14" s="23" t="s">
        <v>86</v>
      </c>
      <c r="E14" s="17"/>
    </row>
    <row r="15" spans="2:5">
      <c r="B15" s="22"/>
      <c r="C15" s="25">
        <v>499</v>
      </c>
      <c r="D15" s="39" t="s">
        <v>86</v>
      </c>
      <c r="E15" s="17"/>
    </row>
    <row r="16" spans="2:5">
      <c r="B16" s="22"/>
      <c r="C16" s="25">
        <v>999</v>
      </c>
      <c r="D16" s="24" t="s">
        <v>90</v>
      </c>
      <c r="E16" s="17"/>
    </row>
    <row r="17" spans="2:5">
      <c r="B17" s="22" t="s">
        <v>93</v>
      </c>
      <c r="C17" s="21"/>
      <c r="D17" s="23"/>
      <c r="E17" s="17"/>
    </row>
    <row r="18" spans="2:5">
      <c r="C18" s="20" t="s">
        <v>38</v>
      </c>
      <c r="D18" s="24" t="s">
        <v>76</v>
      </c>
      <c r="E18" s="17"/>
    </row>
    <row r="19" spans="2:5">
      <c r="B19" s="22"/>
      <c r="C19" s="19">
        <v>5</v>
      </c>
      <c r="D19" s="23" t="s">
        <v>80</v>
      </c>
      <c r="E19" s="17"/>
    </row>
    <row r="20" spans="2:5">
      <c r="B20" s="22"/>
      <c r="C20" s="20">
        <v>49</v>
      </c>
      <c r="D20" s="24" t="s">
        <v>80</v>
      </c>
      <c r="E20" s="17"/>
    </row>
    <row r="21" spans="2:5">
      <c r="B21" s="22"/>
      <c r="C21" s="19">
        <v>50</v>
      </c>
      <c r="D21" s="23" t="s">
        <v>82</v>
      </c>
      <c r="E21" s="17"/>
    </row>
    <row r="22" spans="2:5">
      <c r="B22" s="22"/>
      <c r="C22" s="20">
        <v>149</v>
      </c>
      <c r="D22" s="24" t="s">
        <v>82</v>
      </c>
      <c r="E22" s="17"/>
    </row>
    <row r="23" spans="2:5">
      <c r="B23" s="22"/>
      <c r="C23" s="19">
        <v>150</v>
      </c>
      <c r="D23" s="23" t="s">
        <v>86</v>
      </c>
      <c r="E23" s="17"/>
    </row>
    <row r="24" spans="2:5">
      <c r="B24" s="26"/>
      <c r="C24" s="20">
        <v>299</v>
      </c>
      <c r="D24" s="24" t="s">
        <v>86</v>
      </c>
      <c r="E24" s="17"/>
    </row>
    <row r="25" spans="2:5">
      <c r="B25" s="26"/>
      <c r="C25" s="20">
        <v>300</v>
      </c>
      <c r="D25" s="24" t="s">
        <v>90</v>
      </c>
      <c r="E25" s="17"/>
    </row>
    <row r="26" spans="2:5">
      <c r="B26" s="22" t="s">
        <v>99</v>
      </c>
      <c r="C26" s="19"/>
      <c r="D26" s="23"/>
      <c r="E26" s="17"/>
    </row>
    <row r="27" spans="2:5">
      <c r="C27" s="20" t="s">
        <v>38</v>
      </c>
      <c r="D27" s="24" t="s">
        <v>76</v>
      </c>
      <c r="E27" s="17"/>
    </row>
    <row r="28" spans="2:5">
      <c r="B28" s="26"/>
      <c r="C28" s="19">
        <v>5</v>
      </c>
      <c r="D28" s="23" t="s">
        <v>101</v>
      </c>
      <c r="E28" s="17"/>
    </row>
    <row r="29" spans="2:5">
      <c r="B29" s="26"/>
      <c r="C29" s="20">
        <v>20</v>
      </c>
      <c r="D29" s="24" t="s">
        <v>183</v>
      </c>
      <c r="E29" s="17"/>
    </row>
    <row r="30" spans="2:5">
      <c r="B30" s="22"/>
      <c r="C30" s="19">
        <v>60</v>
      </c>
      <c r="D30" s="23" t="s">
        <v>82</v>
      </c>
      <c r="E30" s="34"/>
    </row>
    <row r="31" spans="2:5">
      <c r="B31" s="22"/>
      <c r="C31" s="19">
        <v>120</v>
      </c>
      <c r="D31" s="23" t="s">
        <v>106</v>
      </c>
      <c r="E31" s="34"/>
    </row>
    <row r="32" spans="2:5">
      <c r="B32" s="22"/>
      <c r="C32" s="20">
        <v>180</v>
      </c>
      <c r="D32" s="24" t="s">
        <v>107</v>
      </c>
      <c r="E32" s="35"/>
    </row>
    <row r="33" spans="2:5">
      <c r="B33" s="22"/>
      <c r="C33" s="20">
        <v>300</v>
      </c>
      <c r="D33" s="24" t="s">
        <v>90</v>
      </c>
      <c r="E33" s="35"/>
    </row>
    <row r="34" spans="2:5">
      <c r="B34" s="22" t="s">
        <v>75</v>
      </c>
    </row>
    <row r="35" spans="2:5">
      <c r="C35" s="20" t="s">
        <v>38</v>
      </c>
      <c r="D35" s="24" t="s">
        <v>76</v>
      </c>
      <c r="E35" s="18"/>
    </row>
    <row r="36" spans="2:5">
      <c r="B36" s="22"/>
      <c r="C36" s="19">
        <v>5</v>
      </c>
      <c r="D36" s="23" t="s">
        <v>101</v>
      </c>
      <c r="E36" s="18"/>
    </row>
    <row r="37" spans="2:5">
      <c r="B37" s="22"/>
      <c r="C37" s="20">
        <v>20</v>
      </c>
      <c r="D37" s="24" t="s">
        <v>183</v>
      </c>
      <c r="E37" s="18"/>
    </row>
    <row r="38" spans="2:5">
      <c r="B38" s="22"/>
      <c r="C38" s="19">
        <v>60</v>
      </c>
      <c r="D38" s="23" t="s">
        <v>82</v>
      </c>
      <c r="E38" s="18"/>
    </row>
    <row r="39" spans="2:5">
      <c r="B39" s="22"/>
      <c r="C39" s="19">
        <v>120</v>
      </c>
      <c r="D39" s="23" t="s">
        <v>106</v>
      </c>
      <c r="E39" s="18"/>
    </row>
    <row r="40" spans="2:5">
      <c r="B40" s="22"/>
      <c r="C40" s="20">
        <v>180</v>
      </c>
      <c r="D40" s="24" t="s">
        <v>107</v>
      </c>
      <c r="E40" s="18"/>
    </row>
    <row r="41" spans="2:5">
      <c r="B41" s="22"/>
      <c r="C41" s="20">
        <v>300</v>
      </c>
      <c r="D41" s="24" t="s">
        <v>90</v>
      </c>
      <c r="E41" s="17"/>
    </row>
    <row r="42" spans="2:5">
      <c r="B42" s="22" t="s">
        <v>92</v>
      </c>
      <c r="C42" s="19"/>
      <c r="D42" s="23"/>
      <c r="E42" s="18"/>
    </row>
    <row r="43" spans="2:5">
      <c r="B43" s="22"/>
      <c r="C43" s="20" t="s">
        <v>38</v>
      </c>
      <c r="D43" s="24" t="s">
        <v>161</v>
      </c>
      <c r="E43" s="18"/>
    </row>
    <row r="44" spans="2:5">
      <c r="C44" s="20">
        <v>5</v>
      </c>
      <c r="D44" s="24" t="s">
        <v>80</v>
      </c>
      <c r="E44" s="17"/>
    </row>
    <row r="45" spans="2:5">
      <c r="C45" s="20">
        <v>15</v>
      </c>
      <c r="D45" s="24" t="s">
        <v>80</v>
      </c>
      <c r="E45" s="17"/>
    </row>
    <row r="46" spans="2:5">
      <c r="C46" s="20">
        <v>16</v>
      </c>
      <c r="D46" s="24" t="s">
        <v>82</v>
      </c>
      <c r="E46" s="17"/>
    </row>
    <row r="47" spans="2:5">
      <c r="B47" s="22"/>
      <c r="C47" s="19">
        <v>49</v>
      </c>
      <c r="D47" s="24" t="s">
        <v>82</v>
      </c>
      <c r="E47" s="18"/>
    </row>
    <row r="48" spans="2:5">
      <c r="B48" s="22"/>
      <c r="C48" s="19">
        <v>50</v>
      </c>
      <c r="D48" s="24" t="s">
        <v>83</v>
      </c>
      <c r="E48" s="18"/>
    </row>
    <row r="49" spans="2:5">
      <c r="B49" s="22"/>
      <c r="C49" s="20">
        <v>89</v>
      </c>
      <c r="D49" s="24" t="s">
        <v>83</v>
      </c>
      <c r="E49" s="18"/>
    </row>
    <row r="50" spans="2:5">
      <c r="B50" s="26"/>
      <c r="C50" s="20">
        <v>90</v>
      </c>
      <c r="D50" s="24" t="s">
        <v>86</v>
      </c>
      <c r="E50" s="18"/>
    </row>
    <row r="51" spans="2:5">
      <c r="B51" s="22" t="s">
        <v>94</v>
      </c>
      <c r="C51" s="19"/>
      <c r="D51" s="23"/>
      <c r="E51" s="29"/>
    </row>
    <row r="52" spans="2:5">
      <c r="C52" s="20" t="s">
        <v>40</v>
      </c>
      <c r="D52" s="24" t="s">
        <v>161</v>
      </c>
      <c r="E52" s="18"/>
    </row>
    <row r="53" spans="2:5">
      <c r="B53" s="22"/>
      <c r="C53" s="19">
        <v>0.01</v>
      </c>
      <c r="D53" s="24" t="s">
        <v>80</v>
      </c>
      <c r="E53" s="18"/>
    </row>
    <row r="54" spans="2:5">
      <c r="B54" s="22"/>
      <c r="C54" s="20">
        <v>0.1</v>
      </c>
      <c r="D54" s="24" t="s">
        <v>82</v>
      </c>
      <c r="E54" s="18"/>
    </row>
    <row r="55" spans="2:5">
      <c r="B55" s="22"/>
      <c r="C55" s="20">
        <v>0.2</v>
      </c>
      <c r="D55" s="24" t="s">
        <v>83</v>
      </c>
      <c r="E55" s="18"/>
    </row>
    <row r="56" spans="2:5">
      <c r="B56" s="22"/>
      <c r="C56" s="20">
        <v>1</v>
      </c>
      <c r="D56" s="24" t="s">
        <v>86</v>
      </c>
      <c r="E56" s="18"/>
    </row>
    <row r="57" spans="2:5">
      <c r="B57" s="26"/>
      <c r="C57" s="20">
        <v>5</v>
      </c>
      <c r="D57" s="24" t="s">
        <v>88</v>
      </c>
      <c r="E57" s="18"/>
    </row>
    <row r="58" spans="2:5">
      <c r="B58" s="22"/>
      <c r="C58" s="20">
        <v>10</v>
      </c>
      <c r="D58" s="24" t="s">
        <v>90</v>
      </c>
      <c r="E58" s="18"/>
    </row>
    <row r="59" spans="2:5">
      <c r="B59" s="22"/>
      <c r="C59" s="20">
        <v>12.1</v>
      </c>
      <c r="D59" s="24" t="s">
        <v>90</v>
      </c>
      <c r="E59" s="18"/>
    </row>
    <row r="60" spans="2:5">
      <c r="B60" s="22" t="s">
        <v>104</v>
      </c>
      <c r="C60" s="19"/>
      <c r="D60" s="23"/>
      <c r="E60" s="29"/>
    </row>
    <row r="61" spans="2:5">
      <c r="C61" s="19" t="s">
        <v>40</v>
      </c>
      <c r="D61" s="24" t="s">
        <v>161</v>
      </c>
      <c r="E61" s="34"/>
    </row>
    <row r="62" spans="2:5">
      <c r="B62" s="22"/>
      <c r="C62" s="20">
        <v>0.01</v>
      </c>
      <c r="D62" s="24" t="s">
        <v>80</v>
      </c>
      <c r="E62" s="34"/>
    </row>
    <row r="63" spans="2:5">
      <c r="B63" s="22"/>
      <c r="C63" s="19">
        <v>0.04</v>
      </c>
      <c r="D63" s="24" t="s">
        <v>86</v>
      </c>
      <c r="E63" s="34"/>
    </row>
    <row r="64" spans="2:5">
      <c r="B64" s="22"/>
      <c r="C64" s="19">
        <v>0.1</v>
      </c>
      <c r="D64" s="24" t="s">
        <v>88</v>
      </c>
      <c r="E64" s="34"/>
    </row>
    <row r="65" spans="2:5">
      <c r="B65" s="26"/>
      <c r="C65" s="20">
        <v>0.4</v>
      </c>
      <c r="D65" s="24" t="s">
        <v>116</v>
      </c>
      <c r="E65" s="34"/>
    </row>
    <row r="66" spans="2:5">
      <c r="B66" s="22" t="s">
        <v>77</v>
      </c>
    </row>
    <row r="67" spans="2:5">
      <c r="C67" s="20" t="s">
        <v>40</v>
      </c>
      <c r="D67" s="24" t="s">
        <v>161</v>
      </c>
    </row>
    <row r="68" spans="2:5">
      <c r="B68" s="28"/>
      <c r="C68" s="20">
        <v>0.01</v>
      </c>
      <c r="D68" s="24" t="s">
        <v>80</v>
      </c>
    </row>
    <row r="69" spans="2:5">
      <c r="B69" s="28"/>
      <c r="C69" s="20">
        <v>0.09</v>
      </c>
      <c r="D69" s="24" t="s">
        <v>80</v>
      </c>
    </row>
    <row r="70" spans="2:5">
      <c r="B70" s="28"/>
      <c r="C70" s="20">
        <v>0.1</v>
      </c>
      <c r="D70" s="24" t="s">
        <v>83</v>
      </c>
    </row>
    <row r="71" spans="2:5">
      <c r="B71" s="22"/>
      <c r="C71" s="20">
        <v>0.2</v>
      </c>
      <c r="D71" s="24" t="s">
        <v>86</v>
      </c>
    </row>
    <row r="72" spans="2:5">
      <c r="B72" s="28"/>
      <c r="C72" s="20">
        <v>0.3</v>
      </c>
      <c r="D72" s="24" t="s">
        <v>88</v>
      </c>
    </row>
    <row r="73" spans="2:5">
      <c r="B73" s="40" t="s">
        <v>89</v>
      </c>
      <c r="C73" s="20"/>
      <c r="D73" s="24"/>
    </row>
    <row r="74" spans="2:5">
      <c r="C74" s="20" t="s">
        <v>40</v>
      </c>
      <c r="D74" s="24" t="s">
        <v>161</v>
      </c>
    </row>
    <row r="75" spans="2:5">
      <c r="B75" s="40"/>
      <c r="C75" s="20">
        <v>0.01</v>
      </c>
      <c r="D75" s="24" t="s">
        <v>80</v>
      </c>
    </row>
    <row r="76" spans="2:5">
      <c r="B76" s="40"/>
      <c r="C76" s="20">
        <v>0.2</v>
      </c>
      <c r="D76" s="24" t="s">
        <v>84</v>
      </c>
    </row>
    <row r="77" spans="2:5">
      <c r="B77" s="40"/>
      <c r="C77" s="20">
        <v>1</v>
      </c>
      <c r="D77" s="24" t="s">
        <v>86</v>
      </c>
    </row>
    <row r="78" spans="2:5">
      <c r="B78" s="40"/>
      <c r="C78" s="20">
        <v>2</v>
      </c>
      <c r="D78" s="24" t="s">
        <v>116</v>
      </c>
    </row>
    <row r="79" spans="2:5">
      <c r="B79" s="28" t="s">
        <v>118</v>
      </c>
      <c r="C79" s="20"/>
      <c r="D79" s="24"/>
    </row>
    <row r="80" spans="2:5">
      <c r="C80" s="20" t="s">
        <v>39</v>
      </c>
      <c r="D80" s="24" t="s">
        <v>76</v>
      </c>
    </row>
    <row r="81" spans="2:4">
      <c r="B81" s="28"/>
      <c r="C81" s="20">
        <v>1</v>
      </c>
      <c r="D81" s="24" t="s">
        <v>80</v>
      </c>
    </row>
    <row r="82" spans="2:4">
      <c r="B82" s="28"/>
      <c r="C82" s="20">
        <v>10</v>
      </c>
      <c r="D82" s="24" t="s">
        <v>80</v>
      </c>
    </row>
    <row r="83" spans="2:4">
      <c r="B83" s="28"/>
      <c r="C83" s="20">
        <v>50</v>
      </c>
      <c r="D83" s="24" t="s">
        <v>82</v>
      </c>
    </row>
    <row r="84" spans="2:4">
      <c r="B84" s="28"/>
      <c r="C84" s="20">
        <v>150</v>
      </c>
      <c r="D84" s="24" t="s">
        <v>83</v>
      </c>
    </row>
    <row r="85" spans="2:4">
      <c r="B85" s="28"/>
      <c r="C85" s="20">
        <v>200</v>
      </c>
      <c r="D85" s="24" t="s">
        <v>86</v>
      </c>
    </row>
    <row r="86" spans="2:4">
      <c r="B86" s="28"/>
      <c r="C86" s="20">
        <v>350</v>
      </c>
      <c r="D86" s="24" t="s">
        <v>88</v>
      </c>
    </row>
    <row r="87" spans="2:4">
      <c r="B87" s="28"/>
      <c r="C87" s="20">
        <v>500</v>
      </c>
      <c r="D87" s="24" t="s">
        <v>90</v>
      </c>
    </row>
    <row r="88" spans="2:4">
      <c r="B88" s="28" t="s">
        <v>78</v>
      </c>
    </row>
    <row r="89" spans="2:4">
      <c r="C89" s="20" t="s">
        <v>39</v>
      </c>
      <c r="D89" s="24" t="s">
        <v>161</v>
      </c>
    </row>
    <row r="90" spans="2:4">
      <c r="B90" s="28"/>
      <c r="C90" s="20">
        <v>1</v>
      </c>
      <c r="D90" s="24" t="s">
        <v>80</v>
      </c>
    </row>
    <row r="91" spans="2:4">
      <c r="B91" s="28"/>
      <c r="C91" s="20">
        <v>9</v>
      </c>
      <c r="D91" s="24" t="s">
        <v>80</v>
      </c>
    </row>
    <row r="92" spans="2:4">
      <c r="B92" s="28"/>
      <c r="C92" s="20">
        <v>10</v>
      </c>
      <c r="D92" s="24" t="s">
        <v>84</v>
      </c>
    </row>
    <row r="93" spans="2:4">
      <c r="B93" s="40"/>
      <c r="C93" s="20">
        <v>20</v>
      </c>
      <c r="D93" s="24" t="s">
        <v>83</v>
      </c>
    </row>
    <row r="94" spans="2:4">
      <c r="B94" s="40"/>
      <c r="C94" s="20">
        <v>30</v>
      </c>
      <c r="D94" s="24" t="s">
        <v>86</v>
      </c>
    </row>
    <row r="95" spans="2:4">
      <c r="B95" s="40"/>
      <c r="C95" s="20">
        <v>40</v>
      </c>
      <c r="D95" s="24" t="s">
        <v>88</v>
      </c>
    </row>
    <row r="96" spans="2:4">
      <c r="B96" s="40"/>
      <c r="C96" s="20">
        <v>50</v>
      </c>
      <c r="D96" s="24" t="s">
        <v>116</v>
      </c>
    </row>
    <row r="97" spans="2:4">
      <c r="B97" s="30" t="s">
        <v>91</v>
      </c>
      <c r="C97" s="27"/>
      <c r="D97" s="31"/>
    </row>
    <row r="98" spans="2:4">
      <c r="C98" s="20" t="s">
        <v>39</v>
      </c>
      <c r="D98" s="32" t="s">
        <v>76</v>
      </c>
    </row>
    <row r="99" spans="2:4">
      <c r="B99" s="30"/>
      <c r="C99" s="27">
        <v>1</v>
      </c>
      <c r="D99" s="31" t="s">
        <v>80</v>
      </c>
    </row>
    <row r="100" spans="2:4">
      <c r="B100" s="30"/>
      <c r="C100" s="20">
        <v>9</v>
      </c>
      <c r="D100" s="32" t="s">
        <v>80</v>
      </c>
    </row>
    <row r="101" spans="2:4">
      <c r="B101" s="30"/>
      <c r="C101" s="27">
        <v>10</v>
      </c>
      <c r="D101" s="32" t="s">
        <v>83</v>
      </c>
    </row>
    <row r="102" spans="2:4">
      <c r="B102" s="30"/>
      <c r="C102" s="20">
        <v>40</v>
      </c>
      <c r="D102" s="32" t="s">
        <v>86</v>
      </c>
    </row>
    <row r="103" spans="2:4">
      <c r="B103" s="30"/>
      <c r="C103" s="20">
        <v>50</v>
      </c>
      <c r="D103" s="32" t="s">
        <v>88</v>
      </c>
    </row>
    <row r="104" spans="2:4">
      <c r="B104" s="30" t="s">
        <v>95</v>
      </c>
      <c r="C104" s="27"/>
      <c r="D104" s="31"/>
    </row>
    <row r="105" spans="2:4">
      <c r="B105" s="30"/>
      <c r="C105" s="27">
        <v>-10</v>
      </c>
      <c r="D105" s="31" t="s">
        <v>96</v>
      </c>
    </row>
    <row r="106" spans="2:4">
      <c r="B106" s="30"/>
      <c r="C106" s="27">
        <v>-2</v>
      </c>
      <c r="D106" s="32" t="s">
        <v>113</v>
      </c>
    </row>
    <row r="107" spans="2:4">
      <c r="C107" s="20">
        <v>-1</v>
      </c>
      <c r="D107" s="32" t="s">
        <v>97</v>
      </c>
    </row>
    <row r="108" spans="2:4">
      <c r="B108" s="30"/>
      <c r="C108" s="33">
        <v>1</v>
      </c>
      <c r="D108" s="32" t="s">
        <v>98</v>
      </c>
    </row>
    <row r="109" spans="2:4">
      <c r="B109" s="30"/>
      <c r="C109" s="20">
        <v>2</v>
      </c>
      <c r="D109" s="32" t="s">
        <v>98</v>
      </c>
    </row>
    <row r="110" spans="2:4">
      <c r="B110" s="30"/>
      <c r="C110" s="20"/>
      <c r="D110" s="32"/>
    </row>
    <row r="111" spans="2:4">
      <c r="B111" s="30" t="s">
        <v>120</v>
      </c>
      <c r="C111" s="27" t="s">
        <v>36</v>
      </c>
      <c r="D111" s="31" t="s">
        <v>122</v>
      </c>
    </row>
    <row r="112" spans="2:4">
      <c r="C112" s="27" t="s">
        <v>39</v>
      </c>
      <c r="D112" s="31" t="s">
        <v>119</v>
      </c>
    </row>
    <row r="113" spans="2:4">
      <c r="B113" s="30" t="s">
        <v>121</v>
      </c>
      <c r="C113" s="27" t="s">
        <v>36</v>
      </c>
      <c r="D113" s="31" t="s">
        <v>123</v>
      </c>
    </row>
    <row r="114" spans="2:4">
      <c r="C114" s="27" t="s">
        <v>39</v>
      </c>
      <c r="D114" s="31" t="s">
        <v>119</v>
      </c>
    </row>
    <row r="115" spans="2:4">
      <c r="B115" s="30" t="s">
        <v>124</v>
      </c>
      <c r="C115" s="27" t="s">
        <v>43</v>
      </c>
      <c r="D115" s="31" t="s">
        <v>119</v>
      </c>
    </row>
    <row r="116" spans="2:4">
      <c r="B116" s="30"/>
      <c r="C116" s="27" t="s">
        <v>165</v>
      </c>
      <c r="D116" s="31" t="s">
        <v>122</v>
      </c>
    </row>
    <row r="117" spans="2:4">
      <c r="B117" s="30"/>
      <c r="C117" s="27">
        <v>1.1000000000000001</v>
      </c>
      <c r="D117" s="31" t="s">
        <v>122</v>
      </c>
    </row>
    <row r="118" spans="2:4">
      <c r="C118" s="27">
        <v>24</v>
      </c>
      <c r="D118" s="31" t="s">
        <v>122</v>
      </c>
    </row>
    <row r="119" spans="2:4">
      <c r="B119" s="30" t="s">
        <v>125</v>
      </c>
      <c r="C119" s="27" t="s">
        <v>43</v>
      </c>
      <c r="D119" s="31" t="s">
        <v>119</v>
      </c>
    </row>
    <row r="120" spans="2:4">
      <c r="B120" s="30"/>
      <c r="C120" s="27" t="s">
        <v>165</v>
      </c>
      <c r="D120" s="31" t="s">
        <v>123</v>
      </c>
    </row>
    <row r="121" spans="2:4">
      <c r="B121" s="30"/>
      <c r="C121" s="27">
        <v>1.1000000000000001</v>
      </c>
      <c r="D121" s="31" t="s">
        <v>123</v>
      </c>
    </row>
    <row r="122" spans="2:4">
      <c r="C122" s="27">
        <v>24</v>
      </c>
      <c r="D122" s="31" t="s">
        <v>123</v>
      </c>
    </row>
    <row r="123" spans="2:4">
      <c r="B123" s="28" t="s">
        <v>18</v>
      </c>
    </row>
    <row r="124" spans="2:4">
      <c r="C124" s="20" t="s">
        <v>41</v>
      </c>
      <c r="D124" s="24" t="s">
        <v>126</v>
      </c>
    </row>
    <row r="125" spans="2:4">
      <c r="B125" s="28"/>
      <c r="C125" s="20">
        <v>0.05</v>
      </c>
      <c r="D125" s="24" t="s">
        <v>126</v>
      </c>
    </row>
    <row r="126" spans="2:4">
      <c r="B126" s="28"/>
      <c r="C126" s="20">
        <v>0.3</v>
      </c>
      <c r="D126" s="24" t="s">
        <v>80</v>
      </c>
    </row>
    <row r="127" spans="2:4">
      <c r="B127" s="28"/>
      <c r="C127" s="20">
        <v>1</v>
      </c>
      <c r="D127" s="24" t="s">
        <v>84</v>
      </c>
    </row>
    <row r="128" spans="2:4">
      <c r="B128" s="40"/>
      <c r="C128" s="20">
        <v>2.5</v>
      </c>
      <c r="D128" s="24" t="s">
        <v>83</v>
      </c>
    </row>
    <row r="129" spans="2:4">
      <c r="B129" s="40"/>
      <c r="C129" s="20">
        <v>5</v>
      </c>
      <c r="D129" s="24" t="s">
        <v>86</v>
      </c>
    </row>
    <row r="130" spans="2:4">
      <c r="B130" s="40"/>
      <c r="C130" s="20">
        <v>20</v>
      </c>
      <c r="D130" s="24" t="s">
        <v>88</v>
      </c>
    </row>
    <row r="131" spans="2:4">
      <c r="B131" s="40"/>
      <c r="C131" s="20">
        <v>40</v>
      </c>
      <c r="D131" s="24" t="s">
        <v>90</v>
      </c>
    </row>
    <row r="132" spans="2:4">
      <c r="B132" s="28" t="s">
        <v>127</v>
      </c>
    </row>
    <row r="133" spans="2:4">
      <c r="C133" s="20" t="s">
        <v>38</v>
      </c>
      <c r="D133" s="24" t="s">
        <v>163</v>
      </c>
    </row>
    <row r="134" spans="2:4">
      <c r="B134" s="28"/>
      <c r="C134" s="20">
        <v>5</v>
      </c>
      <c r="D134" s="24" t="s">
        <v>163</v>
      </c>
    </row>
    <row r="135" spans="2:4">
      <c r="B135" s="28"/>
      <c r="C135" s="20">
        <v>75</v>
      </c>
      <c r="D135" s="24" t="s">
        <v>162</v>
      </c>
    </row>
    <row r="136" spans="2:4">
      <c r="B136" s="28"/>
      <c r="C136" s="20">
        <v>80</v>
      </c>
      <c r="D136" s="24" t="s">
        <v>155</v>
      </c>
    </row>
    <row r="137" spans="2:4">
      <c r="B137" s="28"/>
      <c r="C137" s="20">
        <v>85</v>
      </c>
      <c r="D137" s="24" t="s">
        <v>82</v>
      </c>
    </row>
    <row r="138" spans="2:4">
      <c r="B138" s="40"/>
      <c r="C138" s="20">
        <v>90</v>
      </c>
      <c r="D138" s="24" t="s">
        <v>153</v>
      </c>
    </row>
    <row r="139" spans="2:4">
      <c r="B139" s="40"/>
      <c r="C139" s="20">
        <v>95</v>
      </c>
      <c r="D139" s="24" t="s">
        <v>154</v>
      </c>
    </row>
    <row r="140" spans="2:4">
      <c r="B140" s="28" t="s">
        <v>128</v>
      </c>
    </row>
    <row r="141" spans="2:4">
      <c r="C141" s="20" t="s">
        <v>40</v>
      </c>
      <c r="D141" s="24" t="s">
        <v>161</v>
      </c>
    </row>
    <row r="142" spans="2:4">
      <c r="B142" s="28"/>
      <c r="C142" s="20">
        <v>0.01</v>
      </c>
      <c r="D142" s="24" t="s">
        <v>126</v>
      </c>
    </row>
    <row r="143" spans="2:4">
      <c r="B143" s="28"/>
      <c r="C143" s="20">
        <v>0.2</v>
      </c>
      <c r="D143" s="24" t="s">
        <v>80</v>
      </c>
    </row>
    <row r="144" spans="2:4">
      <c r="B144" s="28"/>
      <c r="C144" s="20">
        <v>0.6</v>
      </c>
      <c r="D144" s="24" t="s">
        <v>119</v>
      </c>
    </row>
    <row r="145" spans="2:4">
      <c r="B145" s="40"/>
      <c r="C145" s="20">
        <v>1.1000000000000001</v>
      </c>
      <c r="D145" s="24" t="s">
        <v>86</v>
      </c>
    </row>
    <row r="146" spans="2:4">
      <c r="B146" s="40"/>
      <c r="C146" s="20">
        <v>2</v>
      </c>
      <c r="D146" s="24" t="s">
        <v>88</v>
      </c>
    </row>
    <row r="147" spans="2:4">
      <c r="C147" s="20">
        <v>5</v>
      </c>
      <c r="D147" s="24" t="s">
        <v>116</v>
      </c>
    </row>
    <row r="148" spans="2:4">
      <c r="B148" s="28" t="s">
        <v>159</v>
      </c>
    </row>
    <row r="149" spans="2:4">
      <c r="C149" s="20" t="s">
        <v>38</v>
      </c>
      <c r="D149" s="24" t="s">
        <v>126</v>
      </c>
    </row>
    <row r="150" spans="2:4">
      <c r="B150" s="28"/>
      <c r="C150" s="20">
        <v>5</v>
      </c>
      <c r="D150" s="24" t="s">
        <v>80</v>
      </c>
    </row>
    <row r="151" spans="2:4">
      <c r="B151" s="28"/>
      <c r="C151" s="20">
        <v>30</v>
      </c>
      <c r="D151" s="24" t="s">
        <v>82</v>
      </c>
    </row>
    <row r="152" spans="2:4">
      <c r="B152" s="28"/>
      <c r="C152" s="20">
        <v>50</v>
      </c>
      <c r="D152" s="24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L19" sqref="L19"/>
    </sheetView>
  </sheetViews>
  <sheetFormatPr defaultRowHeight="14.4"/>
  <sheetData>
    <row r="1" spans="1:13" ht="15" thickBot="1">
      <c r="A1" s="78">
        <v>1</v>
      </c>
      <c r="B1" s="43"/>
      <c r="C1" s="43"/>
      <c r="D1" s="43"/>
      <c r="F1" s="51"/>
      <c r="G1" s="51" t="s">
        <v>102</v>
      </c>
      <c r="H1" s="51" t="s">
        <v>103</v>
      </c>
      <c r="I1" s="51"/>
      <c r="J1" s="51"/>
      <c r="K1" s="51"/>
      <c r="L1" s="51" t="s">
        <v>105</v>
      </c>
      <c r="M1" s="51"/>
    </row>
    <row r="2" spans="1:13" ht="16.2" thickBot="1">
      <c r="A2" s="43"/>
      <c r="B2" s="46" t="s">
        <v>111</v>
      </c>
      <c r="C2" s="46" t="s">
        <v>112</v>
      </c>
      <c r="D2" s="43"/>
      <c r="F2" s="53">
        <v>5</v>
      </c>
      <c r="G2" s="51">
        <v>0.3</v>
      </c>
      <c r="H2" s="52">
        <v>5</v>
      </c>
      <c r="I2" s="52">
        <v>0.7</v>
      </c>
      <c r="J2" s="51"/>
      <c r="K2" s="51"/>
      <c r="L2" s="51">
        <v>-3</v>
      </c>
      <c r="M2" s="51" t="s">
        <v>113</v>
      </c>
    </row>
    <row r="3" spans="1:13">
      <c r="A3" s="42" t="s">
        <v>100</v>
      </c>
      <c r="B3" s="49" t="e">
        <f>#REF!</f>
        <v>#REF!</v>
      </c>
      <c r="C3" s="47"/>
      <c r="D3" s="43"/>
      <c r="F3" s="53">
        <v>7.8571428571428577</v>
      </c>
      <c r="G3" s="51">
        <v>0.4</v>
      </c>
      <c r="H3" s="52">
        <v>7.8571428571428577</v>
      </c>
      <c r="I3" s="52">
        <v>0.8</v>
      </c>
      <c r="J3" s="51"/>
      <c r="K3" s="51"/>
      <c r="L3" s="51">
        <v>-0.6</v>
      </c>
      <c r="M3" s="51" t="s">
        <v>113</v>
      </c>
    </row>
    <row r="4" spans="1:13">
      <c r="A4" s="42" t="s">
        <v>6</v>
      </c>
      <c r="B4" s="49" t="e">
        <f>#REF!</f>
        <v>#REF!</v>
      </c>
      <c r="C4" s="45" t="e">
        <f>VLOOKUP(B4,F2:G25,2)</f>
        <v>#REF!</v>
      </c>
      <c r="D4" s="43"/>
      <c r="F4" s="53">
        <v>10.714285714285715</v>
      </c>
      <c r="G4" s="51">
        <v>0.5</v>
      </c>
      <c r="H4" s="52">
        <v>10.714285714285715</v>
      </c>
      <c r="I4" s="52">
        <v>0.9</v>
      </c>
      <c r="J4" s="51"/>
      <c r="K4" s="51"/>
      <c r="L4" s="51">
        <v>-0.5</v>
      </c>
      <c r="M4" s="51" t="s">
        <v>114</v>
      </c>
    </row>
    <row r="5" spans="1:13" ht="15" thickBot="1">
      <c r="A5" s="44" t="s">
        <v>5</v>
      </c>
      <c r="B5" s="50" t="e">
        <f>#REF!</f>
        <v>#REF!</v>
      </c>
      <c r="C5" s="54" t="e">
        <f>VLOOKUP(B5,H2:I25,2)</f>
        <v>#REF!</v>
      </c>
      <c r="D5" s="43"/>
      <c r="F5" s="53">
        <v>13.571428571428573</v>
      </c>
      <c r="G5" s="51">
        <v>0.6</v>
      </c>
      <c r="H5" s="52">
        <v>13.571428571428573</v>
      </c>
      <c r="I5" s="52">
        <v>1</v>
      </c>
      <c r="J5" s="51"/>
      <c r="K5" s="51"/>
      <c r="L5" s="51">
        <v>0.5</v>
      </c>
      <c r="M5" s="51" t="s">
        <v>114</v>
      </c>
    </row>
    <row r="6" spans="1:13" ht="18">
      <c r="A6" s="48" t="s">
        <v>105</v>
      </c>
      <c r="B6" s="48" t="e">
        <f>+B3+0.5+C4+C5-12.1</f>
        <v>#REF!</v>
      </c>
      <c r="C6" s="43"/>
      <c r="D6" s="43"/>
      <c r="F6" s="53">
        <v>16.428571428571431</v>
      </c>
      <c r="G6" s="51">
        <v>0.7</v>
      </c>
      <c r="H6" s="52">
        <v>16.428571428571431</v>
      </c>
      <c r="I6" s="52">
        <v>1.1000000000000001</v>
      </c>
      <c r="J6" s="51"/>
      <c r="K6" s="51"/>
      <c r="L6" s="51">
        <v>0.6</v>
      </c>
      <c r="M6" s="51" t="s">
        <v>115</v>
      </c>
    </row>
    <row r="7" spans="1:13">
      <c r="A7" s="43"/>
      <c r="B7" s="54" t="e">
        <f>VLOOKUP(B6,L2:M6,2)</f>
        <v>#REF!</v>
      </c>
      <c r="C7" s="43"/>
      <c r="D7" s="43"/>
      <c r="F7" s="53">
        <v>19.285714285714288</v>
      </c>
      <c r="G7" s="51">
        <v>0.8</v>
      </c>
      <c r="H7" s="52">
        <v>19.285714285714288</v>
      </c>
      <c r="I7" s="52">
        <v>1.2</v>
      </c>
      <c r="J7" s="51"/>
      <c r="K7" s="51"/>
      <c r="L7" s="51"/>
      <c r="M7" s="51"/>
    </row>
    <row r="8" spans="1:13">
      <c r="A8" s="43"/>
      <c r="B8" s="43"/>
      <c r="C8" s="43"/>
      <c r="D8" s="43"/>
      <c r="F8" s="53">
        <v>22.142857142857146</v>
      </c>
      <c r="G8" s="51">
        <v>0.9</v>
      </c>
      <c r="H8" s="52">
        <v>22.142857142857146</v>
      </c>
      <c r="I8" s="52">
        <v>1.3</v>
      </c>
      <c r="J8" s="51"/>
      <c r="K8" s="51"/>
      <c r="L8" s="51"/>
      <c r="M8" s="51"/>
    </row>
    <row r="9" spans="1:13" ht="15" thickBot="1">
      <c r="A9" s="78"/>
      <c r="B9" s="43"/>
      <c r="C9" s="43"/>
      <c r="D9" s="43"/>
      <c r="F9" s="53">
        <v>25</v>
      </c>
      <c r="G9" s="51">
        <v>1</v>
      </c>
      <c r="H9" s="52">
        <v>25</v>
      </c>
      <c r="I9" s="52">
        <v>1.4</v>
      </c>
      <c r="J9" s="51"/>
      <c r="K9" s="51"/>
      <c r="L9" s="51"/>
      <c r="M9" s="51"/>
    </row>
    <row r="10" spans="1:13" ht="16.2" thickBot="1">
      <c r="A10" s="43"/>
      <c r="B10" s="46"/>
      <c r="C10" s="46"/>
      <c r="D10" s="43"/>
      <c r="F10" s="53">
        <v>33.333333333333336</v>
      </c>
      <c r="G10" s="51">
        <v>1.1000000000000001</v>
      </c>
      <c r="H10" s="52">
        <v>33.33</v>
      </c>
      <c r="I10" s="52">
        <v>1.5</v>
      </c>
      <c r="J10" s="51"/>
      <c r="K10" s="51"/>
      <c r="L10" s="51"/>
      <c r="M10" s="51"/>
    </row>
    <row r="11" spans="1:13">
      <c r="A11" s="51"/>
      <c r="B11" s="49"/>
      <c r="C11" s="47"/>
      <c r="D11" s="43"/>
      <c r="F11" s="53">
        <v>41.666666666666671</v>
      </c>
      <c r="G11" s="51">
        <v>1.2</v>
      </c>
      <c r="H11" s="52">
        <v>41.66</v>
      </c>
      <c r="I11" s="52">
        <v>1.6</v>
      </c>
      <c r="J11" s="51"/>
      <c r="K11" s="51"/>
      <c r="L11" s="51"/>
      <c r="M11" s="51"/>
    </row>
    <row r="12" spans="1:13">
      <c r="A12" s="51"/>
      <c r="B12" s="49"/>
      <c r="C12" s="54"/>
      <c r="D12" s="43"/>
      <c r="F12" s="53">
        <v>50</v>
      </c>
      <c r="G12" s="51">
        <v>1.3</v>
      </c>
      <c r="H12" s="52">
        <v>50</v>
      </c>
      <c r="I12" s="52">
        <v>1.7</v>
      </c>
      <c r="J12" s="51"/>
      <c r="K12" s="51"/>
      <c r="L12" s="51"/>
      <c r="M12" s="51"/>
    </row>
    <row r="13" spans="1:13" ht="15" thickBot="1">
      <c r="A13" s="44"/>
      <c r="B13" s="50"/>
      <c r="C13" s="54"/>
      <c r="D13" s="43"/>
      <c r="F13" s="53">
        <v>62.5</v>
      </c>
      <c r="G13" s="51">
        <v>1.4</v>
      </c>
      <c r="H13" s="52">
        <v>62.5</v>
      </c>
      <c r="I13" s="52">
        <v>1.8</v>
      </c>
      <c r="J13" s="51"/>
      <c r="K13" s="51"/>
      <c r="L13" s="51"/>
      <c r="M13" s="51"/>
    </row>
    <row r="14" spans="1:13" ht="18">
      <c r="A14" s="48"/>
      <c r="B14" s="48"/>
      <c r="C14" s="43"/>
      <c r="D14" s="43"/>
      <c r="F14" s="53">
        <v>75</v>
      </c>
      <c r="G14" s="51">
        <v>1.5</v>
      </c>
      <c r="H14" s="52">
        <v>75</v>
      </c>
      <c r="I14" s="52">
        <v>1.9</v>
      </c>
      <c r="J14" s="51"/>
      <c r="K14" s="51"/>
      <c r="L14" s="51"/>
      <c r="M14" s="51"/>
    </row>
    <row r="15" spans="1:13">
      <c r="A15" s="43"/>
      <c r="B15" s="54"/>
      <c r="C15" s="43"/>
      <c r="D15" s="43"/>
      <c r="F15" s="53">
        <v>100</v>
      </c>
      <c r="G15" s="51">
        <v>1.6</v>
      </c>
      <c r="H15" s="52">
        <v>100</v>
      </c>
      <c r="I15" s="52">
        <v>2</v>
      </c>
      <c r="J15" s="51"/>
      <c r="K15" s="51"/>
      <c r="L15" s="51"/>
      <c r="M15" s="51"/>
    </row>
    <row r="16" spans="1:13">
      <c r="A16" s="43"/>
      <c r="B16" s="43"/>
      <c r="C16" s="43"/>
      <c r="D16" s="43"/>
      <c r="F16" s="53">
        <v>125</v>
      </c>
      <c r="G16" s="51">
        <v>1.7</v>
      </c>
      <c r="H16" s="52">
        <v>125</v>
      </c>
      <c r="I16" s="52">
        <v>2.1</v>
      </c>
      <c r="J16" s="51"/>
      <c r="K16" s="51"/>
      <c r="L16" s="51"/>
      <c r="M16" s="51"/>
    </row>
    <row r="17" spans="1:9" ht="15" thickBot="1">
      <c r="A17" s="78"/>
      <c r="B17" s="43"/>
      <c r="C17" s="43"/>
      <c r="D17" s="43"/>
      <c r="F17" s="53">
        <v>150</v>
      </c>
      <c r="G17" s="51">
        <v>1.8</v>
      </c>
      <c r="H17" s="52">
        <v>150</v>
      </c>
      <c r="I17" s="52">
        <v>2.2000000000000002</v>
      </c>
    </row>
    <row r="18" spans="1:9" ht="16.2" thickBot="1">
      <c r="A18" s="43"/>
      <c r="B18" s="46"/>
      <c r="C18" s="46"/>
      <c r="D18" s="43"/>
      <c r="F18" s="53">
        <v>200</v>
      </c>
      <c r="G18" s="51">
        <v>1.9</v>
      </c>
      <c r="H18" s="52">
        <v>200</v>
      </c>
      <c r="I18" s="52">
        <v>2.2999999999999998</v>
      </c>
    </row>
    <row r="19" spans="1:9">
      <c r="A19" s="51"/>
      <c r="B19" s="49"/>
      <c r="C19" s="47"/>
      <c r="D19" s="43"/>
      <c r="F19" s="53">
        <v>250</v>
      </c>
      <c r="G19" s="51">
        <v>2</v>
      </c>
      <c r="H19" s="52">
        <v>250</v>
      </c>
      <c r="I19" s="52">
        <v>2.4</v>
      </c>
    </row>
    <row r="20" spans="1:9">
      <c r="A20" s="51"/>
      <c r="B20" s="49"/>
      <c r="C20" s="54"/>
      <c r="D20" s="43"/>
      <c r="F20" s="53">
        <v>300</v>
      </c>
      <c r="G20" s="51">
        <v>2.1</v>
      </c>
      <c r="H20" s="52">
        <v>300</v>
      </c>
      <c r="I20" s="52">
        <v>2.5</v>
      </c>
    </row>
    <row r="21" spans="1:9" ht="15" thickBot="1">
      <c r="A21" s="44"/>
      <c r="B21" s="50"/>
      <c r="C21" s="54"/>
      <c r="D21" s="43"/>
      <c r="F21" s="53">
        <v>400</v>
      </c>
      <c r="G21" s="51">
        <v>2.2000000000000002</v>
      </c>
      <c r="H21" s="52">
        <v>400</v>
      </c>
      <c r="I21" s="52">
        <v>2.6</v>
      </c>
    </row>
    <row r="22" spans="1:9" ht="18">
      <c r="A22" s="48"/>
      <c r="B22" s="48"/>
      <c r="C22" s="43"/>
      <c r="D22" s="43"/>
      <c r="F22" s="53">
        <v>533.33333333333337</v>
      </c>
      <c r="G22" s="51">
        <v>2.2999999999999998</v>
      </c>
      <c r="H22" s="52">
        <v>533.33000000000004</v>
      </c>
      <c r="I22" s="52">
        <v>2.7</v>
      </c>
    </row>
    <row r="23" spans="1:9">
      <c r="A23" s="43"/>
      <c r="B23" s="54"/>
      <c r="C23" s="43"/>
      <c r="D23" s="43"/>
      <c r="F23" s="53">
        <v>666.66666666666674</v>
      </c>
      <c r="G23" s="51">
        <v>2.4</v>
      </c>
      <c r="H23" s="52">
        <v>666.66000000000008</v>
      </c>
      <c r="I23" s="52">
        <v>2.8</v>
      </c>
    </row>
    <row r="24" spans="1:9">
      <c r="A24" s="43"/>
      <c r="B24" s="43"/>
      <c r="C24" s="43"/>
      <c r="D24" s="43"/>
      <c r="F24" s="53">
        <v>800</v>
      </c>
      <c r="G24" s="51">
        <v>2.5</v>
      </c>
      <c r="H24" s="52">
        <v>800</v>
      </c>
      <c r="I24" s="52">
        <v>2.9</v>
      </c>
    </row>
    <row r="25" spans="1:9" ht="15" thickBot="1">
      <c r="A25" s="78"/>
      <c r="B25" s="43"/>
      <c r="C25" s="43"/>
      <c r="D25" s="43"/>
      <c r="F25" s="53">
        <v>1000</v>
      </c>
      <c r="G25" s="51">
        <v>2.6</v>
      </c>
      <c r="H25" s="52">
        <v>1000</v>
      </c>
      <c r="I25" s="52">
        <v>3</v>
      </c>
    </row>
    <row r="26" spans="1:9" ht="16.2" thickBot="1">
      <c r="A26" s="43"/>
      <c r="B26" s="46"/>
      <c r="C26" s="46"/>
      <c r="D26" s="43"/>
    </row>
    <row r="27" spans="1:9">
      <c r="A27" s="51"/>
      <c r="B27" s="49"/>
      <c r="C27" s="47"/>
      <c r="D27" s="43"/>
    </row>
    <row r="28" spans="1:9">
      <c r="A28" s="51"/>
      <c r="B28" s="49"/>
      <c r="C28" s="54"/>
      <c r="D28" s="43"/>
    </row>
    <row r="29" spans="1:9" ht="15" thickBot="1">
      <c r="A29" s="44"/>
      <c r="B29" s="50"/>
      <c r="C29" s="54"/>
      <c r="D29" s="43"/>
    </row>
    <row r="30" spans="1:9" ht="18">
      <c r="A30" s="48"/>
      <c r="B30" s="48"/>
      <c r="C30" s="43"/>
      <c r="D30" s="43"/>
    </row>
    <row r="31" spans="1:9">
      <c r="A31" s="43"/>
      <c r="B31" s="54"/>
      <c r="C31" s="43"/>
      <c r="D31" s="43"/>
    </row>
    <row r="32" spans="1:9">
      <c r="A32" s="43"/>
      <c r="B32" s="43"/>
      <c r="C32" s="43"/>
      <c r="D32" s="43"/>
    </row>
    <row r="33" spans="1:12" ht="15" thickBot="1">
      <c r="A33" s="78"/>
      <c r="B33" s="43"/>
      <c r="C33" s="43"/>
      <c r="D33" s="43"/>
      <c r="E33" s="78"/>
      <c r="F33" s="43"/>
      <c r="G33" s="43"/>
      <c r="H33" s="43"/>
      <c r="I33" s="78"/>
      <c r="J33" s="43"/>
      <c r="K33" s="43"/>
      <c r="L33" s="43"/>
    </row>
    <row r="34" spans="1:12" ht="16.2" thickBot="1">
      <c r="A34" s="43"/>
      <c r="B34" s="46"/>
      <c r="C34" s="46"/>
      <c r="D34" s="43"/>
      <c r="E34" s="43"/>
      <c r="F34" s="46"/>
      <c r="G34" s="46"/>
      <c r="H34" s="43"/>
      <c r="I34" s="43"/>
      <c r="J34" s="46"/>
      <c r="K34" s="46"/>
      <c r="L34" s="43"/>
    </row>
    <row r="35" spans="1:12">
      <c r="A35" s="51"/>
      <c r="B35" s="49"/>
      <c r="C35" s="47"/>
      <c r="D35" s="43"/>
      <c r="E35" s="51"/>
      <c r="F35" s="49"/>
      <c r="G35" s="47"/>
      <c r="H35" s="43"/>
      <c r="I35" s="51"/>
      <c r="J35" s="49"/>
      <c r="K35" s="47"/>
      <c r="L35" s="43"/>
    </row>
    <row r="36" spans="1:12">
      <c r="A36" s="51"/>
      <c r="B36" s="49"/>
      <c r="C36" s="54"/>
      <c r="D36" s="43"/>
      <c r="E36" s="51"/>
      <c r="F36" s="49"/>
      <c r="G36" s="54"/>
      <c r="H36" s="43"/>
      <c r="I36" s="51"/>
      <c r="J36" s="49"/>
      <c r="K36" s="54"/>
      <c r="L36" s="43"/>
    </row>
    <row r="37" spans="1:12" ht="15" thickBot="1">
      <c r="A37" s="44"/>
      <c r="B37" s="50"/>
      <c r="C37" s="54"/>
      <c r="D37" s="43"/>
      <c r="E37" s="44"/>
      <c r="F37" s="50"/>
      <c r="G37" s="54"/>
      <c r="H37" s="43"/>
      <c r="I37" s="44"/>
      <c r="J37" s="50"/>
      <c r="K37" s="54"/>
      <c r="L37" s="43"/>
    </row>
    <row r="38" spans="1:12" ht="18">
      <c r="A38" s="48"/>
      <c r="B38" s="48"/>
      <c r="C38" s="43"/>
      <c r="D38" s="43"/>
      <c r="E38" s="48"/>
      <c r="F38" s="48"/>
      <c r="G38" s="43"/>
      <c r="H38" s="43"/>
      <c r="I38" s="48"/>
      <c r="J38" s="48"/>
      <c r="K38" s="43"/>
      <c r="L38" s="43"/>
    </row>
    <row r="39" spans="1:12">
      <c r="A39" s="43"/>
      <c r="B39" s="54"/>
      <c r="C39" s="43"/>
      <c r="D39" s="43"/>
      <c r="E39" s="43"/>
      <c r="F39" s="54"/>
      <c r="G39" s="43"/>
      <c r="H39" s="43"/>
      <c r="I39" s="43"/>
      <c r="J39" s="54"/>
      <c r="K39" s="43"/>
      <c r="L39" s="43"/>
    </row>
    <row r="40" spans="1:1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E7E5-95C8-4634-A592-A3E7FC27181E}">
  <dimension ref="A1:M136"/>
  <sheetViews>
    <sheetView zoomScale="85" zoomScaleNormal="85" workbookViewId="0">
      <selection activeCell="O45" sqref="O45"/>
    </sheetView>
  </sheetViews>
  <sheetFormatPr defaultColWidth="9.109375" defaultRowHeight="13.8"/>
  <cols>
    <col min="1" max="1" width="2" style="1" customWidth="1"/>
    <col min="2" max="2" width="18.6640625" style="1" customWidth="1"/>
    <col min="3" max="3" width="10.88671875" style="1" customWidth="1"/>
    <col min="4" max="10" width="10" style="1" customWidth="1"/>
    <col min="11" max="11" width="0.5546875" style="1" customWidth="1"/>
    <col min="12" max="16384" width="9.109375" style="1"/>
  </cols>
  <sheetData>
    <row r="1" spans="1:11" ht="22.8">
      <c r="B1" s="2" t="s">
        <v>167</v>
      </c>
      <c r="J1" s="13" t="e">
        <f>#REF!</f>
        <v>#REF!</v>
      </c>
    </row>
    <row r="2" spans="1:11">
      <c r="J2" s="13"/>
    </row>
    <row r="3" spans="1:11" ht="22.5" customHeight="1">
      <c r="B3" s="83" t="s">
        <v>170</v>
      </c>
      <c r="C3" s="162"/>
      <c r="D3" s="162"/>
      <c r="E3" s="162"/>
      <c r="F3" s="162"/>
      <c r="G3" s="8"/>
      <c r="H3" s="83" t="s">
        <v>148</v>
      </c>
      <c r="I3" s="162"/>
      <c r="J3" s="162"/>
    </row>
    <row r="4" spans="1:11" ht="22.5" customHeight="1">
      <c r="B4" s="83" t="s">
        <v>171</v>
      </c>
      <c r="C4" s="162"/>
      <c r="D4" s="162"/>
      <c r="E4" s="162"/>
      <c r="F4" s="162"/>
      <c r="G4" s="8"/>
      <c r="H4" s="83" t="s">
        <v>56</v>
      </c>
      <c r="I4" s="162"/>
      <c r="J4" s="162"/>
    </row>
    <row r="5" spans="1:11" ht="22.5" customHeight="1">
      <c r="B5" s="83" t="s">
        <v>133</v>
      </c>
      <c r="C5" s="169"/>
      <c r="D5" s="169"/>
      <c r="E5" s="169"/>
      <c r="F5" s="169"/>
      <c r="G5" s="8"/>
      <c r="H5" s="83" t="s">
        <v>169</v>
      </c>
      <c r="I5" s="162"/>
      <c r="J5" s="162"/>
    </row>
    <row r="6" spans="1:11">
      <c r="A6" s="75"/>
      <c r="B6" s="72"/>
      <c r="C6" s="72"/>
      <c r="D6" s="74"/>
      <c r="E6" s="73"/>
      <c r="F6" s="73"/>
      <c r="G6" s="73"/>
      <c r="H6" s="73"/>
      <c r="I6" s="73"/>
      <c r="J6" s="73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84" t="s">
        <v>1</v>
      </c>
      <c r="C8" s="85" t="s">
        <v>168</v>
      </c>
      <c r="D8" s="85"/>
      <c r="E8" s="85"/>
      <c r="F8" s="85"/>
      <c r="G8" s="85"/>
      <c r="H8" s="85"/>
      <c r="I8" s="85"/>
      <c r="J8" s="85"/>
      <c r="K8" s="5"/>
    </row>
    <row r="9" spans="1:11" ht="22.5" customHeight="1">
      <c r="A9" s="4"/>
      <c r="B9" s="10" t="s">
        <v>3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5</v>
      </c>
      <c r="C10" s="10" t="s">
        <v>52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6</v>
      </c>
      <c r="C11" s="10" t="s">
        <v>52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7</v>
      </c>
      <c r="C12" s="10" t="s">
        <v>52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8</v>
      </c>
      <c r="C13" s="10" t="s">
        <v>52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14</v>
      </c>
      <c r="C14" s="10" t="s">
        <v>53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17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9</v>
      </c>
      <c r="C16" s="10" t="s">
        <v>54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108</v>
      </c>
      <c r="C17" s="10" t="s">
        <v>109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10</v>
      </c>
      <c r="C18" s="10" t="s">
        <v>24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11</v>
      </c>
      <c r="C19" s="10" t="s">
        <v>24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12</v>
      </c>
      <c r="C20" s="10" t="s">
        <v>24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13</v>
      </c>
      <c r="C21" s="10" t="s">
        <v>24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</v>
      </c>
      <c r="C22" s="10" t="s">
        <v>24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15</v>
      </c>
      <c r="C23" s="10" t="s">
        <v>24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16</v>
      </c>
      <c r="C24" s="10" t="s">
        <v>24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178</v>
      </c>
      <c r="C25" s="10" t="s">
        <v>179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178</v>
      </c>
      <c r="C26" s="10" t="s">
        <v>180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18</v>
      </c>
      <c r="C27" s="10" t="s">
        <v>25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159</v>
      </c>
      <c r="C28" s="10" t="s">
        <v>160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19</v>
      </c>
      <c r="C29" s="10" t="s">
        <v>55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20</v>
      </c>
      <c r="C30" s="10" t="s">
        <v>24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26</v>
      </c>
      <c r="C31" s="10" t="s">
        <v>24</v>
      </c>
      <c r="D31" s="81"/>
      <c r="E31" s="81"/>
      <c r="F31" s="81"/>
      <c r="G31" s="81"/>
      <c r="H31" s="81"/>
      <c r="I31" s="81"/>
      <c r="J31" s="81"/>
      <c r="K31" s="5"/>
    </row>
    <row r="32" spans="1:11" ht="22.5" customHeight="1">
      <c r="A32" s="4"/>
      <c r="B32" s="10" t="s">
        <v>27</v>
      </c>
      <c r="C32" s="10" t="s">
        <v>24</v>
      </c>
      <c r="D32" s="14"/>
      <c r="E32" s="14"/>
      <c r="F32" s="14"/>
      <c r="G32" s="14"/>
      <c r="H32" s="14"/>
      <c r="I32" s="14"/>
      <c r="J32" s="14"/>
      <c r="K32" s="5"/>
    </row>
    <row r="33" spans="1:13" ht="22.5" customHeight="1">
      <c r="A33" s="4"/>
      <c r="B33" s="10" t="s">
        <v>30</v>
      </c>
      <c r="C33" s="10" t="s">
        <v>29</v>
      </c>
      <c r="D33" s="11"/>
      <c r="E33" s="11"/>
      <c r="F33" s="11"/>
      <c r="G33" s="11"/>
      <c r="H33" s="11"/>
      <c r="I33" s="11"/>
      <c r="J33" s="11"/>
      <c r="K33" s="5"/>
    </row>
    <row r="34" spans="1:13" ht="22.5" customHeight="1">
      <c r="A34" s="4"/>
      <c r="B34" s="10" t="s">
        <v>31</v>
      </c>
      <c r="C34" s="10" t="s">
        <v>29</v>
      </c>
      <c r="D34" s="11"/>
      <c r="E34" s="11"/>
      <c r="F34" s="11"/>
      <c r="G34" s="11"/>
      <c r="H34" s="11"/>
      <c r="I34" s="11"/>
      <c r="J34" s="11"/>
      <c r="K34" s="5"/>
    </row>
    <row r="35" spans="1:13" ht="22.5" customHeight="1">
      <c r="A35" s="4"/>
      <c r="B35" s="10" t="s">
        <v>32</v>
      </c>
      <c r="C35" s="10" t="s">
        <v>34</v>
      </c>
      <c r="D35" s="11"/>
      <c r="E35" s="11"/>
      <c r="F35" s="11"/>
      <c r="G35" s="11"/>
      <c r="H35" s="11"/>
      <c r="I35" s="11"/>
      <c r="J35" s="11"/>
      <c r="K35" s="5"/>
    </row>
    <row r="36" spans="1:13" ht="22.5" customHeight="1">
      <c r="A36" s="4"/>
      <c r="B36" s="10" t="s">
        <v>33</v>
      </c>
      <c r="C36" s="10" t="s">
        <v>34</v>
      </c>
      <c r="D36" s="11"/>
      <c r="E36" s="11"/>
      <c r="F36" s="11"/>
      <c r="G36" s="11"/>
      <c r="H36" s="11"/>
      <c r="I36" s="11"/>
      <c r="J36" s="11"/>
      <c r="K36" s="5"/>
    </row>
    <row r="37" spans="1:13">
      <c r="A37" s="4"/>
      <c r="B37" s="65"/>
      <c r="C37" s="65"/>
      <c r="D37" s="67"/>
      <c r="E37" s="67"/>
      <c r="F37" s="67"/>
      <c r="G37" s="67"/>
      <c r="H37" s="67"/>
      <c r="I37" s="67"/>
      <c r="J37" s="67"/>
      <c r="K37" s="5"/>
    </row>
    <row r="38" spans="1:13">
      <c r="A38" s="4"/>
      <c r="B38" s="7" t="s">
        <v>44</v>
      </c>
      <c r="C38" s="9"/>
      <c r="D38" s="8"/>
      <c r="E38" s="8"/>
      <c r="F38" s="8"/>
      <c r="G38" s="8"/>
      <c r="H38" s="8"/>
      <c r="I38" s="8"/>
      <c r="J38" s="8"/>
      <c r="K38" s="5"/>
    </row>
    <row r="39" spans="1:13" ht="20.25" customHeight="1">
      <c r="A39" s="4"/>
      <c r="B39" s="92" t="s">
        <v>45</v>
      </c>
      <c r="C39" s="141" t="s">
        <v>194</v>
      </c>
      <c r="D39" s="142"/>
      <c r="E39" s="170" t="s">
        <v>197</v>
      </c>
      <c r="F39" s="170"/>
      <c r="G39" s="58" t="s">
        <v>203</v>
      </c>
      <c r="H39" s="143" t="s">
        <v>202</v>
      </c>
      <c r="I39" s="143"/>
      <c r="J39" s="143"/>
      <c r="K39" s="5"/>
      <c r="M39" s="95" t="str">
        <f>CONCATENATE(C39,E39,G39,H39)</f>
        <v>The sample was slightly discoloured with some significant sediments</v>
      </c>
    </row>
    <row r="40" spans="1:13" ht="20.25" customHeight="1">
      <c r="A40" s="4"/>
      <c r="B40" s="10" t="s">
        <v>46</v>
      </c>
      <c r="C40" s="93" t="s">
        <v>176</v>
      </c>
      <c r="D40" s="60"/>
      <c r="E40" s="60"/>
      <c r="F40" s="60"/>
      <c r="G40" s="60"/>
      <c r="H40" s="60"/>
      <c r="I40" s="60"/>
      <c r="J40" s="94"/>
      <c r="K40" s="5"/>
    </row>
    <row r="41" spans="1:13" ht="20.25" customHeight="1">
      <c r="A41" s="4"/>
      <c r="B41" s="10" t="s">
        <v>47</v>
      </c>
      <c r="C41" s="57" t="s">
        <v>176</v>
      </c>
      <c r="D41" s="58"/>
      <c r="E41" s="58"/>
      <c r="F41" s="58"/>
      <c r="G41" s="58"/>
      <c r="H41" s="58"/>
      <c r="I41" s="58"/>
      <c r="J41" s="59"/>
      <c r="K41" s="5"/>
    </row>
    <row r="42" spans="1:13" ht="20.25" customHeight="1">
      <c r="A42" s="4"/>
      <c r="B42" s="10" t="s">
        <v>48</v>
      </c>
      <c r="C42" s="57" t="s">
        <v>176</v>
      </c>
      <c r="D42" s="58"/>
      <c r="E42" s="58"/>
      <c r="F42" s="58"/>
      <c r="G42" s="58"/>
      <c r="H42" s="58"/>
      <c r="I42" s="58"/>
      <c r="J42" s="59"/>
      <c r="K42" s="5"/>
    </row>
    <row r="43" spans="1:13" ht="20.25" customHeight="1">
      <c r="A43" s="4"/>
      <c r="B43" s="10" t="s">
        <v>49</v>
      </c>
      <c r="C43" s="57" t="s">
        <v>176</v>
      </c>
      <c r="D43" s="58"/>
      <c r="E43" s="58"/>
      <c r="F43" s="58"/>
      <c r="G43" s="58"/>
      <c r="H43" s="58"/>
      <c r="I43" s="58"/>
      <c r="J43" s="59"/>
      <c r="K43" s="5"/>
    </row>
    <row r="44" spans="1:13" ht="20.25" customHeight="1">
      <c r="A44" s="4"/>
      <c r="B44" s="10" t="s">
        <v>50</v>
      </c>
      <c r="C44" s="57" t="s">
        <v>176</v>
      </c>
      <c r="D44" s="58"/>
      <c r="E44" s="58"/>
      <c r="F44" s="58"/>
      <c r="G44" s="58"/>
      <c r="H44" s="58"/>
      <c r="I44" s="58"/>
      <c r="J44" s="59"/>
      <c r="K44" s="5"/>
    </row>
    <row r="45" spans="1:13" ht="20.25" customHeight="1">
      <c r="A45" s="4"/>
      <c r="B45" s="10" t="s">
        <v>51</v>
      </c>
      <c r="C45" s="57" t="s">
        <v>176</v>
      </c>
      <c r="D45" s="58"/>
      <c r="E45" s="58"/>
      <c r="F45" s="58"/>
      <c r="G45" s="58"/>
      <c r="H45" s="58"/>
      <c r="I45" s="58"/>
      <c r="J45" s="59"/>
      <c r="K45" s="5"/>
    </row>
    <row r="46" spans="1:13">
      <c r="A46" s="4"/>
      <c r="B46" s="65"/>
      <c r="C46" s="80"/>
      <c r="D46" s="80"/>
      <c r="E46" s="80"/>
      <c r="F46" s="80"/>
      <c r="G46" s="80"/>
      <c r="H46" s="80"/>
      <c r="I46" s="80"/>
      <c r="J46" s="80"/>
      <c r="K46" s="5"/>
    </row>
    <row r="47" spans="1:13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3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9">
    <mergeCell ref="C39:D39"/>
    <mergeCell ref="E39:F39"/>
    <mergeCell ref="H39:J39"/>
    <mergeCell ref="C3:F3"/>
    <mergeCell ref="I3:J3"/>
    <mergeCell ref="C4:F4"/>
    <mergeCell ref="I4:J4"/>
    <mergeCell ref="C5:F5"/>
    <mergeCell ref="I5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E7C886B-5473-4F46-B9EE-44953B3F0F5D}">
          <x14:formula1>
            <xm:f>Data!$A$4:$A$6</xm:f>
          </x14:formula1>
          <xm:sqref>D33:J34</xm:sqref>
        </x14:dataValidation>
        <x14:dataValidation type="list" allowBlank="1" showInputMessage="1" showErrorMessage="1" xr:uid="{AA9073A3-C510-4B8A-AF00-181A3A1E1D41}">
          <x14:formula1>
            <xm:f>Data!$A$39:$A$47</xm:f>
          </x14:formula1>
          <xm:sqref>C7 C5</xm:sqref>
        </x14:dataValidation>
        <x14:dataValidation type="list" allowBlank="1" showInputMessage="1" showErrorMessage="1" xr:uid="{D79F5B8C-F0F8-454D-BE6E-10A5B93B6879}">
          <x14:formula1>
            <xm:f>Data!$A$55:$A$65</xm:f>
          </x14:formula1>
          <xm:sqref>D35:J36</xm:sqref>
        </x14:dataValidation>
        <x14:dataValidation type="list" showInputMessage="1" showErrorMessage="1" xr:uid="{2EFA6FC7-CE94-4773-8260-5273E003CA7D}">
          <x14:formula1>
            <xm:f>'Input Lookup sheet'!$B$13:$B$15</xm:f>
          </x14:formula1>
          <xm:sqref>E39</xm:sqref>
        </x14:dataValidation>
        <x14:dataValidation type="list" showInputMessage="1" showErrorMessage="1" xr:uid="{FD878825-0090-4B65-AEC4-FF10B00DAEBE}">
          <x14:formula1>
            <xm:f>'Input Lookup sheet'!$B$19:$B$21</xm:f>
          </x14:formula1>
          <xm:sqref>H39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47AE-64FA-4A28-BE11-07EFA8BEAF38}">
  <dimension ref="B2:F21"/>
  <sheetViews>
    <sheetView workbookViewId="0">
      <selection activeCell="B21" sqref="B21"/>
    </sheetView>
  </sheetViews>
  <sheetFormatPr defaultRowHeight="14.4"/>
  <sheetData>
    <row r="2" spans="2:6">
      <c r="F2" s="91" t="s">
        <v>208</v>
      </c>
    </row>
    <row r="12" spans="2:6">
      <c r="B12" s="91" t="s">
        <v>195</v>
      </c>
    </row>
    <row r="13" spans="2:6">
      <c r="B13" t="s">
        <v>196</v>
      </c>
    </row>
    <row r="14" spans="2:6">
      <c r="B14" t="s">
        <v>197</v>
      </c>
    </row>
    <row r="15" spans="2:6">
      <c r="B15" t="s">
        <v>198</v>
      </c>
    </row>
    <row r="18" spans="2:2">
      <c r="B18" s="91" t="s">
        <v>199</v>
      </c>
    </row>
    <row r="19" spans="2:2">
      <c r="B19" s="51" t="s">
        <v>201</v>
      </c>
    </row>
    <row r="20" spans="2:2">
      <c r="B20" s="51" t="s">
        <v>202</v>
      </c>
    </row>
    <row r="21" spans="2:2">
      <c r="B21" s="51" t="s">
        <v>200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810c15-f90f-49da-a0e3-a69cb093d57d" xsi:nil="true"/>
    <lcf76f155ced4ddcb4097134ff3c332f xmlns="df3d46c1-1a59-485a-af3a-7064b4cd56c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070631-76B7-49FA-8A35-2A612984FD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37E302-8FE3-4C46-8473-472DDED1C0F0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a485ba0b-8b54-4b26-a1c0-8a4bc31186fb"/>
    <ds:schemaRef ds:uri="http://schemas.microsoft.com/sharepoint/v3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e3d8395-3b78-4cee-bcbb-a4d4a59b9b21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CF5A8FB-5BD7-4209-ADEF-E91605C34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8</vt:i4>
      </vt:variant>
    </vt:vector>
  </HeadingPairs>
  <TitlesOfParts>
    <vt:vector size="27" baseType="lpstr">
      <vt:lpstr>R-CHE</vt:lpstr>
      <vt:lpstr>R-SHO</vt:lpstr>
      <vt:lpstr>R-SRT</vt:lpstr>
      <vt:lpstr>R-COM</vt:lpstr>
      <vt:lpstr>R-ECO</vt:lpstr>
      <vt:lpstr>R-MPN</vt:lpstr>
      <vt:lpstr>R-C+E</vt:lpstr>
      <vt:lpstr>R-C+M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  <vt:lpstr>Input sheet</vt:lpstr>
      <vt:lpstr>Input Lookup sheet</vt:lpstr>
      <vt:lpstr>'R-C+E'!Print_Area</vt:lpstr>
      <vt:lpstr>'R-C+M'!Print_Area</vt:lpstr>
      <vt:lpstr>'R-CHE'!Print_Area</vt:lpstr>
      <vt:lpstr>'R-COM'!Print_Area</vt:lpstr>
      <vt:lpstr>'R-ECO'!Print_Area</vt:lpstr>
      <vt:lpstr>'R-MPN'!Print_Area</vt:lpstr>
      <vt:lpstr>'R-SHO'!Print_Area</vt:lpstr>
      <vt:lpstr>'R-SRT'!Print_Area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Moore</dc:creator>
  <cp:lastModifiedBy>Jewella Sepulveda</cp:lastModifiedBy>
  <cp:lastPrinted>2022-10-20T19:37:20Z</cp:lastPrinted>
  <dcterms:created xsi:type="dcterms:W3CDTF">2017-07-10T05:27:40Z</dcterms:created>
  <dcterms:modified xsi:type="dcterms:W3CDTF">2022-10-20T19:57:16Z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0x0101008694DF1EDE30794993C0BD308D3AA276</vt:lpwstr>
  </property>
</Properties>
</file>