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AAA Credits - October\AA Territory Activity\AA - Team File\Analysis\2022\11 November\"/>
    </mc:Choice>
  </mc:AlternateContent>
  <xr:revisionPtr revIDLastSave="0" documentId="13_ncr:1_{AAF031A4-4289-4F1C-A77E-F3E7289516D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P19" i="9"/>
  <c r="P20" i="9"/>
  <c r="D19" i="9"/>
  <c r="E19" i="9"/>
  <c r="Q20" i="9"/>
  <c r="Q19" i="9"/>
  <c r="F19" i="9"/>
  <c r="R20" i="9"/>
  <c r="R19" i="9"/>
  <c r="G19" i="9"/>
  <c r="S20" i="9"/>
  <c r="S19" i="9"/>
  <c r="N25" i="22"/>
  <c r="D25" i="22"/>
  <c r="D24" i="22"/>
  <c r="N24" i="22"/>
  <c r="N24" i="27"/>
  <c r="D24" i="27"/>
  <c r="D25" i="27"/>
  <c r="N25" i="27"/>
</calcChain>
</file>

<file path=xl/sharedStrings.xml><?xml version="1.0" encoding="utf-8"?>
<sst xmlns="http://schemas.openxmlformats.org/spreadsheetml/2006/main" count="1892" uniqueCount="225">
  <si>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</si>
  <si>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</si>
  <si>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</si>
  <si>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</si>
  <si>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</si>
  <si>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</si>
  <si>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</si>
  <si>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</si>
  <si>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</si>
  <si>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</si>
  <si>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</si>
  <si>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</si>
  <si>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</si>
  <si>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</si>
  <si>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</si>
  <si>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</si>
  <si>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</si>
  <si>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</si>
  <si>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</si>
  <si>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</si>
  <si>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</si>
  <si>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</si>
  <si>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</si>
  <si>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</si>
  <si>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</si>
  <si>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</si>
  <si>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</si>
  <si>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</si>
  <si>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</si>
  <si>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</si>
  <si>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</si>
  <si>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</si>
  <si>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</si>
  <si>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</si>
  <si>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</si>
  <si>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</si>
  <si>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</si>
  <si>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</si>
  <si>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</si>
  <si>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</si>
  <si>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</si>
  <si>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</si>
  <si>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</si>
  <si>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</si>
  <si>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</si>
  <si>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</si>
  <si>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</si>
  <si>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</si>
  <si>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</si>
  <si>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</si>
  <si>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</si>
  <si>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</si>
  <si>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</si>
  <si>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</si>
  <si>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</si>
  <si>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</si>
  <si>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</si>
  <si>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</si>
  <si>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</si>
  <si>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</si>
  <si>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</si>
  <si>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</si>
  <si>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</si>
  <si>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</si>
  <si>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</si>
  <si>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</si>
  <si>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</si>
  <si>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</si>
  <si>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</si>
  <si>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</si>
  <si>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</si>
  <si>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</si>
  <si>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</si>
  <si>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</si>
  <si>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</si>
  <si>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</si>
  <si>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</si>
  <si>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</si>
  <si>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</si>
  <si>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</si>
  <si>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</si>
  <si>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</si>
  <si>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</si>
  <si>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</si>
  <si>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</si>
  <si>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</si>
  <si>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</si>
  <si>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</si>
  <si>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</si>
  <si>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</si>
  <si>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</si>
  <si>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</si>
  <si>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</si>
  <si>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</si>
  <si>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</si>
  <si>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</si>
  <si>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</si>
  <si>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</si>
  <si>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</si>
  <si>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</si>
  <si>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</si>
  <si>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</si>
  <si>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</si>
  <si>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</si>
  <si>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</si>
  <si>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</si>
  <si>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</si>
  <si>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</si>
  <si>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</si>
  <si>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</si>
  <si>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</si>
  <si>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</si>
  <si>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</si>
  <si>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</si>
  <si>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</si>
  <si>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</si>
  <si>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</si>
  <si>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</si>
  <si>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</si>
  <si>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</si>
  <si>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</si>
  <si>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</si>
  <si>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</si>
  <si>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</si>
  <si>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</si>
  <si>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</si>
  <si>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</si>
  <si>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</si>
  <si>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</si>
  <si>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</si>
  <si>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</si>
  <si>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</si>
  <si>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</si>
  <si>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</si>
  <si>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</si>
  <si>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</si>
  <si>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</si>
  <si>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</si>
  <si>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</si>
  <si>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</si>
  <si>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</si>
  <si>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</si>
  <si>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</si>
  <si>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</si>
  <si>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</si>
  <si>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</si>
  <si>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</si>
  <si>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</si>
  <si>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</si>
  <si>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</si>
  <si>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</si>
  <si>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</si>
  <si>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</si>
  <si>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</si>
  <si>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</si>
  <si>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</si>
  <si>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</si>
  <si>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</si>
  <si>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</si>
  <si>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</si>
  <si>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</si>
  <si>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</si>
  <si>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</si>
  <si>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</si>
  <si>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</si>
  <si>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</si>
  <si>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</si>
  <si>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</si>
  <si>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</si>
  <si>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</si>
  <si>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</si>
  <si>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</si>
  <si>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</si>
  <si>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</si>
  <si>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</si>
  <si>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</si>
  <si>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</si>
  <si>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</si>
  <si>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</si>
  <si>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</si>
  <si>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</si>
  <si>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</si>
  <si>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</si>
  <si>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</si>
  <si>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</si>
  <si>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 xml:space="preserve">Whilst care is taken to ensure the  accuracy of this information, Davey Water Products does not accept responsibility for any loss or damage based on it.  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</si>
  <si>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</si>
  <si>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</si>
  <si>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</si>
  <si>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</si>
  <si>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</si>
  <si>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</si>
  <si>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</si>
  <si>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</si>
  <si>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</t>
  </si>
  <si>
    <t>Clarity:</t>
  </si>
  <si>
    <t>clear</t>
  </si>
  <si>
    <t>slightly discoloured</t>
  </si>
  <si>
    <t>discoloured</t>
  </si>
  <si>
    <t>Sediments</t>
  </si>
  <si>
    <t>sediments</t>
  </si>
  <si>
    <t>no significant sediments</t>
  </si>
  <si>
    <t>some significant sediments</t>
  </si>
  <si>
    <t xml:space="preserve"> with </t>
  </si>
  <si>
    <t>DL</t>
  </si>
  <si>
    <t>GV</t>
  </si>
  <si>
    <t>MAV</t>
  </si>
  <si>
    <t>Comments:</t>
  </si>
  <si>
    <t xml:space="preserve">Dealers: </t>
  </si>
  <si>
    <t>The sample was</t>
  </si>
  <si>
    <t xml:space="preserve"> with</t>
  </si>
  <si>
    <t>LSI comment:</t>
  </si>
  <si>
    <t>Silica comment:</t>
  </si>
  <si>
    <t>Iron comment:</t>
  </si>
  <si>
    <t>Manganese comment:</t>
  </si>
  <si>
    <t>MAV comment:</t>
  </si>
  <si>
    <t xml:space="preserve">Comment </t>
  </si>
  <si>
    <t>Chloride comment:</t>
  </si>
  <si>
    <t>20170714C+E01</t>
  </si>
  <si>
    <t>E. coli comment:</t>
  </si>
  <si>
    <t>20170714C+M01</t>
  </si>
  <si>
    <t>Rev10</t>
  </si>
  <si>
    <t>Water Solutions Te Puke</t>
  </si>
  <si>
    <t>Nelson</t>
  </si>
  <si>
    <t>20221109SRT01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</si>
</sst>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8" fillId="0" borderId="0" xfId="0" applyFont="1"/>
    <xf numFmtId="0" fontId="4" fillId="0" borderId="2" xfId="0" applyFont="1" applyBorder="1"/>
    <xf numFmtId="0" fontId="4" fillId="0" borderId="12" xfId="0" applyFont="1" applyBorder="1" applyAlignment="1"/>
    <xf numFmtId="0" fontId="4" fillId="0" borderId="13" xfId="0" applyFont="1" applyBorder="1" applyAlignment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5" fillId="0" borderId="0" xfId="0" applyNumberFormat="1" applyFont="1"/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/>
    <xf numFmtId="1" fontId="4" fillId="0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 applyAlignment="1"/>
    <xf numFmtId="0" fontId="4" fillId="6" borderId="4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 applyAlignment="1"/>
    <xf numFmtId="0" fontId="9" fillId="6" borderId="3" xfId="0" applyFont="1" applyFill="1" applyBorder="1" applyAlignment="1"/>
    <xf numFmtId="0" fontId="9" fillId="6" borderId="4" xfId="0" applyFont="1" applyFill="1" applyBorder="1" applyAlignment="1"/>
    <xf numFmtId="14" fontId="4" fillId="0" borderId="0" xfId="0" applyNumberFormat="1" applyFont="1" applyBorder="1" applyAlignment="1">
      <alignment horizontal="righ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972212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H17" sqref="H17:I20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">
        <v>221</v>
      </c>
      <c r="L1" s="2" t="s">
        <v>0</v>
      </c>
      <c r="T1" s="13" t="str">
        <f>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149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20170714CHE01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44875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44875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169</v>
      </c>
      <c r="I5" s="110">
        <f ca="1">TODAY()</f>
        <v>44875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44875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1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1"/>
        <v xml:space="preserve"> </v>
      </c>
      <c r="I19" s="156"/>
      <c r="J19" s="4"/>
      <c r="K19" s="4"/>
      <c r="L19" s="10" t="s">
        <v>12</v>
      </c>
      <c r="M19" s="10" t="s">
        <v>24</v>
      </c>
      <c r="N19" s="14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1"/>
        <v xml:space="preserve"> </v>
      </c>
      <c r="I20" s="156"/>
      <c r="J20" s="4"/>
      <c r="K20" s="4"/>
      <c r="L20" s="10" t="s">
        <v>13</v>
      </c>
      <c r="M20" s="10" t="s">
        <v>24</v>
      </c>
      <c r="N20" s="14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/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81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/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4.5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0" t="s">
        <v>19</v>
      </c>
      <c r="M28" s="10" t="s">
        <v>55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39"/>
      <c r="S28" s="140"/>
      <c r="T28" s="141"/>
      <c r="U28" s="5"/>
    </row>
    <row r="29" spans="1:21">
      <c r="A29" s="4"/>
      <c r="B29" s="65"/>
      <c r="C29" s="65"/>
      <c r="D29" s="67"/>
      <c r="E29" s="67"/>
      <c r="F29" s="67"/>
      <c r="G29" s="67"/>
      <c r="H29" s="67"/>
      <c r="I29" s="67"/>
      <c r="J29" s="4"/>
      <c r="K29" s="4"/>
      <c r="L29" s="65"/>
      <c r="M29" s="65"/>
      <c r="N29" s="67"/>
      <c r="O29" s="67"/>
      <c r="P29" s="67"/>
      <c r="Q29" s="67"/>
      <c r="R29" s="88"/>
      <c r="S29" s="88"/>
      <c r="T29" s="88"/>
      <c r="U29" s="5"/>
    </row>
    <row r="30" spans="1:21">
      <c r="A30" s="4"/>
      <c r="B30" s="7" t="s">
        <v>207</v>
      </c>
      <c r="C30" s="139" t="s">
        <v>209</v>
      </c>
      <c r="D30" s="140"/>
      <c r="E30" s="145" t="s">
        <v>197</v>
      </c>
      <c r="F30" s="145"/>
      <c r="G30" s="58" t="s">
        <v>210</v>
      </c>
      <c r="H30" s="145" t="s">
        <v>201</v>
      </c>
      <c r="I30" s="146"/>
      <c r="J30" s="4"/>
      <c r="K30" s="4"/>
      <c r="L30" s="90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108" t="s">
        <v>211</v>
      </c>
      <c r="C31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112"/>
      <c r="E31" s="112"/>
      <c r="F31" s="112"/>
      <c r="G31" s="112"/>
      <c r="H31" s="112"/>
      <c r="I31" s="113"/>
      <c r="J31" s="4"/>
      <c r="K31" s="4"/>
      <c r="L31" s="88" t="str">
        <f t="shared" ref="L31:L36" si="2">C31</f>
        <v>The negative LSI indicates corrosive water.</v>
      </c>
      <c r="M31" s="88"/>
      <c r="U31" s="5"/>
    </row>
    <row r="32" spans="1:21">
      <c r="A32" s="4"/>
      <c r="B32" s="108" t="s">
        <v>212</v>
      </c>
      <c r="C32" s="111" t="str">
        <f>IF(D15&lt;50," ","The high silica level may cause scale, treatment options are available but expensive")</f>
        <v xml:space="preserve"> </v>
      </c>
      <c r="D32" s="114"/>
      <c r="E32" s="114"/>
      <c r="F32" s="114"/>
      <c r="G32" s="114"/>
      <c r="H32" s="115"/>
      <c r="I32" s="116"/>
      <c r="J32" s="4"/>
      <c r="K32" s="4"/>
      <c r="L32" s="98" t="str">
        <f t="shared" si="2"/>
        <v xml:space="preserve"> </v>
      </c>
      <c r="U32" s="5"/>
    </row>
    <row r="33" spans="1:21">
      <c r="A33" s="4"/>
      <c r="B33" s="108" t="s">
        <v>213</v>
      </c>
      <c r="C33" s="111" t="str">
        <f>IF(D17&lt;0.2," ","The high iron content may cause staining, taste and odour issues.")</f>
        <v xml:space="preserve"> </v>
      </c>
      <c r="D33" s="114"/>
      <c r="E33" s="114"/>
      <c r="F33" s="114"/>
      <c r="G33" s="114"/>
      <c r="H33" s="114"/>
      <c r="I33" s="116"/>
      <c r="J33" s="4"/>
      <c r="K33" s="4"/>
      <c r="L33" s="98" t="str">
        <f t="shared" si="2"/>
        <v xml:space="preserve"> </v>
      </c>
      <c r="U33" s="5"/>
    </row>
    <row r="34" spans="1:21">
      <c r="A34" s="4"/>
      <c r="B34" s="108" t="s">
        <v>214</v>
      </c>
      <c r="C34" s="111" t="str">
        <f>IF(D18&lt;0.04," ","The high manganese content may cause staining, taste and odour issues.")</f>
        <v xml:space="preserve"> </v>
      </c>
      <c r="D34" s="114"/>
      <c r="E34" s="114"/>
      <c r="F34" s="114"/>
      <c r="G34" s="114"/>
      <c r="H34" s="114"/>
      <c r="I34" s="116"/>
      <c r="J34" s="4"/>
      <c r="K34" s="4"/>
      <c r="L34" s="98" t="str">
        <f t="shared" si="2"/>
        <v xml:space="preserve"> </v>
      </c>
      <c r="U34" s="5"/>
    </row>
    <row r="35" spans="1:21">
      <c r="A35" s="4"/>
      <c r="B35" s="108" t="s">
        <v>217</v>
      </c>
      <c r="C35" s="111" t="str">
        <f>IF(D22&lt;200," ","The high chloride level indicates possible salt water intrusion")</f>
        <v xml:space="preserve"> </v>
      </c>
      <c r="D35" s="117"/>
      <c r="E35" s="117"/>
      <c r="F35" s="114"/>
      <c r="G35" s="114"/>
      <c r="H35" s="114"/>
      <c r="I35" s="116"/>
      <c r="J35" s="4"/>
      <c r="K35" s="4"/>
      <c r="L35" s="98" t="str">
        <f t="shared" si="2"/>
        <v xml:space="preserve"> </v>
      </c>
      <c r="M35" s="88"/>
      <c r="U35" s="5"/>
    </row>
    <row r="36" spans="1:21">
      <c r="A36" s="4"/>
      <c r="B36" s="108" t="s">
        <v>215</v>
      </c>
      <c r="C36" s="118" t="str">
        <f>IF(COUNTIF(Q8:Q28,"Above MAV")&gt;0,"The sample contained results above the MAV for drinking water, treatment is highly recommended"," ")</f>
        <v xml:space="preserve"> </v>
      </c>
      <c r="D36" s="114"/>
      <c r="E36" s="114"/>
      <c r="F36" s="119"/>
      <c r="G36" s="119"/>
      <c r="H36" s="119"/>
      <c r="I36" s="120"/>
      <c r="J36" s="4"/>
      <c r="K36" s="4"/>
      <c r="L36" s="98" t="str">
        <f t="shared" si="2"/>
        <v xml:space="preserve"> </v>
      </c>
      <c r="M36" s="88"/>
      <c r="U36" s="5"/>
    </row>
    <row r="37" spans="1:21">
      <c r="A37" s="4"/>
      <c r="B37" s="108"/>
      <c r="C37" s="98"/>
      <c r="D37" s="8"/>
      <c r="E37" s="8"/>
      <c r="F37" s="5"/>
      <c r="G37" s="5"/>
      <c r="H37" s="5"/>
      <c r="I37" s="5"/>
      <c r="J37" s="4"/>
      <c r="K37" s="4"/>
      <c r="L37" s="98"/>
      <c r="M37" s="98"/>
      <c r="U37" s="5"/>
    </row>
    <row r="38" spans="1:21">
      <c r="A38" s="4"/>
      <c r="B38" s="89"/>
      <c r="C38" s="89"/>
      <c r="D38" s="5"/>
      <c r="E38" s="5"/>
      <c r="F38" s="5"/>
      <c r="G38" s="5"/>
      <c r="H38" s="5"/>
      <c r="I38" s="5"/>
      <c r="J38" s="4"/>
      <c r="K38" s="4"/>
      <c r="L38" s="61" t="s">
        <v>62</v>
      </c>
      <c r="M38" s="62" t="s">
        <v>192</v>
      </c>
      <c r="N38" s="63"/>
      <c r="O38" s="63"/>
      <c r="P38" s="63"/>
      <c r="Q38" s="63"/>
      <c r="R38" s="63"/>
      <c r="S38" s="63"/>
      <c r="T38" s="63"/>
      <c r="U38" s="5"/>
    </row>
    <row r="39" spans="1:21">
      <c r="A39" s="4"/>
      <c r="C39" s="89"/>
      <c r="D39" s="5"/>
      <c r="E39" s="5"/>
      <c r="F39" s="5"/>
      <c r="G39" s="5"/>
      <c r="H39" s="5"/>
      <c r="I39" s="5"/>
      <c r="J39" s="4"/>
      <c r="K39" s="4"/>
      <c r="L39" s="55" t="s">
        <v>63</v>
      </c>
      <c r="M39" s="138" t="s">
        <v>193</v>
      </c>
      <c r="N39" s="138"/>
      <c r="O39" s="138"/>
      <c r="P39" s="138"/>
      <c r="Q39" s="138"/>
      <c r="R39" s="138"/>
      <c r="S39" s="138"/>
      <c r="T39" s="138"/>
      <c r="U39" s="5"/>
    </row>
    <row r="40" spans="1:21">
      <c r="A40" s="4"/>
      <c r="C40" s="98"/>
      <c r="D40" s="5"/>
      <c r="E40" s="5"/>
      <c r="F40" s="5"/>
      <c r="G40" s="5"/>
      <c r="H40" s="5"/>
      <c r="I40" s="5"/>
      <c r="J40" s="4"/>
      <c r="K40" s="4"/>
      <c r="L40" s="55" t="s">
        <v>24</v>
      </c>
      <c r="M40" s="137" t="s">
        <v>129</v>
      </c>
      <c r="N40" s="138"/>
      <c r="O40" s="138"/>
      <c r="P40" s="138"/>
      <c r="Q40" s="138"/>
      <c r="R40" s="138"/>
      <c r="S40" s="138"/>
      <c r="T40" s="138"/>
      <c r="U40" s="5"/>
    </row>
    <row r="41" spans="1:21">
      <c r="A41" s="4"/>
      <c r="B41" s="98"/>
      <c r="C41" s="89"/>
      <c r="D41" s="5"/>
      <c r="E41" s="5"/>
      <c r="F41" s="5"/>
      <c r="G41" s="5"/>
      <c r="H41" s="5"/>
      <c r="I41" s="5"/>
      <c r="J41" s="4"/>
      <c r="K41" s="4"/>
      <c r="L41" s="55"/>
      <c r="M41" s="137"/>
      <c r="N41" s="138"/>
      <c r="O41" s="138"/>
      <c r="P41" s="138"/>
      <c r="Q41" s="138"/>
      <c r="R41" s="138"/>
      <c r="S41" s="138"/>
      <c r="T41" s="138"/>
      <c r="U41" s="5"/>
    </row>
    <row r="42" spans="1:21">
      <c r="A42" s="4"/>
      <c r="B42" s="98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8"/>
      <c r="C43" s="5"/>
      <c r="D43" s="99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 t="s">
        <v>190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5"/>
      <c r="E45" s="5"/>
      <c r="F45" s="5"/>
      <c r="G45" s="5"/>
      <c r="H45" s="5"/>
      <c r="I45" s="5"/>
      <c r="J45" s="4"/>
      <c r="K45" s="4"/>
      <c r="L45" s="4" t="s">
        <v>191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146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12" t="s">
        <v>185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173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5"/>
      <c r="C19" s="65"/>
      <c r="D19" s="67"/>
      <c r="E19" s="67"/>
      <c r="F19" s="67"/>
      <c r="G19" s="67"/>
      <c r="H19" s="67"/>
      <c r="I19" s="67"/>
      <c r="J19" s="67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130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130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130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130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5"/>
      <c r="C28" s="80"/>
      <c r="D28" s="80"/>
      <c r="E28" s="80"/>
      <c r="F28" s="80"/>
      <c r="G28" s="80"/>
      <c r="H28" s="80"/>
      <c r="I28" s="80"/>
      <c r="J28" s="80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22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 t="s">
        <v>131</v>
      </c>
      <c r="E9" s="85" t="s">
        <v>132</v>
      </c>
      <c r="F9" s="85" t="s">
        <v>22</v>
      </c>
      <c r="G9" s="85" t="s">
        <v>28</v>
      </c>
      <c r="H9" s="85" t="s">
        <v>156</v>
      </c>
      <c r="I9" s="85" t="s">
        <v>157</v>
      </c>
      <c r="J9" s="85" t="s">
        <v>158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178</v>
      </c>
      <c r="C18" s="86" t="s">
        <v>182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159</v>
      </c>
      <c r="C20" s="10" t="s">
        <v>160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5"/>
      <c r="C22" s="65"/>
      <c r="D22" s="67"/>
      <c r="E22" s="67"/>
      <c r="F22" s="67"/>
      <c r="G22" s="67"/>
      <c r="H22" s="67"/>
      <c r="I22" s="67"/>
      <c r="J22" s="67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130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5"/>
      <c r="C31" s="80"/>
      <c r="D31" s="80"/>
      <c r="E31" s="80"/>
      <c r="F31" s="80"/>
      <c r="G31" s="80"/>
      <c r="H31" s="80"/>
      <c r="I31" s="80"/>
      <c r="J31" s="80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174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5"/>
      <c r="C14" s="65"/>
      <c r="D14" s="67"/>
      <c r="E14" s="67"/>
      <c r="F14" s="67"/>
      <c r="G14" s="67"/>
      <c r="H14" s="67"/>
      <c r="I14" s="67"/>
      <c r="J14" s="67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5"/>
      <c r="C23" s="80"/>
      <c r="D23" s="80"/>
      <c r="E23" s="80"/>
      <c r="F23" s="80"/>
      <c r="G23" s="80"/>
      <c r="H23" s="80"/>
      <c r="I23" s="80"/>
      <c r="J23" s="80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175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 t="s">
        <v>147</v>
      </c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178</v>
      </c>
      <c r="C19" s="86" t="s">
        <v>182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159</v>
      </c>
      <c r="C21" s="10" t="s">
        <v>160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5"/>
      <c r="C24" s="65"/>
      <c r="D24" s="67"/>
      <c r="E24" s="67"/>
      <c r="F24" s="67"/>
      <c r="G24" s="67"/>
      <c r="H24" s="67"/>
      <c r="I24" s="67"/>
      <c r="J24" s="67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130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130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130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5"/>
      <c r="C33" s="80"/>
      <c r="D33" s="80"/>
      <c r="E33" s="80"/>
      <c r="F33" s="80"/>
      <c r="G33" s="80"/>
      <c r="H33" s="80"/>
      <c r="I33" s="80"/>
      <c r="J33" s="80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176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176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topLeftCell="A34" workbookViewId="0"/>
  </sheetViews>
  <sheetFormatPr defaultRowHeight="14.5"/>
  <cols>
    <col min="7" max="7" width="6.08984375" customWidth="1"/>
    <col min="8" max="8" width="6.54296875" customWidth="1"/>
    <col min="9" max="9" width="9.08984375" style="6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133</v>
      </c>
    </row>
    <row r="39" spans="1:9">
      <c r="A39" t="s">
        <v>134</v>
      </c>
    </row>
    <row r="40" spans="1:9">
      <c r="A40" t="s">
        <v>135</v>
      </c>
    </row>
    <row r="41" spans="1:9">
      <c r="A41" t="s">
        <v>136</v>
      </c>
    </row>
    <row r="42" spans="1:9">
      <c r="A42" t="s">
        <v>138</v>
      </c>
    </row>
    <row r="43" spans="1:9">
      <c r="A43" t="s">
        <v>139</v>
      </c>
    </row>
    <row r="44" spans="1:9">
      <c r="A44" t="s">
        <v>140</v>
      </c>
    </row>
    <row r="45" spans="1:9">
      <c r="A45" t="s">
        <v>141</v>
      </c>
    </row>
    <row r="46" spans="1:9" s="51" customFormat="1">
      <c r="A46" s="51" t="s">
        <v>147</v>
      </c>
      <c r="I46" s="6"/>
    </row>
    <row r="47" spans="1:9">
      <c r="A47" t="s">
        <v>137</v>
      </c>
    </row>
    <row r="49" spans="1:9" s="51" customFormat="1">
      <c r="A49" s="51" t="s">
        <v>145</v>
      </c>
      <c r="I49" s="6"/>
    </row>
    <row r="50" spans="1:9" s="51" customFormat="1">
      <c r="A50" s="56" t="s">
        <v>144</v>
      </c>
      <c r="I50" s="6"/>
    </row>
    <row r="51" spans="1:9">
      <c r="A51" s="56" t="s">
        <v>142</v>
      </c>
    </row>
    <row r="52" spans="1:9">
      <c r="A52" s="64" t="s">
        <v>143</v>
      </c>
    </row>
    <row r="54" spans="1:9">
      <c r="A54" t="s">
        <v>164</v>
      </c>
      <c r="B54" t="s">
        <v>166</v>
      </c>
    </row>
    <row r="55" spans="1:9">
      <c r="A55" s="82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2" t="s">
        <v>165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08984375" defaultRowHeight="14.5"/>
  <cols>
    <col min="1" max="16384" width="9.08984375" style="38"/>
  </cols>
  <sheetData>
    <row r="1" spans="2:5">
      <c r="B1" s="38" t="s">
        <v>110</v>
      </c>
    </row>
    <row r="2" spans="2:5">
      <c r="B2" s="22" t="s">
        <v>73</v>
      </c>
    </row>
    <row r="3" spans="2:5">
      <c r="C3" s="41">
        <v>1</v>
      </c>
      <c r="D3" s="23" t="s">
        <v>74</v>
      </c>
      <c r="E3" s="17"/>
    </row>
    <row r="4" spans="2:5">
      <c r="C4" s="19">
        <v>5.5</v>
      </c>
      <c r="D4" s="23" t="s">
        <v>74</v>
      </c>
      <c r="E4" s="17"/>
    </row>
    <row r="5" spans="2:5">
      <c r="B5" s="22"/>
      <c r="C5" s="41">
        <v>5.7</v>
      </c>
      <c r="D5" s="23" t="s">
        <v>79</v>
      </c>
      <c r="E5" s="17"/>
    </row>
    <row r="6" spans="2:5">
      <c r="B6" s="22"/>
      <c r="C6" s="21">
        <v>7</v>
      </c>
      <c r="D6" s="39" t="s">
        <v>81</v>
      </c>
      <c r="E6" s="17"/>
    </row>
    <row r="7" spans="2:5">
      <c r="B7" s="22"/>
      <c r="C7" s="21">
        <v>8.1</v>
      </c>
      <c r="D7" s="39" t="s">
        <v>85</v>
      </c>
      <c r="E7" s="17"/>
    </row>
    <row r="8" spans="2:5">
      <c r="B8" s="22" t="s">
        <v>87</v>
      </c>
      <c r="C8" s="21"/>
      <c r="D8" s="23"/>
      <c r="E8" s="17"/>
    </row>
    <row r="9" spans="2:5">
      <c r="C9" s="21" t="s">
        <v>72</v>
      </c>
      <c r="D9" s="39" t="s">
        <v>76</v>
      </c>
      <c r="E9" s="17"/>
    </row>
    <row r="10" spans="2:5">
      <c r="B10" s="22"/>
      <c r="C10" s="19">
        <v>10</v>
      </c>
      <c r="D10" s="23" t="s">
        <v>80</v>
      </c>
      <c r="E10" s="17"/>
    </row>
    <row r="11" spans="2:5">
      <c r="B11" s="22"/>
      <c r="C11" s="25">
        <v>99</v>
      </c>
      <c r="D11" s="39" t="s">
        <v>80</v>
      </c>
      <c r="E11" s="17"/>
    </row>
    <row r="12" spans="2:5">
      <c r="B12" s="22"/>
      <c r="C12" s="25">
        <v>100</v>
      </c>
      <c r="D12" s="23" t="s">
        <v>82</v>
      </c>
      <c r="E12" s="17"/>
    </row>
    <row r="13" spans="2:5">
      <c r="B13" s="22"/>
      <c r="C13" s="25">
        <v>299</v>
      </c>
      <c r="D13" s="39" t="s">
        <v>82</v>
      </c>
      <c r="E13" s="17"/>
    </row>
    <row r="14" spans="2:5">
      <c r="B14" s="22"/>
      <c r="C14" s="25">
        <v>300</v>
      </c>
      <c r="D14" s="23" t="s">
        <v>86</v>
      </c>
      <c r="E14" s="17"/>
    </row>
    <row r="15" spans="2:5">
      <c r="B15" s="22"/>
      <c r="C15" s="25">
        <v>499</v>
      </c>
      <c r="D15" s="39" t="s">
        <v>86</v>
      </c>
      <c r="E15" s="17"/>
    </row>
    <row r="16" spans="2:5">
      <c r="B16" s="22"/>
      <c r="C16" s="25">
        <v>999</v>
      </c>
      <c r="D16" s="24" t="s">
        <v>90</v>
      </c>
      <c r="E16" s="17"/>
    </row>
    <row r="17" spans="2:5">
      <c r="B17" s="22" t="s">
        <v>93</v>
      </c>
      <c r="C17" s="21"/>
      <c r="D17" s="23"/>
      <c r="E17" s="17"/>
    </row>
    <row r="18" spans="2:5">
      <c r="C18" s="20" t="s">
        <v>38</v>
      </c>
      <c r="D18" s="24" t="s">
        <v>76</v>
      </c>
      <c r="E18" s="17"/>
    </row>
    <row r="19" spans="2:5">
      <c r="B19" s="22"/>
      <c r="C19" s="19">
        <v>5</v>
      </c>
      <c r="D19" s="23" t="s">
        <v>80</v>
      </c>
      <c r="E19" s="17"/>
    </row>
    <row r="20" spans="2:5">
      <c r="B20" s="22"/>
      <c r="C20" s="20">
        <v>49</v>
      </c>
      <c r="D20" s="24" t="s">
        <v>80</v>
      </c>
      <c r="E20" s="17"/>
    </row>
    <row r="21" spans="2:5">
      <c r="B21" s="22"/>
      <c r="C21" s="19">
        <v>50</v>
      </c>
      <c r="D21" s="23" t="s">
        <v>82</v>
      </c>
      <c r="E21" s="17"/>
    </row>
    <row r="22" spans="2:5">
      <c r="B22" s="22"/>
      <c r="C22" s="20">
        <v>149</v>
      </c>
      <c r="D22" s="24" t="s">
        <v>82</v>
      </c>
      <c r="E22" s="17"/>
    </row>
    <row r="23" spans="2:5">
      <c r="B23" s="22"/>
      <c r="C23" s="19">
        <v>150</v>
      </c>
      <c r="D23" s="23" t="s">
        <v>86</v>
      </c>
      <c r="E23" s="17"/>
    </row>
    <row r="24" spans="2:5">
      <c r="B24" s="26"/>
      <c r="C24" s="20">
        <v>299</v>
      </c>
      <c r="D24" s="24" t="s">
        <v>86</v>
      </c>
      <c r="E24" s="17"/>
    </row>
    <row r="25" spans="2:5">
      <c r="B25" s="26"/>
      <c r="C25" s="20">
        <v>300</v>
      </c>
      <c r="D25" s="24" t="s">
        <v>90</v>
      </c>
      <c r="E25" s="17"/>
    </row>
    <row r="26" spans="2:5">
      <c r="B26" s="22" t="s">
        <v>99</v>
      </c>
      <c r="C26" s="19"/>
      <c r="D26" s="23"/>
      <c r="E26" s="17"/>
    </row>
    <row r="27" spans="2:5">
      <c r="C27" s="20" t="s">
        <v>38</v>
      </c>
      <c r="D27" s="24" t="s">
        <v>76</v>
      </c>
      <c r="E27" s="17"/>
    </row>
    <row r="28" spans="2:5">
      <c r="B28" s="26"/>
      <c r="C28" s="19">
        <v>5</v>
      </c>
      <c r="D28" s="23" t="s">
        <v>101</v>
      </c>
      <c r="E28" s="17"/>
    </row>
    <row r="29" spans="2:5">
      <c r="B29" s="26"/>
      <c r="C29" s="20">
        <v>20</v>
      </c>
      <c r="D29" s="24" t="s">
        <v>183</v>
      </c>
      <c r="E29" s="17"/>
    </row>
    <row r="30" spans="2:5">
      <c r="B30" s="22"/>
      <c r="C30" s="19">
        <v>60</v>
      </c>
      <c r="D30" s="23" t="s">
        <v>82</v>
      </c>
      <c r="E30" s="34"/>
    </row>
    <row r="31" spans="2:5">
      <c r="B31" s="22"/>
      <c r="C31" s="19">
        <v>120</v>
      </c>
      <c r="D31" s="23" t="s">
        <v>106</v>
      </c>
      <c r="E31" s="34"/>
    </row>
    <row r="32" spans="2:5">
      <c r="B32" s="22"/>
      <c r="C32" s="20">
        <v>180</v>
      </c>
      <c r="D32" s="24" t="s">
        <v>107</v>
      </c>
      <c r="E32" s="35"/>
    </row>
    <row r="33" spans="2:5">
      <c r="B33" s="22"/>
      <c r="C33" s="20">
        <v>300</v>
      </c>
      <c r="D33" s="24" t="s">
        <v>90</v>
      </c>
      <c r="E33" s="35"/>
    </row>
    <row r="34" spans="2:5">
      <c r="B34" s="22" t="s">
        <v>75</v>
      </c>
    </row>
    <row r="35" spans="2:5">
      <c r="C35" s="20" t="s">
        <v>38</v>
      </c>
      <c r="D35" s="24" t="s">
        <v>76</v>
      </c>
      <c r="E35" s="18"/>
    </row>
    <row r="36" spans="2:5">
      <c r="B36" s="22"/>
      <c r="C36" s="19">
        <v>5</v>
      </c>
      <c r="D36" s="23" t="s">
        <v>101</v>
      </c>
      <c r="E36" s="18"/>
    </row>
    <row r="37" spans="2:5">
      <c r="B37" s="22"/>
      <c r="C37" s="20">
        <v>20</v>
      </c>
      <c r="D37" s="24" t="s">
        <v>183</v>
      </c>
      <c r="E37" s="18"/>
    </row>
    <row r="38" spans="2:5">
      <c r="B38" s="22"/>
      <c r="C38" s="19">
        <v>60</v>
      </c>
      <c r="D38" s="23" t="s">
        <v>82</v>
      </c>
      <c r="E38" s="18"/>
    </row>
    <row r="39" spans="2:5">
      <c r="B39" s="22"/>
      <c r="C39" s="19">
        <v>120</v>
      </c>
      <c r="D39" s="23" t="s">
        <v>106</v>
      </c>
      <c r="E39" s="18"/>
    </row>
    <row r="40" spans="2:5">
      <c r="B40" s="22"/>
      <c r="C40" s="20">
        <v>180</v>
      </c>
      <c r="D40" s="24" t="s">
        <v>107</v>
      </c>
      <c r="E40" s="18"/>
    </row>
    <row r="41" spans="2:5">
      <c r="B41" s="22"/>
      <c r="C41" s="20">
        <v>300</v>
      </c>
      <c r="D41" s="24" t="s">
        <v>90</v>
      </c>
      <c r="E41" s="17"/>
    </row>
    <row r="42" spans="2:5">
      <c r="B42" s="22" t="s">
        <v>92</v>
      </c>
      <c r="C42" s="19"/>
      <c r="D42" s="23"/>
      <c r="E42" s="18"/>
    </row>
    <row r="43" spans="2:5">
      <c r="B43" s="22"/>
      <c r="C43" s="20" t="s">
        <v>38</v>
      </c>
      <c r="D43" s="24" t="s">
        <v>161</v>
      </c>
      <c r="E43" s="18"/>
    </row>
    <row r="44" spans="2:5">
      <c r="C44" s="20">
        <v>5</v>
      </c>
      <c r="D44" s="24" t="s">
        <v>80</v>
      </c>
      <c r="E44" s="17"/>
    </row>
    <row r="45" spans="2:5">
      <c r="C45" s="20">
        <v>15</v>
      </c>
      <c r="D45" s="24" t="s">
        <v>80</v>
      </c>
      <c r="E45" s="17"/>
    </row>
    <row r="46" spans="2:5">
      <c r="C46" s="20">
        <v>16</v>
      </c>
      <c r="D46" s="24" t="s">
        <v>82</v>
      </c>
      <c r="E46" s="17"/>
    </row>
    <row r="47" spans="2:5">
      <c r="B47" s="22"/>
      <c r="C47" s="19">
        <v>49</v>
      </c>
      <c r="D47" s="24" t="s">
        <v>82</v>
      </c>
      <c r="E47" s="18"/>
    </row>
    <row r="48" spans="2:5">
      <c r="B48" s="22"/>
      <c r="C48" s="19">
        <v>50</v>
      </c>
      <c r="D48" s="24" t="s">
        <v>83</v>
      </c>
      <c r="E48" s="18"/>
    </row>
    <row r="49" spans="2:5">
      <c r="B49" s="22"/>
      <c r="C49" s="20">
        <v>89</v>
      </c>
      <c r="D49" s="24" t="s">
        <v>83</v>
      </c>
      <c r="E49" s="18"/>
    </row>
    <row r="50" spans="2:5">
      <c r="B50" s="26"/>
      <c r="C50" s="20">
        <v>90</v>
      </c>
      <c r="D50" s="24" t="s">
        <v>86</v>
      </c>
      <c r="E50" s="18"/>
    </row>
    <row r="51" spans="2:5">
      <c r="B51" s="22" t="s">
        <v>94</v>
      </c>
      <c r="C51" s="19"/>
      <c r="D51" s="23"/>
      <c r="E51" s="29"/>
    </row>
    <row r="52" spans="2:5">
      <c r="C52" s="20" t="s">
        <v>40</v>
      </c>
      <c r="D52" s="24" t="s">
        <v>161</v>
      </c>
      <c r="E52" s="18"/>
    </row>
    <row r="53" spans="2:5">
      <c r="B53" s="22"/>
      <c r="C53" s="19">
        <v>0.01</v>
      </c>
      <c r="D53" s="24" t="s">
        <v>80</v>
      </c>
      <c r="E53" s="18"/>
    </row>
    <row r="54" spans="2:5">
      <c r="B54" s="22"/>
      <c r="C54" s="20">
        <v>0.1</v>
      </c>
      <c r="D54" s="24" t="s">
        <v>82</v>
      </c>
      <c r="E54" s="18"/>
    </row>
    <row r="55" spans="2:5">
      <c r="B55" s="22"/>
      <c r="C55" s="20">
        <v>0.2</v>
      </c>
      <c r="D55" s="24" t="s">
        <v>83</v>
      </c>
      <c r="E55" s="18"/>
    </row>
    <row r="56" spans="2:5">
      <c r="B56" s="22"/>
      <c r="C56" s="20">
        <v>1</v>
      </c>
      <c r="D56" s="24" t="s">
        <v>86</v>
      </c>
      <c r="E56" s="18"/>
    </row>
    <row r="57" spans="2:5">
      <c r="B57" s="26"/>
      <c r="C57" s="20">
        <v>5</v>
      </c>
      <c r="D57" s="24" t="s">
        <v>88</v>
      </c>
      <c r="E57" s="18"/>
    </row>
    <row r="58" spans="2:5">
      <c r="B58" s="22"/>
      <c r="C58" s="20">
        <v>10</v>
      </c>
      <c r="D58" s="24" t="s">
        <v>90</v>
      </c>
      <c r="E58" s="18"/>
    </row>
    <row r="59" spans="2:5">
      <c r="B59" s="22"/>
      <c r="C59" s="20">
        <v>12.1</v>
      </c>
      <c r="D59" s="24" t="s">
        <v>90</v>
      </c>
      <c r="E59" s="18"/>
    </row>
    <row r="60" spans="2:5">
      <c r="B60" s="22" t="s">
        <v>104</v>
      </c>
      <c r="C60" s="19"/>
      <c r="D60" s="23"/>
      <c r="E60" s="29"/>
    </row>
    <row r="61" spans="2:5">
      <c r="C61" s="19" t="s">
        <v>40</v>
      </c>
      <c r="D61" s="24" t="s">
        <v>161</v>
      </c>
      <c r="E61" s="34"/>
    </row>
    <row r="62" spans="2:5">
      <c r="B62" s="22"/>
      <c r="C62" s="20">
        <v>0.01</v>
      </c>
      <c r="D62" s="24" t="s">
        <v>80</v>
      </c>
      <c r="E62" s="34"/>
    </row>
    <row r="63" spans="2:5">
      <c r="B63" s="22"/>
      <c r="C63" s="19">
        <v>0.04</v>
      </c>
      <c r="D63" s="24" t="s">
        <v>86</v>
      </c>
      <c r="E63" s="34"/>
    </row>
    <row r="64" spans="2:5">
      <c r="B64" s="22"/>
      <c r="C64" s="19">
        <v>0.1</v>
      </c>
      <c r="D64" s="24" t="s">
        <v>88</v>
      </c>
      <c r="E64" s="34"/>
    </row>
    <row r="65" spans="2:5">
      <c r="B65" s="26"/>
      <c r="C65" s="20">
        <v>0.4</v>
      </c>
      <c r="D65" s="24" t="s">
        <v>116</v>
      </c>
      <c r="E65" s="34"/>
    </row>
    <row r="66" spans="2:5">
      <c r="B66" s="22" t="s">
        <v>77</v>
      </c>
    </row>
    <row r="67" spans="2:5">
      <c r="C67" s="20" t="s">
        <v>40</v>
      </c>
      <c r="D67" s="24" t="s">
        <v>161</v>
      </c>
    </row>
    <row r="68" spans="2:5">
      <c r="B68" s="28"/>
      <c r="C68" s="20">
        <v>0.01</v>
      </c>
      <c r="D68" s="24" t="s">
        <v>80</v>
      </c>
    </row>
    <row r="69" spans="2:5">
      <c r="B69" s="28"/>
      <c r="C69" s="20">
        <v>0.09</v>
      </c>
      <c r="D69" s="24" t="s">
        <v>80</v>
      </c>
    </row>
    <row r="70" spans="2:5">
      <c r="B70" s="28"/>
      <c r="C70" s="20">
        <v>0.1</v>
      </c>
      <c r="D70" s="24" t="s">
        <v>83</v>
      </c>
    </row>
    <row r="71" spans="2:5">
      <c r="B71" s="22"/>
      <c r="C71" s="20">
        <v>0.2</v>
      </c>
      <c r="D71" s="24" t="s">
        <v>86</v>
      </c>
    </row>
    <row r="72" spans="2:5">
      <c r="B72" s="28"/>
      <c r="C72" s="20">
        <v>0.3</v>
      </c>
      <c r="D72" s="24" t="s">
        <v>88</v>
      </c>
    </row>
    <row r="73" spans="2:5">
      <c r="B73" s="40" t="s">
        <v>89</v>
      </c>
      <c r="C73" s="20"/>
      <c r="D73" s="24"/>
    </row>
    <row r="74" spans="2:5">
      <c r="C74" s="20" t="s">
        <v>40</v>
      </c>
      <c r="D74" s="24" t="s">
        <v>161</v>
      </c>
    </row>
    <row r="75" spans="2:5">
      <c r="B75" s="40"/>
      <c r="C75" s="20">
        <v>0.01</v>
      </c>
      <c r="D75" s="24" t="s">
        <v>80</v>
      </c>
    </row>
    <row r="76" spans="2:5">
      <c r="B76" s="40"/>
      <c r="C76" s="20">
        <v>0.2</v>
      </c>
      <c r="D76" s="24" t="s">
        <v>84</v>
      </c>
    </row>
    <row r="77" spans="2:5">
      <c r="B77" s="40"/>
      <c r="C77" s="20">
        <v>1</v>
      </c>
      <c r="D77" s="24" t="s">
        <v>86</v>
      </c>
    </row>
    <row r="78" spans="2:5">
      <c r="B78" s="40"/>
      <c r="C78" s="20">
        <v>2</v>
      </c>
      <c r="D78" s="24" t="s">
        <v>116</v>
      </c>
    </row>
    <row r="79" spans="2:5">
      <c r="B79" s="28" t="s">
        <v>118</v>
      </c>
      <c r="C79" s="20"/>
      <c r="D79" s="24"/>
    </row>
    <row r="80" spans="2:5">
      <c r="C80" s="20" t="s">
        <v>39</v>
      </c>
      <c r="D80" s="24" t="s">
        <v>76</v>
      </c>
    </row>
    <row r="81" spans="2:4">
      <c r="B81" s="28"/>
      <c r="C81" s="20">
        <v>1</v>
      </c>
      <c r="D81" s="24" t="s">
        <v>80</v>
      </c>
    </row>
    <row r="82" spans="2:4">
      <c r="B82" s="28"/>
      <c r="C82" s="20">
        <v>10</v>
      </c>
      <c r="D82" s="24" t="s">
        <v>80</v>
      </c>
    </row>
    <row r="83" spans="2:4">
      <c r="B83" s="28"/>
      <c r="C83" s="20">
        <v>50</v>
      </c>
      <c r="D83" s="24" t="s">
        <v>82</v>
      </c>
    </row>
    <row r="84" spans="2:4">
      <c r="B84" s="28"/>
      <c r="C84" s="20">
        <v>150</v>
      </c>
      <c r="D84" s="24" t="s">
        <v>83</v>
      </c>
    </row>
    <row r="85" spans="2:4">
      <c r="B85" s="28"/>
      <c r="C85" s="20">
        <v>200</v>
      </c>
      <c r="D85" s="24" t="s">
        <v>86</v>
      </c>
    </row>
    <row r="86" spans="2:4">
      <c r="B86" s="28"/>
      <c r="C86" s="20">
        <v>350</v>
      </c>
      <c r="D86" s="24" t="s">
        <v>88</v>
      </c>
    </row>
    <row r="87" spans="2:4">
      <c r="B87" s="28"/>
      <c r="C87" s="20">
        <v>500</v>
      </c>
      <c r="D87" s="24" t="s">
        <v>90</v>
      </c>
    </row>
    <row r="88" spans="2:4">
      <c r="B88" s="28" t="s">
        <v>78</v>
      </c>
    </row>
    <row r="89" spans="2:4">
      <c r="C89" s="20" t="s">
        <v>39</v>
      </c>
      <c r="D89" s="24" t="s">
        <v>161</v>
      </c>
    </row>
    <row r="90" spans="2:4">
      <c r="B90" s="28"/>
      <c r="C90" s="20">
        <v>1</v>
      </c>
      <c r="D90" s="24" t="s">
        <v>80</v>
      </c>
    </row>
    <row r="91" spans="2:4">
      <c r="B91" s="28"/>
      <c r="C91" s="20">
        <v>9</v>
      </c>
      <c r="D91" s="24" t="s">
        <v>80</v>
      </c>
    </row>
    <row r="92" spans="2:4">
      <c r="B92" s="28"/>
      <c r="C92" s="20">
        <v>10</v>
      </c>
      <c r="D92" s="24" t="s">
        <v>84</v>
      </c>
    </row>
    <row r="93" spans="2:4">
      <c r="B93" s="40"/>
      <c r="C93" s="20">
        <v>20</v>
      </c>
      <c r="D93" s="24" t="s">
        <v>83</v>
      </c>
    </row>
    <row r="94" spans="2:4">
      <c r="B94" s="40"/>
      <c r="C94" s="20">
        <v>30</v>
      </c>
      <c r="D94" s="24" t="s">
        <v>86</v>
      </c>
    </row>
    <row r="95" spans="2:4">
      <c r="B95" s="40"/>
      <c r="C95" s="20">
        <v>40</v>
      </c>
      <c r="D95" s="24" t="s">
        <v>88</v>
      </c>
    </row>
    <row r="96" spans="2:4">
      <c r="B96" s="40"/>
      <c r="C96" s="20">
        <v>50</v>
      </c>
      <c r="D96" s="24" t="s">
        <v>116</v>
      </c>
    </row>
    <row r="97" spans="2:4">
      <c r="B97" s="30" t="s">
        <v>91</v>
      </c>
      <c r="C97" s="27"/>
      <c r="D97" s="31"/>
    </row>
    <row r="98" spans="2:4">
      <c r="C98" s="20" t="s">
        <v>39</v>
      </c>
      <c r="D98" s="32" t="s">
        <v>76</v>
      </c>
    </row>
    <row r="99" spans="2:4">
      <c r="B99" s="30"/>
      <c r="C99" s="27">
        <v>1</v>
      </c>
      <c r="D99" s="31" t="s">
        <v>80</v>
      </c>
    </row>
    <row r="100" spans="2:4">
      <c r="B100" s="30"/>
      <c r="C100" s="20">
        <v>9</v>
      </c>
      <c r="D100" s="32" t="s">
        <v>80</v>
      </c>
    </row>
    <row r="101" spans="2:4">
      <c r="B101" s="30"/>
      <c r="C101" s="27">
        <v>10</v>
      </c>
      <c r="D101" s="32" t="s">
        <v>83</v>
      </c>
    </row>
    <row r="102" spans="2:4">
      <c r="B102" s="30"/>
      <c r="C102" s="20">
        <v>40</v>
      </c>
      <c r="D102" s="32" t="s">
        <v>86</v>
      </c>
    </row>
    <row r="103" spans="2:4">
      <c r="B103" s="30"/>
      <c r="C103" s="20">
        <v>50</v>
      </c>
      <c r="D103" s="32" t="s">
        <v>88</v>
      </c>
    </row>
    <row r="104" spans="2:4">
      <c r="B104" s="30" t="s">
        <v>95</v>
      </c>
      <c r="C104" s="27"/>
      <c r="D104" s="31"/>
    </row>
    <row r="105" spans="2:4">
      <c r="B105" s="30"/>
      <c r="C105" s="27">
        <v>-10</v>
      </c>
      <c r="D105" s="31" t="s">
        <v>96</v>
      </c>
    </row>
    <row r="106" spans="2:4">
      <c r="B106" s="30"/>
      <c r="C106" s="27">
        <v>-2</v>
      </c>
      <c r="D106" s="32" t="s">
        <v>113</v>
      </c>
    </row>
    <row r="107" spans="2:4">
      <c r="C107" s="20">
        <v>-1</v>
      </c>
      <c r="D107" s="32" t="s">
        <v>97</v>
      </c>
    </row>
    <row r="108" spans="2:4">
      <c r="B108" s="30"/>
      <c r="C108" s="33">
        <v>1</v>
      </c>
      <c r="D108" s="32" t="s">
        <v>98</v>
      </c>
    </row>
    <row r="109" spans="2:4">
      <c r="B109" s="30"/>
      <c r="C109" s="20">
        <v>2</v>
      </c>
      <c r="D109" s="32" t="s">
        <v>98</v>
      </c>
    </row>
    <row r="110" spans="2:4">
      <c r="B110" s="30"/>
      <c r="C110" s="20"/>
      <c r="D110" s="32"/>
    </row>
    <row r="111" spans="2:4">
      <c r="B111" s="30" t="s">
        <v>120</v>
      </c>
      <c r="C111" s="27" t="s">
        <v>36</v>
      </c>
      <c r="D111" s="31" t="s">
        <v>122</v>
      </c>
    </row>
    <row r="112" spans="2:4">
      <c r="C112" s="27" t="s">
        <v>39</v>
      </c>
      <c r="D112" s="31" t="s">
        <v>119</v>
      </c>
    </row>
    <row r="113" spans="2:4">
      <c r="B113" s="30" t="s">
        <v>121</v>
      </c>
      <c r="C113" s="27" t="s">
        <v>36</v>
      </c>
      <c r="D113" s="31" t="s">
        <v>123</v>
      </c>
    </row>
    <row r="114" spans="2:4">
      <c r="C114" s="27" t="s">
        <v>39</v>
      </c>
      <c r="D114" s="31" t="s">
        <v>119</v>
      </c>
    </row>
    <row r="115" spans="2:4">
      <c r="B115" s="30" t="s">
        <v>124</v>
      </c>
      <c r="C115" s="27" t="s">
        <v>43</v>
      </c>
      <c r="D115" s="31" t="s">
        <v>119</v>
      </c>
    </row>
    <row r="116" spans="2:4">
      <c r="B116" s="30"/>
      <c r="C116" s="27" t="s">
        <v>165</v>
      </c>
      <c r="D116" s="31" t="s">
        <v>122</v>
      </c>
    </row>
    <row r="117" spans="2:4">
      <c r="B117" s="30"/>
      <c r="C117" s="27">
        <v>1.1000000000000001</v>
      </c>
      <c r="D117" s="31" t="s">
        <v>122</v>
      </c>
    </row>
    <row r="118" spans="2:4">
      <c r="C118" s="27">
        <v>24</v>
      </c>
      <c r="D118" s="31" t="s">
        <v>122</v>
      </c>
    </row>
    <row r="119" spans="2:4">
      <c r="B119" s="30" t="s">
        <v>125</v>
      </c>
      <c r="C119" s="27" t="s">
        <v>43</v>
      </c>
      <c r="D119" s="31" t="s">
        <v>119</v>
      </c>
    </row>
    <row r="120" spans="2:4">
      <c r="B120" s="30"/>
      <c r="C120" s="27" t="s">
        <v>165</v>
      </c>
      <c r="D120" s="31" t="s">
        <v>123</v>
      </c>
    </row>
    <row r="121" spans="2:4">
      <c r="B121" s="30"/>
      <c r="C121" s="27">
        <v>1.1000000000000001</v>
      </c>
      <c r="D121" s="31" t="s">
        <v>123</v>
      </c>
    </row>
    <row r="122" spans="2:4">
      <c r="C122" s="27">
        <v>24</v>
      </c>
      <c r="D122" s="31" t="s">
        <v>123</v>
      </c>
    </row>
    <row r="123" spans="2:4">
      <c r="B123" s="28" t="s">
        <v>18</v>
      </c>
    </row>
    <row r="124" spans="2:4">
      <c r="C124" s="20" t="s">
        <v>41</v>
      </c>
      <c r="D124" s="24" t="s">
        <v>126</v>
      </c>
    </row>
    <row r="125" spans="2:4">
      <c r="B125" s="28"/>
      <c r="C125" s="20">
        <v>0.05</v>
      </c>
      <c r="D125" s="24" t="s">
        <v>126</v>
      </c>
    </row>
    <row r="126" spans="2:4">
      <c r="B126" s="28"/>
      <c r="C126" s="20">
        <v>0.3</v>
      </c>
      <c r="D126" s="24" t="s">
        <v>80</v>
      </c>
    </row>
    <row r="127" spans="2:4">
      <c r="B127" s="28"/>
      <c r="C127" s="20">
        <v>1</v>
      </c>
      <c r="D127" s="24" t="s">
        <v>84</v>
      </c>
    </row>
    <row r="128" spans="2:4">
      <c r="B128" s="40"/>
      <c r="C128" s="20">
        <v>2.5</v>
      </c>
      <c r="D128" s="24" t="s">
        <v>83</v>
      </c>
    </row>
    <row r="129" spans="2:4">
      <c r="B129" s="40"/>
      <c r="C129" s="20">
        <v>5</v>
      </c>
      <c r="D129" s="24" t="s">
        <v>86</v>
      </c>
    </row>
    <row r="130" spans="2:4">
      <c r="B130" s="40"/>
      <c r="C130" s="20">
        <v>20</v>
      </c>
      <c r="D130" s="24" t="s">
        <v>88</v>
      </c>
    </row>
    <row r="131" spans="2:4">
      <c r="B131" s="40"/>
      <c r="C131" s="20">
        <v>40</v>
      </c>
      <c r="D131" s="24" t="s">
        <v>90</v>
      </c>
    </row>
    <row r="132" spans="2:4">
      <c r="B132" s="28" t="s">
        <v>127</v>
      </c>
    </row>
    <row r="133" spans="2:4">
      <c r="C133" s="20" t="s">
        <v>38</v>
      </c>
      <c r="D133" s="24" t="s">
        <v>163</v>
      </c>
    </row>
    <row r="134" spans="2:4">
      <c r="B134" s="28"/>
      <c r="C134" s="20">
        <v>5</v>
      </c>
      <c r="D134" s="24" t="s">
        <v>163</v>
      </c>
    </row>
    <row r="135" spans="2:4">
      <c r="B135" s="28"/>
      <c r="C135" s="20">
        <v>75</v>
      </c>
      <c r="D135" s="24" t="s">
        <v>162</v>
      </c>
    </row>
    <row r="136" spans="2:4">
      <c r="B136" s="28"/>
      <c r="C136" s="20">
        <v>80</v>
      </c>
      <c r="D136" s="24" t="s">
        <v>155</v>
      </c>
    </row>
    <row r="137" spans="2:4">
      <c r="B137" s="28"/>
      <c r="C137" s="20">
        <v>85</v>
      </c>
      <c r="D137" s="24" t="s">
        <v>82</v>
      </c>
    </row>
    <row r="138" spans="2:4">
      <c r="B138" s="40"/>
      <c r="C138" s="20">
        <v>90</v>
      </c>
      <c r="D138" s="24" t="s">
        <v>153</v>
      </c>
    </row>
    <row r="139" spans="2:4">
      <c r="B139" s="40"/>
      <c r="C139" s="20">
        <v>95</v>
      </c>
      <c r="D139" s="24" t="s">
        <v>154</v>
      </c>
    </row>
    <row r="140" spans="2:4">
      <c r="B140" s="28" t="s">
        <v>128</v>
      </c>
    </row>
    <row r="141" spans="2:4">
      <c r="C141" s="20" t="s">
        <v>40</v>
      </c>
      <c r="D141" s="24" t="s">
        <v>161</v>
      </c>
    </row>
    <row r="142" spans="2:4">
      <c r="B142" s="28"/>
      <c r="C142" s="20">
        <v>0.01</v>
      </c>
      <c r="D142" s="24" t="s">
        <v>126</v>
      </c>
    </row>
    <row r="143" spans="2:4">
      <c r="B143" s="28"/>
      <c r="C143" s="20">
        <v>0.2</v>
      </c>
      <c r="D143" s="24" t="s">
        <v>80</v>
      </c>
    </row>
    <row r="144" spans="2:4">
      <c r="B144" s="28"/>
      <c r="C144" s="20">
        <v>0.6</v>
      </c>
      <c r="D144" s="24" t="s">
        <v>119</v>
      </c>
    </row>
    <row r="145" spans="2:4">
      <c r="B145" s="40"/>
      <c r="C145" s="20">
        <v>1.1000000000000001</v>
      </c>
      <c r="D145" s="24" t="s">
        <v>86</v>
      </c>
    </row>
    <row r="146" spans="2:4">
      <c r="B146" s="40"/>
      <c r="C146" s="20">
        <v>2</v>
      </c>
      <c r="D146" s="24" t="s">
        <v>88</v>
      </c>
    </row>
    <row r="147" spans="2:4">
      <c r="C147" s="20">
        <v>5</v>
      </c>
      <c r="D147" s="24" t="s">
        <v>116</v>
      </c>
    </row>
    <row r="148" spans="2:4">
      <c r="B148" s="28" t="s">
        <v>159</v>
      </c>
    </row>
    <row r="149" spans="2:4">
      <c r="C149" s="20" t="s">
        <v>38</v>
      </c>
      <c r="D149" s="24" t="s">
        <v>126</v>
      </c>
    </row>
    <row r="150" spans="2:4">
      <c r="B150" s="28"/>
      <c r="C150" s="20">
        <v>5</v>
      </c>
      <c r="D150" s="24" t="s">
        <v>80</v>
      </c>
    </row>
    <row r="151" spans="2:4">
      <c r="B151" s="28"/>
      <c r="C151" s="20">
        <v>30</v>
      </c>
      <c r="D151" s="24" t="s">
        <v>82</v>
      </c>
    </row>
    <row r="152" spans="2:4">
      <c r="B152" s="28"/>
      <c r="C152" s="20">
        <v>50</v>
      </c>
      <c r="D152" s="24" t="s"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5"/>
  <sheetData>
    <row r="1" spans="1:13" ht="15" thickBot="1">
      <c r="A1" s="78">
        <v>1</v>
      </c>
      <c r="B1" s="43"/>
      <c r="C1" s="43"/>
      <c r="D1" s="43"/>
      <c r="F1" s="51"/>
      <c r="G1" s="51" t="s">
        <v>102</v>
      </c>
      <c r="H1" s="51" t="s">
        <v>103</v>
      </c>
      <c r="I1" s="51"/>
      <c r="J1" s="51"/>
      <c r="K1" s="51"/>
      <c r="L1" s="51" t="s">
        <v>105</v>
      </c>
      <c r="M1" s="51"/>
    </row>
    <row r="2" spans="1:13" ht="16" thickBot="1">
      <c r="A2" s="43"/>
      <c r="B2" s="46" t="s">
        <v>111</v>
      </c>
      <c r="C2" s="46" t="s">
        <v>112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113</v>
      </c>
    </row>
    <row r="3" spans="1:13">
      <c r="A3" s="42" t="s">
        <v>100</v>
      </c>
      <c r="B3" s="49" t="e">
        <f>#REF!</f>
        <v>#REF!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113</v>
      </c>
    </row>
    <row r="4" spans="1:13">
      <c r="A4" s="42" t="s">
        <v>6</v>
      </c>
      <c r="B4" s="49" t="e">
        <f>#REF!</f>
        <v>#REF!</v>
      </c>
      <c r="C4" s="45" t="e">
        <f>VLOOKUP(B4,F2:G25,2)</f>
        <v>#REF!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114</v>
      </c>
    </row>
    <row r="5" spans="1:13" ht="15" thickBot="1">
      <c r="A5" s="44" t="s">
        <v>5</v>
      </c>
      <c r="B5" s="50" t="e">
        <f>#REF!</f>
        <v>#REF!</v>
      </c>
      <c r="C5" s="54" t="e">
        <f>VLOOKUP(B5,H2:I25,2)</f>
        <v>#REF!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114</v>
      </c>
    </row>
    <row r="6" spans="1:13" ht="18.5">
      <c r="A6" s="48" t="s">
        <v>105</v>
      </c>
      <c r="B6" s="48" t="e">
        <f>+B3+0.5+C4+C5-12.1</f>
        <v>#REF!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115</v>
      </c>
    </row>
    <row r="7" spans="1:13">
      <c r="A7" s="43"/>
      <c r="B7" s="54" t="e">
        <f>VLOOKUP(B6,L2:M6,2)</f>
        <v>#REF!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78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78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78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.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78"/>
      <c r="B33" s="43"/>
      <c r="C33" s="43"/>
      <c r="D33" s="43"/>
      <c r="E33" s="78"/>
      <c r="F33" s="43"/>
      <c r="G33" s="43"/>
      <c r="H33" s="43"/>
      <c r="I33" s="78"/>
      <c r="J33" s="43"/>
      <c r="K33" s="43"/>
      <c r="L33" s="43"/>
    </row>
    <row r="34" spans="1:12" ht="16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3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92" t="s">
        <v>45</v>
      </c>
      <c r="C39" s="139" t="s">
        <v>194</v>
      </c>
      <c r="D39" s="140"/>
      <c r="E39" s="170" t="s">
        <v>197</v>
      </c>
      <c r="F39" s="170"/>
      <c r="G39" s="58" t="s">
        <v>203</v>
      </c>
      <c r="H39" s="145" t="s">
        <v>202</v>
      </c>
      <c r="I39" s="145"/>
      <c r="J39" s="145"/>
      <c r="K39" s="5"/>
      <c r="M39" s="95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46</v>
      </c>
      <c r="C40" s="93" t="s">
        <v>176</v>
      </c>
      <c r="D40" s="60"/>
      <c r="E40" s="60"/>
      <c r="F40" s="60"/>
      <c r="G40" s="60"/>
      <c r="H40" s="60"/>
      <c r="I40" s="60"/>
      <c r="J40" s="94"/>
      <c r="K40" s="5"/>
    </row>
    <row r="41" spans="1:13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3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3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3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3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3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5"/>
  <sheetData>
    <row r="2" spans="2:6">
      <c r="F2" s="91" t="s">
        <v>208</v>
      </c>
    </row>
    <row r="12" spans="2:6">
      <c r="B12" s="91" t="s">
        <v>195</v>
      </c>
    </row>
    <row r="13" spans="2:6">
      <c r="B13" t="s">
        <v>196</v>
      </c>
    </row>
    <row r="14" spans="2:6">
      <c r="B14" t="s">
        <v>197</v>
      </c>
    </row>
    <row r="15" spans="2:6">
      <c r="B15" t="s">
        <v>198</v>
      </c>
    </row>
    <row r="18" spans="2:2">
      <c r="B18" s="91" t="s">
        <v>199</v>
      </c>
    </row>
    <row r="19" spans="2:2">
      <c r="B19" s="51" t="s">
        <v>201</v>
      </c>
    </row>
    <row r="20" spans="2:2">
      <c r="B20" s="51" t="s">
        <v>202</v>
      </c>
    </row>
    <row r="21" spans="2:2">
      <c r="B21" s="51" t="s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D14" sqref="D14:D1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22.36328125" style="1" customWidth="1"/>
    <col min="9" max="9" width="13.90625" style="1" customWidth="1"/>
    <col min="10" max="10" width="3.81640625" style="1" customWidth="1"/>
    <col min="11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181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20170714SHO01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44875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44875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169</v>
      </c>
      <c r="I5" s="110">
        <f ca="1">TODAY()</f>
        <v>44875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44875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/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14</v>
      </c>
      <c r="C11" s="10" t="s">
        <v>53</v>
      </c>
      <c r="D11" s="96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53"/>
      <c r="I11" s="154"/>
      <c r="J11" s="4"/>
      <c r="K11" s="4"/>
      <c r="L11" s="10" t="s">
        <v>14</v>
      </c>
      <c r="M11" s="10" t="s">
        <v>53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39" t="s">
        <v>150</v>
      </c>
      <c r="S11" s="140"/>
      <c r="T11" s="141"/>
      <c r="U11" s="5"/>
    </row>
    <row r="12" spans="1:21">
      <c r="A12" s="4"/>
      <c r="B12" s="10" t="s">
        <v>17</v>
      </c>
      <c r="C12" s="11" t="s">
        <v>23</v>
      </c>
      <c r="D12" s="97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53"/>
      <c r="I12" s="154"/>
      <c r="J12" s="4"/>
      <c r="K12" s="4"/>
      <c r="L12" s="10" t="s">
        <v>117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39" t="s">
        <v>150</v>
      </c>
      <c r="S12" s="140"/>
      <c r="T12" s="141"/>
      <c r="U12" s="5"/>
    </row>
    <row r="13" spans="1:21" ht="14.5">
      <c r="A13" s="4"/>
      <c r="B13" s="10" t="s">
        <v>9</v>
      </c>
      <c r="C13" s="10" t="s">
        <v>54</v>
      </c>
      <c r="D13" s="15"/>
      <c r="E13" s="15">
        <v>1</v>
      </c>
      <c r="F13" s="11" t="s">
        <v>23</v>
      </c>
      <c r="G13" s="11" t="s">
        <v>23</v>
      </c>
      <c r="H13" s="153"/>
      <c r="I13" s="154"/>
      <c r="J13" s="4"/>
      <c r="K13" s="4"/>
      <c r="L13" s="10" t="s">
        <v>9</v>
      </c>
      <c r="M13" s="10" t="s">
        <v>54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39"/>
      <c r="S13" s="140"/>
      <c r="T13" s="141"/>
      <c r="U13" s="5"/>
    </row>
    <row r="14" spans="1:21">
      <c r="A14" s="4"/>
      <c r="B14" s="10" t="s">
        <v>10</v>
      </c>
      <c r="C14" s="10" t="s">
        <v>24</v>
      </c>
      <c r="D14" s="11"/>
      <c r="E14" s="11">
        <v>0.01</v>
      </c>
      <c r="F14" s="11" t="s">
        <v>66</v>
      </c>
      <c r="G14" s="11" t="s">
        <v>23</v>
      </c>
      <c r="H14" s="155" t="str">
        <f>IF(D14&gt;=0.01,"Check if need to increase decimal on the right"," ")</f>
        <v xml:space="preserve"> </v>
      </c>
      <c r="I14" s="156"/>
      <c r="J14" s="4"/>
      <c r="K14" s="4"/>
      <c r="L14" s="10" t="s">
        <v>10</v>
      </c>
      <c r="M14" s="10" t="s">
        <v>24</v>
      </c>
      <c r="N14" s="14" t="str">
        <f>IF(D14&lt;0.01,"&lt;0.01",D14)</f>
        <v>&lt;0.01</v>
      </c>
      <c r="O14" s="11" t="s">
        <v>66</v>
      </c>
      <c r="P14" s="11" t="s">
        <v>23</v>
      </c>
      <c r="Q14" s="11" t="str">
        <f>VLOOKUP(N14,Lookup!C52:D59,2)</f>
        <v>Not Detected</v>
      </c>
      <c r="R14" s="139"/>
      <c r="S14" s="140"/>
      <c r="T14" s="141"/>
      <c r="U14" s="5"/>
    </row>
    <row r="15" spans="1:21">
      <c r="A15" s="4"/>
      <c r="B15" s="10" t="s">
        <v>11</v>
      </c>
      <c r="C15" s="10" t="s">
        <v>24</v>
      </c>
      <c r="D15" s="11"/>
      <c r="E15" s="11">
        <v>1.5</v>
      </c>
      <c r="F15" s="11" t="s">
        <v>67</v>
      </c>
      <c r="G15" s="11">
        <v>0.4</v>
      </c>
      <c r="H15" s="155" t="str">
        <f>IF(D15&gt;=0.01,"Check if need to increase decimal on the right"," ")</f>
        <v xml:space="preserve"> </v>
      </c>
      <c r="I15" s="156"/>
      <c r="J15" s="4"/>
      <c r="K15" s="4"/>
      <c r="L15" s="10" t="s">
        <v>11</v>
      </c>
      <c r="M15" s="10" t="s">
        <v>24</v>
      </c>
      <c r="N15" s="14" t="str">
        <f>IF(D15&lt;0.01,"&lt;0.01",D15)</f>
        <v>&lt;0.01</v>
      </c>
      <c r="O15" s="11" t="s">
        <v>67</v>
      </c>
      <c r="P15" s="11">
        <v>0.4</v>
      </c>
      <c r="Q15" s="11" t="str">
        <f>VLOOKUP(N15,Lookup!C61:D65,2)</f>
        <v>Not Detected</v>
      </c>
      <c r="R15" s="139" t="s">
        <v>68</v>
      </c>
      <c r="S15" s="140"/>
      <c r="T15" s="141"/>
      <c r="U15" s="5"/>
    </row>
    <row r="16" spans="1:21">
      <c r="A16" s="4"/>
      <c r="B16" s="10" t="s">
        <v>4</v>
      </c>
      <c r="C16" s="10" t="s">
        <v>24</v>
      </c>
      <c r="D16" s="11"/>
      <c r="E16" s="11">
        <v>10</v>
      </c>
      <c r="F16" s="11" t="s">
        <v>69</v>
      </c>
      <c r="G16" s="11" t="s">
        <v>23</v>
      </c>
      <c r="H16" s="153"/>
      <c r="I16" s="154"/>
      <c r="J16" s="4"/>
      <c r="K16" s="4"/>
      <c r="L16" s="10" t="s">
        <v>4</v>
      </c>
      <c r="M16" s="10" t="s">
        <v>24</v>
      </c>
      <c r="N16" s="15" t="str">
        <f>IF(D16&lt;10,"&lt;10",D16)</f>
        <v>&lt;10</v>
      </c>
      <c r="O16" s="11" t="s">
        <v>69</v>
      </c>
      <c r="P16" s="11" t="s">
        <v>23</v>
      </c>
      <c r="Q16" s="11" t="str">
        <f>VLOOKUP(N16,Lookup!C9:D16,2)</f>
        <v>Trace</v>
      </c>
      <c r="R16" s="139" t="s">
        <v>150</v>
      </c>
      <c r="S16" s="140"/>
      <c r="T16" s="141"/>
      <c r="U16" s="5"/>
    </row>
    <row r="17" spans="1:21" ht="14.5">
      <c r="A17" s="4"/>
      <c r="B17" s="10" t="s">
        <v>19</v>
      </c>
      <c r="C17" s="10" t="s">
        <v>55</v>
      </c>
      <c r="D17" s="14"/>
      <c r="E17" s="14">
        <v>5</v>
      </c>
      <c r="F17" s="11" t="s">
        <v>23</v>
      </c>
      <c r="G17" s="11" t="s">
        <v>23</v>
      </c>
      <c r="H17" s="153"/>
      <c r="I17" s="154"/>
      <c r="J17" s="4"/>
      <c r="K17" s="4"/>
      <c r="L17" s="10" t="s">
        <v>19</v>
      </c>
      <c r="M17" s="10" t="s">
        <v>55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39"/>
      <c r="S17" s="140"/>
      <c r="T17" s="141"/>
      <c r="U17" s="5"/>
    </row>
    <row r="18" spans="1:21">
      <c r="A18" s="4"/>
      <c r="B18" s="65"/>
      <c r="C18" s="65"/>
      <c r="D18" s="67"/>
      <c r="E18" s="67"/>
      <c r="F18" s="67"/>
      <c r="G18" s="67"/>
      <c r="H18" s="67"/>
      <c r="I18" s="67"/>
      <c r="J18" s="4"/>
      <c r="K18" s="4"/>
      <c r="L18" s="65"/>
      <c r="M18" s="65"/>
      <c r="N18" s="67"/>
      <c r="O18" s="67"/>
      <c r="P18" s="67"/>
      <c r="Q18" s="67"/>
      <c r="R18" s="98"/>
      <c r="S18" s="98"/>
      <c r="T18" s="98"/>
      <c r="U18" s="5"/>
    </row>
    <row r="19" spans="1:21">
      <c r="A19" s="4"/>
      <c r="B19" s="7" t="s">
        <v>207</v>
      </c>
      <c r="C19" s="139" t="s">
        <v>209</v>
      </c>
      <c r="D19" s="140"/>
      <c r="E19" s="145" t="s">
        <v>197</v>
      </c>
      <c r="F19" s="145"/>
      <c r="G19" s="58" t="s">
        <v>210</v>
      </c>
      <c r="H19" s="145" t="s">
        <v>201</v>
      </c>
      <c r="I19" s="146"/>
      <c r="J19" s="4"/>
      <c r="K19" s="4"/>
      <c r="L19" s="98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108" t="s">
        <v>211</v>
      </c>
      <c r="C20" s="111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112"/>
      <c r="E20" s="112"/>
      <c r="F20" s="112"/>
      <c r="G20" s="112"/>
      <c r="H20" s="112"/>
      <c r="I20" s="113"/>
      <c r="J20" s="4"/>
      <c r="K20" s="4"/>
      <c r="L20" s="98" t="str">
        <f>C20</f>
        <v>The negative LSI indicates corrosive water.</v>
      </c>
      <c r="M20" s="98"/>
      <c r="U20" s="5"/>
    </row>
    <row r="21" spans="1:21">
      <c r="A21" s="4"/>
      <c r="B21" s="108" t="s">
        <v>212</v>
      </c>
      <c r="C21" s="125" t="str">
        <f>IF(D13&lt;50," ","The high silica level may cause scale, treatment options are available but expensive")</f>
        <v xml:space="preserve"> </v>
      </c>
      <c r="D21" s="123"/>
      <c r="E21" s="123"/>
      <c r="F21" s="123"/>
      <c r="G21" s="123"/>
      <c r="H21" s="126"/>
      <c r="I21" s="124"/>
      <c r="J21" s="4"/>
      <c r="K21" s="4"/>
      <c r="L21" s="98" t="str">
        <f>C21</f>
        <v xml:space="preserve"> </v>
      </c>
      <c r="U21" s="5"/>
    </row>
    <row r="22" spans="1:21">
      <c r="A22" s="4"/>
      <c r="B22" s="108" t="s">
        <v>213</v>
      </c>
      <c r="C22" s="125" t="str">
        <f>IF(D14&lt;0.2," ","The high iron content may cause staining, taste and odour issues.")</f>
        <v xml:space="preserve"> </v>
      </c>
      <c r="D22" s="123"/>
      <c r="E22" s="123"/>
      <c r="F22" s="123"/>
      <c r="G22" s="123"/>
      <c r="H22" s="123"/>
      <c r="I22" s="124"/>
      <c r="J22" s="4"/>
      <c r="K22" s="4"/>
      <c r="L22" s="98" t="str">
        <f>C22</f>
        <v xml:space="preserve"> </v>
      </c>
      <c r="U22" s="5"/>
    </row>
    <row r="23" spans="1:21">
      <c r="A23" s="4"/>
      <c r="B23" s="108" t="s">
        <v>214</v>
      </c>
      <c r="C23" s="125" t="str">
        <f>IF(D15&lt;0.04," ","The high manganese content may cause staining, taste and odour issues.")</f>
        <v xml:space="preserve"> </v>
      </c>
      <c r="D23" s="123"/>
      <c r="E23" s="123"/>
      <c r="F23" s="123"/>
      <c r="G23" s="123"/>
      <c r="H23" s="123"/>
      <c r="I23" s="124"/>
      <c r="J23" s="4"/>
      <c r="K23" s="4"/>
      <c r="L23" s="98" t="str">
        <f>C23</f>
        <v xml:space="preserve"> </v>
      </c>
      <c r="U23" s="5"/>
    </row>
    <row r="24" spans="1:21">
      <c r="A24" s="4"/>
      <c r="B24" s="108" t="s">
        <v>215</v>
      </c>
      <c r="C24" s="121" t="str">
        <f>IF(COUNTIF(Q8:Q17,"Above MAV")&gt;0,"The sample contained results above the MAV for drinking water, treatment is highly recommended"," ")</f>
        <v xml:space="preserve"> </v>
      </c>
      <c r="D24" s="122"/>
      <c r="E24" s="122"/>
      <c r="F24" s="123"/>
      <c r="G24" s="123"/>
      <c r="H24" s="123"/>
      <c r="I24" s="124"/>
      <c r="J24" s="4"/>
      <c r="K24" s="4"/>
      <c r="L24" s="98" t="str">
        <f>C24</f>
        <v xml:space="preserve"> </v>
      </c>
      <c r="M24" s="98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8"/>
      <c r="M25" s="98"/>
      <c r="U25" s="5"/>
    </row>
    <row r="26" spans="1:21">
      <c r="A26" s="4"/>
      <c r="B26" s="98"/>
      <c r="C26" s="98"/>
      <c r="D26" s="5"/>
      <c r="E26" s="5"/>
      <c r="F26" s="5"/>
      <c r="G26" s="5"/>
      <c r="H26" s="5"/>
      <c r="I26" s="5"/>
      <c r="J26" s="4"/>
      <c r="K26" s="4"/>
      <c r="L26" s="61" t="s">
        <v>62</v>
      </c>
      <c r="M26" s="62" t="s">
        <v>192</v>
      </c>
      <c r="N26" s="63"/>
      <c r="O26" s="63"/>
      <c r="P26" s="63"/>
      <c r="Q26" s="63"/>
      <c r="R26" s="63"/>
      <c r="S26" s="63"/>
      <c r="T26" s="63"/>
      <c r="U26" s="5"/>
    </row>
    <row r="27" spans="1:21">
      <c r="A27" s="4"/>
      <c r="C27" s="98"/>
      <c r="D27" s="5"/>
      <c r="E27" s="5"/>
      <c r="F27" s="5"/>
      <c r="G27" s="5"/>
      <c r="H27" s="5"/>
      <c r="I27" s="5"/>
      <c r="J27" s="4"/>
      <c r="K27" s="4"/>
      <c r="L27" s="55" t="s">
        <v>63</v>
      </c>
      <c r="M27" s="138" t="s">
        <v>193</v>
      </c>
      <c r="N27" s="138"/>
      <c r="O27" s="138"/>
      <c r="P27" s="138"/>
      <c r="Q27" s="138"/>
      <c r="R27" s="138"/>
      <c r="S27" s="138"/>
      <c r="T27" s="138"/>
      <c r="U27" s="5"/>
    </row>
    <row r="28" spans="1:21">
      <c r="A28" s="4"/>
      <c r="C28" s="98"/>
      <c r="D28" s="5"/>
      <c r="E28" s="5"/>
      <c r="F28" s="5"/>
      <c r="G28" s="5"/>
      <c r="H28" s="5"/>
      <c r="I28" s="5"/>
      <c r="J28" s="4"/>
      <c r="K28" s="4"/>
      <c r="L28" s="55" t="s">
        <v>24</v>
      </c>
      <c r="M28" s="137" t="s">
        <v>129</v>
      </c>
      <c r="N28" s="138"/>
      <c r="O28" s="138"/>
      <c r="P28" s="138"/>
      <c r="Q28" s="138"/>
      <c r="R28" s="138"/>
      <c r="S28" s="138"/>
      <c r="T28" s="138"/>
      <c r="U28" s="5"/>
    </row>
    <row r="29" spans="1:21">
      <c r="A29" s="4"/>
      <c r="B29" s="98"/>
      <c r="C29" s="98"/>
      <c r="D29" s="5"/>
      <c r="E29" s="5"/>
      <c r="F29" s="5"/>
      <c r="G29" s="5"/>
      <c r="H29" s="5"/>
      <c r="I29" s="5"/>
      <c r="J29" s="4"/>
      <c r="K29" s="4"/>
      <c r="L29" s="55"/>
      <c r="M29" s="137"/>
      <c r="N29" s="138"/>
      <c r="O29" s="138"/>
      <c r="P29" s="138"/>
      <c r="Q29" s="138"/>
      <c r="R29" s="138"/>
      <c r="S29" s="138"/>
      <c r="T29" s="138"/>
      <c r="U29" s="5"/>
    </row>
    <row r="30" spans="1:21">
      <c r="A30" s="4"/>
      <c r="B30" s="98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8"/>
      <c r="C31" s="5"/>
      <c r="D31" s="99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8"/>
      <c r="C32" s="5"/>
      <c r="D32" s="5"/>
      <c r="E32" s="5"/>
      <c r="F32" s="5"/>
      <c r="G32" s="5"/>
      <c r="H32" s="5"/>
      <c r="I32" s="5"/>
      <c r="J32" s="4"/>
      <c r="K32" s="4"/>
      <c r="L32" s="4" t="s">
        <v>190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8"/>
      <c r="C33" s="5"/>
      <c r="D33" s="5"/>
      <c r="E33" s="5"/>
      <c r="F33" s="5"/>
      <c r="G33" s="5"/>
      <c r="H33" s="5"/>
      <c r="I33" s="5"/>
      <c r="J33" s="4"/>
      <c r="K33" s="4"/>
      <c r="L33" s="4" t="s">
        <v>191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8"/>
      <c r="C34" s="5"/>
      <c r="D34" s="5"/>
      <c r="E34" s="5"/>
      <c r="F34" s="5"/>
      <c r="G34" s="5"/>
      <c r="H34" s="5"/>
      <c r="I34" s="5"/>
      <c r="J34" s="4"/>
      <c r="K34" s="4"/>
      <c r="L34" s="4" t="s">
        <v>146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8"/>
      <c r="C35" s="5"/>
      <c r="D35" s="5"/>
      <c r="E35" s="5"/>
      <c r="F35" s="5"/>
      <c r="G35" s="5"/>
      <c r="H35" s="5"/>
      <c r="I35" s="5"/>
      <c r="J35" s="4"/>
      <c r="K35" s="4"/>
      <c r="L35" s="12" t="s">
        <v>185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C5:F5"/>
    <mergeCell ref="H7:I7"/>
    <mergeCell ref="Q7:T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D11" zoomScaleNormal="110" zoomScaleSheetLayoutView="100" workbookViewId="0">
      <selection activeCell="H29" sqref="H29:J2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2.453125" style="1" customWidth="1"/>
    <col min="12" max="12" width="2" style="1" customWidth="1"/>
    <col min="13" max="13" width="18.6328125" style="1" customWidth="1"/>
    <col min="14" max="14" width="10.90625" style="1" customWidth="1"/>
    <col min="15" max="21" width="10" style="1" customWidth="1"/>
    <col min="22" max="22" width="0.54296875" style="1" customWidth="1"/>
    <col min="23" max="16384" width="9.08984375" style="1"/>
  </cols>
  <sheetData>
    <row r="1" spans="1:21" ht="23">
      <c r="B1" s="87" t="s">
        <v>167</v>
      </c>
      <c r="J1" s="13" t="str">
        <f>'R-CHE'!I1</f>
        <v>Rev10</v>
      </c>
      <c r="K1" s="13"/>
      <c r="M1" s="2" t="s">
        <v>0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83" t="s">
        <v>170</v>
      </c>
      <c r="C3" s="157" t="s">
        <v>222</v>
      </c>
      <c r="D3" s="157"/>
      <c r="E3" s="157"/>
      <c r="F3" s="157"/>
      <c r="G3" s="8"/>
      <c r="H3" s="83" t="s">
        <v>148</v>
      </c>
      <c r="I3" s="158" t="s">
        <v>224</v>
      </c>
      <c r="J3" s="158"/>
      <c r="K3" s="104"/>
      <c r="M3" s="1" t="str">
        <f>IF(ISBLANK(C3),"DEALER NAME",C3)</f>
        <v>Water Solutions Te Puke</v>
      </c>
      <c r="Q3" s="8"/>
      <c r="R3" s="8"/>
      <c r="S3" s="9" t="s">
        <v>148</v>
      </c>
      <c r="U3" s="68" t="str">
        <f>I3</f>
        <v>20221109SRT01</v>
      </c>
    </row>
    <row r="4" spans="1:21" ht="15.5">
      <c r="B4" s="83" t="s">
        <v>171</v>
      </c>
      <c r="C4" s="157" t="s">
        <v>223</v>
      </c>
      <c r="D4" s="157"/>
      <c r="E4" s="157"/>
      <c r="F4" s="157"/>
      <c r="G4" s="8"/>
      <c r="H4" s="83" t="s">
        <v>56</v>
      </c>
      <c r="I4" s="159">
        <v>44874</v>
      </c>
      <c r="J4" s="158"/>
      <c r="K4" s="104"/>
      <c r="M4" s="3" t="str">
        <f>IF(ISBLANK(C4),"REFERENCE NAME",C4)</f>
        <v>Nelson</v>
      </c>
      <c r="Q4" s="8"/>
      <c r="R4" s="8"/>
      <c r="S4" s="9" t="s">
        <v>56</v>
      </c>
      <c r="U4" s="69">
        <f>I4</f>
        <v>44874</v>
      </c>
    </row>
    <row r="5" spans="1:21">
      <c r="B5" s="83" t="s">
        <v>133</v>
      </c>
      <c r="C5" s="150" t="s">
        <v>134</v>
      </c>
      <c r="D5" s="150"/>
      <c r="E5" s="150"/>
      <c r="F5" s="150"/>
      <c r="G5" s="8"/>
      <c r="H5" s="83" t="s">
        <v>57</v>
      </c>
      <c r="I5" s="159">
        <f ca="1">TODAY()</f>
        <v>44875</v>
      </c>
      <c r="J5" s="158"/>
      <c r="K5" s="104"/>
      <c r="M5" s="9" t="s">
        <v>133</v>
      </c>
      <c r="N5" s="76" t="str">
        <f>IF(ISBLANK(C5),"TBC",C5)</f>
        <v>TBC</v>
      </c>
      <c r="Q5" s="8"/>
      <c r="R5" s="8"/>
      <c r="S5" s="9" t="s">
        <v>57</v>
      </c>
      <c r="U5" s="69">
        <f ca="1">I5</f>
        <v>44875</v>
      </c>
    </row>
    <row r="6" spans="1:21">
      <c r="B6" s="72"/>
      <c r="C6" s="72"/>
      <c r="D6" s="74"/>
      <c r="E6" s="73"/>
      <c r="F6" s="73"/>
      <c r="G6" s="73"/>
      <c r="H6" s="73"/>
      <c r="I6" s="73"/>
      <c r="J6" s="73"/>
      <c r="K6" s="73"/>
      <c r="L6" s="75"/>
      <c r="M6" s="72"/>
      <c r="N6" s="72"/>
      <c r="O6" s="74"/>
      <c r="P6" s="73"/>
      <c r="Q6" s="73"/>
      <c r="R6" s="73"/>
      <c r="S6" s="73"/>
      <c r="T6" s="73"/>
      <c r="U6" s="73"/>
    </row>
    <row r="7" spans="1:21">
      <c r="A7" s="75"/>
      <c r="B7" s="4"/>
      <c r="C7" s="8"/>
      <c r="D7" s="8">
        <v>1</v>
      </c>
      <c r="E7" s="8">
        <v>2</v>
      </c>
      <c r="F7" s="8">
        <v>3</v>
      </c>
      <c r="G7" s="8">
        <v>4</v>
      </c>
      <c r="H7" s="73"/>
      <c r="I7" s="73"/>
      <c r="J7" s="73"/>
      <c r="K7" s="73"/>
      <c r="L7" s="4"/>
      <c r="M7" s="4"/>
      <c r="N7" s="8"/>
      <c r="O7" s="73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84" t="s">
        <v>1</v>
      </c>
      <c r="C8" s="85" t="s">
        <v>168</v>
      </c>
      <c r="D8" s="85" t="s">
        <v>131</v>
      </c>
      <c r="E8" s="85" t="s">
        <v>132</v>
      </c>
      <c r="F8" s="85" t="s">
        <v>22</v>
      </c>
      <c r="G8" s="85" t="s">
        <v>28</v>
      </c>
      <c r="H8" s="8"/>
      <c r="I8" s="8"/>
      <c r="J8" s="8"/>
      <c r="K8" s="8"/>
      <c r="L8" s="4"/>
      <c r="M8" s="70" t="s">
        <v>1</v>
      </c>
      <c r="N8" s="71" t="s">
        <v>2</v>
      </c>
      <c r="O8" s="71" t="s">
        <v>62</v>
      </c>
      <c r="P8" s="71" t="s">
        <v>131</v>
      </c>
      <c r="Q8" s="71" t="s">
        <v>132</v>
      </c>
      <c r="R8" s="71" t="s">
        <v>22</v>
      </c>
      <c r="S8" s="71" t="s">
        <v>28</v>
      </c>
    </row>
    <row r="9" spans="1:21">
      <c r="A9" s="4"/>
      <c r="B9" s="10" t="s">
        <v>3</v>
      </c>
      <c r="C9" s="11" t="s">
        <v>23</v>
      </c>
      <c r="D9" s="14">
        <v>6.1</v>
      </c>
      <c r="E9" s="14">
        <v>6</v>
      </c>
      <c r="F9" s="14">
        <v>6</v>
      </c>
      <c r="G9" s="14">
        <v>5.8</v>
      </c>
      <c r="H9" s="100"/>
      <c r="I9" s="100"/>
      <c r="J9" s="100"/>
      <c r="K9" s="100"/>
      <c r="L9" s="4"/>
      <c r="M9" s="10" t="s">
        <v>3</v>
      </c>
      <c r="N9" s="11" t="s">
        <v>23</v>
      </c>
      <c r="O9" s="11" t="s">
        <v>64</v>
      </c>
      <c r="P9" s="14">
        <f>D9</f>
        <v>6.1</v>
      </c>
      <c r="Q9" s="14">
        <f t="shared" ref="Q9:S9" si="0">E9</f>
        <v>6</v>
      </c>
      <c r="R9" s="14">
        <f t="shared" si="0"/>
        <v>6</v>
      </c>
      <c r="S9" s="14">
        <f t="shared" si="0"/>
        <v>5.8</v>
      </c>
    </row>
    <row r="10" spans="1:21" ht="14.5">
      <c r="A10" s="4"/>
      <c r="B10" s="10" t="s">
        <v>5</v>
      </c>
      <c r="C10" s="10" t="s">
        <v>52</v>
      </c>
      <c r="D10" s="15">
        <v>30</v>
      </c>
      <c r="E10" s="15">
        <v>20</v>
      </c>
      <c r="F10" s="15">
        <v>25</v>
      </c>
      <c r="G10" s="15">
        <v>5</v>
      </c>
      <c r="H10" s="101"/>
      <c r="I10" s="101"/>
      <c r="J10" s="101"/>
      <c r="K10" s="101"/>
      <c r="L10" s="4"/>
      <c r="M10" s="10" t="s">
        <v>5</v>
      </c>
      <c r="N10" s="10" t="s">
        <v>52</v>
      </c>
      <c r="O10" s="11" t="s">
        <v>23</v>
      </c>
      <c r="P10" s="15">
        <f t="shared" ref="P10:S11" si="1">IF(D10&lt;5,"&lt;5",D10)</f>
        <v>30</v>
      </c>
      <c r="Q10" s="15">
        <f t="shared" si="1"/>
        <v>20</v>
      </c>
      <c r="R10" s="15">
        <f t="shared" si="1"/>
        <v>25</v>
      </c>
      <c r="S10" s="15">
        <f t="shared" si="1"/>
        <v>5</v>
      </c>
    </row>
    <row r="11" spans="1:21" ht="14.5">
      <c r="A11" s="4"/>
      <c r="B11" s="10" t="s">
        <v>6</v>
      </c>
      <c r="C11" s="10" t="s">
        <v>52</v>
      </c>
      <c r="D11" s="15">
        <v>10</v>
      </c>
      <c r="E11" s="15">
        <v>10</v>
      </c>
      <c r="F11" s="15" t="s">
        <v>38</v>
      </c>
      <c r="G11" s="15" t="s">
        <v>38</v>
      </c>
      <c r="H11" s="66"/>
      <c r="I11" s="66"/>
      <c r="J11" s="66"/>
      <c r="K11" s="66"/>
      <c r="L11" s="4"/>
      <c r="M11" s="10" t="s">
        <v>6</v>
      </c>
      <c r="N11" s="10" t="s">
        <v>52</v>
      </c>
      <c r="O11" s="11" t="s">
        <v>65</v>
      </c>
      <c r="P11" s="15">
        <f t="shared" si="1"/>
        <v>10</v>
      </c>
      <c r="Q11" s="15">
        <f t="shared" si="1"/>
        <v>10</v>
      </c>
      <c r="R11" s="15" t="str">
        <f t="shared" si="1"/>
        <v>&lt;5</v>
      </c>
      <c r="S11" s="15" t="str">
        <f t="shared" si="1"/>
        <v>&lt;5</v>
      </c>
    </row>
    <row r="12" spans="1:21" ht="14.5">
      <c r="A12" s="4"/>
      <c r="B12" s="10" t="s">
        <v>14</v>
      </c>
      <c r="C12" s="10" t="s">
        <v>53</v>
      </c>
      <c r="D12" s="96">
        <f>2*(IF(D10&lt;5,5,D10)-(5*10^(D9-10)))/(1+(0.94*10^(D9-10)))*10^(6-D9)</f>
        <v>47.653054869134827</v>
      </c>
      <c r="E12" s="96">
        <f>2*(IF(E10&lt;5,5,E10)-(5*10^(E9-10)))/(1+(0.94*10^(E9-10)))*10^(6-E9)</f>
        <v>39.995240447397947</v>
      </c>
      <c r="F12" s="96">
        <f t="shared" ref="F12:G12" si="2">2*(IF(F10&lt;5,5,F10)-(5*10^(F9-10)))/(1+(0.94*10^(F9-10)))*10^(6-F9)</f>
        <v>49.994300535749638</v>
      </c>
      <c r="G12" s="96">
        <f t="shared" si="2"/>
        <v>15.8469920396657</v>
      </c>
      <c r="H12" s="66"/>
      <c r="I12" s="66"/>
      <c r="J12" s="66"/>
      <c r="K12" s="66"/>
      <c r="L12" s="4"/>
      <c r="M12" s="10" t="s">
        <v>14</v>
      </c>
      <c r="N12" s="10" t="s">
        <v>53</v>
      </c>
      <c r="O12" s="11" t="s">
        <v>23</v>
      </c>
      <c r="P12" s="103">
        <f>IF(D12&lt;1,"&lt;1",D12)</f>
        <v>47.653054869134827</v>
      </c>
      <c r="Q12" s="103">
        <f t="shared" ref="Q12:S12" si="3">IF(E12&lt;1,"&lt;1",E12)</f>
        <v>39.995240447397947</v>
      </c>
      <c r="R12" s="103">
        <f t="shared" si="3"/>
        <v>49.994300535749638</v>
      </c>
      <c r="S12" s="103">
        <f t="shared" si="3"/>
        <v>15.8469920396657</v>
      </c>
    </row>
    <row r="13" spans="1:21">
      <c r="A13" s="4"/>
      <c r="B13" s="10" t="s">
        <v>17</v>
      </c>
      <c r="C13" s="11" t="s">
        <v>23</v>
      </c>
      <c r="D13" s="97">
        <f>+D9+0.5+VLOOKUP(IF(D10&lt;5,5,D10),LSI!$F$2:$G$25,2)+VLOOKUP(IF(D11&lt;5,5,D11),LSI!$H$2:$I$25,2)-12.1</f>
        <v>-3.6999999999999993</v>
      </c>
      <c r="E13" s="97">
        <f>+E9+0.5+VLOOKUP(IF(E10&lt;5,5,E10),LSI!$F$2:$G$25,2)+VLOOKUP(IF(E11&lt;5,5,E11),LSI!$H$2:$I$25,2)-12.1</f>
        <v>-4</v>
      </c>
      <c r="F13" s="97" t="e">
        <f>+F9+0.5+VLOOKUP(IF(F10&lt;5,5,F10),LSI!$F$2:$G$25,2)+VLOOKUP(IF(F11&lt;5,5,F11),LSI!$H$2:$I$25,2)-12.1</f>
        <v>#N/A</v>
      </c>
      <c r="G13" s="97" t="e">
        <f>+G9+0.5+VLOOKUP(IF(G10&lt;5,5,G10),LSI!$F$2:$G$25,2)+VLOOKUP(IF(G11&lt;5,5,G11),LSI!$H$2:$I$25,2)-12.1</f>
        <v>#N/A</v>
      </c>
      <c r="H13" s="67"/>
      <c r="I13" s="67"/>
      <c r="J13" s="67"/>
      <c r="K13" s="67"/>
      <c r="L13" s="4"/>
      <c r="M13" s="10" t="s">
        <v>17</v>
      </c>
      <c r="N13" s="11" t="s">
        <v>23</v>
      </c>
      <c r="O13" s="11" t="s">
        <v>23</v>
      </c>
      <c r="P13" s="103">
        <f>D13</f>
        <v>-3.6999999999999993</v>
      </c>
      <c r="Q13" s="103">
        <f t="shared" ref="Q13" si="4">E13</f>
        <v>-4</v>
      </c>
      <c r="R13" s="103" t="e">
        <f t="shared" ref="R13" si="5">F13</f>
        <v>#N/A</v>
      </c>
      <c r="S13" s="103" t="e">
        <f t="shared" ref="S13" si="6">G13</f>
        <v>#N/A</v>
      </c>
    </row>
    <row r="14" spans="1:21">
      <c r="A14" s="4"/>
      <c r="B14" s="10" t="s">
        <v>10</v>
      </c>
      <c r="C14" s="10" t="s">
        <v>24</v>
      </c>
      <c r="D14" s="11">
        <v>0.9</v>
      </c>
      <c r="E14" s="11">
        <v>0.95</v>
      </c>
      <c r="F14" s="11">
        <v>0.37</v>
      </c>
      <c r="G14" s="11">
        <v>0.01</v>
      </c>
      <c r="H14" s="67"/>
      <c r="I14" s="67"/>
      <c r="J14" s="67"/>
      <c r="K14" s="67"/>
      <c r="L14" s="4"/>
      <c r="M14" s="10" t="s">
        <v>10</v>
      </c>
      <c r="N14" s="10" t="s">
        <v>24</v>
      </c>
      <c r="O14" s="11" t="s">
        <v>66</v>
      </c>
      <c r="P14" s="11">
        <f t="shared" ref="P14:S15" si="7">IF(D14&lt;0.01,"&lt;0.01",D14)</f>
        <v>0.9</v>
      </c>
      <c r="Q14" s="11">
        <f t="shared" si="7"/>
        <v>0.95</v>
      </c>
      <c r="R14" s="11">
        <f t="shared" si="7"/>
        <v>0.37</v>
      </c>
      <c r="S14" s="11">
        <f t="shared" si="7"/>
        <v>0.01</v>
      </c>
    </row>
    <row r="15" spans="1:21">
      <c r="A15" s="4"/>
      <c r="B15" s="10" t="s">
        <v>11</v>
      </c>
      <c r="C15" s="10" t="s">
        <v>24</v>
      </c>
      <c r="D15" s="11">
        <v>0.02</v>
      </c>
      <c r="E15" s="11">
        <v>0.05</v>
      </c>
      <c r="F15" s="11">
        <v>0.03</v>
      </c>
      <c r="G15" s="11">
        <v>0.01</v>
      </c>
      <c r="H15" s="67"/>
      <c r="I15" s="67"/>
      <c r="J15" s="67"/>
      <c r="K15" s="67"/>
      <c r="L15" s="4"/>
      <c r="M15" s="10" t="s">
        <v>11</v>
      </c>
      <c r="N15" s="10" t="s">
        <v>24</v>
      </c>
      <c r="O15" s="11" t="s">
        <v>67</v>
      </c>
      <c r="P15" s="11">
        <f t="shared" si="7"/>
        <v>0.02</v>
      </c>
      <c r="Q15" s="11">
        <f t="shared" si="7"/>
        <v>0.05</v>
      </c>
      <c r="R15" s="11">
        <f t="shared" si="7"/>
        <v>0.03</v>
      </c>
      <c r="S15" s="11">
        <f t="shared" si="7"/>
        <v>0.01</v>
      </c>
    </row>
    <row r="16" spans="1:21">
      <c r="A16" s="4"/>
      <c r="B16" s="10" t="s">
        <v>4</v>
      </c>
      <c r="C16" s="10" t="s">
        <v>24</v>
      </c>
      <c r="D16" s="11">
        <v>80</v>
      </c>
      <c r="E16" s="11">
        <v>80</v>
      </c>
      <c r="F16" s="11">
        <v>100</v>
      </c>
      <c r="G16" s="11">
        <v>110</v>
      </c>
      <c r="H16" s="66"/>
      <c r="I16" s="66"/>
      <c r="J16" s="66"/>
      <c r="K16" s="66"/>
      <c r="L16" s="4"/>
      <c r="M16" s="10" t="s">
        <v>4</v>
      </c>
      <c r="N16" s="10" t="s">
        <v>24</v>
      </c>
      <c r="O16" s="11" t="s">
        <v>69</v>
      </c>
      <c r="P16" s="11">
        <f>IF(D16&lt;10,"&lt;10",D16)</f>
        <v>80</v>
      </c>
      <c r="Q16" s="11">
        <f>IF(E16&lt;10,"&lt;10",E16)</f>
        <v>80</v>
      </c>
      <c r="R16" s="11">
        <f>IF(F16&lt;10,"&lt;10",F16)</f>
        <v>100</v>
      </c>
      <c r="S16" s="11">
        <f>IF(G16&lt;10,"&lt;10",G16)</f>
        <v>110</v>
      </c>
    </row>
    <row r="17" spans="1:22">
      <c r="A17" s="4"/>
      <c r="B17" s="10" t="s">
        <v>15</v>
      </c>
      <c r="C17" s="10" t="s">
        <v>24</v>
      </c>
      <c r="D17" s="15">
        <v>16</v>
      </c>
      <c r="E17" s="15">
        <v>14</v>
      </c>
      <c r="F17" s="15">
        <v>18</v>
      </c>
      <c r="G17" s="15">
        <v>44</v>
      </c>
      <c r="H17" s="66"/>
      <c r="I17" s="66"/>
      <c r="J17" s="66"/>
      <c r="K17" s="66"/>
      <c r="L17" s="4"/>
      <c r="M17" s="10" t="s">
        <v>15</v>
      </c>
      <c r="N17" s="10" t="s">
        <v>24</v>
      </c>
      <c r="O17" s="11" t="s">
        <v>70</v>
      </c>
      <c r="P17" s="11">
        <f>IF(D17&lt;1,"&lt;1",D17)</f>
        <v>16</v>
      </c>
      <c r="Q17" s="11">
        <f t="shared" ref="Q17:S18" si="8">IF(E17&lt;1,"&lt;1",E17)</f>
        <v>14</v>
      </c>
      <c r="R17" s="11">
        <f t="shared" si="8"/>
        <v>18</v>
      </c>
      <c r="S17" s="11">
        <f t="shared" si="8"/>
        <v>44</v>
      </c>
    </row>
    <row r="18" spans="1:22">
      <c r="A18" s="4"/>
      <c r="B18" s="10" t="s">
        <v>16</v>
      </c>
      <c r="C18" s="10" t="s">
        <v>24</v>
      </c>
      <c r="D18" s="15">
        <v>20</v>
      </c>
      <c r="E18" s="15">
        <v>20</v>
      </c>
      <c r="F18" s="15">
        <v>48</v>
      </c>
      <c r="G18" s="15">
        <v>47</v>
      </c>
      <c r="H18" s="66"/>
      <c r="I18" s="66"/>
      <c r="J18" s="66"/>
      <c r="K18" s="66"/>
      <c r="L18" s="4"/>
      <c r="M18" s="10" t="s">
        <v>16</v>
      </c>
      <c r="N18" s="10" t="s">
        <v>24</v>
      </c>
      <c r="O18" s="11" t="s">
        <v>65</v>
      </c>
      <c r="P18" s="11">
        <f>IF(D18&lt;1,"&lt;1",D18)</f>
        <v>20</v>
      </c>
      <c r="Q18" s="11">
        <f t="shared" si="8"/>
        <v>20</v>
      </c>
      <c r="R18" s="11">
        <f t="shared" si="8"/>
        <v>48</v>
      </c>
      <c r="S18" s="11">
        <f t="shared" si="8"/>
        <v>47</v>
      </c>
    </row>
    <row r="19" spans="1:22" hidden="1">
      <c r="A19" s="4"/>
      <c r="B19" s="10" t="s">
        <v>178</v>
      </c>
      <c r="C19" s="10" t="s">
        <v>179</v>
      </c>
      <c r="D19" s="14">
        <f>D20/10</f>
        <v>11.8</v>
      </c>
      <c r="E19" s="14">
        <f t="shared" ref="E19:G19" si="9">E20/10</f>
        <v>11.5</v>
      </c>
      <c r="F19" s="14">
        <f t="shared" si="9"/>
        <v>14.4</v>
      </c>
      <c r="G19" s="14">
        <f t="shared" si="9"/>
        <v>15.2</v>
      </c>
      <c r="H19" s="67"/>
      <c r="I19" s="67"/>
      <c r="J19" s="67"/>
      <c r="K19" s="67"/>
      <c r="L19" s="4"/>
      <c r="M19" s="10" t="s">
        <v>178</v>
      </c>
      <c r="N19" s="10" t="s">
        <v>179</v>
      </c>
      <c r="O19" s="11" t="s">
        <v>23</v>
      </c>
      <c r="P19" s="14">
        <f>P20/10</f>
        <v>11.8</v>
      </c>
      <c r="Q19" s="14">
        <f t="shared" ref="Q19:S19" si="10">Q20/10</f>
        <v>11.5</v>
      </c>
      <c r="R19" s="14">
        <f t="shared" si="10"/>
        <v>14.4</v>
      </c>
      <c r="S19" s="14">
        <f t="shared" si="10"/>
        <v>15.2</v>
      </c>
    </row>
    <row r="20" spans="1:22">
      <c r="A20" s="4"/>
      <c r="B20" s="10" t="s">
        <v>178</v>
      </c>
      <c r="C20" s="10" t="s">
        <v>180</v>
      </c>
      <c r="D20" s="15">
        <v>118</v>
      </c>
      <c r="E20" s="15">
        <v>115</v>
      </c>
      <c r="F20" s="15">
        <v>144</v>
      </c>
      <c r="G20" s="15">
        <v>152</v>
      </c>
      <c r="H20" s="66"/>
      <c r="I20" s="66"/>
      <c r="J20" s="66"/>
      <c r="K20" s="66"/>
      <c r="L20" s="4"/>
      <c r="M20" s="10" t="s">
        <v>178</v>
      </c>
      <c r="N20" s="10" t="s">
        <v>180</v>
      </c>
      <c r="O20" s="11" t="s">
        <v>23</v>
      </c>
      <c r="P20" s="14">
        <f t="shared" ref="P20:S20" si="11">D20</f>
        <v>118</v>
      </c>
      <c r="Q20" s="14">
        <f t="shared" si="11"/>
        <v>115</v>
      </c>
      <c r="R20" s="14">
        <f t="shared" si="11"/>
        <v>144</v>
      </c>
      <c r="S20" s="14">
        <f t="shared" si="11"/>
        <v>152</v>
      </c>
    </row>
    <row r="21" spans="1:22">
      <c r="A21" s="4"/>
      <c r="B21" s="10" t="s">
        <v>18</v>
      </c>
      <c r="C21" s="10" t="s">
        <v>25</v>
      </c>
      <c r="D21" s="11">
        <v>3.11</v>
      </c>
      <c r="E21" s="11">
        <v>2.71</v>
      </c>
      <c r="F21" s="11">
        <v>1.2</v>
      </c>
      <c r="G21" s="11" t="s">
        <v>41</v>
      </c>
      <c r="H21" s="101"/>
      <c r="I21" s="101"/>
      <c r="J21" s="101"/>
      <c r="K21" s="101"/>
      <c r="L21" s="4"/>
      <c r="M21" s="10" t="s">
        <v>18</v>
      </c>
      <c r="N21" s="10" t="s">
        <v>25</v>
      </c>
      <c r="O21" s="11" t="s">
        <v>71</v>
      </c>
      <c r="P21" s="14">
        <f>IF(D21&lt;0.05,"&lt;0.05",D21)</f>
        <v>3.11</v>
      </c>
      <c r="Q21" s="14">
        <f>IF(E21&lt;0.05,"&lt;0.05",E21)</f>
        <v>2.71</v>
      </c>
      <c r="R21" s="14">
        <f>IF(F21&lt;0.05,"&lt;0.05",F21)</f>
        <v>1.2</v>
      </c>
      <c r="S21" s="14" t="str">
        <f>IF(G21&lt;0.05,"&lt;0.05",G21)</f>
        <v>&lt;0.05</v>
      </c>
    </row>
    <row r="22" spans="1:22">
      <c r="A22" s="4"/>
      <c r="B22" s="10" t="s">
        <v>159</v>
      </c>
      <c r="C22" s="10" t="s">
        <v>160</v>
      </c>
      <c r="D22" s="15" t="s">
        <v>38</v>
      </c>
      <c r="E22" s="15" t="s">
        <v>38</v>
      </c>
      <c r="F22" s="15" t="s">
        <v>38</v>
      </c>
      <c r="G22" s="15" t="s">
        <v>38</v>
      </c>
      <c r="H22" s="67"/>
      <c r="I22" s="67"/>
      <c r="J22" s="67"/>
      <c r="K22" s="67"/>
      <c r="L22" s="4"/>
      <c r="M22" s="10" t="s">
        <v>159</v>
      </c>
      <c r="N22" s="10" t="s">
        <v>160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5">
      <c r="A23" s="4"/>
      <c r="B23" s="10" t="s">
        <v>19</v>
      </c>
      <c r="C23" s="10" t="s">
        <v>55</v>
      </c>
      <c r="D23" s="14">
        <v>89.2</v>
      </c>
      <c r="E23" s="14">
        <v>87</v>
      </c>
      <c r="F23" s="14">
        <v>5.2</v>
      </c>
      <c r="G23" s="14">
        <v>97.4</v>
      </c>
      <c r="H23" s="8"/>
      <c r="I23" s="8"/>
      <c r="J23" s="8"/>
      <c r="K23" s="8"/>
      <c r="L23" s="4"/>
      <c r="M23" s="10" t="s">
        <v>19</v>
      </c>
      <c r="N23" s="10" t="s">
        <v>55</v>
      </c>
      <c r="O23" s="11" t="s">
        <v>23</v>
      </c>
      <c r="P23" s="14">
        <f>IF(D23&lt;5,"&lt;5",D23)</f>
        <v>89.2</v>
      </c>
      <c r="Q23" s="14">
        <f t="shared" si="12"/>
        <v>87</v>
      </c>
      <c r="R23" s="14">
        <f t="shared" si="12"/>
        <v>5.2</v>
      </c>
      <c r="S23" s="14">
        <f t="shared" si="12"/>
        <v>97.4</v>
      </c>
    </row>
    <row r="24" spans="1:22">
      <c r="A24" s="4"/>
      <c r="B24" s="65"/>
      <c r="C24" s="65"/>
      <c r="D24" s="67"/>
      <c r="E24" s="67"/>
      <c r="F24" s="67"/>
      <c r="G24" s="67"/>
      <c r="H24" s="80"/>
      <c r="I24" s="80"/>
      <c r="J24" s="80"/>
      <c r="K24" s="105"/>
      <c r="L24" s="4"/>
      <c r="M24" s="65"/>
      <c r="N24" s="65"/>
      <c r="O24" s="67"/>
      <c r="P24" s="67"/>
      <c r="Q24" s="67"/>
      <c r="R24" s="67"/>
      <c r="S24" s="67"/>
      <c r="T24" s="67"/>
      <c r="U24" s="67"/>
      <c r="V24" s="5"/>
    </row>
    <row r="25" spans="1:22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106"/>
      <c r="L25" s="4"/>
      <c r="M25" s="7" t="s">
        <v>44</v>
      </c>
      <c r="N25" s="9" t="s">
        <v>60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45</v>
      </c>
      <c r="C26" s="160" t="s">
        <v>209</v>
      </c>
      <c r="D26" s="160"/>
      <c r="E26" s="161" t="s">
        <v>197</v>
      </c>
      <c r="F26" s="161"/>
      <c r="G26" s="102" t="s">
        <v>210</v>
      </c>
      <c r="H26" s="161" t="s">
        <v>202</v>
      </c>
      <c r="I26" s="161"/>
      <c r="J26" s="161"/>
      <c r="K26" s="107"/>
      <c r="L26" s="4"/>
      <c r="M26" s="10" t="s">
        <v>45</v>
      </c>
      <c r="N26" s="57" t="str">
        <f>CONCATENATE(C26, " ", E26," ", G26, " ", H26)</f>
        <v>The sample was slightly discoloured  with some significant sediments</v>
      </c>
      <c r="O26" s="58"/>
      <c r="P26" s="58"/>
      <c r="Q26" s="58"/>
      <c r="R26" s="58"/>
      <c r="S26" s="58"/>
      <c r="T26" s="58"/>
      <c r="U26" s="59"/>
      <c r="V26" s="5"/>
    </row>
    <row r="27" spans="1:22">
      <c r="A27" s="4"/>
      <c r="B27" s="10" t="s">
        <v>46</v>
      </c>
      <c r="C27" s="160" t="s">
        <v>209</v>
      </c>
      <c r="D27" s="160"/>
      <c r="E27" s="161" t="s">
        <v>197</v>
      </c>
      <c r="F27" s="161"/>
      <c r="G27" s="102" t="s">
        <v>210</v>
      </c>
      <c r="H27" s="161" t="s">
        <v>202</v>
      </c>
      <c r="I27" s="161"/>
      <c r="J27" s="161"/>
      <c r="K27" s="107"/>
      <c r="L27" s="4"/>
      <c r="M27" s="10" t="s">
        <v>46</v>
      </c>
      <c r="N27" s="57" t="str">
        <f>CONCATENATE(C27, " ", E27," ", G27, " ", H27)</f>
        <v>The sample was slightly discoloured  with some significant sediments</v>
      </c>
      <c r="O27" s="60"/>
      <c r="P27" s="58"/>
      <c r="Q27" s="58"/>
      <c r="R27" s="58"/>
      <c r="S27" s="58"/>
      <c r="T27" s="58"/>
      <c r="U27" s="59"/>
      <c r="V27" s="5"/>
    </row>
    <row r="28" spans="1:22">
      <c r="A28" s="4"/>
      <c r="B28" s="10" t="s">
        <v>47</v>
      </c>
      <c r="C28" s="160" t="s">
        <v>209</v>
      </c>
      <c r="D28" s="160"/>
      <c r="E28" s="161" t="s">
        <v>197</v>
      </c>
      <c r="F28" s="161"/>
      <c r="G28" s="102" t="s">
        <v>210</v>
      </c>
      <c r="H28" s="161" t="s">
        <v>201</v>
      </c>
      <c r="I28" s="161"/>
      <c r="J28" s="161"/>
      <c r="K28" s="107"/>
      <c r="L28" s="4"/>
      <c r="M28" s="10" t="s">
        <v>47</v>
      </c>
      <c r="N28" s="57" t="str">
        <f>CONCATENATE(C28, " ", E28," ", G28, " ", H28)</f>
        <v>The sample was slightly discoloured  with no significant sediments</v>
      </c>
      <c r="O28" s="58"/>
      <c r="P28" s="58"/>
      <c r="Q28" s="58"/>
      <c r="R28" s="58"/>
      <c r="S28" s="58"/>
      <c r="T28" s="58"/>
      <c r="U28" s="59"/>
      <c r="V28" s="5"/>
    </row>
    <row r="29" spans="1:22">
      <c r="A29" s="4"/>
      <c r="B29" s="10" t="s">
        <v>48</v>
      </c>
      <c r="C29" s="160" t="s">
        <v>209</v>
      </c>
      <c r="D29" s="160"/>
      <c r="E29" s="161" t="s">
        <v>196</v>
      </c>
      <c r="F29" s="161"/>
      <c r="G29" s="102" t="s">
        <v>210</v>
      </c>
      <c r="H29" s="161" t="s">
        <v>201</v>
      </c>
      <c r="I29" s="161"/>
      <c r="J29" s="161"/>
      <c r="K29" s="107"/>
      <c r="L29" s="4"/>
      <c r="M29" s="10" t="s">
        <v>48</v>
      </c>
      <c r="N29" s="57" t="str">
        <f>CONCATENATE(C29, " ", E29," ", G29, " ", H29)</f>
        <v>The sample was clear  with no significant sediments</v>
      </c>
      <c r="O29" s="58"/>
      <c r="P29" s="58"/>
      <c r="Q29" s="58"/>
      <c r="R29" s="58"/>
      <c r="S29" s="58"/>
      <c r="T29" s="58"/>
      <c r="U29" s="59"/>
      <c r="V29" s="5"/>
    </row>
    <row r="30" spans="1:22">
      <c r="A30" s="4"/>
      <c r="B30" s="65"/>
      <c r="C30" s="80"/>
      <c r="D30" s="80"/>
      <c r="E30" s="80"/>
      <c r="F30" s="80"/>
      <c r="G30" s="80"/>
      <c r="H30" s="80"/>
      <c r="I30" s="80"/>
      <c r="J30" s="80"/>
      <c r="K30" s="105"/>
      <c r="L30" s="4"/>
      <c r="M30" s="65"/>
      <c r="N30" s="80"/>
      <c r="O30" s="80"/>
      <c r="P30" s="80"/>
      <c r="Q30" s="80"/>
      <c r="R30" s="80"/>
      <c r="S30" s="80"/>
      <c r="T30" s="80"/>
      <c r="U30" s="80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106"/>
      <c r="L31" s="4"/>
      <c r="M31" s="61" t="s">
        <v>62</v>
      </c>
      <c r="N31" s="62" t="s">
        <v>192</v>
      </c>
      <c r="O31" s="63"/>
      <c r="P31" s="63"/>
      <c r="Q31" s="63"/>
      <c r="R31" s="63"/>
      <c r="S31" s="63"/>
      <c r="T31" s="63"/>
      <c r="U31" s="63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55" t="s">
        <v>24</v>
      </c>
      <c r="N32" s="137" t="s">
        <v>129</v>
      </c>
      <c r="O32" s="138"/>
      <c r="P32" s="138"/>
      <c r="Q32" s="138"/>
      <c r="R32" s="138"/>
      <c r="S32" s="138"/>
      <c r="T32" s="138"/>
      <c r="U32" s="138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55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190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191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146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186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R26" sqref="R26:W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2" width="3.1796875" style="1" customWidth="1"/>
    <col min="13" max="13" width="3.54296875" style="1" customWidth="1"/>
    <col min="14" max="14" width="1.08984375" style="1" customWidth="1"/>
    <col min="15" max="15" width="18.6328125" style="1" customWidth="1"/>
    <col min="16" max="16" width="10.90625" style="1" customWidth="1"/>
    <col min="17" max="23" width="10" style="1" customWidth="1"/>
    <col min="24" max="24" width="0.54296875" style="1" customWidth="1"/>
    <col min="25" max="16384" width="9.08984375" style="1"/>
  </cols>
  <sheetData>
    <row r="1" spans="1:23" ht="23">
      <c r="B1" s="2" t="s">
        <v>167</v>
      </c>
      <c r="J1" s="13" t="str">
        <f>'R-CHE'!I1</f>
        <v>Rev10</v>
      </c>
      <c r="O1" s="2" t="s">
        <v>0</v>
      </c>
      <c r="W1" s="13" t="str">
        <f>'R-CHE'!I1</f>
        <v>Rev10</v>
      </c>
    </row>
    <row r="2" spans="1:23">
      <c r="J2" s="13"/>
      <c r="W2" s="13"/>
    </row>
    <row r="3" spans="1:23">
      <c r="B3" s="83" t="s">
        <v>170</v>
      </c>
      <c r="C3" s="157"/>
      <c r="D3" s="157"/>
      <c r="E3" s="157"/>
      <c r="F3" s="157"/>
      <c r="G3" s="8"/>
      <c r="H3" s="83" t="s">
        <v>148</v>
      </c>
      <c r="I3" s="162"/>
      <c r="J3" s="162"/>
      <c r="O3" s="1" t="str">
        <f>IF(ISBLANK(C3),"DEALER NAME",C3)</f>
        <v>DEALER NAME</v>
      </c>
      <c r="S3" s="8"/>
      <c r="T3" s="8"/>
      <c r="U3" s="9" t="s">
        <v>148</v>
      </c>
      <c r="W3" s="68" t="s">
        <v>188</v>
      </c>
    </row>
    <row r="4" spans="1:23" ht="15.5">
      <c r="B4" s="83" t="s">
        <v>171</v>
      </c>
      <c r="C4" s="157"/>
      <c r="D4" s="157"/>
      <c r="E4" s="157"/>
      <c r="F4" s="157"/>
      <c r="G4" s="8"/>
      <c r="H4" s="83" t="s">
        <v>56</v>
      </c>
      <c r="I4" s="162"/>
      <c r="J4" s="162"/>
      <c r="O4" s="3" t="str">
        <f>IF(ISBLANK(C4),"REFERENCE NAME",C4)</f>
        <v>REFERENCE NAME</v>
      </c>
      <c r="S4" s="8"/>
      <c r="T4" s="8"/>
      <c r="U4" s="9" t="s">
        <v>56</v>
      </c>
      <c r="W4" s="69">
        <f ca="1">TODAY()</f>
        <v>44875</v>
      </c>
    </row>
    <row r="5" spans="1:23">
      <c r="B5" s="83" t="s">
        <v>133</v>
      </c>
      <c r="C5" s="150"/>
      <c r="D5" s="150"/>
      <c r="E5" s="150"/>
      <c r="F5" s="150"/>
      <c r="G5" s="8"/>
      <c r="H5" s="83" t="s">
        <v>169</v>
      </c>
      <c r="I5" s="162"/>
      <c r="J5" s="162"/>
      <c r="O5" s="9" t="s">
        <v>133</v>
      </c>
      <c r="P5" s="76" t="str">
        <f>IF(ISBLANK(F5),"TBC",F5)</f>
        <v>TBC</v>
      </c>
      <c r="S5" s="8"/>
      <c r="T5" s="8"/>
      <c r="U5" s="9" t="s">
        <v>57</v>
      </c>
      <c r="W5" s="69">
        <f ca="1">TODAY()</f>
        <v>44875</v>
      </c>
    </row>
    <row r="6" spans="1:23">
      <c r="A6" s="75"/>
      <c r="B6" s="72"/>
      <c r="C6" s="72"/>
      <c r="D6" s="74"/>
      <c r="E6" s="73"/>
      <c r="F6" s="73"/>
      <c r="G6" s="73"/>
      <c r="H6" s="73"/>
      <c r="I6" s="73"/>
      <c r="J6" s="73"/>
      <c r="N6" s="75"/>
      <c r="O6" s="72"/>
      <c r="P6" s="72"/>
      <c r="Q6" s="74"/>
      <c r="R6" s="73"/>
      <c r="S6" s="73"/>
      <c r="T6" s="73"/>
      <c r="U6" s="73"/>
      <c r="V6" s="73"/>
      <c r="W6" s="73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73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K8" s="5"/>
      <c r="N8" s="4"/>
      <c r="O8" s="70" t="s">
        <v>1</v>
      </c>
      <c r="P8" s="71" t="s">
        <v>2</v>
      </c>
      <c r="Q8" s="71" t="s">
        <v>62</v>
      </c>
      <c r="R8" s="71" t="s">
        <v>131</v>
      </c>
      <c r="S8" s="71" t="s">
        <v>132</v>
      </c>
      <c r="T8" s="71" t="s">
        <v>22</v>
      </c>
      <c r="U8" s="71" t="s">
        <v>28</v>
      </c>
      <c r="V8" s="71" t="s">
        <v>156</v>
      </c>
      <c r="W8" s="71" t="s">
        <v>157</v>
      </c>
    </row>
    <row r="9" spans="1:23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3</v>
      </c>
      <c r="P9" s="11" t="s">
        <v>23</v>
      </c>
      <c r="Q9" s="11" t="s">
        <v>64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5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K10" s="5"/>
      <c r="N10" s="4"/>
      <c r="O10" s="10" t="s">
        <v>5</v>
      </c>
      <c r="P10" s="10" t="s">
        <v>52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5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K11" s="5"/>
      <c r="N11" s="4"/>
      <c r="O11" s="10" t="s">
        <v>6</v>
      </c>
      <c r="P11" s="10" t="s">
        <v>52</v>
      </c>
      <c r="Q11" s="11" t="s">
        <v>65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5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K12" s="5"/>
      <c r="N12" s="4"/>
      <c r="O12" s="10" t="s">
        <v>7</v>
      </c>
      <c r="P12" s="10" t="s">
        <v>52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5">
      <c r="A13" s="4"/>
      <c r="B13" s="10" t="s">
        <v>8</v>
      </c>
      <c r="C13" s="10" t="s">
        <v>52</v>
      </c>
      <c r="D13" s="96">
        <f>D11-D12</f>
        <v>0</v>
      </c>
      <c r="E13" s="96">
        <f t="shared" ref="E13:I13" si="2">E11-E12</f>
        <v>0</v>
      </c>
      <c r="F13" s="96">
        <f t="shared" si="2"/>
        <v>0</v>
      </c>
      <c r="G13" s="96">
        <f t="shared" si="2"/>
        <v>0</v>
      </c>
      <c r="H13" s="96">
        <f t="shared" si="2"/>
        <v>0</v>
      </c>
      <c r="I13" s="96">
        <f t="shared" si="2"/>
        <v>0</v>
      </c>
      <c r="K13" s="5"/>
      <c r="N13" s="4"/>
      <c r="O13" s="10" t="s">
        <v>8</v>
      </c>
      <c r="P13" s="10" t="s">
        <v>52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5">
      <c r="A14" s="4"/>
      <c r="B14" s="10" t="s">
        <v>14</v>
      </c>
      <c r="C14" s="10" t="s">
        <v>53</v>
      </c>
      <c r="D14" s="96">
        <f>2*(IF(D9&lt;5,5,D9)-(5*10^(D8-10)))/(1+(0.94*10^(D8-10)))*10^(6-D8)</f>
        <v>9999999.9980600011</v>
      </c>
      <c r="E14" s="96">
        <f t="shared" ref="E14:I14" si="3">2*(IF(E9&lt;5,5,E9)-(5*10^(E8-10)))/(1+(0.94*10^(E8-10)))*10^(6-E8)</f>
        <v>9999999.9980600011</v>
      </c>
      <c r="F14" s="96">
        <f t="shared" si="3"/>
        <v>9999999.9980600011</v>
      </c>
      <c r="G14" s="96">
        <f t="shared" si="3"/>
        <v>9999999.9980600011</v>
      </c>
      <c r="H14" s="96">
        <f t="shared" si="3"/>
        <v>9999999.9980600011</v>
      </c>
      <c r="I14" s="96">
        <f t="shared" si="3"/>
        <v>9999999.9980600011</v>
      </c>
      <c r="K14" s="5"/>
      <c r="N14" s="4"/>
      <c r="O14" s="10" t="s">
        <v>14</v>
      </c>
      <c r="P14" s="10" t="s">
        <v>53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17</v>
      </c>
      <c r="C15" s="11" t="s">
        <v>23</v>
      </c>
      <c r="D15" s="97">
        <f>+D8+0.5+VLOOKUP(IF(D9&lt;5,5,D9),LSI!$F$2:$G$25,2)+VLOOKUP(IF(D10&lt;5,5,D10),LSI!$H$2:$I$25,2)-12.1</f>
        <v>-10.6</v>
      </c>
      <c r="E15" s="97">
        <f>+E8+0.5+VLOOKUP(IF(E9&lt;5,5,E9),LSI!$F$2:$G$25,2)+VLOOKUP(IF(E10&lt;5,5,E10),LSI!$H$2:$I$25,2)-12.1</f>
        <v>-10.6</v>
      </c>
      <c r="F15" s="97">
        <f>+F8+0.5+VLOOKUP(IF(F9&lt;5,5,F9),LSI!$F$2:$G$25,2)+VLOOKUP(IF(F10&lt;5,5,F10),LSI!$H$2:$I$25,2)-12.1</f>
        <v>-10.6</v>
      </c>
      <c r="G15" s="97">
        <f>+G8+0.5+VLOOKUP(IF(G9&lt;5,5,G9),LSI!$F$2:$G$25,2)+VLOOKUP(IF(G10&lt;5,5,G10),LSI!$H$2:$I$25,2)-12.1</f>
        <v>-10.6</v>
      </c>
      <c r="H15" s="97">
        <f>+H8+0.5+VLOOKUP(IF(H9&lt;5,5,H9),LSI!$F$2:$G$25,2)+VLOOKUP(IF(H10&lt;5,5,H10),LSI!$H$2:$I$25,2)-12.1</f>
        <v>-10.6</v>
      </c>
      <c r="I15" s="97">
        <f>+I8+0.5+VLOOKUP(IF(I9&lt;5,5,I9),LSI!$F$2:$G$25,2)+VLOOKUP(IF(I10&lt;5,5,I10),LSI!$H$2:$I$25,2)-12.1</f>
        <v>-10.6</v>
      </c>
      <c r="K15" s="5"/>
      <c r="N15" s="4"/>
      <c r="O15" s="10" t="s">
        <v>17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5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K16" s="5"/>
      <c r="N16" s="4"/>
      <c r="O16" s="10" t="s">
        <v>9</v>
      </c>
      <c r="P16" s="10" t="s">
        <v>54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5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K17" s="5"/>
      <c r="N17" s="4"/>
      <c r="O17" s="10" t="s">
        <v>108</v>
      </c>
      <c r="P17" s="10" t="s">
        <v>109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K18" s="5"/>
      <c r="N18" s="4"/>
      <c r="O18" s="10" t="s">
        <v>10</v>
      </c>
      <c r="P18" s="10" t="s">
        <v>24</v>
      </c>
      <c r="Q18" s="11" t="s">
        <v>66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K19" s="5"/>
      <c r="N19" s="4"/>
      <c r="O19" s="10" t="s">
        <v>11</v>
      </c>
      <c r="P19" s="10" t="s">
        <v>24</v>
      </c>
      <c r="Q19" s="11" t="s">
        <v>67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K20" s="5"/>
      <c r="N20" s="4"/>
      <c r="O20" s="10" t="s">
        <v>12</v>
      </c>
      <c r="P20" s="10" t="s">
        <v>24</v>
      </c>
      <c r="Q20" s="11" t="s">
        <v>42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K21" s="5"/>
      <c r="N21" s="4"/>
      <c r="O21" s="10" t="s">
        <v>13</v>
      </c>
      <c r="P21" s="10" t="s">
        <v>24</v>
      </c>
      <c r="Q21" s="11" t="s">
        <v>39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K22" s="5"/>
      <c r="N22" s="4"/>
      <c r="O22" s="10" t="s">
        <v>4</v>
      </c>
      <c r="P22" s="10" t="s">
        <v>24</v>
      </c>
      <c r="Q22" s="11" t="s">
        <v>69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K23" s="5"/>
      <c r="N23" s="4"/>
      <c r="O23" s="10" t="s">
        <v>15</v>
      </c>
      <c r="P23" s="10" t="s">
        <v>24</v>
      </c>
      <c r="Q23" s="11" t="s">
        <v>70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K24" s="5"/>
      <c r="N24" s="4"/>
      <c r="O24" s="10" t="s">
        <v>16</v>
      </c>
      <c r="P24" s="10" t="s">
        <v>24</v>
      </c>
      <c r="Q24" s="11" t="s">
        <v>65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K25" s="5"/>
      <c r="N25" s="4"/>
      <c r="O25" s="10" t="s">
        <v>178</v>
      </c>
      <c r="P25" s="10" t="s">
        <v>179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K26" s="5"/>
      <c r="N26" s="4"/>
      <c r="O26" s="10" t="s">
        <v>178</v>
      </c>
      <c r="P26" s="10" t="s">
        <v>180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K27" s="5"/>
      <c r="N27" s="4"/>
      <c r="O27" s="10" t="s">
        <v>18</v>
      </c>
      <c r="P27" s="10" t="s">
        <v>25</v>
      </c>
      <c r="Q27" s="11" t="s">
        <v>71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K28" s="5"/>
      <c r="N28" s="4"/>
      <c r="O28" s="10" t="s">
        <v>159</v>
      </c>
      <c r="P28" s="10" t="s">
        <v>160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K29" s="5"/>
      <c r="N29" s="4"/>
      <c r="O29" s="128" t="s">
        <v>19</v>
      </c>
      <c r="P29" s="128" t="s">
        <v>55</v>
      </c>
      <c r="Q29" s="129" t="s">
        <v>23</v>
      </c>
      <c r="R29" s="130" t="str">
        <f>IF(D29&lt;5,"&lt;5",D29)</f>
        <v>&lt;5</v>
      </c>
      <c r="S29" s="130" t="str">
        <f t="shared" si="14"/>
        <v>&lt;5</v>
      </c>
      <c r="T29" s="130" t="str">
        <f t="shared" si="14"/>
        <v>&lt;5</v>
      </c>
      <c r="U29" s="130" t="str">
        <f t="shared" si="14"/>
        <v>&lt;5</v>
      </c>
      <c r="V29" s="130" t="str">
        <f t="shared" si="14"/>
        <v>&lt;5</v>
      </c>
      <c r="W29" s="130" t="str">
        <f t="shared" si="14"/>
        <v>&lt;5</v>
      </c>
    </row>
    <row r="30" spans="1:23" ht="14.5" thickTop="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127" t="s">
        <v>30</v>
      </c>
      <c r="P30" s="127" t="s">
        <v>29</v>
      </c>
      <c r="Q30" s="127" t="str">
        <f>IF(ISBLANK(D30)," ",D30)</f>
        <v>-</v>
      </c>
      <c r="R30" s="127" t="str">
        <f t="shared" ref="R30:W33" si="15">IF(ISBLANK(E30)," ",E30)</f>
        <v>-</v>
      </c>
      <c r="S30" s="127" t="str">
        <f t="shared" si="15"/>
        <v>-</v>
      </c>
      <c r="T30" s="127" t="str">
        <f t="shared" si="15"/>
        <v>-</v>
      </c>
      <c r="U30" s="127" t="str">
        <f t="shared" si="15"/>
        <v>-</v>
      </c>
      <c r="V30" s="127" t="str">
        <f t="shared" si="15"/>
        <v>-</v>
      </c>
      <c r="W30" s="127" t="str">
        <f t="shared" si="15"/>
        <v xml:space="preserve"> </v>
      </c>
    </row>
    <row r="31" spans="1:23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31</v>
      </c>
      <c r="P31" s="10" t="s">
        <v>29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32</v>
      </c>
      <c r="C32" s="10" t="s">
        <v>34</v>
      </c>
      <c r="D32" s="11"/>
      <c r="E32" s="11"/>
      <c r="F32" s="11"/>
      <c r="G32" s="11"/>
      <c r="H32" s="11"/>
      <c r="I32" s="11"/>
      <c r="K32" s="5"/>
      <c r="N32" s="4"/>
      <c r="O32" s="10" t="s">
        <v>32</v>
      </c>
      <c r="P32" s="10" t="s">
        <v>34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33</v>
      </c>
      <c r="C33" s="10" t="s">
        <v>34</v>
      </c>
      <c r="D33" s="11"/>
      <c r="E33" s="11"/>
      <c r="F33" s="11"/>
      <c r="G33" s="11"/>
      <c r="H33" s="11"/>
      <c r="I33" s="11"/>
      <c r="K33" s="5"/>
      <c r="N33" s="4"/>
      <c r="O33" s="10" t="s">
        <v>33</v>
      </c>
      <c r="P33" s="10" t="s">
        <v>34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65"/>
      <c r="C34" s="65"/>
      <c r="D34" s="67"/>
      <c r="E34" s="67"/>
      <c r="F34" s="67"/>
      <c r="G34" s="67"/>
      <c r="H34" s="67"/>
      <c r="I34" s="67"/>
      <c r="K34" s="5"/>
      <c r="N34" s="4"/>
      <c r="O34" s="65"/>
      <c r="P34" s="65"/>
      <c r="Q34" s="67"/>
      <c r="R34" s="67"/>
      <c r="S34" s="67"/>
      <c r="T34" s="67"/>
      <c r="U34" s="67"/>
      <c r="V34" s="67"/>
      <c r="W34" s="67"/>
      <c r="X34" s="5"/>
    </row>
    <row r="35" spans="1:24">
      <c r="A35" s="4"/>
      <c r="B35" s="7" t="s">
        <v>44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44</v>
      </c>
      <c r="P35" s="9" t="s">
        <v>60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45</v>
      </c>
      <c r="C36" s="139" t="s">
        <v>209</v>
      </c>
      <c r="D36" s="140"/>
      <c r="E36" s="145" t="s">
        <v>197</v>
      </c>
      <c r="F36" s="145"/>
      <c r="G36" s="58" t="s">
        <v>210</v>
      </c>
      <c r="H36" s="145" t="s">
        <v>201</v>
      </c>
      <c r="I36" s="146"/>
      <c r="K36" s="5"/>
      <c r="N36" s="4"/>
      <c r="O36" s="10" t="s">
        <v>45</v>
      </c>
      <c r="P36" s="57" t="str">
        <f>CONCATENATE(C36, " ", E36," ", G36, " ", H36)</f>
        <v>The sample was slightly discoloured  with no significant sediments</v>
      </c>
      <c r="Q36" s="58"/>
      <c r="R36" s="58"/>
      <c r="S36" s="58"/>
      <c r="T36" s="58"/>
      <c r="U36" s="58"/>
      <c r="V36" s="58"/>
      <c r="W36" s="59"/>
      <c r="X36" s="5"/>
    </row>
    <row r="37" spans="1:24">
      <c r="A37" s="4"/>
      <c r="B37" s="10" t="s">
        <v>46</v>
      </c>
      <c r="C37" s="139" t="s">
        <v>209</v>
      </c>
      <c r="D37" s="140"/>
      <c r="E37" s="145" t="s">
        <v>197</v>
      </c>
      <c r="F37" s="145"/>
      <c r="G37" s="58" t="s">
        <v>210</v>
      </c>
      <c r="H37" s="145" t="s">
        <v>201</v>
      </c>
      <c r="I37" s="146"/>
      <c r="K37" s="5"/>
      <c r="N37" s="4"/>
      <c r="O37" s="10" t="s">
        <v>46</v>
      </c>
      <c r="P37" s="57" t="str">
        <f t="shared" ref="P37:P41" si="17">CONCATENATE(C37, " ", E37," ", G37, " ", H37)</f>
        <v>The sample was slightly discoloured  with no significant sediments</v>
      </c>
      <c r="Q37" s="60"/>
      <c r="R37" s="58"/>
      <c r="S37" s="58"/>
      <c r="T37" s="58"/>
      <c r="U37" s="58"/>
      <c r="V37" s="58"/>
      <c r="W37" s="59"/>
      <c r="X37" s="5"/>
    </row>
    <row r="38" spans="1:24">
      <c r="A38" s="4"/>
      <c r="B38" s="10" t="s">
        <v>47</v>
      </c>
      <c r="C38" s="139" t="s">
        <v>209</v>
      </c>
      <c r="D38" s="140"/>
      <c r="E38" s="145" t="s">
        <v>197</v>
      </c>
      <c r="F38" s="145"/>
      <c r="G38" s="58" t="s">
        <v>210</v>
      </c>
      <c r="H38" s="145" t="s">
        <v>201</v>
      </c>
      <c r="I38" s="146"/>
      <c r="K38" s="5"/>
      <c r="N38" s="4"/>
      <c r="O38" s="10" t="s">
        <v>47</v>
      </c>
      <c r="P38" s="57" t="str">
        <f t="shared" si="17"/>
        <v>The sample was slightly discoloured  with no significant sediments</v>
      </c>
      <c r="Q38" s="58"/>
      <c r="R38" s="58"/>
      <c r="S38" s="58"/>
      <c r="T38" s="58"/>
      <c r="U38" s="58"/>
      <c r="V38" s="58"/>
      <c r="W38" s="59"/>
      <c r="X38" s="5"/>
    </row>
    <row r="39" spans="1:24">
      <c r="A39" s="4"/>
      <c r="B39" s="10" t="s">
        <v>48</v>
      </c>
      <c r="C39" s="139" t="s">
        <v>209</v>
      </c>
      <c r="D39" s="140"/>
      <c r="E39" s="145" t="s">
        <v>197</v>
      </c>
      <c r="F39" s="145"/>
      <c r="G39" s="58" t="s">
        <v>210</v>
      </c>
      <c r="H39" s="145" t="s">
        <v>201</v>
      </c>
      <c r="I39" s="146"/>
      <c r="K39" s="5"/>
      <c r="N39" s="4"/>
      <c r="O39" s="10" t="s">
        <v>48</v>
      </c>
      <c r="P39" s="57" t="str">
        <f t="shared" si="17"/>
        <v>The sample was slightly discoloured  with no significant sediments</v>
      </c>
      <c r="Q39" s="58"/>
      <c r="R39" s="58"/>
      <c r="S39" s="58"/>
      <c r="T39" s="58"/>
      <c r="U39" s="58"/>
      <c r="V39" s="58"/>
      <c r="W39" s="59"/>
      <c r="X39" s="5"/>
    </row>
    <row r="40" spans="1:24">
      <c r="A40" s="4"/>
      <c r="B40" s="10" t="s">
        <v>49</v>
      </c>
      <c r="C40" s="139" t="s">
        <v>209</v>
      </c>
      <c r="D40" s="140"/>
      <c r="E40" s="145" t="s">
        <v>197</v>
      </c>
      <c r="F40" s="145"/>
      <c r="G40" s="58" t="s">
        <v>210</v>
      </c>
      <c r="H40" s="145" t="s">
        <v>201</v>
      </c>
      <c r="I40" s="146"/>
      <c r="K40" s="5"/>
      <c r="N40" s="4"/>
      <c r="O40" s="10" t="s">
        <v>49</v>
      </c>
      <c r="P40" s="57" t="str">
        <f t="shared" si="17"/>
        <v>The sample was slightly discoloured  with no significant sediments</v>
      </c>
      <c r="Q40" s="58"/>
      <c r="R40" s="58"/>
      <c r="S40" s="58"/>
      <c r="T40" s="58"/>
      <c r="U40" s="58"/>
      <c r="V40" s="58"/>
      <c r="W40" s="59"/>
      <c r="X40" s="5"/>
    </row>
    <row r="41" spans="1:24">
      <c r="A41" s="4"/>
      <c r="B41" s="10" t="s">
        <v>50</v>
      </c>
      <c r="C41" s="139" t="s">
        <v>209</v>
      </c>
      <c r="D41" s="140"/>
      <c r="E41" s="145" t="s">
        <v>197</v>
      </c>
      <c r="F41" s="145"/>
      <c r="G41" s="58" t="s">
        <v>210</v>
      </c>
      <c r="H41" s="145" t="s">
        <v>201</v>
      </c>
      <c r="I41" s="146"/>
      <c r="K41" s="5"/>
      <c r="N41" s="4"/>
      <c r="O41" s="10" t="s">
        <v>50</v>
      </c>
      <c r="P41" s="57" t="str">
        <f t="shared" si="17"/>
        <v>The sample was slightly discoloured  with no significant sediments</v>
      </c>
      <c r="Q41" s="58"/>
      <c r="R41" s="58"/>
      <c r="S41" s="58"/>
      <c r="T41" s="58"/>
      <c r="U41" s="58"/>
      <c r="V41" s="58"/>
      <c r="W41" s="59"/>
      <c r="X41" s="5"/>
    </row>
    <row r="42" spans="1:24">
      <c r="A42" s="4"/>
      <c r="B42" s="65"/>
      <c r="C42" s="80"/>
      <c r="D42" s="80"/>
      <c r="E42" s="80"/>
      <c r="F42" s="80"/>
      <c r="G42" s="80"/>
      <c r="H42" s="80"/>
      <c r="I42" s="80"/>
      <c r="K42" s="5"/>
      <c r="N42" s="4"/>
      <c r="O42" s="55"/>
      <c r="P42" s="80"/>
      <c r="Q42" s="80"/>
      <c r="R42" s="80"/>
      <c r="S42" s="80"/>
      <c r="T42" s="80"/>
      <c r="U42" s="80"/>
      <c r="V42" s="80"/>
      <c r="W42" s="80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61" t="s">
        <v>62</v>
      </c>
      <c r="P43" s="62" t="s">
        <v>192</v>
      </c>
      <c r="Q43" s="63"/>
      <c r="R43" s="63"/>
      <c r="S43" s="63"/>
      <c r="T43" s="63"/>
      <c r="U43" s="63"/>
      <c r="V43" s="63"/>
      <c r="W43" s="63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5" t="s">
        <v>24</v>
      </c>
      <c r="P44" s="137" t="s">
        <v>129</v>
      </c>
      <c r="Q44" s="138"/>
      <c r="R44" s="138"/>
      <c r="S44" s="138"/>
      <c r="T44" s="138"/>
      <c r="U44" s="138"/>
      <c r="V44" s="138"/>
      <c r="W44" s="138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190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191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146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186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44875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2" t="s">
        <v>44</v>
      </c>
      <c r="H7" s="143"/>
      <c r="I7" s="143"/>
      <c r="J7" s="14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39"/>
      <c r="I8" s="140"/>
      <c r="J8" s="14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39"/>
      <c r="I9" s="140"/>
      <c r="J9" s="141"/>
      <c r="K9" s="5"/>
    </row>
    <row r="10" spans="1:11">
      <c r="A10" s="4"/>
      <c r="B10" s="65"/>
      <c r="C10" s="65"/>
      <c r="D10" s="67"/>
      <c r="E10" s="67"/>
      <c r="F10" s="67"/>
      <c r="G10" s="67"/>
      <c r="H10" s="79"/>
      <c r="I10" s="79"/>
      <c r="J10" s="79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77" t="s">
        <v>187</v>
      </c>
      <c r="K14" s="5"/>
    </row>
    <row r="15" spans="1:11">
      <c r="A15" s="4"/>
      <c r="B15" s="77" t="s">
        <v>177</v>
      </c>
      <c r="K15" s="5"/>
    </row>
    <row r="16" spans="1:11">
      <c r="A16" s="4"/>
      <c r="B16" s="77"/>
      <c r="C16" s="77"/>
      <c r="K16" s="5"/>
    </row>
    <row r="17" spans="1:11">
      <c r="A17" s="4"/>
      <c r="B17" s="61" t="s">
        <v>62</v>
      </c>
      <c r="C17" s="62" t="s">
        <v>192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138" t="s">
        <v>193</v>
      </c>
      <c r="D18" s="138"/>
      <c r="E18" s="138"/>
      <c r="F18" s="138"/>
      <c r="G18" s="138"/>
      <c r="H18" s="138"/>
      <c r="I18" s="138"/>
      <c r="J18" s="138"/>
      <c r="K18" s="5"/>
    </row>
    <row r="19" spans="1:11">
      <c r="A19" s="4"/>
      <c r="B19" s="55"/>
      <c r="C19" s="137"/>
      <c r="D19" s="138"/>
      <c r="E19" s="138"/>
      <c r="F19" s="138"/>
      <c r="G19" s="138"/>
      <c r="H19" s="138"/>
      <c r="I19" s="138"/>
      <c r="J19" s="13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190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146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186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44875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2" t="s">
        <v>44</v>
      </c>
      <c r="H7" s="143"/>
      <c r="I7" s="143"/>
      <c r="J7" s="144"/>
      <c r="K7" s="5"/>
    </row>
    <row r="8" spans="1:11">
      <c r="A8" s="4"/>
      <c r="B8" s="10" t="s">
        <v>32</v>
      </c>
      <c r="C8" s="10" t="s">
        <v>34</v>
      </c>
      <c r="D8" s="11" t="s">
        <v>43</v>
      </c>
      <c r="E8" s="11" t="s">
        <v>23</v>
      </c>
      <c r="F8" s="11" t="s">
        <v>23</v>
      </c>
      <c r="G8" s="11" t="str">
        <f>VLOOKUP(D8,Lookup!C115:D118,2)</f>
        <v>Ideal</v>
      </c>
      <c r="H8" s="139"/>
      <c r="I8" s="140"/>
      <c r="J8" s="141"/>
      <c r="K8" s="5"/>
    </row>
    <row r="9" spans="1:11">
      <c r="A9" s="4"/>
      <c r="B9" s="10" t="s">
        <v>33</v>
      </c>
      <c r="C9" s="10" t="s">
        <v>34</v>
      </c>
      <c r="D9" s="11" t="s">
        <v>43</v>
      </c>
      <c r="E9" s="11" t="s">
        <v>23</v>
      </c>
      <c r="F9" s="11" t="s">
        <v>43</v>
      </c>
      <c r="G9" s="11" t="str">
        <f>VLOOKUP(D9,Lookup!C119:D122,2)</f>
        <v>Ideal</v>
      </c>
      <c r="H9" s="139"/>
      <c r="I9" s="140"/>
      <c r="J9" s="141"/>
      <c r="K9" s="5"/>
    </row>
    <row r="10" spans="1:11">
      <c r="A10" s="4"/>
      <c r="B10" s="65"/>
      <c r="C10" s="65"/>
      <c r="D10" s="67"/>
      <c r="E10" s="67"/>
      <c r="F10" s="67"/>
      <c r="G10" s="67"/>
      <c r="H10" s="98"/>
      <c r="I10" s="98"/>
      <c r="J10" s="98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98" t="s">
        <v>189</v>
      </c>
      <c r="K14" s="5"/>
    </row>
    <row r="15" spans="1:11">
      <c r="A15" s="4"/>
      <c r="B15" s="98" t="s">
        <v>187</v>
      </c>
      <c r="K15" s="5"/>
    </row>
    <row r="16" spans="1:11">
      <c r="A16" s="4"/>
      <c r="B16" s="98" t="s">
        <v>177</v>
      </c>
      <c r="K16" s="5"/>
    </row>
    <row r="17" spans="1:11">
      <c r="A17" s="4"/>
      <c r="B17" s="98"/>
      <c r="C17" s="98"/>
      <c r="K17" s="5"/>
    </row>
    <row r="18" spans="1:11">
      <c r="A18" s="4"/>
      <c r="B18" s="61" t="s">
        <v>62</v>
      </c>
      <c r="C18" s="62" t="s">
        <v>192</v>
      </c>
      <c r="D18" s="63"/>
      <c r="E18" s="63"/>
      <c r="F18" s="63"/>
      <c r="G18" s="63"/>
      <c r="H18" s="63"/>
      <c r="I18" s="63"/>
      <c r="J18" s="63"/>
      <c r="K18" s="5"/>
    </row>
    <row r="19" spans="1:11">
      <c r="A19" s="4"/>
      <c r="B19" s="55" t="s">
        <v>63</v>
      </c>
      <c r="C19" s="138" t="s">
        <v>193</v>
      </c>
      <c r="D19" s="138"/>
      <c r="E19" s="138"/>
      <c r="F19" s="138"/>
      <c r="G19" s="138"/>
      <c r="H19" s="138"/>
      <c r="I19" s="138"/>
      <c r="J19" s="138"/>
      <c r="K19" s="5"/>
    </row>
    <row r="20" spans="1:11">
      <c r="A20" s="4"/>
      <c r="B20" s="55"/>
      <c r="C20" s="137"/>
      <c r="D20" s="138"/>
      <c r="E20" s="138"/>
      <c r="F20" s="138"/>
      <c r="G20" s="138"/>
      <c r="H20" s="138"/>
      <c r="I20" s="138"/>
      <c r="J20" s="13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190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191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146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186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G3" sqref="G3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218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20170714C+E01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44875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44875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57</v>
      </c>
      <c r="I5" s="110">
        <f ca="1">TODAY()</f>
        <v>44875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44875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2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2"/>
        <v xml:space="preserve"> </v>
      </c>
      <c r="I19" s="156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2"/>
        <v xml:space="preserve"> </v>
      </c>
      <c r="I20" s="156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5" thickTop="1">
      <c r="A29" s="4"/>
      <c r="B29" s="10" t="s">
        <v>30</v>
      </c>
      <c r="C29" s="10" t="s">
        <v>29</v>
      </c>
      <c r="D29" s="11" t="s">
        <v>23</v>
      </c>
      <c r="E29" s="15"/>
      <c r="F29" s="11" t="s">
        <v>23</v>
      </c>
      <c r="G29" s="11" t="s">
        <v>23</v>
      </c>
      <c r="H29" s="153"/>
      <c r="I29" s="154"/>
      <c r="J29" s="4"/>
      <c r="K29" s="4"/>
      <c r="L29" s="127" t="s">
        <v>30</v>
      </c>
      <c r="M29" s="127" t="s">
        <v>29</v>
      </c>
      <c r="N29" s="131" t="str">
        <f>IF(ISBLANK(D29)," ",D29)</f>
        <v>-</v>
      </c>
      <c r="O29" s="131" t="s">
        <v>23</v>
      </c>
      <c r="P29" s="131" t="s">
        <v>23</v>
      </c>
      <c r="Q29" s="11" t="e">
        <f>VLOOKUP(N29,Lookup!C111:D112,2,FALSE)</f>
        <v>#N/A</v>
      </c>
      <c r="R29" s="166"/>
      <c r="S29" s="167"/>
      <c r="T29" s="168"/>
      <c r="U29" s="5"/>
    </row>
    <row r="30" spans="1:21">
      <c r="A30" s="4"/>
      <c r="B30" s="10" t="s">
        <v>31</v>
      </c>
      <c r="C30" s="10" t="s">
        <v>29</v>
      </c>
      <c r="D30" s="11" t="s">
        <v>23</v>
      </c>
      <c r="E30" s="15"/>
      <c r="F30" s="11" t="s">
        <v>23</v>
      </c>
      <c r="G30" s="11" t="s">
        <v>23</v>
      </c>
      <c r="H30" s="153"/>
      <c r="I30" s="154"/>
      <c r="J30" s="4"/>
      <c r="K30" s="4"/>
      <c r="L30" s="10" t="s">
        <v>31</v>
      </c>
      <c r="M30" s="10" t="s">
        <v>29</v>
      </c>
      <c r="N30" s="11" t="str">
        <f>IF(ISBLANK(D30)," ",D30)</f>
        <v>-</v>
      </c>
      <c r="O30" s="11" t="s">
        <v>23</v>
      </c>
      <c r="P30" s="11" t="s">
        <v>39</v>
      </c>
      <c r="Q30" s="11" t="e">
        <f>VLOOKUP(N30,Lookup!C113:D114,2,FALSE)</f>
        <v>#N/A</v>
      </c>
      <c r="R30" s="139"/>
      <c r="S30" s="140"/>
      <c r="T30" s="14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39" t="s">
        <v>209</v>
      </c>
      <c r="D32" s="140"/>
      <c r="E32" s="145" t="s">
        <v>197</v>
      </c>
      <c r="F32" s="145"/>
      <c r="G32" s="58" t="s">
        <v>210</v>
      </c>
      <c r="H32" s="145" t="s">
        <v>201</v>
      </c>
      <c r="I32" s="146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8" t="s">
        <v>193</v>
      </c>
      <c r="N42" s="138"/>
      <c r="O42" s="138"/>
      <c r="P42" s="138"/>
      <c r="Q42" s="138"/>
      <c r="R42" s="138"/>
      <c r="S42" s="138"/>
      <c r="T42" s="138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7" t="s">
        <v>129</v>
      </c>
      <c r="N43" s="138"/>
      <c r="O43" s="138"/>
      <c r="P43" s="138"/>
      <c r="Q43" s="138"/>
      <c r="R43" s="138"/>
      <c r="S43" s="138"/>
      <c r="T43" s="13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1" zoomScaleNormal="110" zoomScaleSheetLayoutView="115" workbookViewId="0">
      <selection activeCell="H20" sqref="H20:I20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220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20170714C+M01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44875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44875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57</v>
      </c>
      <c r="I5" s="110">
        <f ca="1">TODAY()</f>
        <v>44875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44875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2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2"/>
        <v xml:space="preserve"> </v>
      </c>
      <c r="I19" s="156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2"/>
        <v xml:space="preserve"> </v>
      </c>
      <c r="I20" s="156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5" thickTop="1">
      <c r="A29" s="4"/>
      <c r="B29" s="10" t="s">
        <v>32</v>
      </c>
      <c r="C29" s="10" t="s">
        <v>34</v>
      </c>
      <c r="D29" s="11" t="s">
        <v>43</v>
      </c>
      <c r="E29" s="15"/>
      <c r="F29" s="11" t="s">
        <v>23</v>
      </c>
      <c r="G29" s="11" t="s">
        <v>23</v>
      </c>
      <c r="H29" s="153"/>
      <c r="I29" s="154"/>
      <c r="J29" s="4"/>
      <c r="K29" s="4"/>
      <c r="L29" s="10" t="s">
        <v>32</v>
      </c>
      <c r="M29" s="10" t="s">
        <v>34</v>
      </c>
      <c r="N29" s="131" t="str">
        <f>D29</f>
        <v>&lt;1.1</v>
      </c>
      <c r="O29" s="131" t="s">
        <v>23</v>
      </c>
      <c r="P29" s="131" t="s">
        <v>23</v>
      </c>
      <c r="Q29" s="11" t="str">
        <f>VLOOKUP(N29,Lookup!C115:D118,2)</f>
        <v>Ideal</v>
      </c>
      <c r="R29" s="166"/>
      <c r="S29" s="167"/>
      <c r="T29" s="168"/>
      <c r="U29" s="5"/>
    </row>
    <row r="30" spans="1:21">
      <c r="A30" s="4"/>
      <c r="B30" s="10" t="s">
        <v>33</v>
      </c>
      <c r="C30" s="10" t="s">
        <v>34</v>
      </c>
      <c r="D30" s="11" t="s">
        <v>43</v>
      </c>
      <c r="E30" s="15"/>
      <c r="F30" s="11" t="s">
        <v>23</v>
      </c>
      <c r="G30" s="11" t="s">
        <v>23</v>
      </c>
      <c r="H30" s="153"/>
      <c r="I30" s="154"/>
      <c r="J30" s="4"/>
      <c r="K30" s="4"/>
      <c r="L30" s="10" t="s">
        <v>33</v>
      </c>
      <c r="M30" s="10" t="s">
        <v>34</v>
      </c>
      <c r="N30" s="11" t="str">
        <f>D30</f>
        <v>&lt;1.1</v>
      </c>
      <c r="O30" s="11" t="s">
        <v>23</v>
      </c>
      <c r="P30" s="11" t="s">
        <v>39</v>
      </c>
      <c r="Q30" s="11" t="str">
        <f>VLOOKUP(N30,Lookup!C119:D122,2)</f>
        <v>Ideal</v>
      </c>
      <c r="R30" s="139"/>
      <c r="S30" s="140"/>
      <c r="T30" s="14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39" t="s">
        <v>209</v>
      </c>
      <c r="D32" s="140"/>
      <c r="E32" s="145" t="s">
        <v>197</v>
      </c>
      <c r="F32" s="145"/>
      <c r="G32" s="58" t="s">
        <v>210</v>
      </c>
      <c r="H32" s="145" t="s">
        <v>201</v>
      </c>
      <c r="I32" s="146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8" t="s">
        <v>193</v>
      </c>
      <c r="N42" s="138"/>
      <c r="O42" s="138"/>
      <c r="P42" s="138"/>
      <c r="Q42" s="138"/>
      <c r="R42" s="138"/>
      <c r="S42" s="138"/>
      <c r="T42" s="138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7" t="s">
        <v>129</v>
      </c>
      <c r="N43" s="138"/>
      <c r="O43" s="138"/>
      <c r="P43" s="138"/>
      <c r="Q43" s="138"/>
      <c r="R43" s="138"/>
      <c r="S43" s="138"/>
      <c r="T43" s="13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108</v>
      </c>
      <c r="C15" s="10" t="s">
        <v>109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178</v>
      </c>
      <c r="C23" s="86" t="s">
        <v>182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159</v>
      </c>
      <c r="C25" s="10" t="s">
        <v>160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5"/>
      <c r="C27" s="65"/>
      <c r="D27" s="67"/>
      <c r="E27" s="67"/>
      <c r="F27" s="67"/>
      <c r="G27" s="67"/>
      <c r="H27" s="67"/>
      <c r="I27" s="67"/>
      <c r="J27" s="67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176</v>
      </c>
      <c r="D29" s="60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176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176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176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176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176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176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5"/>
      <c r="C36" s="80"/>
      <c r="D36" s="80"/>
      <c r="E36" s="80"/>
      <c r="F36" s="80"/>
      <c r="G36" s="80"/>
      <c r="H36" s="80"/>
      <c r="I36" s="80"/>
      <c r="J36" s="80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1D87FD-0FFC-4E9B-988B-112DE5F198EB}"/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Laboratory NZ</cp:lastModifiedBy>
  <cp:lastPrinted>2022-10-11T04:35:48Z</cp:lastPrinted>
  <dcterms:created xsi:type="dcterms:W3CDTF">2017-07-10T05:27:40Z</dcterms:created>
  <dcterms:modified xsi:type="dcterms:W3CDTF">2022-11-10T01:59:07Z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