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A Credits - October\AA Territory Activity\AA - Team File\Analysis\2022\12 December\"/>
    </mc:Choice>
  </mc:AlternateContent>
  <xr:revisionPtr revIDLastSave="0" documentId="13_ncr:1_{58FC4735-1A4C-420E-AB94-6FA2D2CAB6F5}" xr6:coauthVersionLast="47" xr6:coauthVersionMax="47" xr10:uidLastSave="{00000000-0000-0000-0000-000000000000}"/>
  <bookViews>
    <workbookView xWindow="32880" yWindow="-12390" windowWidth="21120" windowHeight="15375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E19" i="9"/>
  <c r="Q20" i="9"/>
  <c r="Q19" i="9" s="1"/>
  <c r="R19" i="9"/>
  <c r="R20" i="9"/>
  <c r="F19" i="9"/>
  <c r="G19" i="9"/>
  <c r="S20" i="9"/>
  <c r="S19" i="9"/>
  <c r="N24" i="27"/>
  <c r="D24" i="27"/>
  <c r="D25" i="27"/>
  <c r="N25" i="27"/>
  <c r="N25" i="22"/>
  <c r="D25" i="22"/>
  <c r="D24" i="22"/>
  <c r="N24" i="22"/>
</calcChain>
</file>

<file path=xl/sharedStrings.xml><?xml version="1.0" encoding="utf-8"?>
<sst xmlns="http://schemas.openxmlformats.org/spreadsheetml/2006/main" count="1890" uniqueCount="225">
  <si>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</si>
  <si>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</si>
  <si>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</si>
  <si>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</si>
  <si>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</si>
  <si>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</si>
  <si>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</si>
  <si>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</si>
  <si>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</si>
  <si>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</si>
  <si>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</si>
  <si>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</si>
  <si>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</si>
  <si>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</si>
  <si>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</si>
  <si>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</si>
  <si>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</si>
  <si>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</si>
  <si>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</si>
  <si>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</si>
  <si>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</si>
  <si>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</si>
  <si>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</si>
  <si>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</si>
  <si>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</si>
  <si>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</si>
  <si>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</si>
  <si>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</si>
  <si>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</si>
  <si>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</si>
  <si>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</si>
  <si>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</si>
  <si>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</si>
  <si>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</si>
  <si>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</si>
  <si>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</si>
  <si>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</si>
  <si>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</si>
  <si>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</si>
  <si>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</si>
  <si>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</si>
  <si>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</si>
  <si>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</si>
  <si>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</si>
  <si>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</si>
  <si>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</si>
  <si>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</si>
  <si>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</si>
  <si>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</si>
  <si>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</si>
  <si>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</si>
  <si>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</si>
  <si>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</si>
  <si>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</si>
  <si>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</si>
  <si>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</si>
  <si>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</si>
  <si>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</si>
  <si>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</si>
  <si>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</si>
  <si>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</si>
  <si>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</si>
  <si>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</si>
  <si>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</si>
  <si>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</si>
  <si>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</si>
  <si>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</si>
  <si>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</si>
  <si>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</si>
  <si>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</si>
  <si>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</si>
  <si>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</si>
  <si>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</si>
  <si>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</si>
  <si>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</si>
  <si>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</si>
  <si>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</si>
  <si>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</si>
  <si>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</si>
  <si>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</si>
  <si>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</si>
  <si>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</si>
  <si>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</si>
  <si>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</si>
  <si>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</si>
  <si>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</si>
  <si>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</si>
  <si>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</si>
  <si>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</si>
  <si>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</si>
  <si>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</si>
  <si>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</si>
  <si>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</si>
  <si>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</si>
  <si>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</si>
  <si>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</si>
  <si>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</si>
  <si>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</si>
  <si>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</si>
  <si>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</si>
  <si>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</si>
  <si>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</si>
  <si>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</si>
  <si>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</si>
  <si>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</si>
  <si>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</si>
  <si>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</si>
  <si>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</si>
  <si>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</si>
  <si>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</si>
  <si>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</si>
  <si>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</si>
  <si>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</si>
  <si>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</si>
  <si>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</si>
  <si>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</si>
  <si>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</si>
  <si>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</si>
  <si>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</si>
  <si>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</si>
  <si>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</si>
  <si>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</si>
  <si>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</si>
  <si>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</si>
  <si>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</si>
  <si>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</si>
  <si>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</si>
  <si>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</si>
  <si>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</si>
  <si>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</si>
  <si>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</si>
  <si>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</si>
  <si>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</si>
  <si>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</si>
  <si>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</si>
  <si>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</si>
  <si>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</si>
  <si>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</si>
  <si>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</si>
  <si>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</si>
  <si>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</si>
  <si>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</si>
  <si>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</si>
  <si>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</si>
  <si>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</si>
  <si>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</si>
  <si>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</si>
  <si>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</si>
  <si>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</si>
  <si>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</si>
  <si>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</si>
  <si>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</si>
  <si>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</si>
  <si>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</si>
  <si>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</si>
  <si>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</si>
  <si>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</si>
  <si>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</si>
  <si>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</si>
  <si>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</si>
  <si>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</si>
  <si>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</si>
  <si>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</si>
  <si>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</si>
  <si>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</si>
  <si>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</si>
  <si>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</si>
  <si>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</si>
  <si>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</si>
  <si>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</si>
  <si>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</si>
  <si>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</si>
  <si>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</si>
  <si>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</si>
  <si>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</si>
  <si>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</si>
  <si>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</si>
  <si>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</si>
  <si>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</si>
  <si>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</si>
  <si>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</si>
  <si>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</si>
  <si>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</si>
  <si>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</si>
  <si>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</si>
  <si>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</si>
  <si>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</si>
  <si>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</si>
  <si>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</si>
  <si>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</si>
  <si>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</si>
  <si>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</si>
  <si>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</si>
  <si>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</si>
  <si>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</si>
  <si>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</si>
  <si>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</si>
  <si>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</si>
  <si>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</si>
  <si>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</si>
  <si>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</si>
  <si>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</si>
  <si>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</si>
  <si>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</si>
  <si>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</si>
  <si>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</si>
  <si>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</si>
  <si>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</si>
  <si>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</si>
  <si>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</si>
  <si>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</si>
  <si>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</si>
  <si>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</si>
  <si>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</si>
  <si>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</si>
  <si>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</si>
  <si>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</si>
  <si>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</si>
  <si>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</si>
  <si>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</si>
  <si>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</si>
  <si>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</si>
  <si>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McQuinn Pumps</t>
  </si>
  <si>
    <t>Williams</t>
  </si>
  <si>
    <t>20221216SRT01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</si>
</sst>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21685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972212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H17" sqref="H17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44914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44914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169</v>
      </c>
      <c r="I5" s="110">
        <f ca="1">TODAY()</f>
        <v>44914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44914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1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1"/>
        <v xml:space="preserve"> </v>
      </c>
      <c r="I19" s="140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1"/>
        <v xml:space="preserve"> </v>
      </c>
      <c r="I20" s="140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4.4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41"/>
      <c r="S28" s="142"/>
      <c r="T28" s="151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41" t="s">
        <v>209</v>
      </c>
      <c r="D30" s="142"/>
      <c r="E30" s="143" t="s">
        <v>197</v>
      </c>
      <c r="F30" s="143"/>
      <c r="G30" s="58" t="s">
        <v>210</v>
      </c>
      <c r="H30" s="143" t="s">
        <v>201</v>
      </c>
      <c r="I30" s="144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56" t="s">
        <v>193</v>
      </c>
      <c r="N39" s="156"/>
      <c r="O39" s="156"/>
      <c r="P39" s="156"/>
      <c r="Q39" s="156"/>
      <c r="R39" s="156"/>
      <c r="S39" s="156"/>
      <c r="T39" s="156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55" t="s">
        <v>129</v>
      </c>
      <c r="N40" s="156"/>
      <c r="O40" s="156"/>
      <c r="P40" s="156"/>
      <c r="Q40" s="156"/>
      <c r="R40" s="156"/>
      <c r="S40" s="156"/>
      <c r="T40" s="156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55"/>
      <c r="N41" s="156"/>
      <c r="O41" s="156"/>
      <c r="P41" s="156"/>
      <c r="Q41" s="156"/>
      <c r="R41" s="156"/>
      <c r="S41" s="156"/>
      <c r="T41" s="156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 t="s">
        <v>147</v>
      </c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09375" defaultRowHeight="14.4"/>
  <cols>
    <col min="1" max="16384" width="9.109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4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.2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2"/>
      <c r="D3" s="162"/>
      <c r="E3" s="162"/>
      <c r="F3" s="162"/>
      <c r="G3" s="8"/>
      <c r="H3" s="83" t="s">
        <v>148</v>
      </c>
      <c r="I3" s="162"/>
      <c r="J3" s="162"/>
    </row>
    <row r="4" spans="1:11" ht="22.5" customHeight="1">
      <c r="B4" s="83" t="s">
        <v>171</v>
      </c>
      <c r="C4" s="162"/>
      <c r="D4" s="162"/>
      <c r="E4" s="162"/>
      <c r="F4" s="162"/>
      <c r="G4" s="8"/>
      <c r="H4" s="83" t="s">
        <v>56</v>
      </c>
      <c r="I4" s="162"/>
      <c r="J4" s="162"/>
    </row>
    <row r="5" spans="1:11" ht="22.5" customHeight="1">
      <c r="B5" s="83" t="s">
        <v>133</v>
      </c>
      <c r="C5" s="169"/>
      <c r="D5" s="169"/>
      <c r="E5" s="169"/>
      <c r="F5" s="169"/>
      <c r="G5" s="8"/>
      <c r="H5" s="83" t="s">
        <v>169</v>
      </c>
      <c r="I5" s="162"/>
      <c r="J5" s="162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41" t="s">
        <v>194</v>
      </c>
      <c r="D39" s="142"/>
      <c r="E39" s="170" t="s">
        <v>197</v>
      </c>
      <c r="F39" s="170"/>
      <c r="G39" s="58" t="s">
        <v>203</v>
      </c>
      <c r="H39" s="143" t="s">
        <v>202</v>
      </c>
      <c r="I39" s="143"/>
      <c r="J39" s="143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4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D14" sqref="D14:D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22.33203125" style="1" customWidth="1"/>
    <col min="9" max="9" width="13.88671875" style="1" customWidth="1"/>
    <col min="10" max="10" width="3.77734375" style="1" customWidth="1"/>
    <col min="11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44914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44914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169</v>
      </c>
      <c r="I5" s="110">
        <f ca="1">TODAY()</f>
        <v>44914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44914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37"/>
      <c r="I11" s="138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41" t="s">
        <v>150</v>
      </c>
      <c r="S11" s="142"/>
      <c r="T11" s="151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37"/>
      <c r="I12" s="138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41" t="s">
        <v>150</v>
      </c>
      <c r="S12" s="142"/>
      <c r="T12" s="151"/>
      <c r="U12" s="5"/>
    </row>
    <row r="13" spans="1:21" ht="14.4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37"/>
      <c r="I13" s="138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41"/>
      <c r="S13" s="142"/>
      <c r="T13" s="151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39" t="str">
        <f>IF(D14&gt;=0.01,"Check if need to increase decimal on the right"," ")</f>
        <v xml:space="preserve"> </v>
      </c>
      <c r="I14" s="140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66</v>
      </c>
      <c r="P14" s="11" t="s">
        <v>23</v>
      </c>
      <c r="Q14" s="11" t="str">
        <f>VLOOKUP(N14,Lookup!C52:D59,2)</f>
        <v>Not Detected</v>
      </c>
      <c r="R14" s="141"/>
      <c r="S14" s="142"/>
      <c r="T14" s="151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39" t="str">
        <f>IF(D15&gt;=0.01,"Check if need to increase decimal on the right"," ")</f>
        <v xml:space="preserve"> </v>
      </c>
      <c r="I15" s="140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41" t="s">
        <v>68</v>
      </c>
      <c r="S15" s="142"/>
      <c r="T15" s="151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37"/>
      <c r="I16" s="138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41" t="s">
        <v>150</v>
      </c>
      <c r="S16" s="142"/>
      <c r="T16" s="151"/>
      <c r="U16" s="5"/>
    </row>
    <row r="17" spans="1:21" ht="14.4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37"/>
      <c r="I17" s="138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41"/>
      <c r="S17" s="142"/>
      <c r="T17" s="151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41" t="s">
        <v>209</v>
      </c>
      <c r="D19" s="142"/>
      <c r="E19" s="143" t="s">
        <v>197</v>
      </c>
      <c r="F19" s="143"/>
      <c r="G19" s="58" t="s">
        <v>210</v>
      </c>
      <c r="H19" s="143" t="s">
        <v>201</v>
      </c>
      <c r="I19" s="144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56" t="s">
        <v>193</v>
      </c>
      <c r="N27" s="156"/>
      <c r="O27" s="156"/>
      <c r="P27" s="156"/>
      <c r="Q27" s="156"/>
      <c r="R27" s="156"/>
      <c r="S27" s="156"/>
      <c r="T27" s="156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55" t="s">
        <v>129</v>
      </c>
      <c r="N28" s="156"/>
      <c r="O28" s="156"/>
      <c r="P28" s="156"/>
      <c r="Q28" s="156"/>
      <c r="R28" s="156"/>
      <c r="S28" s="156"/>
      <c r="T28" s="156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55"/>
      <c r="N29" s="156"/>
      <c r="O29" s="156"/>
      <c r="P29" s="156"/>
      <c r="Q29" s="156"/>
      <c r="R29" s="156"/>
      <c r="S29" s="156"/>
      <c r="T29" s="156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J12" sqref="J1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2.44140625" style="1" customWidth="1"/>
    <col min="12" max="12" width="2" style="1" customWidth="1"/>
    <col min="13" max="13" width="18.6640625" style="1" customWidth="1"/>
    <col min="14" max="14" width="10.88671875" style="1" customWidth="1"/>
    <col min="15" max="21" width="10" style="1" customWidth="1"/>
    <col min="22" max="22" width="0.5546875" style="1" customWidth="1"/>
    <col min="23" max="16384" width="9.109375" style="1"/>
  </cols>
  <sheetData>
    <row r="1" spans="1:21" ht="22.8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59" t="s">
        <v>222</v>
      </c>
      <c r="D3" s="159"/>
      <c r="E3" s="159"/>
      <c r="F3" s="159"/>
      <c r="G3" s="8"/>
      <c r="H3" s="83" t="s">
        <v>148</v>
      </c>
      <c r="I3" s="160" t="s">
        <v>224</v>
      </c>
      <c r="J3" s="160"/>
      <c r="K3" s="104"/>
      <c r="M3" s="1" t="str">
        <f>IF(ISBLANK(C3),"DEALER NAME",C3)</f>
        <v>McQuinn Pumps</v>
      </c>
      <c r="Q3" s="8"/>
      <c r="R3" s="8"/>
      <c r="S3" s="9" t="s">
        <v>148</v>
      </c>
      <c r="U3" s="68" t="str">
        <f>I3</f>
        <v>20221216SRT01</v>
      </c>
    </row>
    <row r="4" spans="1:21" ht="15.6">
      <c r="B4" s="83" t="s">
        <v>171</v>
      </c>
      <c r="C4" s="159" t="s">
        <v>223</v>
      </c>
      <c r="D4" s="159"/>
      <c r="E4" s="159"/>
      <c r="F4" s="159"/>
      <c r="G4" s="8"/>
      <c r="H4" s="83" t="s">
        <v>56</v>
      </c>
      <c r="I4" s="161">
        <f ca="1">TODAY()</f>
        <v>44914</v>
      </c>
      <c r="J4" s="160"/>
      <c r="K4" s="104"/>
      <c r="M4" s="3" t="str">
        <f>IF(ISBLANK(C4),"REFERENCE NAME",C4)</f>
        <v>Williams</v>
      </c>
      <c r="Q4" s="8"/>
      <c r="R4" s="8"/>
      <c r="S4" s="9" t="s">
        <v>56</v>
      </c>
      <c r="U4" s="69">
        <f ca="1">I4</f>
        <v>44914</v>
      </c>
    </row>
    <row r="5" spans="1:21">
      <c r="B5" s="83" t="s">
        <v>133</v>
      </c>
      <c r="C5" s="148" t="s">
        <v>136</v>
      </c>
      <c r="D5" s="148"/>
      <c r="E5" s="148"/>
      <c r="F5" s="148"/>
      <c r="G5" s="8"/>
      <c r="H5" s="83" t="s">
        <v>57</v>
      </c>
      <c r="I5" s="161">
        <f ca="1">TODAY()</f>
        <v>44914</v>
      </c>
      <c r="J5" s="160"/>
      <c r="K5" s="104"/>
      <c r="M5" s="9" t="s">
        <v>133</v>
      </c>
      <c r="N5" s="76" t="str">
        <f>IF(ISBLANK(C5),"TBC",C5)</f>
        <v>Surface Water</v>
      </c>
      <c r="Q5" s="8"/>
      <c r="R5" s="8"/>
      <c r="S5" s="9" t="s">
        <v>57</v>
      </c>
      <c r="U5" s="69">
        <f ca="1">I5</f>
        <v>44914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6.8</v>
      </c>
      <c r="E9" s="14">
        <v>7</v>
      </c>
      <c r="F9" s="14">
        <v>6.8</v>
      </c>
      <c r="G9" s="14">
        <v>6.8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6.8</v>
      </c>
      <c r="Q9" s="14">
        <f t="shared" ref="Q9:S9" si="0">E9</f>
        <v>7</v>
      </c>
      <c r="R9" s="14">
        <f t="shared" si="0"/>
        <v>6.8</v>
      </c>
      <c r="S9" s="14">
        <f t="shared" si="0"/>
        <v>6.8</v>
      </c>
    </row>
    <row r="10" spans="1:21" ht="14.4">
      <c r="A10" s="4"/>
      <c r="B10" s="10" t="s">
        <v>5</v>
      </c>
      <c r="C10" s="10" t="s">
        <v>52</v>
      </c>
      <c r="D10" s="15">
        <v>75</v>
      </c>
      <c r="E10" s="15">
        <v>45</v>
      </c>
      <c r="F10" s="15">
        <v>35</v>
      </c>
      <c r="G10" s="15">
        <v>25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75</v>
      </c>
      <c r="Q10" s="15">
        <f t="shared" si="1"/>
        <v>45</v>
      </c>
      <c r="R10" s="15">
        <f t="shared" si="1"/>
        <v>35</v>
      </c>
      <c r="S10" s="15">
        <f t="shared" si="1"/>
        <v>25</v>
      </c>
    </row>
    <row r="11" spans="1:21" ht="14.4">
      <c r="A11" s="4"/>
      <c r="B11" s="10" t="s">
        <v>6</v>
      </c>
      <c r="C11" s="10" t="s">
        <v>52</v>
      </c>
      <c r="D11" s="15">
        <v>60</v>
      </c>
      <c r="E11" s="15">
        <v>45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60</v>
      </c>
      <c r="Q11" s="15">
        <f t="shared" si="1"/>
        <v>45</v>
      </c>
      <c r="R11" s="15" t="str">
        <f t="shared" si="1"/>
        <v>&lt;5</v>
      </c>
      <c r="S11" s="15" t="str">
        <f t="shared" si="1"/>
        <v>&lt;5</v>
      </c>
    </row>
    <row r="12" spans="1:21" ht="14.4">
      <c r="A12" s="4"/>
      <c r="B12" s="10" t="s">
        <v>14</v>
      </c>
      <c r="C12" s="10" t="s">
        <v>53</v>
      </c>
      <c r="D12" s="96">
        <f>2*(IF(D10&lt;5,5,D10)-(5*10^(D9-10)))/(1+(0.94*10^(D9-10)))*10^(6-D9)</f>
        <v>23.758306837416718</v>
      </c>
      <c r="E12" s="96">
        <f>2*(IF(E10&lt;5,5,E10)-(5*10^(E9-10)))/(1+(0.94*10^(E9-10)))*10^(6-E9)</f>
        <v>8.9905488840489944</v>
      </c>
      <c r="F12" s="96">
        <f t="shared" ref="F12:G12" si="2">2*(IF(F10&lt;5,5,F10)-(5*10^(F9-10)))/(1+(0.94*10^(F9-10)))*10^(6-F9)</f>
        <v>11.086676840260255</v>
      </c>
      <c r="G12" s="96">
        <f t="shared" si="2"/>
        <v>7.9187693409711359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23.758306837416718</v>
      </c>
      <c r="Q12" s="103">
        <f t="shared" ref="Q12:S12" si="3">IF(E12&lt;1,"&lt;1",E12)</f>
        <v>8.9905488840489944</v>
      </c>
      <c r="R12" s="103">
        <f t="shared" si="3"/>
        <v>11.086676840260255</v>
      </c>
      <c r="S12" s="103">
        <f t="shared" si="3"/>
        <v>7.9187693409711359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-1.5999999999999996</v>
      </c>
      <c r="E13" s="97">
        <f>+E9+0.5+VLOOKUP(IF(E10&lt;5,5,E10),LSI!$F$2:$G$25,2)+VLOOKUP(IF(E11&lt;5,5,E11),LSI!$H$2:$I$25,2)-12.1</f>
        <v>-1.8000000000000007</v>
      </c>
      <c r="F13" s="97">
        <f>+F9+0.5+VLOOKUP(IF(F10&lt;5,5,F10),LSI!$F$2:$G$25,2)+VLOOKUP(IF(F11&lt;5,5,F11),LSI!$H$2:$I$25,2)-12.1</f>
        <v>-3</v>
      </c>
      <c r="G13" s="97">
        <f>+G9+0.5+VLOOKUP(IF(G10&lt;5,5,G10),LSI!$F$2:$G$25,2)+VLOOKUP(IF(G11&lt;5,5,G11),LSI!$H$2:$I$25,2)-12.1</f>
        <v>-3.0999999999999996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81" t="s">
        <v>23</v>
      </c>
      <c r="P13" s="171">
        <f>D13</f>
        <v>-1.5999999999999996</v>
      </c>
      <c r="Q13" s="171">
        <f t="shared" ref="Q13" si="4">E13</f>
        <v>-1.8000000000000007</v>
      </c>
      <c r="R13" s="171">
        <f t="shared" ref="R13" si="5">F13</f>
        <v>-3</v>
      </c>
      <c r="S13" s="171">
        <f t="shared" ref="S13" si="6">G13</f>
        <v>-3.0999999999999996</v>
      </c>
    </row>
    <row r="14" spans="1:21">
      <c r="A14" s="4"/>
      <c r="B14" s="10" t="s">
        <v>10</v>
      </c>
      <c r="C14" s="10" t="s">
        <v>24</v>
      </c>
      <c r="D14" s="11">
        <v>1.72</v>
      </c>
      <c r="E14" s="11">
        <v>0.69</v>
      </c>
      <c r="F14" s="11">
        <v>0.79</v>
      </c>
      <c r="G14" s="11">
        <v>0.18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66</v>
      </c>
      <c r="P14" s="11">
        <f t="shared" ref="P14:S15" si="7">IF(D14&lt;0.01,"&lt;0.01",D14)</f>
        <v>1.72</v>
      </c>
      <c r="Q14" s="11">
        <f t="shared" si="7"/>
        <v>0.69</v>
      </c>
      <c r="R14" s="11">
        <f t="shared" si="7"/>
        <v>0.79</v>
      </c>
      <c r="S14" s="11">
        <f t="shared" si="7"/>
        <v>0.18</v>
      </c>
    </row>
    <row r="15" spans="1:21">
      <c r="A15" s="4"/>
      <c r="B15" s="10" t="s">
        <v>11</v>
      </c>
      <c r="C15" s="10" t="s">
        <v>24</v>
      </c>
      <c r="D15" s="11">
        <v>0.12</v>
      </c>
      <c r="E15" s="11">
        <v>7.0000000000000007E-2</v>
      </c>
      <c r="F15" s="11">
        <v>0.08</v>
      </c>
      <c r="G15" s="11" t="s">
        <v>40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0.12</v>
      </c>
      <c r="Q15" s="11">
        <f t="shared" si="7"/>
        <v>7.0000000000000007E-2</v>
      </c>
      <c r="R15" s="11">
        <f t="shared" si="7"/>
        <v>0.08</v>
      </c>
      <c r="S15" s="11" t="str">
        <f t="shared" si="7"/>
        <v>&lt;0.01</v>
      </c>
    </row>
    <row r="16" spans="1:21">
      <c r="A16" s="4"/>
      <c r="B16" s="10" t="s">
        <v>4</v>
      </c>
      <c r="C16" s="10" t="s">
        <v>24</v>
      </c>
      <c r="D16" s="11">
        <v>150</v>
      </c>
      <c r="E16" s="11">
        <v>110</v>
      </c>
      <c r="F16" s="11">
        <v>120</v>
      </c>
      <c r="G16" s="11">
        <v>130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150</v>
      </c>
      <c r="Q16" s="11">
        <f>IF(E16&lt;10,"&lt;10",E16)</f>
        <v>110</v>
      </c>
      <c r="R16" s="11">
        <f>IF(F16&lt;10,"&lt;10",F16)</f>
        <v>120</v>
      </c>
      <c r="S16" s="11">
        <f>IF(G16&lt;10,"&lt;10",G16)</f>
        <v>130</v>
      </c>
    </row>
    <row r="17" spans="1:22">
      <c r="A17" s="4"/>
      <c r="B17" s="10" t="s">
        <v>15</v>
      </c>
      <c r="C17" s="10" t="s">
        <v>24</v>
      </c>
      <c r="D17" s="15">
        <v>12</v>
      </c>
      <c r="E17" s="15">
        <v>6</v>
      </c>
      <c r="F17" s="15">
        <v>9</v>
      </c>
      <c r="G17" s="15">
        <v>49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12</v>
      </c>
      <c r="Q17" s="11">
        <f t="shared" ref="Q17:S18" si="8">IF(E17&lt;1,"&lt;1",E17)</f>
        <v>6</v>
      </c>
      <c r="R17" s="11">
        <f t="shared" si="8"/>
        <v>9</v>
      </c>
      <c r="S17" s="11">
        <f t="shared" si="8"/>
        <v>49</v>
      </c>
    </row>
    <row r="18" spans="1:22">
      <c r="A18" s="4"/>
      <c r="B18" s="10" t="s">
        <v>16</v>
      </c>
      <c r="C18" s="10" t="s">
        <v>24</v>
      </c>
      <c r="D18" s="15">
        <v>13</v>
      </c>
      <c r="E18" s="15">
        <v>9</v>
      </c>
      <c r="F18" s="15">
        <v>33</v>
      </c>
      <c r="G18" s="15">
        <v>43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13</v>
      </c>
      <c r="Q18" s="11">
        <f t="shared" si="8"/>
        <v>9</v>
      </c>
      <c r="R18" s="11">
        <f t="shared" si="8"/>
        <v>33</v>
      </c>
      <c r="S18" s="11">
        <f t="shared" si="8"/>
        <v>43</v>
      </c>
    </row>
    <row r="19" spans="1:22" hidden="1">
      <c r="A19" s="4"/>
      <c r="B19" s="10" t="s">
        <v>178</v>
      </c>
      <c r="C19" s="10" t="s">
        <v>179</v>
      </c>
      <c r="D19" s="14">
        <f>D20/10</f>
        <v>20.8</v>
      </c>
      <c r="E19" s="14">
        <f t="shared" ref="E19:G19" si="9">E20/10</f>
        <v>14.8</v>
      </c>
      <c r="F19" s="14">
        <f t="shared" si="9"/>
        <v>16.600000000000001</v>
      </c>
      <c r="G19" s="14">
        <f t="shared" si="9"/>
        <v>18.100000000000001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20.8</v>
      </c>
      <c r="Q19" s="14">
        <f t="shared" ref="Q19:S19" si="10">Q20/10</f>
        <v>14.8</v>
      </c>
      <c r="R19" s="14">
        <f t="shared" si="10"/>
        <v>16.600000000000001</v>
      </c>
      <c r="S19" s="14">
        <f t="shared" si="10"/>
        <v>18.100000000000001</v>
      </c>
    </row>
    <row r="20" spans="1:22">
      <c r="A20" s="4"/>
      <c r="B20" s="10" t="s">
        <v>178</v>
      </c>
      <c r="C20" s="10" t="s">
        <v>180</v>
      </c>
      <c r="D20" s="15">
        <v>208</v>
      </c>
      <c r="E20" s="15">
        <v>148</v>
      </c>
      <c r="F20" s="15">
        <v>166</v>
      </c>
      <c r="G20" s="15">
        <v>181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208</v>
      </c>
      <c r="Q20" s="14">
        <f t="shared" si="11"/>
        <v>148</v>
      </c>
      <c r="R20" s="14">
        <f t="shared" si="11"/>
        <v>166</v>
      </c>
      <c r="S20" s="14">
        <f t="shared" si="11"/>
        <v>181</v>
      </c>
    </row>
    <row r="21" spans="1:22">
      <c r="A21" s="4"/>
      <c r="B21" s="10" t="s">
        <v>18</v>
      </c>
      <c r="C21" s="10" t="s">
        <v>25</v>
      </c>
      <c r="D21" s="11">
        <v>8.5299999999999994</v>
      </c>
      <c r="E21" s="11">
        <v>2.82</v>
      </c>
      <c r="F21" s="11">
        <v>3.94</v>
      </c>
      <c r="G21" s="11">
        <v>1.28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8.5299999999999994</v>
      </c>
      <c r="Q21" s="14">
        <f>IF(E21&lt;0.05,"&lt;0.05",E21)</f>
        <v>2.82</v>
      </c>
      <c r="R21" s="14">
        <f>IF(F21&lt;0.05,"&lt;0.05",F21)</f>
        <v>3.94</v>
      </c>
      <c r="S21" s="14">
        <f>IF(G21&lt;0.05,"&lt;0.05",G21)</f>
        <v>1.28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4">
      <c r="A23" s="4"/>
      <c r="B23" s="10" t="s">
        <v>19</v>
      </c>
      <c r="C23" s="10" t="s">
        <v>55</v>
      </c>
      <c r="D23" s="14">
        <v>69.599999999999994</v>
      </c>
      <c r="E23" s="14">
        <v>66.599999999999994</v>
      </c>
      <c r="F23" s="14">
        <v>8.3000000000000007</v>
      </c>
      <c r="G23" s="14">
        <v>91.6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69.599999999999994</v>
      </c>
      <c r="Q23" s="14">
        <f t="shared" si="12"/>
        <v>66.599999999999994</v>
      </c>
      <c r="R23" s="14">
        <f t="shared" si="12"/>
        <v>8.3000000000000007</v>
      </c>
      <c r="S23" s="14">
        <f t="shared" si="12"/>
        <v>91.6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57" t="s">
        <v>209</v>
      </c>
      <c r="D26" s="157"/>
      <c r="E26" s="158" t="s">
        <v>197</v>
      </c>
      <c r="F26" s="158"/>
      <c r="G26" s="102" t="s">
        <v>210</v>
      </c>
      <c r="H26" s="158" t="s">
        <v>202</v>
      </c>
      <c r="I26" s="158"/>
      <c r="J26" s="158"/>
      <c r="K26" s="107"/>
      <c r="L26" s="4"/>
      <c r="M26" s="10" t="s">
        <v>45</v>
      </c>
      <c r="N26" s="57" t="str">
        <f>CONCATENATE(C26, " ", E26," ", G26, " ", H26)</f>
        <v>The sample was slightly discoloured  with some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57" t="s">
        <v>209</v>
      </c>
      <c r="D27" s="157"/>
      <c r="E27" s="158" t="s">
        <v>197</v>
      </c>
      <c r="F27" s="158"/>
      <c r="G27" s="102" t="s">
        <v>210</v>
      </c>
      <c r="H27" s="158" t="s">
        <v>202</v>
      </c>
      <c r="I27" s="158"/>
      <c r="J27" s="158"/>
      <c r="K27" s="107"/>
      <c r="L27" s="4"/>
      <c r="M27" s="10" t="s">
        <v>46</v>
      </c>
      <c r="N27" s="57" t="str">
        <f>CONCATENATE(C27, " ", E27," ", G27, " ", H27)</f>
        <v>The sample was slightly discoloured  with some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57" t="s">
        <v>209</v>
      </c>
      <c r="D28" s="157"/>
      <c r="E28" s="158" t="s">
        <v>197</v>
      </c>
      <c r="F28" s="158"/>
      <c r="G28" s="102" t="s">
        <v>210</v>
      </c>
      <c r="H28" s="158" t="s">
        <v>201</v>
      </c>
      <c r="I28" s="158"/>
      <c r="J28" s="158"/>
      <c r="K28" s="107"/>
      <c r="L28" s="4"/>
      <c r="M28" s="10" t="s">
        <v>47</v>
      </c>
      <c r="N28" s="57" t="str">
        <f>CONCATENATE(C28, " ", E28," ", G28, " ", H28)</f>
        <v>The sample was slightly discoloured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57" t="s">
        <v>209</v>
      </c>
      <c r="D29" s="157"/>
      <c r="E29" s="158" t="s">
        <v>196</v>
      </c>
      <c r="F29" s="158"/>
      <c r="G29" s="102" t="s">
        <v>210</v>
      </c>
      <c r="H29" s="158" t="s">
        <v>201</v>
      </c>
      <c r="I29" s="158"/>
      <c r="J29" s="158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55" t="s">
        <v>129</v>
      </c>
      <c r="O32" s="156"/>
      <c r="P32" s="156"/>
      <c r="Q32" s="156"/>
      <c r="R32" s="156"/>
      <c r="S32" s="156"/>
      <c r="T32" s="156"/>
      <c r="U32" s="156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R26" sqref="R26:W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2" width="3.21875" style="1" customWidth="1"/>
    <col min="13" max="13" width="3.5546875" style="1" customWidth="1"/>
    <col min="14" max="14" width="1.109375" style="1" customWidth="1"/>
    <col min="15" max="15" width="18.6640625" style="1" customWidth="1"/>
    <col min="16" max="16" width="10.88671875" style="1" customWidth="1"/>
    <col min="17" max="23" width="10" style="1" customWidth="1"/>
    <col min="24" max="24" width="0.5546875" style="1" customWidth="1"/>
    <col min="25" max="16384" width="9.109375" style="1"/>
  </cols>
  <sheetData>
    <row r="1" spans="1:23" ht="22.8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59"/>
      <c r="D3" s="159"/>
      <c r="E3" s="159"/>
      <c r="F3" s="159"/>
      <c r="G3" s="8"/>
      <c r="H3" s="83" t="s">
        <v>148</v>
      </c>
      <c r="I3" s="162"/>
      <c r="J3" s="162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6">
      <c r="B4" s="83" t="s">
        <v>171</v>
      </c>
      <c r="C4" s="159"/>
      <c r="D4" s="159"/>
      <c r="E4" s="159"/>
      <c r="F4" s="159"/>
      <c r="G4" s="8"/>
      <c r="H4" s="83" t="s">
        <v>56</v>
      </c>
      <c r="I4" s="162"/>
      <c r="J4" s="162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44914</v>
      </c>
    </row>
    <row r="5" spans="1:23">
      <c r="B5" s="83" t="s">
        <v>133</v>
      </c>
      <c r="C5" s="148"/>
      <c r="D5" s="148"/>
      <c r="E5" s="148"/>
      <c r="F5" s="148"/>
      <c r="G5" s="8"/>
      <c r="H5" s="83" t="s">
        <v>169</v>
      </c>
      <c r="I5" s="162"/>
      <c r="J5" s="162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44914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4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4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4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4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4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4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4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66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4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41" t="s">
        <v>209</v>
      </c>
      <c r="D36" s="142"/>
      <c r="E36" s="143" t="s">
        <v>197</v>
      </c>
      <c r="F36" s="143"/>
      <c r="G36" s="58" t="s">
        <v>210</v>
      </c>
      <c r="H36" s="143" t="s">
        <v>201</v>
      </c>
      <c r="I36" s="144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41" t="s">
        <v>209</v>
      </c>
      <c r="D37" s="142"/>
      <c r="E37" s="143" t="s">
        <v>197</v>
      </c>
      <c r="F37" s="143"/>
      <c r="G37" s="58" t="s">
        <v>210</v>
      </c>
      <c r="H37" s="143" t="s">
        <v>201</v>
      </c>
      <c r="I37" s="144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41" t="s">
        <v>209</v>
      </c>
      <c r="D38" s="142"/>
      <c r="E38" s="143" t="s">
        <v>197</v>
      </c>
      <c r="F38" s="143"/>
      <c r="G38" s="58" t="s">
        <v>210</v>
      </c>
      <c r="H38" s="143" t="s">
        <v>201</v>
      </c>
      <c r="I38" s="144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41" t="s">
        <v>209</v>
      </c>
      <c r="D39" s="142"/>
      <c r="E39" s="143" t="s">
        <v>197</v>
      </c>
      <c r="F39" s="143"/>
      <c r="G39" s="58" t="s">
        <v>210</v>
      </c>
      <c r="H39" s="143" t="s">
        <v>201</v>
      </c>
      <c r="I39" s="144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41" t="s">
        <v>209</v>
      </c>
      <c r="D40" s="142"/>
      <c r="E40" s="143" t="s">
        <v>197</v>
      </c>
      <c r="F40" s="143"/>
      <c r="G40" s="58" t="s">
        <v>210</v>
      </c>
      <c r="H40" s="143" t="s">
        <v>201</v>
      </c>
      <c r="I40" s="144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41" t="s">
        <v>209</v>
      </c>
      <c r="D41" s="142"/>
      <c r="E41" s="143" t="s">
        <v>197</v>
      </c>
      <c r="F41" s="143"/>
      <c r="G41" s="58" t="s">
        <v>210</v>
      </c>
      <c r="H41" s="143" t="s">
        <v>201</v>
      </c>
      <c r="I41" s="144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55" t="s">
        <v>129</v>
      </c>
      <c r="Q44" s="156"/>
      <c r="R44" s="156"/>
      <c r="S44" s="156"/>
      <c r="T44" s="156"/>
      <c r="U44" s="156"/>
      <c r="V44" s="156"/>
      <c r="W44" s="156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44914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2" t="s">
        <v>44</v>
      </c>
      <c r="H7" s="153"/>
      <c r="I7" s="153"/>
      <c r="J7" s="15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41"/>
      <c r="I8" s="142"/>
      <c r="J8" s="15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41"/>
      <c r="I9" s="142"/>
      <c r="J9" s="151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56" t="s">
        <v>193</v>
      </c>
      <c r="D18" s="156"/>
      <c r="E18" s="156"/>
      <c r="F18" s="156"/>
      <c r="G18" s="156"/>
      <c r="H18" s="156"/>
      <c r="I18" s="156"/>
      <c r="J18" s="156"/>
      <c r="K18" s="5"/>
    </row>
    <row r="19" spans="1:11">
      <c r="A19" s="4"/>
      <c r="B19" s="55"/>
      <c r="C19" s="155"/>
      <c r="D19" s="156"/>
      <c r="E19" s="156"/>
      <c r="F19" s="156"/>
      <c r="G19" s="156"/>
      <c r="H19" s="156"/>
      <c r="I19" s="156"/>
      <c r="J19" s="156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6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44914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2" t="s">
        <v>44</v>
      </c>
      <c r="H7" s="153"/>
      <c r="I7" s="153"/>
      <c r="J7" s="154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41"/>
      <c r="I8" s="142"/>
      <c r="J8" s="151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41"/>
      <c r="I9" s="142"/>
      <c r="J9" s="151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56" t="s">
        <v>193</v>
      </c>
      <c r="D19" s="156"/>
      <c r="E19" s="156"/>
      <c r="F19" s="156"/>
      <c r="G19" s="156"/>
      <c r="H19" s="156"/>
      <c r="I19" s="156"/>
      <c r="J19" s="156"/>
      <c r="K19" s="5"/>
    </row>
    <row r="20" spans="1:11">
      <c r="A20" s="4"/>
      <c r="B20" s="55"/>
      <c r="C20" s="155"/>
      <c r="D20" s="156"/>
      <c r="E20" s="156"/>
      <c r="F20" s="156"/>
      <c r="G20" s="156"/>
      <c r="H20" s="156"/>
      <c r="I20" s="156"/>
      <c r="J20" s="156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G3" sqref="G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44914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44914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57</v>
      </c>
      <c r="I5" s="110">
        <f ca="1">TODAY()</f>
        <v>44914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44914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2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2"/>
        <v xml:space="preserve"> </v>
      </c>
      <c r="I19" s="140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2"/>
        <v xml:space="preserve"> </v>
      </c>
      <c r="I20" s="140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37"/>
      <c r="I29" s="138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6"/>
      <c r="S29" s="167"/>
      <c r="T29" s="168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37"/>
      <c r="I30" s="138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41"/>
      <c r="S30" s="142"/>
      <c r="T30" s="15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1" t="s">
        <v>209</v>
      </c>
      <c r="D32" s="142"/>
      <c r="E32" s="143" t="s">
        <v>197</v>
      </c>
      <c r="F32" s="143"/>
      <c r="G32" s="58" t="s">
        <v>210</v>
      </c>
      <c r="H32" s="143" t="s">
        <v>201</v>
      </c>
      <c r="I32" s="144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6" t="s">
        <v>193</v>
      </c>
      <c r="N42" s="156"/>
      <c r="O42" s="156"/>
      <c r="P42" s="156"/>
      <c r="Q42" s="156"/>
      <c r="R42" s="156"/>
      <c r="S42" s="156"/>
      <c r="T42" s="156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5" t="s">
        <v>129</v>
      </c>
      <c r="N43" s="156"/>
      <c r="O43" s="156"/>
      <c r="P43" s="156"/>
      <c r="Q43" s="156"/>
      <c r="R43" s="156"/>
      <c r="S43" s="156"/>
      <c r="T43" s="156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H20" sqref="H20:I2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5"/>
      <c r="D3" s="146"/>
      <c r="E3" s="146"/>
      <c r="F3" s="147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6">
      <c r="B4" s="83" t="s">
        <v>171</v>
      </c>
      <c r="C4" s="145"/>
      <c r="D4" s="146"/>
      <c r="E4" s="146"/>
      <c r="F4" s="147"/>
      <c r="G4" s="8"/>
      <c r="H4" s="83" t="s">
        <v>56</v>
      </c>
      <c r="I4" s="110">
        <f ca="1">TODAY()</f>
        <v>44914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44914</v>
      </c>
    </row>
    <row r="5" spans="1:21">
      <c r="B5" s="83" t="s">
        <v>133</v>
      </c>
      <c r="C5" s="148"/>
      <c r="D5" s="148"/>
      <c r="E5" s="148"/>
      <c r="F5" s="148"/>
      <c r="G5" s="8"/>
      <c r="H5" s="83" t="s">
        <v>57</v>
      </c>
      <c r="I5" s="110">
        <f ca="1">TODAY()</f>
        <v>44914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44914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49" t="s">
        <v>216</v>
      </c>
      <c r="I7" s="150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2" t="s">
        <v>44</v>
      </c>
      <c r="R7" s="153"/>
      <c r="S7" s="153"/>
      <c r="T7" s="154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7"/>
      <c r="I8" s="138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1"/>
      <c r="S8" s="142"/>
      <c r="T8" s="151"/>
      <c r="U8" s="5"/>
    </row>
    <row r="9" spans="1:21" ht="14.4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7"/>
      <c r="I9" s="138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1"/>
      <c r="S9" s="142"/>
      <c r="T9" s="151"/>
      <c r="U9" s="5"/>
    </row>
    <row r="10" spans="1:21" ht="14.4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7"/>
      <c r="I10" s="138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1"/>
      <c r="S10" s="142"/>
      <c r="T10" s="151"/>
      <c r="U10" s="5"/>
    </row>
    <row r="11" spans="1:21" ht="14.4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7"/>
      <c r="I11" s="138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1"/>
      <c r="S11" s="142"/>
      <c r="T11" s="151"/>
      <c r="U11" s="5"/>
    </row>
    <row r="12" spans="1:21" ht="14.4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7" t="str">
        <f>IF(D12&lt;0,"Switch Total &amp; Calcium Hardness values"," ")</f>
        <v xml:space="preserve"> </v>
      </c>
      <c r="I12" s="138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1" t="s">
        <v>150</v>
      </c>
      <c r="S12" s="142"/>
      <c r="T12" s="151"/>
      <c r="U12" s="5"/>
    </row>
    <row r="13" spans="1:21" ht="14.4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7"/>
      <c r="I13" s="138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1" t="s">
        <v>150</v>
      </c>
      <c r="S13" s="142"/>
      <c r="T13" s="151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7"/>
      <c r="I14" s="138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1" t="s">
        <v>150</v>
      </c>
      <c r="S14" s="142"/>
      <c r="T14" s="151"/>
      <c r="U14" s="5"/>
    </row>
    <row r="15" spans="1:21" ht="14.4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7"/>
      <c r="I15" s="138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1"/>
      <c r="S15" s="142"/>
      <c r="T15" s="151"/>
      <c r="U15" s="5"/>
    </row>
    <row r="16" spans="1:21" ht="14.4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7"/>
      <c r="I16" s="138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1"/>
      <c r="S16" s="142"/>
      <c r="T16" s="151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39" t="str">
        <f>IF(D17&gt;=0.01,"Check if need to increase decimal on the right"," ")</f>
        <v xml:space="preserve"> </v>
      </c>
      <c r="I17" s="140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66</v>
      </c>
      <c r="P17" s="11" t="s">
        <v>23</v>
      </c>
      <c r="Q17" s="11" t="str">
        <f>VLOOKUP(N17,Lookup!C52:D59,2)</f>
        <v>Not Detected</v>
      </c>
      <c r="R17" s="141"/>
      <c r="S17" s="142"/>
      <c r="T17" s="151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39" t="str">
        <f t="shared" ref="H18:H20" si="2">IF(D18&gt;=0.01,"Check if need to increase decimal on the right"," ")</f>
        <v xml:space="preserve"> </v>
      </c>
      <c r="I18" s="140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1" t="s">
        <v>68</v>
      </c>
      <c r="S18" s="142"/>
      <c r="T18" s="151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39" t="str">
        <f t="shared" si="2"/>
        <v xml:space="preserve"> </v>
      </c>
      <c r="I19" s="140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1"/>
      <c r="S19" s="142"/>
      <c r="T19" s="151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39" t="str">
        <f t="shared" si="2"/>
        <v xml:space="preserve"> </v>
      </c>
      <c r="I20" s="140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1"/>
      <c r="S20" s="142"/>
      <c r="T20" s="151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7"/>
      <c r="I21" s="138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1" t="s">
        <v>150</v>
      </c>
      <c r="S21" s="142"/>
      <c r="T21" s="151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7"/>
      <c r="I22" s="138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1"/>
      <c r="S22" s="142"/>
      <c r="T22" s="151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7"/>
      <c r="I23" s="138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1"/>
      <c r="S23" s="142"/>
      <c r="T23" s="151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7"/>
      <c r="I24" s="138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1"/>
      <c r="S24" s="142"/>
      <c r="T24" s="151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7"/>
      <c r="I25" s="138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1"/>
      <c r="S25" s="142"/>
      <c r="T25" s="151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7"/>
      <c r="I26" s="138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1"/>
      <c r="S26" s="142"/>
      <c r="T26" s="151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7"/>
      <c r="I27" s="138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1"/>
      <c r="S27" s="142"/>
      <c r="T27" s="151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7"/>
      <c r="I28" s="138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3"/>
      <c r="S28" s="164"/>
      <c r="T28" s="165"/>
      <c r="U28" s="5"/>
    </row>
    <row r="29" spans="1:21" ht="14.4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37"/>
      <c r="I29" s="138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6"/>
      <c r="S29" s="167"/>
      <c r="T29" s="168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37"/>
      <c r="I30" s="138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41"/>
      <c r="S30" s="142"/>
      <c r="T30" s="151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1" t="s">
        <v>209</v>
      </c>
      <c r="D32" s="142"/>
      <c r="E32" s="143" t="s">
        <v>197</v>
      </c>
      <c r="F32" s="143"/>
      <c r="G32" s="58" t="s">
        <v>210</v>
      </c>
      <c r="H32" s="143" t="s">
        <v>201</v>
      </c>
      <c r="I32" s="144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6" t="s">
        <v>193</v>
      </c>
      <c r="N42" s="156"/>
      <c r="O42" s="156"/>
      <c r="P42" s="156"/>
      <c r="Q42" s="156"/>
      <c r="R42" s="156"/>
      <c r="S42" s="156"/>
      <c r="T42" s="156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5" t="s">
        <v>129</v>
      </c>
      <c r="N43" s="156"/>
      <c r="O43" s="156"/>
      <c r="P43" s="156"/>
      <c r="Q43" s="156"/>
      <c r="R43" s="156"/>
      <c r="S43" s="156"/>
      <c r="T43" s="156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87" t="s">
        <v>167</v>
      </c>
      <c r="J1" s="13" t="e">
        <f>#REF!</f>
        <v>#REF!</v>
      </c>
    </row>
    <row r="2" spans="1:11" ht="22.8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2"/>
      <c r="D4" s="162"/>
      <c r="E4" s="162"/>
      <c r="F4" s="162"/>
      <c r="G4" s="8"/>
      <c r="H4" s="83" t="s">
        <v>148</v>
      </c>
      <c r="I4" s="162"/>
      <c r="J4" s="162"/>
    </row>
    <row r="5" spans="1:11" ht="22.5" customHeight="1">
      <c r="B5" s="83" t="s">
        <v>171</v>
      </c>
      <c r="C5" s="162"/>
      <c r="D5" s="162"/>
      <c r="E5" s="162"/>
      <c r="F5" s="162"/>
      <c r="G5" s="8"/>
      <c r="H5" s="83" t="s">
        <v>56</v>
      </c>
      <c r="I5" s="162"/>
      <c r="J5" s="162"/>
    </row>
    <row r="6" spans="1:11" ht="22.5" customHeight="1">
      <c r="B6" s="83" t="s">
        <v>133</v>
      </c>
      <c r="C6" s="169"/>
      <c r="D6" s="169"/>
      <c r="E6" s="169"/>
      <c r="F6" s="169"/>
      <c r="G6" s="8"/>
      <c r="H6" s="83" t="s">
        <v>169</v>
      </c>
      <c r="I6" s="162"/>
      <c r="J6" s="162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a485ba0b-8b54-4b26-a1c0-8a4bc31186fb"/>
    <ds:schemaRef ds:uri="9e3d8395-3b78-4cee-bcbb-a4d4a59b9b21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sharepoint/v3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A8864B-EFB8-4A14-943D-4F5A4D2DA7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Warren Lawrence</cp:lastModifiedBy>
  <cp:lastPrinted>2022-12-18T21:58:55Z</cp:lastPrinted>
  <dcterms:created xsi:type="dcterms:W3CDTF">2017-07-10T05:27:40Z</dcterms:created>
  <dcterms:modified xsi:type="dcterms:W3CDTF">2022-12-18T22:12:08Z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