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2 February/"/>
    </mc:Choice>
  </mc:AlternateContent>
  <xr:revisionPtr revIDLastSave="63" documentId="13_ncr:1_{437CB799-6185-482E-8983-3DB59875094D}" xr6:coauthVersionLast="47" xr6:coauthVersionMax="47" xr10:uidLastSave="{90701D60-8537-4DEA-B55E-3E9A389B0F45}"/>
  <bookViews>
    <workbookView xWindow="-28920" yWindow="-120" windowWidth="29040" windowHeight="1584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/>
  <c r="E19" i="9"/>
  <c r="Q20" i="9"/>
  <c r="Q19" i="9"/>
  <c r="F19" i="9"/>
  <c r="R20" i="9"/>
  <c r="R19" i="9"/>
  <c r="S19" i="9"/>
  <c r="S20" i="9"/>
  <c r="G19" i="9"/>
  <c r="N25" i="27"/>
  <c r="D25" i="27"/>
  <c r="D24" i="27"/>
  <c r="N24" i="27"/>
  <c r="N24" i="22"/>
  <c r="D24" i="22"/>
  <c r="D25" i="22"/>
  <c r="N25" i="22"/>
</calcChain>
</file>

<file path=xl/sharedStrings.xml><?xml version="1.0" encoding="utf-8"?>
<sst xmlns="http://schemas.openxmlformats.org/spreadsheetml/2006/main" count="1899" uniqueCount="229">
  <si>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</si>
  <si>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</si>
  <si>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</si>
  <si>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</si>
  <si>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</si>
  <si>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</si>
  <si>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</si>
  <si>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</si>
  <si>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</si>
  <si>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</si>
  <si>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</si>
  <si>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</si>
  <si>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</si>
  <si>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</si>
  <si>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</si>
  <si>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</si>
  <si>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</si>
  <si>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</si>
  <si>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</si>
  <si>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</si>
  <si>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</si>
  <si>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</si>
  <si>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</si>
  <si>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</si>
  <si>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</si>
  <si>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</si>
  <si>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</si>
  <si>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</si>
  <si>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</si>
  <si>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</si>
  <si>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</si>
  <si>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</si>
  <si>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</si>
  <si>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</si>
  <si>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</si>
  <si>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</si>
  <si>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</si>
  <si>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</si>
  <si>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</si>
  <si>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</si>
  <si>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</si>
  <si>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</si>
  <si>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</si>
  <si>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</si>
  <si>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</si>
  <si>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</si>
  <si>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</si>
  <si>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</si>
  <si>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</si>
  <si>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</si>
  <si>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</si>
  <si>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</si>
  <si>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</si>
  <si>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</si>
  <si>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</si>
  <si>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</si>
  <si>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</si>
  <si>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</si>
  <si>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</si>
  <si>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</si>
  <si>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</si>
  <si>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</si>
  <si>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</si>
  <si>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</si>
  <si>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</si>
  <si>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</si>
  <si>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</si>
  <si>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</si>
  <si>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</si>
  <si>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</si>
  <si>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</si>
  <si>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</si>
  <si>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</si>
  <si>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</si>
  <si>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</si>
  <si>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</si>
  <si>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</si>
  <si>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</si>
  <si>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</si>
  <si>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</si>
  <si>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</si>
  <si>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</si>
  <si>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</si>
  <si>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</si>
  <si>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</si>
  <si>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</si>
  <si>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</si>
  <si>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</si>
  <si>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</si>
  <si>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</si>
  <si>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</si>
  <si>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</si>
  <si>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</si>
  <si>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</si>
  <si>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</si>
  <si>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</si>
  <si>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</si>
  <si>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</si>
  <si>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</si>
  <si>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</si>
  <si>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</si>
  <si>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</si>
  <si>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</si>
  <si>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</si>
  <si>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</si>
  <si>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</si>
  <si>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</si>
  <si>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</si>
  <si>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</si>
  <si>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</si>
  <si>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</si>
  <si>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</si>
  <si>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</si>
  <si>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</si>
  <si>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</si>
  <si>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</si>
  <si>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</si>
  <si>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</si>
  <si>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</si>
  <si>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</si>
  <si>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</si>
  <si>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</si>
  <si>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</si>
  <si>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</si>
  <si>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</si>
  <si>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</si>
  <si>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</si>
  <si>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</si>
  <si>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</si>
  <si>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</si>
  <si>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</si>
  <si>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</si>
  <si>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</si>
  <si>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</si>
  <si>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</si>
  <si>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</si>
  <si>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</si>
  <si>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</si>
  <si>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</si>
  <si>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</si>
  <si>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</si>
  <si>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</si>
  <si>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</si>
  <si>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</si>
  <si>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</si>
  <si>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</si>
  <si>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</si>
  <si>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</si>
  <si>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</si>
  <si>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</si>
  <si>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</si>
  <si>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</si>
  <si>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</si>
  <si>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</si>
  <si>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</si>
  <si>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</si>
  <si>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</si>
  <si>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</si>
  <si>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</si>
  <si>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</si>
  <si>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</si>
  <si>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</si>
  <si>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</si>
  <si>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</si>
  <si>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</si>
  <si>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</si>
  <si>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</si>
  <si>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</si>
  <si>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</si>
  <si>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</si>
  <si>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</si>
  <si>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</si>
  <si>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</si>
  <si>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</si>
  <si>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</si>
  <si>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</si>
  <si>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</si>
  <si>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</si>
  <si>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</si>
  <si>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</si>
  <si>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</si>
  <si>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</si>
  <si>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</si>
  <si>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</si>
  <si>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</si>
  <si>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</si>
  <si>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</si>
  <si>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</si>
  <si>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</si>
  <si>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</si>
  <si>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</si>
  <si>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</si>
  <si>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</si>
  <si>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</si>
  <si>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</si>
  <si>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</si>
  <si>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</si>
  <si>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</si>
  <si>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</si>
  <si>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</si>
  <si>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</si>
  <si>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</si>
  <si>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</si>
  <si>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</si>
  <si>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</si>
  <si>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</si>
  <si>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</si>
  <si>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</si>
  <si>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</si>
  <si>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</si>
  <si>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</si>
  <si>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</si>
  <si>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</si>
  <si>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</si>
  <si>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</si>
  <si>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</si>
  <si>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</si>
  <si>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</si>
  <si>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</si>
  <si>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</si>
  <si>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</si>
  <si>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</si>
  <si>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</si>
  <si>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</si>
  <si>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</si>
  <si>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</si>
  <si>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Machinery Maintenance</t>
  </si>
  <si>
    <t>Gracefield</t>
  </si>
  <si>
    <t>20230208SRT01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</si>
</sst>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E6" zoomScaleNormal="100" workbookViewId="0">
      <selection activeCell="R26" sqref="R26:T27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5703125" style="1" customWidth="1"/>
    <col min="13" max="13" width="10.85546875" style="1" customWidth="1"/>
    <col min="14" max="19" width="10" style="1" customWidth="1"/>
    <col min="20" max="20" width="12.570312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44971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44971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44971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44971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1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1"/>
        <v xml:space="preserve"> </v>
      </c>
      <c r="I19" s="111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1"/>
        <v xml:space="preserve"> </v>
      </c>
      <c r="I20" s="111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2"/>
      <c r="S28" s="113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2" t="s">
        <v>70</v>
      </c>
      <c r="D30" s="113"/>
      <c r="E30" s="114" t="s">
        <v>71</v>
      </c>
      <c r="F30" s="114"/>
      <c r="G30" s="49" t="s">
        <v>72</v>
      </c>
      <c r="H30" s="114" t="s">
        <v>73</v>
      </c>
      <c r="I30" s="115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7" t="s">
        <v>81</v>
      </c>
      <c r="N39" s="127"/>
      <c r="O39" s="127"/>
      <c r="P39" s="127"/>
      <c r="Q39" s="127"/>
      <c r="R39" s="127"/>
      <c r="S39" s="127"/>
      <c r="T39" s="127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6" t="s">
        <v>82</v>
      </c>
      <c r="N40" s="127"/>
      <c r="O40" s="127"/>
      <c r="P40" s="127"/>
      <c r="Q40" s="127"/>
      <c r="R40" s="127"/>
      <c r="S40" s="127"/>
      <c r="T40" s="127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6"/>
      <c r="N41" s="127"/>
      <c r="O41" s="127"/>
      <c r="P41" s="127"/>
      <c r="Q41" s="127"/>
      <c r="R41" s="127"/>
      <c r="S41" s="127"/>
      <c r="T41" s="127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 t="s">
        <v>130</v>
      </c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40625" defaultRowHeight="15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.5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.75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2" t="s">
        <v>217</v>
      </c>
      <c r="D39" s="113"/>
      <c r="E39" s="140" t="s">
        <v>71</v>
      </c>
      <c r="F39" s="140"/>
      <c r="G39" s="49" t="s">
        <v>218</v>
      </c>
      <c r="H39" s="114" t="s">
        <v>219</v>
      </c>
      <c r="I39" s="114"/>
      <c r="J39" s="11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22.42578125" style="1" customWidth="1"/>
    <col min="9" max="9" width="13.85546875" style="1" customWidth="1"/>
    <col min="10" max="10" width="3.5703125" style="1" customWidth="1"/>
    <col min="11" max="11" width="2" style="1" customWidth="1"/>
    <col min="12" max="12" width="18.5703125" style="1" customWidth="1"/>
    <col min="13" max="13" width="10.85546875" style="1" customWidth="1"/>
    <col min="14" max="19" width="10" style="1" customWidth="1"/>
    <col min="20" max="20" width="12.570312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44971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44971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44971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44971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08"/>
      <c r="I11" s="109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2" t="s">
        <v>31</v>
      </c>
      <c r="S11" s="113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08"/>
      <c r="I12" s="109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2" t="s">
        <v>31</v>
      </c>
      <c r="S12" s="113"/>
      <c r="T12" s="122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08"/>
      <c r="I13" s="109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2"/>
      <c r="S13" s="113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0" t="str">
        <f>IF(D14&gt;=0.01,"Check if need to increase decimal on the right"," ")</f>
        <v xml:space="preserve"> </v>
      </c>
      <c r="I14" s="111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2"/>
      <c r="S14" s="113"/>
      <c r="T14" s="122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10" t="str">
        <f>IF(D15&gt;=0.01,"Check if need to increase decimal on the right"," ")</f>
        <v xml:space="preserve"> </v>
      </c>
      <c r="I15" s="111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2" t="s">
        <v>46</v>
      </c>
      <c r="S15" s="113"/>
      <c r="T15" s="122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08"/>
      <c r="I16" s="109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2" t="s">
        <v>31</v>
      </c>
      <c r="S16" s="113"/>
      <c r="T16" s="122"/>
      <c r="U16" s="5"/>
    </row>
    <row r="17" spans="1:21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08"/>
      <c r="I17" s="109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2"/>
      <c r="S17" s="113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2" t="s">
        <v>70</v>
      </c>
      <c r="D19" s="113"/>
      <c r="E19" s="114" t="s">
        <v>71</v>
      </c>
      <c r="F19" s="114"/>
      <c r="G19" s="49" t="s">
        <v>72</v>
      </c>
      <c r="H19" s="114" t="s">
        <v>73</v>
      </c>
      <c r="I19" s="11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7" t="s">
        <v>81</v>
      </c>
      <c r="N27" s="127"/>
      <c r="O27" s="127"/>
      <c r="P27" s="127"/>
      <c r="Q27" s="127"/>
      <c r="R27" s="127"/>
      <c r="S27" s="127"/>
      <c r="T27" s="12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6" t="s">
        <v>82</v>
      </c>
      <c r="N28" s="127"/>
      <c r="O28" s="127"/>
      <c r="P28" s="127"/>
      <c r="Q28" s="127"/>
      <c r="R28" s="127"/>
      <c r="S28" s="127"/>
      <c r="T28" s="12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6"/>
      <c r="N29" s="127"/>
      <c r="O29" s="127"/>
      <c r="P29" s="127"/>
      <c r="Q29" s="127"/>
      <c r="R29" s="127"/>
      <c r="S29" s="127"/>
      <c r="T29" s="12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B1" zoomScaleNormal="110" zoomScaleSheetLayoutView="100" workbookViewId="0">
      <selection activeCell="H29" sqref="H29:J29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2.42578125" style="1" customWidth="1"/>
    <col min="12" max="12" width="2" style="1" customWidth="1"/>
    <col min="13" max="13" width="18.5703125" style="1" customWidth="1"/>
    <col min="14" max="14" width="10.85546875" style="1" customWidth="1"/>
    <col min="15" max="21" width="10" style="1" customWidth="1"/>
    <col min="22" max="22" width="0.5703125" style="1" customWidth="1"/>
    <col min="23" max="16384" width="9.140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9" t="s">
        <v>226</v>
      </c>
      <c r="D3" s="129"/>
      <c r="E3" s="129"/>
      <c r="F3" s="129"/>
      <c r="G3" s="8"/>
      <c r="H3" s="66" t="s">
        <v>4</v>
      </c>
      <c r="I3" s="130" t="s">
        <v>228</v>
      </c>
      <c r="J3" s="130"/>
      <c r="K3" s="57"/>
      <c r="M3" s="1" t="str">
        <f>IF(ISBLANK(C3),"DEALER NAME",C3)</f>
        <v>Machinery Maintenance</v>
      </c>
      <c r="Q3" s="8"/>
      <c r="R3" s="8"/>
      <c r="S3" s="9" t="s">
        <v>4</v>
      </c>
      <c r="U3" s="57" t="str">
        <f>I3</f>
        <v>20230208SRT01</v>
      </c>
    </row>
    <row r="4" spans="1:21" ht="15.75">
      <c r="B4" s="66" t="s">
        <v>6</v>
      </c>
      <c r="C4" s="129" t="s">
        <v>227</v>
      </c>
      <c r="D4" s="129"/>
      <c r="E4" s="129"/>
      <c r="F4" s="129"/>
      <c r="G4" s="8"/>
      <c r="H4" s="66" t="s">
        <v>7</v>
      </c>
      <c r="I4" s="131">
        <v>44965</v>
      </c>
      <c r="J4" s="130"/>
      <c r="K4" s="57"/>
      <c r="M4" s="3" t="str">
        <f>IF(ISBLANK(C4),"REFERENCE NAME",C4)</f>
        <v>Gracefield</v>
      </c>
      <c r="Q4" s="8"/>
      <c r="R4" s="8"/>
      <c r="S4" s="9" t="s">
        <v>7</v>
      </c>
      <c r="U4" s="58">
        <f>I4</f>
        <v>44965</v>
      </c>
    </row>
    <row r="5" spans="1:21">
      <c r="B5" s="66" t="s">
        <v>8</v>
      </c>
      <c r="C5" s="119" t="s">
        <v>111</v>
      </c>
      <c r="D5" s="119"/>
      <c r="E5" s="119"/>
      <c r="F5" s="119"/>
      <c r="G5" s="8"/>
      <c r="H5" s="66" t="s">
        <v>10</v>
      </c>
      <c r="I5" s="131">
        <f ca="1">TODAY()</f>
        <v>44971</v>
      </c>
      <c r="J5" s="130"/>
      <c r="K5" s="57"/>
      <c r="M5" s="9" t="s">
        <v>8</v>
      </c>
      <c r="N5" s="57" t="str">
        <f>IF(ISBLANK(C5),"TBC",C5)</f>
        <v>Ground Water</v>
      </c>
      <c r="Q5" s="8"/>
      <c r="R5" s="8"/>
      <c r="S5" s="9" t="s">
        <v>10</v>
      </c>
      <c r="U5" s="58">
        <f ca="1">I5</f>
        <v>44971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88</v>
      </c>
      <c r="E8" s="68" t="s">
        <v>89</v>
      </c>
      <c r="F8" s="68" t="s">
        <v>90</v>
      </c>
      <c r="G8" s="68" t="s">
        <v>91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88</v>
      </c>
      <c r="Q8" s="60" t="s">
        <v>89</v>
      </c>
      <c r="R8" s="60" t="s">
        <v>90</v>
      </c>
      <c r="S8" s="60" t="s">
        <v>91</v>
      </c>
    </row>
    <row r="9" spans="1:21">
      <c r="A9" s="4"/>
      <c r="B9" s="10" t="s">
        <v>22</v>
      </c>
      <c r="C9" s="11" t="s">
        <v>23</v>
      </c>
      <c r="D9" s="14">
        <v>6.9</v>
      </c>
      <c r="E9" s="14">
        <v>8</v>
      </c>
      <c r="F9" s="14">
        <v>8.1</v>
      </c>
      <c r="G9" s="14">
        <v>7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6.9</v>
      </c>
      <c r="Q9" s="14">
        <f t="shared" ref="Q9:S9" si="0">E9</f>
        <v>8</v>
      </c>
      <c r="R9" s="14">
        <f t="shared" si="0"/>
        <v>8.1</v>
      </c>
      <c r="S9" s="14">
        <f t="shared" si="0"/>
        <v>7</v>
      </c>
    </row>
    <row r="10" spans="1:21">
      <c r="A10" s="4"/>
      <c r="B10" s="10" t="s">
        <v>25</v>
      </c>
      <c r="C10" s="10" t="s">
        <v>26</v>
      </c>
      <c r="D10" s="15">
        <v>160</v>
      </c>
      <c r="E10" s="15">
        <v>160</v>
      </c>
      <c r="F10" s="15">
        <v>175</v>
      </c>
      <c r="G10" s="15">
        <v>45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160</v>
      </c>
      <c r="Q10" s="15">
        <f t="shared" si="1"/>
        <v>160</v>
      </c>
      <c r="R10" s="15">
        <f t="shared" si="1"/>
        <v>175</v>
      </c>
      <c r="S10" s="15">
        <f t="shared" si="1"/>
        <v>45</v>
      </c>
    </row>
    <row r="11" spans="1:21">
      <c r="A11" s="4"/>
      <c r="B11" s="10" t="s">
        <v>27</v>
      </c>
      <c r="C11" s="10" t="s">
        <v>26</v>
      </c>
      <c r="D11" s="15">
        <v>105</v>
      </c>
      <c r="E11" s="15">
        <v>110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105</v>
      </c>
      <c r="Q11" s="15">
        <f t="shared" si="1"/>
        <v>110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40.25455636655694</v>
      </c>
      <c r="E12" s="75">
        <f>2*(IF(E10&lt;5,5,E10)-(5*10^(E9-10)))/(1+(0.94*10^(E9-10)))*10^(6-E9)</f>
        <v>3.1692094313453532</v>
      </c>
      <c r="F12" s="75">
        <f t="shared" ref="F12:G12" si="2">2*(IF(F10&lt;5,5,F10)-(5*10^(F9-10)))/(1+(0.94*10^(F9-10)))*10^(6-F9)</f>
        <v>2.746645298834443</v>
      </c>
      <c r="G12" s="75">
        <f t="shared" si="2"/>
        <v>8.9905488840489944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40.25455636655694</v>
      </c>
      <c r="Q12" s="15">
        <f t="shared" ref="Q12:S12" si="3">IF(E12&lt;1,"&lt;1",E12)</f>
        <v>3.1692094313453532</v>
      </c>
      <c r="R12" s="15">
        <f t="shared" si="3"/>
        <v>2.746645298834443</v>
      </c>
      <c r="S12" s="15">
        <f t="shared" si="3"/>
        <v>8.9905488840489944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-0.89999999999999858</v>
      </c>
      <c r="E13" s="76">
        <f>+E9+0.5+VLOOKUP(IF(E10&lt;5,5,E10),LSI!$F$2:$G$25,2)+VLOOKUP(IF(E11&lt;5,5,E11),LSI!$H$2:$I$25,2)-12.1</f>
        <v>0.20000000000000107</v>
      </c>
      <c r="F13" s="76">
        <f>+F9+0.5+VLOOKUP(IF(F10&lt;5,5,F10),LSI!$F$2:$G$25,2)+VLOOKUP(IF(F11&lt;5,5,F11),LSI!$H$2:$I$25,2)-12.1</f>
        <v>-1</v>
      </c>
      <c r="G13" s="76">
        <f>+G9+0.5+VLOOKUP(IF(G10&lt;5,5,G10),LSI!$F$2:$G$25,2)+VLOOKUP(IF(G11&lt;5,5,G11),LSI!$H$2:$I$25,2)-12.1</f>
        <v>-2.7000000000000011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5">
        <f>D13</f>
        <v>-0.89999999999999858</v>
      </c>
      <c r="Q13" s="15">
        <f t="shared" ref="Q13" si="4">E13</f>
        <v>0.20000000000000107</v>
      </c>
      <c r="R13" s="15">
        <f t="shared" ref="R13" si="5">F13</f>
        <v>-1</v>
      </c>
      <c r="S13" s="15">
        <f t="shared" ref="S13" si="6">G13</f>
        <v>-2.7000000000000011</v>
      </c>
    </row>
    <row r="14" spans="1:21">
      <c r="A14" s="4"/>
      <c r="B14" s="10" t="s">
        <v>40</v>
      </c>
      <c r="C14" s="10" t="s">
        <v>41</v>
      </c>
      <c r="D14" s="11">
        <v>0.39</v>
      </c>
      <c r="E14" s="11">
        <v>0.26</v>
      </c>
      <c r="F14" s="11">
        <v>0.13</v>
      </c>
      <c r="G14" s="11" t="s">
        <v>139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S15" si="7">IF(D14&lt;0.01,"&lt;0.01",D14)</f>
        <v>0.39</v>
      </c>
      <c r="Q14" s="11">
        <f t="shared" si="7"/>
        <v>0.26</v>
      </c>
      <c r="R14" s="11">
        <f t="shared" si="7"/>
        <v>0.13</v>
      </c>
      <c r="S14" s="11" t="str">
        <f t="shared" si="7"/>
        <v>&lt;0.01</v>
      </c>
    </row>
    <row r="15" spans="1:21">
      <c r="A15" s="4"/>
      <c r="B15" s="10" t="s">
        <v>44</v>
      </c>
      <c r="C15" s="10" t="s">
        <v>41</v>
      </c>
      <c r="D15" s="11">
        <v>0.01</v>
      </c>
      <c r="E15" s="11" t="s">
        <v>139</v>
      </c>
      <c r="F15" s="11" t="s">
        <v>139</v>
      </c>
      <c r="G15" s="11" t="s">
        <v>139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>
        <f t="shared" si="7"/>
        <v>0.01</v>
      </c>
      <c r="Q15" s="11" t="str">
        <f t="shared" si="7"/>
        <v>&lt;0.01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>
        <v>270</v>
      </c>
      <c r="E16" s="11">
        <v>270</v>
      </c>
      <c r="F16" s="11">
        <v>280</v>
      </c>
      <c r="G16" s="11">
        <v>330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270</v>
      </c>
      <c r="Q16" s="11">
        <f>IF(E16&lt;10,"&lt;10",E16)</f>
        <v>270</v>
      </c>
      <c r="R16" s="11">
        <f>IF(F16&lt;10,"&lt;10",F16)</f>
        <v>280</v>
      </c>
      <c r="S16" s="11">
        <f>IF(G16&lt;10,"&lt;10",G16)</f>
        <v>330</v>
      </c>
    </row>
    <row r="17" spans="1:22">
      <c r="A17" s="4"/>
      <c r="B17" s="10" t="s">
        <v>53</v>
      </c>
      <c r="C17" s="10" t="s">
        <v>41</v>
      </c>
      <c r="D17" s="15">
        <v>22</v>
      </c>
      <c r="E17" s="15">
        <v>20</v>
      </c>
      <c r="F17" s="15">
        <v>21</v>
      </c>
      <c r="G17" s="15">
        <v>145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22</v>
      </c>
      <c r="Q17" s="11">
        <f t="shared" ref="Q17:S18" si="8">IF(E17&lt;1,"&lt;1",E17)</f>
        <v>20</v>
      </c>
      <c r="R17" s="11">
        <f t="shared" si="8"/>
        <v>21</v>
      </c>
      <c r="S17" s="11">
        <f t="shared" si="8"/>
        <v>145</v>
      </c>
    </row>
    <row r="18" spans="1:22">
      <c r="A18" s="4"/>
      <c r="B18" s="10" t="s">
        <v>55</v>
      </c>
      <c r="C18" s="10" t="s">
        <v>41</v>
      </c>
      <c r="D18" s="15">
        <v>36</v>
      </c>
      <c r="E18" s="15">
        <v>36</v>
      </c>
      <c r="F18" s="15">
        <v>130</v>
      </c>
      <c r="G18" s="15">
        <v>130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36</v>
      </c>
      <c r="Q18" s="11">
        <f t="shared" si="8"/>
        <v>36</v>
      </c>
      <c r="R18" s="11">
        <f t="shared" si="8"/>
        <v>130</v>
      </c>
      <c r="S18" s="11">
        <f t="shared" si="8"/>
        <v>130</v>
      </c>
    </row>
    <row r="19" spans="1:22" hidden="1">
      <c r="A19" s="4"/>
      <c r="B19" s="10" t="s">
        <v>56</v>
      </c>
      <c r="C19" s="10" t="s">
        <v>57</v>
      </c>
      <c r="D19" s="14">
        <f>D20/10</f>
        <v>38.200000000000003</v>
      </c>
      <c r="E19" s="14">
        <f t="shared" ref="E19:G19" si="9">E20/10</f>
        <v>37.700000000000003</v>
      </c>
      <c r="F19" s="14">
        <f t="shared" si="9"/>
        <v>39.1</v>
      </c>
      <c r="G19" s="14">
        <f t="shared" si="9"/>
        <v>46.3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38.200000000000003</v>
      </c>
      <c r="Q19" s="14">
        <f t="shared" ref="Q19:S19" si="10">Q20/10</f>
        <v>37.700000000000003</v>
      </c>
      <c r="R19" s="14">
        <f t="shared" si="10"/>
        <v>39.1</v>
      </c>
      <c r="S19" s="14">
        <f t="shared" si="10"/>
        <v>46.3</v>
      </c>
    </row>
    <row r="20" spans="1:22">
      <c r="A20" s="4"/>
      <c r="B20" s="10" t="s">
        <v>56</v>
      </c>
      <c r="C20" s="10" t="s">
        <v>58</v>
      </c>
      <c r="D20" s="15">
        <v>382</v>
      </c>
      <c r="E20" s="15">
        <v>377</v>
      </c>
      <c r="F20" s="15">
        <v>391</v>
      </c>
      <c r="G20" s="15">
        <v>463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382</v>
      </c>
      <c r="Q20" s="14">
        <f t="shared" si="11"/>
        <v>377</v>
      </c>
      <c r="R20" s="14">
        <f t="shared" si="11"/>
        <v>391</v>
      </c>
      <c r="S20" s="14">
        <f t="shared" si="11"/>
        <v>463</v>
      </c>
    </row>
    <row r="21" spans="1:22">
      <c r="A21" s="4"/>
      <c r="B21" s="10" t="s">
        <v>59</v>
      </c>
      <c r="C21" s="10" t="s">
        <v>60</v>
      </c>
      <c r="D21" s="11">
        <v>0.46</v>
      </c>
      <c r="E21" s="11">
        <v>0.94</v>
      </c>
      <c r="F21" s="11">
        <v>0.34</v>
      </c>
      <c r="G21" s="11">
        <v>0.15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>
        <f>IF(D21&lt;0.05,"&lt;0.05",D21)</f>
        <v>0.46</v>
      </c>
      <c r="Q21" s="14">
        <f>IF(E21&lt;0.05,"&lt;0.05",E21)</f>
        <v>0.94</v>
      </c>
      <c r="R21" s="14">
        <f>IF(F21&lt;0.05,"&lt;0.05",F21)</f>
        <v>0.34</v>
      </c>
      <c r="S21" s="14">
        <f>IF(G21&lt;0.05,"&lt;0.05",G21)</f>
        <v>0.15</v>
      </c>
    </row>
    <row r="22" spans="1:22">
      <c r="A22" s="4"/>
      <c r="B22" s="10" t="s">
        <v>63</v>
      </c>
      <c r="C22" s="10" t="s">
        <v>64</v>
      </c>
      <c r="D22" s="15" t="s">
        <v>141</v>
      </c>
      <c r="E22" s="15" t="s">
        <v>141</v>
      </c>
      <c r="F22" s="15" t="s">
        <v>141</v>
      </c>
      <c r="G22" s="15" t="s">
        <v>141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67</v>
      </c>
      <c r="C23" s="10" t="s">
        <v>68</v>
      </c>
      <c r="D23" s="14">
        <v>87.5</v>
      </c>
      <c r="E23" s="14">
        <v>88.7</v>
      </c>
      <c r="F23" s="14">
        <v>41.9</v>
      </c>
      <c r="G23" s="14">
        <v>95.4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87.5</v>
      </c>
      <c r="Q23" s="14">
        <f t="shared" si="12"/>
        <v>88.7</v>
      </c>
      <c r="R23" s="14">
        <f t="shared" si="12"/>
        <v>41.9</v>
      </c>
      <c r="S23" s="14">
        <f t="shared" si="12"/>
        <v>95.4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19" t="s">
        <v>70</v>
      </c>
      <c r="D26" s="119"/>
      <c r="E26" s="128" t="s">
        <v>222</v>
      </c>
      <c r="F26" s="128"/>
      <c r="G26" s="10" t="s">
        <v>72</v>
      </c>
      <c r="H26" s="128" t="s">
        <v>73</v>
      </c>
      <c r="I26" s="128"/>
      <c r="J26" s="128"/>
      <c r="K26" s="47"/>
      <c r="L26" s="4"/>
      <c r="M26" s="10" t="s">
        <v>93</v>
      </c>
      <c r="N26" s="48" t="str">
        <f>CONCATENATE(C26, " ", E26," ", G26, " ", H26)</f>
        <v>The sample was clear  with no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19" t="s">
        <v>70</v>
      </c>
      <c r="D27" s="119"/>
      <c r="E27" s="128" t="s">
        <v>222</v>
      </c>
      <c r="F27" s="128"/>
      <c r="G27" s="10" t="s">
        <v>72</v>
      </c>
      <c r="H27" s="128" t="s">
        <v>73</v>
      </c>
      <c r="I27" s="128"/>
      <c r="J27" s="128"/>
      <c r="K27" s="47"/>
      <c r="L27" s="4"/>
      <c r="M27" s="10" t="s">
        <v>94</v>
      </c>
      <c r="N27" s="48" t="str">
        <f>CONCATENATE(C27, " ", E27," ", G27, " ", H27)</f>
        <v>The sample was clear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95</v>
      </c>
      <c r="C28" s="119" t="s">
        <v>70</v>
      </c>
      <c r="D28" s="119"/>
      <c r="E28" s="128" t="s">
        <v>222</v>
      </c>
      <c r="F28" s="128"/>
      <c r="G28" s="10" t="s">
        <v>72</v>
      </c>
      <c r="H28" s="128" t="s">
        <v>73</v>
      </c>
      <c r="I28" s="128"/>
      <c r="J28" s="128"/>
      <c r="K28" s="47"/>
      <c r="L28" s="4"/>
      <c r="M28" s="10" t="s">
        <v>95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96</v>
      </c>
      <c r="C29" s="119" t="s">
        <v>70</v>
      </c>
      <c r="D29" s="119"/>
      <c r="E29" s="128" t="s">
        <v>222</v>
      </c>
      <c r="F29" s="128"/>
      <c r="G29" s="10" t="s">
        <v>72</v>
      </c>
      <c r="H29" s="128" t="s">
        <v>73</v>
      </c>
      <c r="I29" s="128"/>
      <c r="J29" s="128"/>
      <c r="K29" s="47"/>
      <c r="L29" s="4"/>
      <c r="M29" s="10" t="s">
        <v>96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6" t="s">
        <v>82</v>
      </c>
      <c r="O32" s="127"/>
      <c r="P32" s="127"/>
      <c r="Q32" s="127"/>
      <c r="R32" s="127"/>
      <c r="S32" s="127"/>
      <c r="T32" s="127"/>
      <c r="U32" s="12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Q19" sqref="Q19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2" width="3.42578125" style="1" customWidth="1"/>
    <col min="13" max="13" width="3.5703125" style="1" customWidth="1"/>
    <col min="14" max="14" width="1.140625" style="1" customWidth="1"/>
    <col min="15" max="15" width="18.5703125" style="1" customWidth="1"/>
    <col min="16" max="16" width="10.85546875" style="1" customWidth="1"/>
    <col min="17" max="23" width="10" style="1" customWidth="1"/>
    <col min="24" max="24" width="0.5703125" style="1" customWidth="1"/>
    <col min="25" max="16384" width="9.140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9"/>
      <c r="D3" s="129"/>
      <c r="E3" s="129"/>
      <c r="F3" s="129"/>
      <c r="G3" s="8"/>
      <c r="H3" s="66" t="s">
        <v>4</v>
      </c>
      <c r="I3" s="132"/>
      <c r="J3" s="132"/>
      <c r="O3" s="1" t="str">
        <f>IF(ISBLANK(C3),"DEALER NAME",C3)</f>
        <v>DEALER NAME</v>
      </c>
      <c r="S3" s="8"/>
      <c r="T3" s="8"/>
      <c r="U3" s="9" t="s">
        <v>4</v>
      </c>
      <c r="W3" s="57" t="s">
        <v>98</v>
      </c>
    </row>
    <row r="4" spans="1:23" ht="15.75">
      <c r="B4" s="66" t="s">
        <v>6</v>
      </c>
      <c r="C4" s="129"/>
      <c r="D4" s="129"/>
      <c r="E4" s="129"/>
      <c r="F4" s="129"/>
      <c r="G4" s="8"/>
      <c r="H4" s="66" t="s">
        <v>7</v>
      </c>
      <c r="I4" s="132"/>
      <c r="J4" s="132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44971</v>
      </c>
    </row>
    <row r="5" spans="1:23">
      <c r="B5" s="66" t="s">
        <v>8</v>
      </c>
      <c r="C5" s="119"/>
      <c r="D5" s="119"/>
      <c r="E5" s="119"/>
      <c r="F5" s="119"/>
      <c r="G5" s="8"/>
      <c r="H5" s="66" t="s">
        <v>9</v>
      </c>
      <c r="I5" s="132"/>
      <c r="J5" s="132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44971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>
      <c r="A13" s="4"/>
      <c r="B13" s="10" t="s">
        <v>30</v>
      </c>
      <c r="C13" s="10" t="s">
        <v>26</v>
      </c>
      <c r="D13" s="75">
        <f>D11-D12</f>
        <v>0</v>
      </c>
      <c r="E13" s="75">
        <f t="shared" ref="E13:I13" si="2">E11-E12</f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>
      <c r="A14" s="4"/>
      <c r="B14" s="10" t="s">
        <v>32</v>
      </c>
      <c r="C14" s="10" t="s">
        <v>33</v>
      </c>
      <c r="D14" s="75">
        <f>2*(IF(D9&lt;5,5,D9)-(5*10^(D8-10)))/(1+(0.94*10^(D8-10)))*10^(6-D8)</f>
        <v>9999999.9980600011</v>
      </c>
      <c r="E14" s="75">
        <f t="shared" ref="E14:I14" si="3">2*(IF(E9&lt;5,5,E9)-(5*10^(E8-10)))/(1+(0.94*10^(E8-10)))*10^(6-E8)</f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+D8+0.5+VLOOKUP(IF(D9&lt;5,5,D9),LSI!$F$2:$G$25,2)+VLOOKUP(IF(D10&lt;5,5,D10),LSI!$H$2:$I$25,2)-12.1</f>
        <v>-10.6</v>
      </c>
      <c r="E15" s="76">
        <f>+E8+0.5+VLOOKUP(IF(E9&lt;5,5,E9),LSI!$F$2:$G$25,2)+VLOOKUP(IF(E10&lt;5,5,E10),LSI!$H$2:$I$25,2)-12.1</f>
        <v>-10.6</v>
      </c>
      <c r="F15" s="76">
        <f>+F8+0.5+VLOOKUP(IF(F9&lt;5,5,F9),LSI!$F$2:$G$25,2)+VLOOKUP(IF(F10&lt;5,5,F10),LSI!$H$2:$I$25,2)-12.1</f>
        <v>-10.6</v>
      </c>
      <c r="G15" s="76">
        <f>+G8+0.5+VLOOKUP(IF(G9&lt;5,5,G9),LSI!$F$2:$G$25,2)+VLOOKUP(IF(G10&lt;5,5,G10),LSI!$H$2:$I$25,2)-12.1</f>
        <v>-10.6</v>
      </c>
      <c r="H15" s="76">
        <f>+H8+0.5+VLOOKUP(IF(H9&lt;5,5,H9),LSI!$F$2:$G$25,2)+VLOOKUP(IF(H10&lt;5,5,H10),LSI!$H$2:$I$25,2)-12.1</f>
        <v>-10.6</v>
      </c>
      <c r="I15" s="76">
        <f>+I8+0.5+VLOOKUP(IF(I9&lt;5,5,I9),LSI!$F$2:$G$25,2)+VLOOKUP(IF(I10&lt;5,5,I10),LSI!$H$2:$I$25,2)-12.1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2" t="s">
        <v>70</v>
      </c>
      <c r="D36" s="113"/>
      <c r="E36" s="114" t="s">
        <v>71</v>
      </c>
      <c r="F36" s="114"/>
      <c r="G36" s="49" t="s">
        <v>72</v>
      </c>
      <c r="H36" s="114" t="s">
        <v>73</v>
      </c>
      <c r="I36" s="115"/>
      <c r="K36" s="5"/>
      <c r="N36" s="4"/>
      <c r="O36" s="10" t="s">
        <v>93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2" t="s">
        <v>70</v>
      </c>
      <c r="D37" s="113"/>
      <c r="E37" s="114" t="s">
        <v>71</v>
      </c>
      <c r="F37" s="114"/>
      <c r="G37" s="49" t="s">
        <v>72</v>
      </c>
      <c r="H37" s="114" t="s">
        <v>73</v>
      </c>
      <c r="I37" s="115"/>
      <c r="K37" s="5"/>
      <c r="N37" s="4"/>
      <c r="O37" s="10" t="s">
        <v>94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2" t="s">
        <v>70</v>
      </c>
      <c r="D38" s="113"/>
      <c r="E38" s="114" t="s">
        <v>71</v>
      </c>
      <c r="F38" s="114"/>
      <c r="G38" s="49" t="s">
        <v>72</v>
      </c>
      <c r="H38" s="114" t="s">
        <v>73</v>
      </c>
      <c r="I38" s="115"/>
      <c r="K38" s="5"/>
      <c r="N38" s="4"/>
      <c r="O38" s="10" t="s">
        <v>95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2" t="s">
        <v>70</v>
      </c>
      <c r="D39" s="113"/>
      <c r="E39" s="114" t="s">
        <v>71</v>
      </c>
      <c r="F39" s="114"/>
      <c r="G39" s="49" t="s">
        <v>72</v>
      </c>
      <c r="H39" s="114" t="s">
        <v>73</v>
      </c>
      <c r="I39" s="115"/>
      <c r="K39" s="5"/>
      <c r="N39" s="4"/>
      <c r="O39" s="10" t="s">
        <v>96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2" t="s">
        <v>70</v>
      </c>
      <c r="D40" s="113"/>
      <c r="E40" s="114" t="s">
        <v>71</v>
      </c>
      <c r="F40" s="114"/>
      <c r="G40" s="49" t="s">
        <v>72</v>
      </c>
      <c r="H40" s="114" t="s">
        <v>73</v>
      </c>
      <c r="I40" s="115"/>
      <c r="K40" s="5"/>
      <c r="N40" s="4"/>
      <c r="O40" s="10" t="s">
        <v>107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2" t="s">
        <v>70</v>
      </c>
      <c r="D41" s="113"/>
      <c r="E41" s="114" t="s">
        <v>71</v>
      </c>
      <c r="F41" s="114"/>
      <c r="G41" s="49" t="s">
        <v>72</v>
      </c>
      <c r="H41" s="114" t="s">
        <v>73</v>
      </c>
      <c r="I41" s="115"/>
      <c r="K41" s="5"/>
      <c r="N41" s="4"/>
      <c r="O41" s="10" t="s">
        <v>108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6" t="s">
        <v>82</v>
      </c>
      <c r="Q44" s="127"/>
      <c r="R44" s="127"/>
      <c r="S44" s="127"/>
      <c r="T44" s="127"/>
      <c r="U44" s="127"/>
      <c r="V44" s="127"/>
      <c r="W44" s="127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7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44971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2"/>
      <c r="I8" s="113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7" t="s">
        <v>81</v>
      </c>
      <c r="D18" s="127"/>
      <c r="E18" s="127"/>
      <c r="F18" s="127"/>
      <c r="G18" s="127"/>
      <c r="H18" s="127"/>
      <c r="I18" s="127"/>
      <c r="J18" s="127"/>
      <c r="K18" s="5"/>
    </row>
    <row r="19" spans="1:11">
      <c r="A19" s="4"/>
      <c r="B19" s="47"/>
      <c r="C19" s="126"/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7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44971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2"/>
      <c r="I8" s="113"/>
      <c r="J8" s="122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7" t="s">
        <v>81</v>
      </c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7"/>
      <c r="C20" s="126"/>
      <c r="D20" s="127"/>
      <c r="E20" s="127"/>
      <c r="F20" s="127"/>
      <c r="G20" s="127"/>
      <c r="H20" s="127"/>
      <c r="I20" s="127"/>
      <c r="J20" s="12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570312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44971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44971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44971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44971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5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6"/>
      <c r="S29" s="137"/>
      <c r="T29" s="138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570312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44971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44971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44971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44971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6"/>
      <c r="S29" s="137"/>
      <c r="T29" s="138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df3d46c1-1a59-485a-af3a-7064b4cd56c1"/>
    <ds:schemaRef ds:uri="http://purl.org/dc/dcmitype/"/>
    <ds:schemaRef ds:uri="http://purl.org/dc/elements/1.1/"/>
    <ds:schemaRef ds:uri="7d810c15-f90f-49da-a0e3-a69cb093d57d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Ella Dudley</cp:lastModifiedBy>
  <cp:revision/>
  <cp:lastPrinted>2023-02-13T23:23:29Z</cp:lastPrinted>
  <dcterms:created xsi:type="dcterms:W3CDTF">2017-07-10T05:27:40Z</dcterms:created>
  <dcterms:modified xsi:type="dcterms:W3CDTF">2023-02-13T23:34:09Z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