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3/05 May/"/>
    </mc:Choice>
  </mc:AlternateContent>
  <xr:revisionPtr revIDLastSave="5" documentId="14_{7504BBDE-DB48-46EB-BDF2-0D2CD9F03CFB}" xr6:coauthVersionLast="47" xr6:coauthVersionMax="47" xr10:uidLastSave="{3CF20E38-7C9D-45E7-8174-D25DD6CDDD62}"/>
  <bookViews>
    <workbookView xWindow="25800" yWindow="0" windowWidth="25800" windowHeight="21000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  <externalReference r:id="rId22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8" l="1"/>
  <c r="I5" i="18"/>
  <c r="O4" i="1"/>
  <c r="I15" i="1"/>
  <c r="H15" i="1"/>
  <c r="G15" i="1"/>
  <c r="I14" i="1"/>
  <c r="H14" i="1"/>
  <c r="G14" i="1"/>
  <c r="I13" i="1"/>
  <c r="H13" i="1"/>
  <c r="G13" i="1"/>
  <c r="F15" i="1"/>
  <c r="F14" i="1"/>
  <c r="F13" i="1"/>
  <c r="E15" i="1"/>
  <c r="E14" i="1"/>
  <c r="E13" i="1"/>
  <c r="D15" i="1"/>
  <c r="D14" i="1"/>
  <c r="D13" i="1"/>
  <c r="W3" i="1"/>
  <c r="H20" i="27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N13" i="27" l="1"/>
  <c r="N13" i="22"/>
  <c r="D13" i="18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Q13" i="27" s="1"/>
  <c r="D12" i="27"/>
  <c r="N12" i="27" s="1"/>
  <c r="Q12" i="27" s="1"/>
  <c r="Q11" i="27"/>
  <c r="N11" i="27"/>
  <c r="Q10" i="27"/>
  <c r="N10" i="27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C38" i="22"/>
  <c r="L38" i="22" s="1"/>
  <c r="N28" i="22"/>
  <c r="Q28" i="22" s="1"/>
  <c r="N27" i="22"/>
  <c r="N26" i="22"/>
  <c r="N23" i="22"/>
  <c r="N22" i="22"/>
  <c r="Q22" i="22" s="1"/>
  <c r="N21" i="22"/>
  <c r="Q21" i="22" s="1"/>
  <c r="N20" i="22"/>
  <c r="N19" i="22"/>
  <c r="Q19" i="22" s="1"/>
  <c r="N18" i="22"/>
  <c r="Q18" i="22" s="1"/>
  <c r="N17" i="22"/>
  <c r="N16" i="22"/>
  <c r="Q16" i="22" s="1"/>
  <c r="N15" i="22"/>
  <c r="N11" i="22"/>
  <c r="N10" i="22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D12" i="22"/>
  <c r="H12" i="22" s="1"/>
  <c r="I5" i="22"/>
  <c r="T5" i="22" s="1"/>
  <c r="I4" i="22"/>
  <c r="T4" i="22" s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5" i="1"/>
  <c r="P5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5" i="18"/>
  <c r="T4" i="18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N5" i="9"/>
  <c r="M4" i="9"/>
  <c r="M3" i="9"/>
  <c r="U3" i="9"/>
  <c r="I5" i="9"/>
  <c r="U5" i="9" s="1"/>
  <c r="I4" i="9"/>
  <c r="U4" i="9" s="1"/>
  <c r="Q9" i="9"/>
  <c r="R9" i="9"/>
  <c r="S9" i="9"/>
  <c r="P9" i="9"/>
  <c r="Q16" i="9"/>
  <c r="R16" i="9"/>
  <c r="S16" i="9"/>
  <c r="Q17" i="9"/>
  <c r="R17" i="9"/>
  <c r="S17" i="9"/>
  <c r="Q18" i="9"/>
  <c r="R18" i="9"/>
  <c r="S18" i="9"/>
  <c r="Q21" i="9"/>
  <c r="R21" i="9"/>
  <c r="S21" i="9"/>
  <c r="Q22" i="9"/>
  <c r="R22" i="9"/>
  <c r="S22" i="9"/>
  <c r="Q23" i="9"/>
  <c r="R23" i="9"/>
  <c r="S23" i="9"/>
  <c r="P23" i="9"/>
  <c r="P22" i="9"/>
  <c r="P21" i="9"/>
  <c r="P18" i="9"/>
  <c r="P17" i="9"/>
  <c r="P16" i="9"/>
  <c r="Q14" i="9"/>
  <c r="R14" i="9"/>
  <c r="S14" i="9"/>
  <c r="Q15" i="9"/>
  <c r="R15" i="9"/>
  <c r="S15" i="9"/>
  <c r="P15" i="9"/>
  <c r="P14" i="9"/>
  <c r="G13" i="9"/>
  <c r="S13" i="9" s="1"/>
  <c r="F13" i="9"/>
  <c r="R13" i="9" s="1"/>
  <c r="G12" i="9"/>
  <c r="S12" i="9" s="1"/>
  <c r="F12" i="9"/>
  <c r="R12" i="9" s="1"/>
  <c r="E12" i="9"/>
  <c r="Q12" i="9" s="1"/>
  <c r="E13" i="9"/>
  <c r="Q13" i="9" s="1"/>
  <c r="P10" i="9"/>
  <c r="P11" i="9"/>
  <c r="D13" i="9"/>
  <c r="P13" i="9" s="1"/>
  <c r="Q10" i="9"/>
  <c r="Q11" i="9"/>
  <c r="R11" i="9"/>
  <c r="S11" i="9"/>
  <c r="R10" i="9"/>
  <c r="S10" i="9"/>
  <c r="N29" i="9"/>
  <c r="N28" i="9"/>
  <c r="N27" i="9"/>
  <c r="N26" i="9"/>
  <c r="Q27" i="22"/>
  <c r="Q26" i="22"/>
  <c r="Q23" i="22"/>
  <c r="Q20" i="22"/>
  <c r="Q17" i="22"/>
  <c r="Q15" i="22"/>
  <c r="Q11" i="22"/>
  <c r="Q10" i="22"/>
  <c r="Q8" i="22"/>
  <c r="B12" i="21"/>
  <c r="B12" i="10"/>
  <c r="D14" i="18"/>
  <c r="C31" i="18" s="1"/>
  <c r="L31" i="18" s="1"/>
  <c r="N9" i="18"/>
  <c r="N10" i="18"/>
  <c r="H12" i="27" l="1"/>
  <c r="C39" i="27"/>
  <c r="L39" i="27" s="1"/>
  <c r="C33" i="27"/>
  <c r="L33" i="27" s="1"/>
  <c r="N14" i="22"/>
  <c r="Q14" i="22" s="1"/>
  <c r="N12" i="22"/>
  <c r="Q12" i="22" s="1"/>
  <c r="Q13" i="22"/>
  <c r="C39" i="22"/>
  <c r="L39" i="22" s="1"/>
  <c r="C24" i="26"/>
  <c r="L24" i="26" s="1"/>
  <c r="N12" i="26"/>
  <c r="D12" i="9"/>
  <c r="P12" i="9" s="1"/>
  <c r="M39" i="19"/>
  <c r="J5" i="21"/>
  <c r="L30" i="18"/>
  <c r="N25" i="18"/>
  <c r="N28" i="18"/>
  <c r="N27" i="18"/>
  <c r="N26" i="18"/>
  <c r="N23" i="18"/>
  <c r="N22" i="18"/>
  <c r="N21" i="18"/>
  <c r="N20" i="18"/>
  <c r="N19" i="18"/>
  <c r="N18" i="18"/>
  <c r="N16" i="18"/>
  <c r="N15" i="18"/>
  <c r="N11" i="18"/>
  <c r="N24" i="18"/>
  <c r="D12" i="18"/>
  <c r="H12" i="18" s="1"/>
  <c r="J1" i="19"/>
  <c r="N12" i="18" l="1"/>
  <c r="N13" i="18"/>
  <c r="N14" i="18"/>
  <c r="Q14" i="18" s="1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Q12" i="18"/>
  <c r="C36" i="18" l="1"/>
  <c r="L36" i="18" s="1"/>
  <c r="W5" i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D19" i="9"/>
  <c r="P20" i="9"/>
  <c r="P19" i="9"/>
  <c r="Q20" i="9"/>
  <c r="Q19" i="9" s="1"/>
  <c r="E19" i="9"/>
  <c r="F19" i="9"/>
  <c r="R20" i="9"/>
  <c r="R19" i="9" s="1"/>
  <c r="S19" i="9"/>
  <c r="S20" i="9"/>
  <c r="G19" i="9"/>
  <c r="N24" i="27"/>
  <c r="D24" i="27"/>
  <c r="D25" i="27"/>
  <c r="N25" i="27"/>
  <c r="N25" i="22"/>
  <c r="D25" i="22"/>
  <c r="D24" i="22"/>
  <c r="N24" i="22"/>
</calcChain>
</file>

<file path=xl/sharedStrings.xml><?xml version="1.0" encoding="utf-8"?>
<sst xmlns="http://schemas.openxmlformats.org/spreadsheetml/2006/main" count="1922" uniqueCount="235">
  <si>
    <t>LABORATORY WATER ANALYSIS - TEST SHEET</t>
  </si>
  <si>
    <t>Rev10</t>
  </si>
  <si>
    <t>LABORATORY WATER ANALYSIS REPORT</t>
  </si>
  <si>
    <t>Dealer Name</t>
  </si>
  <si>
    <t>Think Water Pukekohe</t>
  </si>
  <si>
    <t>Sample No.</t>
  </si>
  <si>
    <t>20230519SRT01</t>
  </si>
  <si>
    <t>Reference Name</t>
  </si>
  <si>
    <t>Rens Bosman</t>
  </si>
  <si>
    <t>Date Received</t>
  </si>
  <si>
    <t>19/05/2023</t>
  </si>
  <si>
    <t>Sample Type</t>
  </si>
  <si>
    <t>Ground Water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</si>
  <si>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</si>
  <si>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</si>
  <si>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</si>
  <si>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</si>
  <si>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</si>
  <si>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</si>
  <si>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</si>
  <si>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</si>
  <si>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</si>
  <si>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</si>
  <si>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</si>
  <si>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</si>
  <si>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</si>
  <si>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</si>
  <si>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</si>
  <si>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</si>
  <si>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</si>
  <si>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</si>
  <si>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</si>
  <si>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&lt;200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</si>
  <si>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</si>
  <si>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</si>
  <si>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</si>
  <si>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</si>
  <si>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</si>
  <si>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</si>
  <si>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</si>
  <si>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</si>
  <si>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</si>
  <si>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</si>
  <si>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</si>
  <si>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</si>
  <si>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</si>
  <si>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&lt;0.2</t>
  </si>
  <si>
    <t>&lt;0.3</t>
  </si>
  <si>
    <t>Total Manganese</t>
  </si>
  <si>
    <t>&lt;0.04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</si>
  <si>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</si>
  <si>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</si>
  <si>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</si>
  <si>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</si>
  <si>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</si>
  <si>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</si>
  <si>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&lt;1000</t>
  </si>
  <si>
    <t>Chloride</t>
  </si>
  <si>
    <t>&lt;250</t>
  </si>
  <si>
    <t>Sodium</t>
  </si>
  <si>
    <t xml:space="preserve">Conductivity </t>
  </si>
  <si>
    <t>mS/m</t>
  </si>
  <si>
    <t>µS/cm</t>
  </si>
  <si>
    <t>Turbidity</t>
  </si>
  <si>
    <t>NTU</t>
  </si>
  <si>
    <t>&lt;2.5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</si>
  <si>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</si>
  <si>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</si>
  <si>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</si>
  <si>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&lt;5</t>
  </si>
  <si>
    <t>≤ 15 TCU</t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</si>
  <si>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</si>
  <si>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</si>
  <si>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</si>
  <si>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</si>
  <si>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</si>
  <si>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slightly discoloured</t>
  </si>
  <si>
    <t xml:space="preserve"> with</t>
  </si>
  <si>
    <t>some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</si>
  <si>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</si>
  <si>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</si>
  <si>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</si>
  <si>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</si>
  <si>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</si>
  <si>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</si>
  <si>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t>Guideline Value - Drinking Water Standards for New Zealand 2005 (Revised 2018)</t>
  </si>
  <si>
    <t>Maximum Acceptable Value - Drinking Water Standards for New Zealand 2005 (Revised 2018)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</si>
  <si>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</si>
  <si>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</si>
  <si>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</si>
  <si>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</si>
  <si>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</si>
  <si>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</si>
  <si>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no significant sediments</t>
  </si>
  <si>
    <t>Rens Bosmaw</t>
  </si>
  <si>
    <t>Raw Flush</t>
  </si>
  <si>
    <t>Raw 20min</t>
  </si>
  <si>
    <t>SRT</t>
  </si>
  <si>
    <t>TSRT</t>
  </si>
  <si>
    <t>1,20</t>
  </si>
  <si>
    <t>&lt;0.01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</si>
  <si>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</si>
  <si>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</si>
  <si>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</si>
  <si>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</si>
  <si>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</si>
  <si>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</si>
  <si>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19/-5/2023</t>
  </si>
  <si>
    <t>Bore</t>
  </si>
  <si>
    <t>5µm Filtered</t>
  </si>
  <si>
    <t>5µm SRT</t>
  </si>
  <si>
    <t>R</t>
  </si>
  <si>
    <t>Total Coliforms (P/A)</t>
  </si>
  <si>
    <t>/100mL</t>
  </si>
  <si>
    <t>E. coli (P/A)</t>
  </si>
  <si>
    <t>Total Coliforms (MPN)</t>
  </si>
  <si>
    <t>MPN/100mL</t>
  </si>
  <si>
    <t>E. coli (MPN)</t>
  </si>
  <si>
    <t>discoloured</t>
  </si>
  <si>
    <t>Sample 5</t>
  </si>
  <si>
    <t>clear</t>
  </si>
  <si>
    <t>Sample 6</t>
  </si>
  <si>
    <t>DEALER NAME</t>
  </si>
  <si>
    <t>20170714COM01</t>
  </si>
  <si>
    <t>REFERENCE NAME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</si>
  <si>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</si>
  <si>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</si>
  <si>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</si>
  <si>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</si>
  <si>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</si>
  <si>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</si>
  <si>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20170714C+E01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</si>
  <si>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</si>
  <si>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</si>
  <si>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</si>
  <si>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</si>
  <si>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</si>
  <si>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</si>
  <si>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</si>
  <si>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</si>
  <si>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</si>
  <si>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</si>
  <si>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</si>
  <si>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</si>
  <si>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</si>
  <si>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</si>
  <si>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</si>
  <si>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</si>
  <si>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</si>
  <si>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</si>
  <si>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</si>
  <si>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</si>
  <si>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&lt;0.05</t>
  </si>
  <si>
    <t>TBC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</si>
  <si>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</si>
  <si>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</si>
  <si>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</si>
  <si>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</si>
  <si>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</si>
  <si>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</si>
  <si>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</si>
  <si>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</si>
  <si>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</si>
  <si>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</si>
  <si>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</si>
  <si>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</si>
  <si>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</si>
  <si>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</si>
  <si>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</si>
  <si>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</si>
  <si>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</si>
  <si>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</si>
  <si>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</si>
  <si>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</si>
  <si>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</si>
  <si>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</si>
  <si>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</si>
  <si>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</si>
  <si>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</si>
  <si>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</si>
  <si>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</si>
  <si>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</si>
  <si>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</si>
  <si>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</si>
  <si>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</si>
  <si>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</si>
  <si>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</si>
  <si>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</si>
  <si>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</si>
  <si>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</si>
  <si>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</si>
  <si>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</si>
  <si>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</si>
  <si>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</si>
  <si>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</si>
  <si>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</si>
  <si>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</si>
  <si>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</si>
  <si>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</si>
  <si>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</si>
  <si>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</si>
  <si>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</si>
  <si>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</si>
  <si>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</si>
  <si>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</si>
  <si>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</si>
  <si>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</si>
  <si>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</si>
  <si>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</si>
  <si>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</si>
  <si>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</si>
  <si>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</si>
  <si>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</si>
  <si>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</si>
  <si>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</si>
  <si>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</si>
  <si>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</si>
  <si>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</si>
  <si>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</si>
  <si>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</si>
  <si>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</si>
  <si>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</si>
  <si>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</si>
  <si>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</si>
  <si>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</si>
  <si>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</si>
  <si>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</si>
  <si>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</si>
  <si>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</si>
  <si>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</si>
  <si>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 xml:space="preserve">Dealers: </t>
  </si>
  <si>
    <t>Clarity:</t>
  </si>
  <si>
    <t>Sediments</t>
  </si>
  <si>
    <t>sediments</t>
  </si>
  <si>
    <t>20230519CHM02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</si>
</sst>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98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968402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53487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aveywaterproducts.sharepoint.com/sites/DWPNZ/Shared%20Documents/NZ%20Water%20Treatment/Water%20Test/Water%20test%20results/2023/04%20April/R20230418CHM06%20Think%20Water%20Marlborough%20-%20Sarah%20Cbnston.xlsx" TargetMode="External"/><Relationship Id="rId1" Type="http://schemas.openxmlformats.org/officeDocument/2006/relationships/externalLinkPath" Target="/sites/DWPNZ/Shared%20Documents/NZ%20Water%20Treatment/Water%20Test/Water%20test%20results/2023/04%20April/R20230418CHM06%20Think%20Water%20Marlborough%20-%20Sarah%20Cbnst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VUzTKGHlika_FXp1fXa_SxUMgX0P-dpJoOOmnLCT1X3BRj3fWRpaSK86cGS0zVbB" itemId="01FYX5OD72VKZYF2WB3FCIXZXNM4FBA2T3">
      <xxl21:absoluteUrl r:id="rId2"/>
    </xxl21:alternateUrls>
    <sheetNames>
      <sheetName val="R-CHE"/>
      <sheetName val="R-SHO"/>
      <sheetName val="R-SRT"/>
      <sheetName val="R-COM"/>
      <sheetName val="R-ECO"/>
      <sheetName val="R-MPN"/>
      <sheetName val="R-C+E"/>
      <sheetName val="R-C+M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  <sheetName val="Input sheet"/>
      <sheetName val="Input Lookup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tabSelected="1" view="pageLayout" zoomScaleNormal="100" workbookViewId="0">
      <selection activeCell="R8" sqref="R8:T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7109375" style="1" customWidth="1"/>
    <col min="13" max="13" width="10.855468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">
        <v>1</v>
      </c>
      <c r="L1" s="2" t="s">
        <v>2</v>
      </c>
      <c r="T1" s="13" t="str">
        <f>I1</f>
        <v>Rev10</v>
      </c>
    </row>
    <row r="2" spans="1:21">
      <c r="I2" s="13"/>
      <c r="T2" s="13"/>
    </row>
    <row r="3" spans="1:21">
      <c r="B3" s="66" t="s">
        <v>3</v>
      </c>
      <c r="C3" s="116" t="s">
        <v>4</v>
      </c>
      <c r="D3" s="117"/>
      <c r="E3" s="117"/>
      <c r="F3" s="118"/>
      <c r="G3" s="8"/>
      <c r="H3" s="66" t="s">
        <v>5</v>
      </c>
      <c r="I3" s="80" t="s">
        <v>234</v>
      </c>
      <c r="L3" s="1" t="str">
        <f>IF(ISBLANK(C3),"DEALER NAME",C3)</f>
        <v>Think Water Pukekohe</v>
      </c>
      <c r="P3" s="8"/>
      <c r="Q3" s="8"/>
      <c r="R3" s="9" t="s">
        <v>5</v>
      </c>
      <c r="T3" s="57" t="str">
        <f>I3</f>
        <v>20230519CHM02</v>
      </c>
    </row>
    <row r="4" spans="1:21" ht="15.75">
      <c r="B4" s="66" t="s">
        <v>7</v>
      </c>
      <c r="C4" s="116" t="s">
        <v>8</v>
      </c>
      <c r="D4" s="117"/>
      <c r="E4" s="117"/>
      <c r="F4" s="118"/>
      <c r="G4" s="8"/>
      <c r="H4" s="66" t="s">
        <v>9</v>
      </c>
      <c r="I4" s="81" t="s">
        <v>10</v>
      </c>
      <c r="L4" s="3" t="str">
        <f>IF(ISBLANK(C4),"REFERENCE NAME",C4)</f>
        <v>Rens Bosman</v>
      </c>
      <c r="P4" s="8"/>
      <c r="Q4" s="8"/>
      <c r="R4" s="9" t="s">
        <v>9</v>
      </c>
      <c r="T4" s="58" t="str">
        <f>I4</f>
        <v>19/05/2023</v>
      </c>
    </row>
    <row r="5" spans="1:21">
      <c r="B5" s="66" t="s">
        <v>11</v>
      </c>
      <c r="C5" s="119" t="s">
        <v>12</v>
      </c>
      <c r="D5" s="119"/>
      <c r="E5" s="119"/>
      <c r="F5" s="119"/>
      <c r="G5" s="8"/>
      <c r="H5" s="66" t="s">
        <v>13</v>
      </c>
      <c r="I5" s="81">
        <f ca="1">TODAY()</f>
        <v>45086</v>
      </c>
      <c r="L5" s="9" t="s">
        <v>11</v>
      </c>
      <c r="M5" s="57" t="str">
        <f>IF(ISBLANK(C5),"TBC",C5)</f>
        <v>Ground Water</v>
      </c>
      <c r="P5" s="8"/>
      <c r="Q5" s="8"/>
      <c r="R5" s="9" t="s">
        <v>14</v>
      </c>
      <c r="T5" s="58">
        <f ca="1">I5</f>
        <v>45086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15</v>
      </c>
      <c r="C7" s="68" t="s">
        <v>16</v>
      </c>
      <c r="D7" s="68" t="s">
        <v>17</v>
      </c>
      <c r="E7" s="68" t="s">
        <v>18</v>
      </c>
      <c r="F7" s="68" t="s">
        <v>19</v>
      </c>
      <c r="G7" s="68" t="s">
        <v>20</v>
      </c>
      <c r="H7" s="120" t="s">
        <v>21</v>
      </c>
      <c r="I7" s="121"/>
      <c r="J7" s="4"/>
      <c r="K7" s="4"/>
      <c r="L7" s="59" t="s">
        <v>15</v>
      </c>
      <c r="M7" s="60" t="s">
        <v>22</v>
      </c>
      <c r="N7" s="60" t="s">
        <v>17</v>
      </c>
      <c r="O7" s="60" t="s">
        <v>23</v>
      </c>
      <c r="P7" s="60" t="s">
        <v>24</v>
      </c>
      <c r="Q7" s="123" t="s">
        <v>25</v>
      </c>
      <c r="R7" s="124"/>
      <c r="S7" s="124"/>
      <c r="T7" s="125"/>
      <c r="U7" s="5"/>
    </row>
    <row r="8" spans="1:21">
      <c r="A8" s="4"/>
      <c r="B8" s="10" t="s">
        <v>26</v>
      </c>
      <c r="C8" s="11" t="s">
        <v>27</v>
      </c>
      <c r="D8" s="14">
        <v>7.3</v>
      </c>
      <c r="E8" s="14"/>
      <c r="F8" s="11" t="s">
        <v>28</v>
      </c>
      <c r="G8" s="11" t="s">
        <v>27</v>
      </c>
      <c r="H8" s="108"/>
      <c r="I8" s="109"/>
      <c r="J8" s="4"/>
      <c r="K8" s="4"/>
      <c r="L8" s="10" t="s">
        <v>26</v>
      </c>
      <c r="M8" s="11" t="s">
        <v>27</v>
      </c>
      <c r="N8" s="14">
        <f>D8</f>
        <v>7.3</v>
      </c>
      <c r="O8" s="11" t="s">
        <v>28</v>
      </c>
      <c r="P8" s="11" t="s">
        <v>27</v>
      </c>
      <c r="Q8" s="11" t="str">
        <f>VLOOKUP(N8,Lookup!C3:D7,2)</f>
        <v>Neutral</v>
      </c>
      <c r="R8" s="112"/>
      <c r="S8" s="113"/>
      <c r="T8" s="122"/>
      <c r="U8" s="5"/>
    </row>
    <row r="9" spans="1:21">
      <c r="A9" s="4"/>
      <c r="B9" s="10" t="s">
        <v>29</v>
      </c>
      <c r="C9" s="10" t="s">
        <v>30</v>
      </c>
      <c r="D9" s="15">
        <v>110</v>
      </c>
      <c r="E9" s="15">
        <v>5</v>
      </c>
      <c r="F9" s="11" t="s">
        <v>27</v>
      </c>
      <c r="G9" s="11" t="s">
        <v>27</v>
      </c>
      <c r="H9" s="108"/>
      <c r="I9" s="109"/>
      <c r="J9" s="4"/>
      <c r="K9" s="4"/>
      <c r="L9" s="10" t="s">
        <v>29</v>
      </c>
      <c r="M9" s="10" t="s">
        <v>30</v>
      </c>
      <c r="N9" s="15">
        <f>IF(D9&lt;5,"&lt;5",D9)</f>
        <v>110</v>
      </c>
      <c r="O9" s="11" t="s">
        <v>27</v>
      </c>
      <c r="P9" s="11" t="s">
        <v>27</v>
      </c>
      <c r="Q9" s="11" t="str">
        <f>VLOOKUP(N9,Lookup!C18:D25,2)</f>
        <v>Moderate</v>
      </c>
      <c r="R9" s="112"/>
      <c r="S9" s="113"/>
      <c r="T9" s="122"/>
      <c r="U9" s="5"/>
    </row>
    <row r="10" spans="1:21">
      <c r="A10" s="4"/>
      <c r="B10" s="10" t="s">
        <v>31</v>
      </c>
      <c r="C10" s="10" t="s">
        <v>30</v>
      </c>
      <c r="D10" s="15">
        <v>80</v>
      </c>
      <c r="E10" s="15">
        <v>5</v>
      </c>
      <c r="F10" s="11" t="s">
        <v>32</v>
      </c>
      <c r="G10" s="11" t="s">
        <v>27</v>
      </c>
      <c r="H10" s="108"/>
      <c r="I10" s="109"/>
      <c r="J10" s="4"/>
      <c r="K10" s="4"/>
      <c r="L10" s="10" t="s">
        <v>31</v>
      </c>
      <c r="M10" s="10" t="s">
        <v>30</v>
      </c>
      <c r="N10" s="15">
        <f t="shared" ref="N10:N11" si="0">IF(D10&lt;5,"&lt;5",D10)</f>
        <v>80</v>
      </c>
      <c r="O10" s="11" t="s">
        <v>32</v>
      </c>
      <c r="P10" s="11" t="s">
        <v>27</v>
      </c>
      <c r="Q10" s="11" t="str">
        <f>VLOOKUP(N10,Lookup!C27:D33,2)</f>
        <v>Moderate</v>
      </c>
      <c r="R10" s="112"/>
      <c r="S10" s="113"/>
      <c r="T10" s="122"/>
      <c r="U10" s="5"/>
    </row>
    <row r="11" spans="1:21" hidden="1">
      <c r="A11" s="4"/>
      <c r="B11" s="10" t="s">
        <v>33</v>
      </c>
      <c r="C11" s="10" t="s">
        <v>30</v>
      </c>
      <c r="D11" s="15"/>
      <c r="E11" s="15">
        <v>5</v>
      </c>
      <c r="F11" s="11" t="s">
        <v>27</v>
      </c>
      <c r="G11" s="11" t="s">
        <v>27</v>
      </c>
      <c r="H11" s="108"/>
      <c r="I11" s="109"/>
      <c r="J11" s="4"/>
      <c r="K11" s="4"/>
      <c r="L11" s="10" t="s">
        <v>33</v>
      </c>
      <c r="M11" s="10" t="s">
        <v>30</v>
      </c>
      <c r="N11" s="15" t="str">
        <f t="shared" si="0"/>
        <v>&lt;5</v>
      </c>
      <c r="O11" s="11" t="s">
        <v>27</v>
      </c>
      <c r="P11" s="11" t="s">
        <v>27</v>
      </c>
      <c r="Q11" s="11" t="str">
        <f>VLOOKUP(N11,Lookup!C35:D41,2)</f>
        <v>Trace</v>
      </c>
      <c r="R11" s="112"/>
      <c r="S11" s="113"/>
      <c r="T11" s="122"/>
      <c r="U11" s="5"/>
    </row>
    <row r="12" spans="1:21" hidden="1">
      <c r="A12" s="4"/>
      <c r="B12" s="10" t="s">
        <v>34</v>
      </c>
      <c r="C12" s="10" t="s">
        <v>30</v>
      </c>
      <c r="D12" s="75">
        <f>D10-D11</f>
        <v>80</v>
      </c>
      <c r="E12" s="11">
        <v>5</v>
      </c>
      <c r="F12" s="11" t="s">
        <v>27</v>
      </c>
      <c r="G12" s="11" t="s">
        <v>27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34</v>
      </c>
      <c r="M12" s="10" t="s">
        <v>30</v>
      </c>
      <c r="N12" s="15">
        <f>IF(D12&lt;5,"&lt;5",D12)</f>
        <v>80</v>
      </c>
      <c r="O12" s="11" t="s">
        <v>27</v>
      </c>
      <c r="P12" s="11" t="s">
        <v>27</v>
      </c>
      <c r="Q12" s="11" t="str">
        <f>VLOOKUP(N12,Lookup!C35:D41,2)</f>
        <v>Moderate</v>
      </c>
      <c r="R12" s="112" t="s">
        <v>35</v>
      </c>
      <c r="S12" s="113"/>
      <c r="T12" s="122"/>
      <c r="U12" s="5"/>
    </row>
    <row r="13" spans="1:21">
      <c r="A13" s="4"/>
      <c r="B13" s="10" t="s">
        <v>36</v>
      </c>
      <c r="C13" s="10" t="s">
        <v>37</v>
      </c>
      <c r="D13" s="75">
        <f>2*(IF(D9&lt;5,5,D9)-(5*10^(D8-10)))/(1+(0.94*10^(D8-10)))*10^(6-D8)</f>
        <v>11.004479725529334</v>
      </c>
      <c r="E13" s="15"/>
      <c r="F13" s="11" t="s">
        <v>27</v>
      </c>
      <c r="G13" s="11" t="s">
        <v>27</v>
      </c>
      <c r="H13" s="108"/>
      <c r="I13" s="109"/>
      <c r="J13" s="4"/>
      <c r="K13" s="4"/>
      <c r="L13" s="10" t="s">
        <v>36</v>
      </c>
      <c r="M13" s="10" t="s">
        <v>37</v>
      </c>
      <c r="N13" s="15">
        <f>IF(D13&lt;1,"&lt;1",D13)</f>
        <v>11.004479725529334</v>
      </c>
      <c r="O13" s="11" t="s">
        <v>27</v>
      </c>
      <c r="P13" s="11" t="s">
        <v>27</v>
      </c>
      <c r="Q13" s="11" t="str">
        <f>VLOOKUP(N13,Lookup!C98:D103,2)</f>
        <v>Significant</v>
      </c>
      <c r="R13" s="112" t="s">
        <v>35</v>
      </c>
      <c r="S13" s="113"/>
      <c r="T13" s="122"/>
      <c r="U13" s="5"/>
    </row>
    <row r="14" spans="1:21">
      <c r="A14" s="4"/>
      <c r="B14" s="10" t="s">
        <v>38</v>
      </c>
      <c r="C14" s="11" t="s">
        <v>27</v>
      </c>
      <c r="D14" s="76">
        <f>+D8+0.5+VLOOKUP(IF(D9&lt;5,5,D9),LSI!$F$2:$G$25,2)+VLOOKUP(IF(D10&lt;5,5,D10),LSI!$H$2:$I$25,2)-12.1</f>
        <v>-0.79999999999999893</v>
      </c>
      <c r="E14" s="14"/>
      <c r="F14" s="11" t="s">
        <v>27</v>
      </c>
      <c r="G14" s="11" t="s">
        <v>27</v>
      </c>
      <c r="H14" s="108"/>
      <c r="I14" s="109"/>
      <c r="J14" s="4"/>
      <c r="K14" s="4"/>
      <c r="L14" s="10" t="s">
        <v>39</v>
      </c>
      <c r="M14" s="11" t="s">
        <v>27</v>
      </c>
      <c r="N14" s="14">
        <f>D14</f>
        <v>-0.79999999999999893</v>
      </c>
      <c r="O14" s="11" t="s">
        <v>27</v>
      </c>
      <c r="P14" s="11" t="s">
        <v>27</v>
      </c>
      <c r="Q14" s="11" t="str">
        <f>VLOOKUP(N14,Lookup!C105:D109,2)</f>
        <v>Normal</v>
      </c>
      <c r="R14" s="112" t="s">
        <v>35</v>
      </c>
      <c r="S14" s="113"/>
      <c r="T14" s="122"/>
      <c r="U14" s="5"/>
    </row>
    <row r="15" spans="1:21" hidden="1">
      <c r="A15" s="4"/>
      <c r="B15" s="10" t="s">
        <v>40</v>
      </c>
      <c r="C15" s="10" t="s">
        <v>41</v>
      </c>
      <c r="D15" s="15"/>
      <c r="E15" s="15">
        <v>1</v>
      </c>
      <c r="F15" s="11" t="s">
        <v>27</v>
      </c>
      <c r="G15" s="11" t="s">
        <v>27</v>
      </c>
      <c r="H15" s="108"/>
      <c r="I15" s="109"/>
      <c r="J15" s="4"/>
      <c r="K15" s="4"/>
      <c r="L15" s="10" t="s">
        <v>40</v>
      </c>
      <c r="M15" s="10" t="s">
        <v>41</v>
      </c>
      <c r="N15" s="15" t="str">
        <f>IF(D15&lt;5,"&lt;5",D15)</f>
        <v>&lt;5</v>
      </c>
      <c r="O15" s="11" t="s">
        <v>27</v>
      </c>
      <c r="P15" s="11" t="s">
        <v>27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5" hidden="1">
      <c r="A16" s="4"/>
      <c r="B16" s="10" t="s">
        <v>42</v>
      </c>
      <c r="C16" s="10" t="s">
        <v>43</v>
      </c>
      <c r="D16" s="15"/>
      <c r="E16" s="15">
        <v>1</v>
      </c>
      <c r="F16" s="11" t="s">
        <v>27</v>
      </c>
      <c r="G16" s="11">
        <v>50</v>
      </c>
      <c r="H16" s="108"/>
      <c r="I16" s="109"/>
      <c r="J16" s="4"/>
      <c r="K16" s="4"/>
      <c r="L16" s="10" t="s">
        <v>42</v>
      </c>
      <c r="M16" s="10" t="s">
        <v>43</v>
      </c>
      <c r="N16" s="15" t="str">
        <f>IF(D16&lt;1,"&lt;1",D16)</f>
        <v>&lt;1</v>
      </c>
      <c r="O16" s="11" t="s">
        <v>27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44</v>
      </c>
      <c r="C17" s="10" t="s">
        <v>45</v>
      </c>
      <c r="D17" s="11">
        <v>1.1200000000000001</v>
      </c>
      <c r="E17" s="11">
        <v>0.01</v>
      </c>
      <c r="F17" s="11" t="s">
        <v>46</v>
      </c>
      <c r="G17" s="11" t="s">
        <v>27</v>
      </c>
      <c r="H17" s="110" t="str">
        <f>IF(D17&gt;=0.01,"Check if need to increase decimal on the right"," ")</f>
        <v>Check if need to increase decimal on the right</v>
      </c>
      <c r="I17" s="111"/>
      <c r="J17" s="4"/>
      <c r="K17" s="4"/>
      <c r="L17" s="10" t="s">
        <v>44</v>
      </c>
      <c r="M17" s="10" t="s">
        <v>45</v>
      </c>
      <c r="N17" s="64">
        <f>IF(D17&lt;0.01,"&lt;0.01",D17)</f>
        <v>1.1200000000000001</v>
      </c>
      <c r="O17" s="11" t="s">
        <v>47</v>
      </c>
      <c r="P17" s="11" t="s">
        <v>27</v>
      </c>
      <c r="Q17" s="11" t="str">
        <f>VLOOKUP(N17,Lookup!C52:D59,2)</f>
        <v>High</v>
      </c>
      <c r="R17" s="112"/>
      <c r="S17" s="113"/>
      <c r="T17" s="122"/>
      <c r="U17" s="5"/>
    </row>
    <row r="18" spans="1:21">
      <c r="A18" s="4"/>
      <c r="B18" s="10" t="s">
        <v>48</v>
      </c>
      <c r="C18" s="10" t="s">
        <v>45</v>
      </c>
      <c r="D18" s="11">
        <v>0.01</v>
      </c>
      <c r="E18" s="11">
        <v>1.5</v>
      </c>
      <c r="F18" s="11" t="s">
        <v>49</v>
      </c>
      <c r="G18" s="11">
        <v>0.4</v>
      </c>
      <c r="H18" s="110" t="str">
        <f t="shared" ref="H18:H20" si="1">IF(D18&gt;=0.01,"Check if need to increase decimal on the right"," ")</f>
        <v>Check if need to increase decimal on the right</v>
      </c>
      <c r="I18" s="111"/>
      <c r="J18" s="4"/>
      <c r="K18" s="4"/>
      <c r="L18" s="10" t="s">
        <v>48</v>
      </c>
      <c r="M18" s="10" t="s">
        <v>45</v>
      </c>
      <c r="N18" s="64">
        <f>IF(D18&lt;0.01,"&lt;0.01",D18)</f>
        <v>0.01</v>
      </c>
      <c r="O18" s="11" t="s">
        <v>49</v>
      </c>
      <c r="P18" s="11">
        <v>0.4</v>
      </c>
      <c r="Q18" s="11" t="str">
        <f>VLOOKUP(N18,Lookup!C61:D65,2)</f>
        <v>Low</v>
      </c>
      <c r="R18" s="112" t="s">
        <v>50</v>
      </c>
      <c r="S18" s="113"/>
      <c r="T18" s="122"/>
      <c r="U18" s="5"/>
    </row>
    <row r="19" spans="1:21">
      <c r="A19" s="4"/>
      <c r="B19" s="10" t="s">
        <v>51</v>
      </c>
      <c r="C19" s="10" t="s">
        <v>45</v>
      </c>
      <c r="D19" s="11">
        <v>200</v>
      </c>
      <c r="E19" s="11">
        <v>0.01</v>
      </c>
      <c r="F19" s="11" t="s">
        <v>52</v>
      </c>
      <c r="G19" s="11" t="s">
        <v>27</v>
      </c>
      <c r="H19" s="110" t="str">
        <f t="shared" si="1"/>
        <v>Check if need to increase decimal on the right</v>
      </c>
      <c r="I19" s="111"/>
      <c r="J19" s="4"/>
      <c r="K19" s="4"/>
      <c r="L19" s="10" t="s">
        <v>51</v>
      </c>
      <c r="M19" s="10" t="s">
        <v>45</v>
      </c>
      <c r="N19" s="14">
        <f>IF(D19&lt;0.01,"&lt;0.01",D19)</f>
        <v>200</v>
      </c>
      <c r="O19" s="11" t="s">
        <v>52</v>
      </c>
      <c r="P19" s="11" t="s">
        <v>27</v>
      </c>
      <c r="Q19" s="11" t="str">
        <f>VLOOKUP(N19,Lookup!C67:D72,2)</f>
        <v>Very High</v>
      </c>
      <c r="R19" s="112"/>
      <c r="S19" s="113"/>
      <c r="T19" s="122"/>
      <c r="U19" s="5"/>
    </row>
    <row r="20" spans="1:21" hidden="1">
      <c r="A20" s="4"/>
      <c r="B20" s="10" t="s">
        <v>53</v>
      </c>
      <c r="C20" s="10" t="s">
        <v>45</v>
      </c>
      <c r="D20" s="11"/>
      <c r="E20" s="11">
        <v>0.01</v>
      </c>
      <c r="F20" s="11" t="s">
        <v>54</v>
      </c>
      <c r="G20" s="15">
        <v>2</v>
      </c>
      <c r="H20" s="110" t="str">
        <f t="shared" si="1"/>
        <v xml:space="preserve"> </v>
      </c>
      <c r="I20" s="111"/>
      <c r="J20" s="4"/>
      <c r="K20" s="4"/>
      <c r="L20" s="10" t="s">
        <v>53</v>
      </c>
      <c r="M20" s="10" t="s">
        <v>45</v>
      </c>
      <c r="N20" s="14" t="str">
        <f>IF(D20&lt;0.01,"&lt;0.01",D20)</f>
        <v>&lt;0.01</v>
      </c>
      <c r="O20" s="11" t="s">
        <v>54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 hidden="1">
      <c r="A21" s="4"/>
      <c r="B21" s="10" t="s">
        <v>55</v>
      </c>
      <c r="C21" s="10" t="s">
        <v>45</v>
      </c>
      <c r="D21" s="11"/>
      <c r="E21" s="11">
        <v>10</v>
      </c>
      <c r="F21" s="11" t="s">
        <v>56</v>
      </c>
      <c r="G21" s="11" t="s">
        <v>27</v>
      </c>
      <c r="H21" s="108"/>
      <c r="I21" s="109"/>
      <c r="J21" s="4"/>
      <c r="K21" s="4"/>
      <c r="L21" s="10" t="s">
        <v>55</v>
      </c>
      <c r="M21" s="10" t="s">
        <v>45</v>
      </c>
      <c r="N21" s="15" t="str">
        <f>IF(D21&lt;10,"&lt;10",D21)</f>
        <v>&lt;10</v>
      </c>
      <c r="O21" s="11" t="s">
        <v>56</v>
      </c>
      <c r="P21" s="11" t="s">
        <v>27</v>
      </c>
      <c r="Q21" s="11" t="str">
        <f>VLOOKUP(N21,Lookup!C9:D16,2)</f>
        <v>Trace</v>
      </c>
      <c r="R21" s="112" t="s">
        <v>35</v>
      </c>
      <c r="S21" s="113"/>
      <c r="T21" s="122"/>
      <c r="U21" s="5"/>
    </row>
    <row r="22" spans="1:21">
      <c r="A22" s="4"/>
      <c r="B22" s="10" t="s">
        <v>57</v>
      </c>
      <c r="C22" s="10" t="s">
        <v>45</v>
      </c>
      <c r="D22" s="15">
        <v>23</v>
      </c>
      <c r="E22" s="15">
        <v>1</v>
      </c>
      <c r="F22" s="11" t="s">
        <v>58</v>
      </c>
      <c r="G22" s="11" t="s">
        <v>27</v>
      </c>
      <c r="H22" s="108"/>
      <c r="I22" s="109"/>
      <c r="J22" s="4"/>
      <c r="K22" s="4"/>
      <c r="L22" s="10" t="s">
        <v>57</v>
      </c>
      <c r="M22" s="10" t="s">
        <v>45</v>
      </c>
      <c r="N22" s="15">
        <f>IF(D22&lt;1,"&lt;1",D22)</f>
        <v>23</v>
      </c>
      <c r="O22" s="11" t="s">
        <v>58</v>
      </c>
      <c r="P22" s="11" t="s">
        <v>27</v>
      </c>
      <c r="Q22" s="11" t="str">
        <f>VLOOKUP(N22,Lookup!C80:D87,2)</f>
        <v>Low</v>
      </c>
      <c r="R22" s="112"/>
      <c r="S22" s="113"/>
      <c r="T22" s="122"/>
      <c r="U22" s="5"/>
    </row>
    <row r="23" spans="1:21">
      <c r="A23" s="4"/>
      <c r="B23" s="10" t="s">
        <v>59</v>
      </c>
      <c r="C23" s="10" t="s">
        <v>45</v>
      </c>
      <c r="D23" s="15">
        <v>31</v>
      </c>
      <c r="E23" s="15"/>
      <c r="F23" s="11" t="s">
        <v>32</v>
      </c>
      <c r="G23" s="11" t="s">
        <v>27</v>
      </c>
      <c r="H23" s="108"/>
      <c r="I23" s="109"/>
      <c r="J23" s="4"/>
      <c r="K23" s="4"/>
      <c r="L23" s="10" t="s">
        <v>59</v>
      </c>
      <c r="M23" s="10" t="s">
        <v>45</v>
      </c>
      <c r="N23" s="15">
        <f>IF(D23&lt;1,"&lt;1",D23)</f>
        <v>31</v>
      </c>
      <c r="O23" s="11" t="s">
        <v>32</v>
      </c>
      <c r="P23" s="11" t="s">
        <v>27</v>
      </c>
      <c r="Q23" s="11" t="str">
        <f>VLOOKUP(N23,Lookup!C80:D87,2)</f>
        <v>Low</v>
      </c>
      <c r="R23" s="112"/>
      <c r="S23" s="113"/>
      <c r="T23" s="122"/>
      <c r="U23" s="5"/>
    </row>
    <row r="24" spans="1:21" hidden="1">
      <c r="A24" s="4"/>
      <c r="B24" s="10" t="s">
        <v>60</v>
      </c>
      <c r="C24" s="10" t="s">
        <v>61</v>
      </c>
      <c r="D24" s="15"/>
      <c r="E24" s="15"/>
      <c r="F24" s="11" t="s">
        <v>27</v>
      </c>
      <c r="G24" s="11" t="s">
        <v>27</v>
      </c>
      <c r="H24" s="108"/>
      <c r="I24" s="109"/>
      <c r="J24" s="4"/>
      <c r="K24" s="4"/>
      <c r="L24" s="10" t="s">
        <v>60</v>
      </c>
      <c r="M24" s="10" t="s">
        <v>61</v>
      </c>
      <c r="N24" s="64" t="str">
        <f>IF(D24&lt;5,"&lt;5")</f>
        <v>&lt;5</v>
      </c>
      <c r="O24" s="11" t="s">
        <v>27</v>
      </c>
      <c r="P24" s="11" t="s">
        <v>27</v>
      </c>
      <c r="Q24" s="11" t="s">
        <v>27</v>
      </c>
      <c r="R24" s="112"/>
      <c r="S24" s="113"/>
      <c r="T24" s="122"/>
      <c r="U24" s="5"/>
    </row>
    <row r="25" spans="1:21">
      <c r="A25" s="4"/>
      <c r="B25" s="10" t="s">
        <v>60</v>
      </c>
      <c r="C25" s="10" t="s">
        <v>62</v>
      </c>
      <c r="D25" s="15">
        <v>278</v>
      </c>
      <c r="E25" s="15"/>
      <c r="F25" s="11" t="s">
        <v>27</v>
      </c>
      <c r="G25" s="11" t="s">
        <v>27</v>
      </c>
      <c r="H25" s="108"/>
      <c r="I25" s="109"/>
      <c r="J25" s="4"/>
      <c r="K25" s="4"/>
      <c r="L25" s="10" t="s">
        <v>60</v>
      </c>
      <c r="M25" s="10" t="s">
        <v>62</v>
      </c>
      <c r="N25" s="14">
        <f>D25</f>
        <v>278</v>
      </c>
      <c r="O25" s="11" t="s">
        <v>27</v>
      </c>
      <c r="P25" s="11" t="s">
        <v>27</v>
      </c>
      <c r="Q25" s="11" t="s">
        <v>27</v>
      </c>
      <c r="R25" s="112"/>
      <c r="S25" s="113"/>
      <c r="T25" s="122"/>
      <c r="U25" s="5"/>
    </row>
    <row r="26" spans="1:21">
      <c r="A26" s="4"/>
      <c r="B26" s="10" t="s">
        <v>63</v>
      </c>
      <c r="C26" s="10" t="s">
        <v>64</v>
      </c>
      <c r="D26" s="11">
        <v>21.15</v>
      </c>
      <c r="E26" s="11">
        <v>0.05</v>
      </c>
      <c r="F26" s="11" t="s">
        <v>65</v>
      </c>
      <c r="G26" s="11" t="s">
        <v>27</v>
      </c>
      <c r="H26" s="108"/>
      <c r="I26" s="109"/>
      <c r="J26" s="4"/>
      <c r="K26" s="4"/>
      <c r="L26" s="10" t="s">
        <v>63</v>
      </c>
      <c r="M26" s="10" t="s">
        <v>64</v>
      </c>
      <c r="N26" s="14">
        <f>IF(D26&lt;0.05,"&lt;0.05",D26)</f>
        <v>21.15</v>
      </c>
      <c r="O26" s="11" t="s">
        <v>65</v>
      </c>
      <c r="P26" s="11" t="s">
        <v>27</v>
      </c>
      <c r="Q26" s="11" t="str">
        <f>VLOOKUP(N26,Lookup!C124:D131,2)</f>
        <v>Very High</v>
      </c>
      <c r="R26" s="112" t="s">
        <v>66</v>
      </c>
      <c r="S26" s="113"/>
      <c r="T26" s="122"/>
      <c r="U26" s="5"/>
    </row>
    <row r="27" spans="1:21">
      <c r="A27" s="4"/>
      <c r="B27" s="10" t="s">
        <v>67</v>
      </c>
      <c r="C27" s="10" t="s">
        <v>68</v>
      </c>
      <c r="D27" s="15" t="s">
        <v>69</v>
      </c>
      <c r="E27" s="15">
        <v>5</v>
      </c>
      <c r="F27" s="11" t="s">
        <v>27</v>
      </c>
      <c r="G27" s="11" t="s">
        <v>27</v>
      </c>
      <c r="H27" s="108"/>
      <c r="I27" s="109"/>
      <c r="J27" s="4"/>
      <c r="K27" s="4"/>
      <c r="L27" s="10" t="s">
        <v>67</v>
      </c>
      <c r="M27" s="10" t="s">
        <v>68</v>
      </c>
      <c r="N27" s="15" t="str">
        <f>IF(D27&lt;5,"&lt;5",D27)</f>
        <v>&lt;5</v>
      </c>
      <c r="O27" s="107" t="s">
        <v>70</v>
      </c>
      <c r="P27" s="11" t="s">
        <v>27</v>
      </c>
      <c r="Q27" s="11" t="str">
        <f>VLOOKUP(N27,Lookup!C149:D152,2)</f>
        <v>Very Low</v>
      </c>
      <c r="R27" s="112" t="s">
        <v>71</v>
      </c>
      <c r="S27" s="113"/>
      <c r="T27" s="122"/>
      <c r="U27" s="5"/>
    </row>
    <row r="28" spans="1:21">
      <c r="A28" s="4"/>
      <c r="B28" s="10" t="s">
        <v>72</v>
      </c>
      <c r="C28" s="10" t="s">
        <v>73</v>
      </c>
      <c r="D28" s="14">
        <v>91.4</v>
      </c>
      <c r="E28" s="14">
        <v>5</v>
      </c>
      <c r="F28" s="11" t="s">
        <v>27</v>
      </c>
      <c r="G28" s="11" t="s">
        <v>27</v>
      </c>
      <c r="H28" s="108"/>
      <c r="I28" s="109"/>
      <c r="J28" s="4"/>
      <c r="K28" s="4"/>
      <c r="L28" s="10" t="s">
        <v>72</v>
      </c>
      <c r="M28" s="10" t="s">
        <v>73</v>
      </c>
      <c r="N28" s="15">
        <f>IF(D28&lt;5,"&lt;5",D28)</f>
        <v>91.4</v>
      </c>
      <c r="O28" s="11" t="s">
        <v>27</v>
      </c>
      <c r="P28" s="11" t="s">
        <v>27</v>
      </c>
      <c r="Q28" s="11" t="str">
        <f>VLOOKUP(N28,Lookup!C133:D139,2)</f>
        <v>Good</v>
      </c>
      <c r="R28" s="112"/>
      <c r="S28" s="113"/>
      <c r="T28" s="122"/>
      <c r="U28" s="5"/>
    </row>
    <row r="29" spans="1:21">
      <c r="A29" s="4"/>
      <c r="B29" s="4"/>
      <c r="C29" s="4"/>
      <c r="D29" s="8"/>
      <c r="E29" s="8"/>
      <c r="F29" s="8"/>
      <c r="G29" s="8"/>
      <c r="H29" s="8"/>
      <c r="I29" s="8"/>
      <c r="J29" s="4"/>
      <c r="K29" s="4"/>
      <c r="L29" s="4"/>
      <c r="M29" s="4"/>
      <c r="N29" s="8"/>
      <c r="O29" s="8"/>
      <c r="P29" s="8"/>
      <c r="Q29" s="8"/>
      <c r="R29" s="9"/>
      <c r="S29" s="9"/>
      <c r="T29" s="9"/>
      <c r="U29" s="5"/>
    </row>
    <row r="30" spans="1:21">
      <c r="A30" s="4"/>
      <c r="B30" s="7" t="s">
        <v>74</v>
      </c>
      <c r="C30" s="112" t="s">
        <v>75</v>
      </c>
      <c r="D30" s="113"/>
      <c r="E30" s="114" t="s">
        <v>76</v>
      </c>
      <c r="F30" s="114"/>
      <c r="G30" s="49" t="s">
        <v>77</v>
      </c>
      <c r="H30" s="114" t="s">
        <v>78</v>
      </c>
      <c r="I30" s="115"/>
      <c r="J30" s="4"/>
      <c r="K30" s="4"/>
      <c r="L30" s="9" t="str">
        <f>CONCATENATE(B30, " ", C30, " ", E30," ", G30, " ", H30)</f>
        <v>Comments: The sample was slightly discoloured  with some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 hidden="1">
      <c r="A31" s="4"/>
      <c r="B31" s="79" t="s">
        <v>79</v>
      </c>
      <c r="C31" s="82" t="str">
        <f>IF(D14&lt;-1.5,"The negative LSI indicates corrosive water.",IF(D10&gt;60,"The high hardness will likely cause lime scale, particularity at elevated temperatures"," "))</f>
        <v>The high hardness will likely cause lime scale, particularity at elevated temperatures</v>
      </c>
      <c r="D31" s="83"/>
      <c r="E31" s="83"/>
      <c r="F31" s="83"/>
      <c r="G31" s="83"/>
      <c r="H31" s="83"/>
      <c r="I31" s="84"/>
      <c r="J31" s="4"/>
      <c r="K31" s="4"/>
      <c r="L31" s="9" t="str">
        <f t="shared" ref="L31:L36" si="2">C31</f>
        <v>The high hardness will likely cause lime scale, particularity at elevated temperatures</v>
      </c>
      <c r="M31" s="9"/>
      <c r="U31" s="5"/>
    </row>
    <row r="32" spans="1:21" hidden="1">
      <c r="A32" s="4"/>
      <c r="B32" s="79" t="s">
        <v>80</v>
      </c>
      <c r="C32" s="82" t="str">
        <f>IF(D15&lt;50," ","The high silica level may cause scale, treatment options are available but expensive")</f>
        <v xml:space="preserve"> </v>
      </c>
      <c r="D32" s="85"/>
      <c r="E32" s="85"/>
      <c r="F32" s="85"/>
      <c r="G32" s="85"/>
      <c r="H32" s="86"/>
      <c r="I32" s="87"/>
      <c r="J32" s="4"/>
      <c r="K32" s="4"/>
      <c r="L32" s="9" t="str">
        <f t="shared" si="2"/>
        <v xml:space="preserve"> </v>
      </c>
      <c r="U32" s="5"/>
    </row>
    <row r="33" spans="1:21" hidden="1">
      <c r="A33" s="4"/>
      <c r="B33" s="79" t="s">
        <v>81</v>
      </c>
      <c r="C33" s="82" t="str">
        <f>IF(D17&lt;0.2," ","The high iron content may cause staining, taste and odour issues.")</f>
        <v>The high iron content may cause staining, taste and odour issues.</v>
      </c>
      <c r="D33" s="85"/>
      <c r="E33" s="85"/>
      <c r="F33" s="85"/>
      <c r="G33" s="85"/>
      <c r="H33" s="85"/>
      <c r="I33" s="87"/>
      <c r="J33" s="4"/>
      <c r="K33" s="4"/>
      <c r="L33" s="9" t="str">
        <f t="shared" si="2"/>
        <v>The high iron content may cause staining, taste and odour issues.</v>
      </c>
      <c r="U33" s="5"/>
    </row>
    <row r="34" spans="1:21" hidden="1">
      <c r="A34" s="4"/>
      <c r="B34" s="79" t="s">
        <v>82</v>
      </c>
      <c r="C34" s="82" t="str">
        <f>IF(D18&lt;0.04," ","The high manganese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2"/>
        <v xml:space="preserve"> </v>
      </c>
      <c r="U34" s="5"/>
    </row>
    <row r="35" spans="1:21" hidden="1">
      <c r="A35" s="4"/>
      <c r="B35" s="79" t="s">
        <v>83</v>
      </c>
      <c r="C35" s="82" t="str">
        <f>IF(D22&lt;200," ","The high chloride level indicates possible salt water intrusion")</f>
        <v xml:space="preserve"> </v>
      </c>
      <c r="D35" s="88"/>
      <c r="E35" s="88"/>
      <c r="F35" s="85"/>
      <c r="G35" s="85"/>
      <c r="H35" s="85"/>
      <c r="I35" s="87"/>
      <c r="J35" s="4"/>
      <c r="K35" s="4"/>
      <c r="L35" s="9" t="str">
        <f t="shared" si="2"/>
        <v xml:space="preserve"> </v>
      </c>
      <c r="M35" s="9"/>
      <c r="U35" s="5"/>
    </row>
    <row r="36" spans="1:21" hidden="1">
      <c r="A36" s="4"/>
      <c r="B36" s="79" t="s">
        <v>84</v>
      </c>
      <c r="C36" s="89" t="str">
        <f>IF(COUNTIF(Q8:Q28,"Above MAV")&gt;0,"The sample contained results above the MAV for drinking water, treatment is highly recommended"," ")</f>
        <v xml:space="preserve"> </v>
      </c>
      <c r="D36" s="85"/>
      <c r="E36" s="85"/>
      <c r="F36" s="90"/>
      <c r="G36" s="90"/>
      <c r="H36" s="90"/>
      <c r="I36" s="91"/>
      <c r="J36" s="4"/>
      <c r="K36" s="4"/>
      <c r="L36" s="9" t="str">
        <f t="shared" si="2"/>
        <v xml:space="preserve"> </v>
      </c>
      <c r="M36" s="9"/>
      <c r="U36" s="5"/>
    </row>
    <row r="37" spans="1:21">
      <c r="A37" s="4"/>
      <c r="B37" s="79"/>
      <c r="C37" s="9"/>
      <c r="D37" s="8"/>
      <c r="E37" s="8"/>
      <c r="F37" s="5"/>
      <c r="G37" s="5"/>
      <c r="H37" s="5"/>
      <c r="I37" s="5"/>
      <c r="J37" s="4"/>
      <c r="K37" s="4"/>
      <c r="L37" s="9"/>
      <c r="M37" s="9"/>
      <c r="U37" s="5"/>
    </row>
    <row r="38" spans="1:21">
      <c r="A38" s="4"/>
      <c r="B38" s="9"/>
      <c r="C38" s="9"/>
      <c r="D38" s="5"/>
      <c r="E38" s="5"/>
      <c r="F38" s="5"/>
      <c r="G38" s="5"/>
      <c r="H38" s="5"/>
      <c r="I38" s="5"/>
      <c r="J38" s="4"/>
      <c r="K38" s="4"/>
      <c r="L38" s="52" t="s">
        <v>23</v>
      </c>
      <c r="M38" s="53" t="s">
        <v>85</v>
      </c>
      <c r="N38" s="54"/>
      <c r="O38" s="54"/>
      <c r="P38" s="54"/>
      <c r="Q38" s="54"/>
      <c r="R38" s="54"/>
      <c r="S38" s="54"/>
      <c r="T38" s="54"/>
      <c r="U38" s="5"/>
    </row>
    <row r="39" spans="1:21">
      <c r="A39" s="4"/>
      <c r="C39" s="9"/>
      <c r="D39" s="5"/>
      <c r="E39" s="5"/>
      <c r="F39" s="5"/>
      <c r="G39" s="5"/>
      <c r="H39" s="5"/>
      <c r="I39" s="5"/>
      <c r="J39" s="4"/>
      <c r="K39" s="4"/>
      <c r="L39" s="47" t="s">
        <v>24</v>
      </c>
      <c r="M39" s="127" t="s">
        <v>86</v>
      </c>
      <c r="N39" s="127"/>
      <c r="O39" s="127"/>
      <c r="P39" s="127"/>
      <c r="Q39" s="127"/>
      <c r="R39" s="127"/>
      <c r="S39" s="127"/>
      <c r="T39" s="127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45</v>
      </c>
      <c r="M40" s="126" t="s">
        <v>87</v>
      </c>
      <c r="N40" s="127"/>
      <c r="O40" s="127"/>
      <c r="P40" s="127"/>
      <c r="Q40" s="127"/>
      <c r="R40" s="127"/>
      <c r="S40" s="127"/>
      <c r="T40" s="127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47"/>
      <c r="M41" s="126"/>
      <c r="N41" s="127"/>
      <c r="O41" s="127"/>
      <c r="P41" s="127"/>
      <c r="Q41" s="127"/>
      <c r="R41" s="127"/>
      <c r="S41" s="127"/>
      <c r="T41" s="127"/>
      <c r="U41" s="5"/>
    </row>
    <row r="42" spans="1:21">
      <c r="A42" s="4"/>
      <c r="B42" s="9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"/>
      <c r="C43" s="5"/>
      <c r="D43" s="77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 t="s">
        <v>88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89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90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12" t="s">
        <v>91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M41:T41"/>
    <mergeCell ref="R25:T25"/>
    <mergeCell ref="R26:T26"/>
    <mergeCell ref="R27:T27"/>
    <mergeCell ref="R28:T28"/>
    <mergeCell ref="M39:T39"/>
    <mergeCell ref="M40:T40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R12:T12"/>
    <mergeCell ref="Q7:T7"/>
    <mergeCell ref="R8:T8"/>
    <mergeCell ref="R9:T9"/>
    <mergeCell ref="R10:T10"/>
    <mergeCell ref="R11:T11"/>
    <mergeCell ref="C30:D30"/>
    <mergeCell ref="E30:F30"/>
    <mergeCell ref="H30:I30"/>
    <mergeCell ref="C3:F3"/>
    <mergeCell ref="C4:F4"/>
    <mergeCell ref="C5:F5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7:I27"/>
    <mergeCell ref="H28:I28"/>
    <mergeCell ref="H22:I22"/>
    <mergeCell ref="H23:I23"/>
    <mergeCell ref="H24:I24"/>
    <mergeCell ref="H25:I25"/>
    <mergeCell ref="H26:I26"/>
  </mergeCells>
  <phoneticPr fontId="31" type="noConversion"/>
  <conditionalFormatting sqref="Q29">
    <cfRule type="cellIs" dxfId="97" priority="22" operator="equal">
      <formula>"Above MAV"</formula>
    </cfRule>
    <cfRule type="cellIs" dxfId="96" priority="23" operator="equal">
      <formula>"ALERT"</formula>
    </cfRule>
  </conditionalFormatting>
  <conditionalFormatting sqref="P24">
    <cfRule type="cellIs" dxfId="95" priority="20" operator="equal">
      <formula>"Above MAV"</formula>
    </cfRule>
    <cfRule type="cellIs" dxfId="94" priority="21" operator="equal">
      <formula>"ALERT"</formula>
    </cfRule>
  </conditionalFormatting>
  <conditionalFormatting sqref="O24">
    <cfRule type="cellIs" dxfId="93" priority="18" operator="equal">
      <formula>"Above MAV"</formula>
    </cfRule>
    <cfRule type="cellIs" dxfId="92" priority="19" operator="equal">
      <formula>"ALERT"</formula>
    </cfRule>
  </conditionalFormatting>
  <conditionalFormatting sqref="O25">
    <cfRule type="cellIs" dxfId="91" priority="16" operator="equal">
      <formula>"Above MAV"</formula>
    </cfRule>
    <cfRule type="cellIs" dxfId="90" priority="17" operator="equal">
      <formula>"ALERT"</formula>
    </cfRule>
  </conditionalFormatting>
  <conditionalFormatting sqref="P25">
    <cfRule type="cellIs" dxfId="89" priority="14" operator="equal">
      <formula>"Above MAV"</formula>
    </cfRule>
    <cfRule type="cellIs" dxfId="88" priority="15" operator="equal">
      <formula>"ALERT"</formula>
    </cfRule>
  </conditionalFormatting>
  <conditionalFormatting sqref="Q8:Q28">
    <cfRule type="cellIs" dxfId="87" priority="12" operator="equal">
      <formula>"Above MAV"</formula>
    </cfRule>
    <cfRule type="cellIs" dxfId="86" priority="13" operator="equal">
      <formula>"ALERT"</formula>
    </cfRule>
  </conditionalFormatting>
  <conditionalFormatting sqref="D12">
    <cfRule type="cellIs" dxfId="85" priority="11" operator="lessThan">
      <formula>$D$12&lt;0</formula>
    </cfRule>
  </conditionalFormatting>
  <conditionalFormatting sqref="G24">
    <cfRule type="cellIs" dxfId="84" priority="9" operator="equal">
      <formula>"Above MAV"</formula>
    </cfRule>
    <cfRule type="cellIs" dxfId="83" priority="10" operator="equal">
      <formula>"ALERT"</formula>
    </cfRule>
  </conditionalFormatting>
  <conditionalFormatting sqref="F24">
    <cfRule type="cellIs" dxfId="82" priority="7" operator="equal">
      <formula>"Above MAV"</formula>
    </cfRule>
    <cfRule type="cellIs" dxfId="81" priority="8" operator="equal">
      <formula>"ALERT"</formula>
    </cfRule>
  </conditionalFormatting>
  <conditionalFormatting sqref="F25">
    <cfRule type="cellIs" dxfId="80" priority="5" operator="equal">
      <formula>"Above MAV"</formula>
    </cfRule>
    <cfRule type="cellIs" dxfId="79" priority="6" operator="equal">
      <formula>"ALERT"</formula>
    </cfRule>
  </conditionalFormatting>
  <conditionalFormatting sqref="G25">
    <cfRule type="cellIs" dxfId="78" priority="3" operator="equal">
      <formula>"Above MAV"</formula>
    </cfRule>
    <cfRule type="cellIs" dxfId="77" priority="4" operator="equal">
      <formula>"ALERT"</formula>
    </cfRule>
  </conditionalFormatting>
  <conditionalFormatting sqref="H12:I12">
    <cfRule type="containsText" dxfId="76" priority="1" operator="containsText" text="Hardness">
      <formula>NOT(ISERROR(SEARCH("Hardness",H12)))</formula>
    </cfRule>
  </conditionalFormatting>
  <dataValidations disablePrompts="1"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E806C3A6-CE7E-432C-849E-4A50D0191DC2}">
          <x14:formula1>
            <xm:f>Data!$A$39:$A$47</xm:f>
          </x14:formula1>
          <xm:sqref>C5:C6 M5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138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5</v>
      </c>
      <c r="I4" s="132"/>
      <c r="J4" s="132"/>
    </row>
    <row r="5" spans="1:11" ht="22.5" customHeight="1">
      <c r="B5" s="66" t="s">
        <v>7</v>
      </c>
      <c r="C5" s="132"/>
      <c r="D5" s="132"/>
      <c r="E5" s="132"/>
      <c r="F5" s="132"/>
      <c r="G5" s="8"/>
      <c r="H5" s="66" t="s">
        <v>9</v>
      </c>
      <c r="I5" s="132"/>
      <c r="J5" s="132"/>
    </row>
    <row r="6" spans="1:11" ht="22.5" customHeight="1">
      <c r="B6" s="66" t="s">
        <v>11</v>
      </c>
      <c r="C6" s="140"/>
      <c r="D6" s="140"/>
      <c r="E6" s="140"/>
      <c r="F6" s="140"/>
      <c r="G6" s="8"/>
      <c r="H6" s="66" t="s">
        <v>13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15</v>
      </c>
      <c r="C9" s="68" t="s">
        <v>16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26</v>
      </c>
      <c r="C10" s="11" t="s">
        <v>27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29</v>
      </c>
      <c r="C11" s="10" t="s">
        <v>30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31</v>
      </c>
      <c r="C12" s="10" t="s">
        <v>30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40</v>
      </c>
      <c r="C13" s="10" t="s">
        <v>41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44</v>
      </c>
      <c r="C14" s="10" t="s">
        <v>45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48</v>
      </c>
      <c r="C15" s="10" t="s">
        <v>45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55</v>
      </c>
      <c r="C16" s="10" t="s">
        <v>45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63</v>
      </c>
      <c r="C17" s="10" t="s">
        <v>64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72</v>
      </c>
      <c r="C18" s="10" t="s">
        <v>73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25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102</v>
      </c>
      <c r="C21" s="48" t="s">
        <v>139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103</v>
      </c>
      <c r="C22" s="48" t="s">
        <v>139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104</v>
      </c>
      <c r="C23" s="48" t="s">
        <v>139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105</v>
      </c>
      <c r="C24" s="48" t="s">
        <v>139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119</v>
      </c>
      <c r="C25" s="48" t="s">
        <v>139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121</v>
      </c>
      <c r="C26" s="48" t="s">
        <v>139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137</v>
      </c>
      <c r="C27" s="48" t="s">
        <v>139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97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5</v>
      </c>
      <c r="I4" s="132"/>
      <c r="J4" s="132"/>
    </row>
    <row r="5" spans="1:11" ht="22.5" customHeight="1">
      <c r="B5" s="66" t="s">
        <v>7</v>
      </c>
      <c r="C5" s="132"/>
      <c r="D5" s="132"/>
      <c r="E5" s="132"/>
      <c r="F5" s="132"/>
      <c r="G5" s="8"/>
      <c r="H5" s="66" t="s">
        <v>9</v>
      </c>
      <c r="I5" s="132"/>
      <c r="J5" s="132"/>
    </row>
    <row r="6" spans="1:11" ht="22.5" customHeight="1">
      <c r="B6" s="66" t="s">
        <v>11</v>
      </c>
      <c r="C6" s="140"/>
      <c r="D6" s="140"/>
      <c r="E6" s="140"/>
      <c r="F6" s="140"/>
      <c r="G6" s="8"/>
      <c r="H6" s="66" t="s">
        <v>13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15</v>
      </c>
      <c r="C9" s="68" t="s">
        <v>16</v>
      </c>
      <c r="D9" s="68" t="s">
        <v>95</v>
      </c>
      <c r="E9" s="68" t="s">
        <v>96</v>
      </c>
      <c r="F9" s="68" t="s">
        <v>97</v>
      </c>
      <c r="G9" s="68" t="s">
        <v>98</v>
      </c>
      <c r="H9" s="68" t="s">
        <v>109</v>
      </c>
      <c r="I9" s="68" t="s">
        <v>110</v>
      </c>
      <c r="J9" s="68" t="s">
        <v>140</v>
      </c>
      <c r="K9" s="5"/>
    </row>
    <row r="10" spans="1:11" ht="22.5" customHeight="1">
      <c r="A10" s="4"/>
      <c r="B10" s="10" t="s">
        <v>26</v>
      </c>
      <c r="C10" s="11" t="s">
        <v>27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29</v>
      </c>
      <c r="C11" s="10" t="s">
        <v>30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31</v>
      </c>
      <c r="C12" s="10" t="s">
        <v>30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44</v>
      </c>
      <c r="C13" s="10" t="s">
        <v>45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48</v>
      </c>
      <c r="C14" s="10" t="s">
        <v>45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55</v>
      </c>
      <c r="C15" s="10" t="s">
        <v>45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57</v>
      </c>
      <c r="C16" s="10" t="s">
        <v>45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59</v>
      </c>
      <c r="C17" s="10" t="s">
        <v>45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60</v>
      </c>
      <c r="C18" s="69" t="s">
        <v>135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63</v>
      </c>
      <c r="C19" s="10" t="s">
        <v>64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67</v>
      </c>
      <c r="C20" s="10" t="s">
        <v>68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72</v>
      </c>
      <c r="C21" s="10" t="s">
        <v>73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25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102</v>
      </c>
      <c r="C24" s="48" t="s">
        <v>139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103</v>
      </c>
      <c r="C25" s="48" t="s">
        <v>139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104</v>
      </c>
      <c r="C26" s="48" t="s">
        <v>139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105</v>
      </c>
      <c r="C27" s="48" t="s">
        <v>139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119</v>
      </c>
      <c r="C28" s="48" t="s">
        <v>139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121</v>
      </c>
      <c r="C29" s="48" t="s">
        <v>139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137</v>
      </c>
      <c r="C30" s="48" t="s">
        <v>139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141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5</v>
      </c>
      <c r="I4" s="132"/>
      <c r="J4" s="132"/>
    </row>
    <row r="5" spans="1:11" ht="22.5" customHeight="1">
      <c r="B5" s="66" t="s">
        <v>7</v>
      </c>
      <c r="C5" s="132"/>
      <c r="D5" s="132"/>
      <c r="E5" s="132"/>
      <c r="F5" s="132"/>
      <c r="G5" s="8"/>
      <c r="H5" s="66" t="s">
        <v>9</v>
      </c>
      <c r="I5" s="132"/>
      <c r="J5" s="132"/>
    </row>
    <row r="6" spans="1:11" ht="22.5" customHeight="1">
      <c r="B6" s="66" t="s">
        <v>11</v>
      </c>
      <c r="C6" s="140"/>
      <c r="D6" s="140"/>
      <c r="E6" s="140"/>
      <c r="F6" s="140"/>
      <c r="G6" s="8"/>
      <c r="H6" s="66" t="s">
        <v>13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15</v>
      </c>
      <c r="C9" s="68" t="s">
        <v>16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112</v>
      </c>
      <c r="C10" s="10" t="s">
        <v>113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114</v>
      </c>
      <c r="C11" s="10" t="s">
        <v>113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115</v>
      </c>
      <c r="C12" s="10" t="s">
        <v>116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117</v>
      </c>
      <c r="C13" s="10" t="s">
        <v>116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25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102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103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104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105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119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121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137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142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5</v>
      </c>
      <c r="I4" s="132"/>
      <c r="J4" s="132"/>
    </row>
    <row r="5" spans="1:11" ht="22.5" customHeight="1">
      <c r="B5" s="66" t="s">
        <v>7</v>
      </c>
      <c r="C5" s="132"/>
      <c r="D5" s="132"/>
      <c r="E5" s="132"/>
      <c r="F5" s="132"/>
      <c r="G5" s="8"/>
      <c r="H5" s="66" t="s">
        <v>9</v>
      </c>
      <c r="I5" s="132"/>
      <c r="J5" s="132"/>
    </row>
    <row r="6" spans="1:11" ht="22.5" customHeight="1">
      <c r="B6" s="66" t="s">
        <v>11</v>
      </c>
      <c r="C6" s="140" t="s">
        <v>143</v>
      </c>
      <c r="D6" s="140"/>
      <c r="E6" s="140"/>
      <c r="F6" s="140"/>
      <c r="G6" s="8"/>
      <c r="H6" s="66" t="s">
        <v>13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15</v>
      </c>
      <c r="C9" s="68" t="s">
        <v>16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26</v>
      </c>
      <c r="C10" s="11" t="s">
        <v>27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29</v>
      </c>
      <c r="C11" s="10" t="s">
        <v>30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31</v>
      </c>
      <c r="C12" s="10" t="s">
        <v>30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40</v>
      </c>
      <c r="C13" s="10" t="s">
        <v>41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44</v>
      </c>
      <c r="C14" s="10" t="s">
        <v>45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48</v>
      </c>
      <c r="C15" s="10" t="s">
        <v>45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51</v>
      </c>
      <c r="C16" s="10" t="s">
        <v>45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55</v>
      </c>
      <c r="C17" s="10" t="s">
        <v>45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57</v>
      </c>
      <c r="C18" s="10" t="s">
        <v>45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60</v>
      </c>
      <c r="C19" s="69" t="s">
        <v>135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63</v>
      </c>
      <c r="C20" s="10" t="s">
        <v>64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67</v>
      </c>
      <c r="C21" s="10" t="s">
        <v>68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72</v>
      </c>
      <c r="C22" s="10" t="s">
        <v>73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144</v>
      </c>
      <c r="C23" s="10" t="s">
        <v>45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25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102</v>
      </c>
      <c r="C26" s="48" t="s">
        <v>139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103</v>
      </c>
      <c r="C27" s="48" t="s">
        <v>139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104</v>
      </c>
      <c r="C28" s="48" t="s">
        <v>139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105</v>
      </c>
      <c r="C29" s="48" t="s">
        <v>139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119</v>
      </c>
      <c r="C30" s="48" t="s">
        <v>139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121</v>
      </c>
      <c r="C31" s="48" t="s">
        <v>139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137</v>
      </c>
      <c r="C32" s="48" t="s">
        <v>139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2"/>
      <c r="D3" s="132"/>
      <c r="E3" s="132"/>
      <c r="F3" s="132"/>
      <c r="G3" s="8"/>
      <c r="H3" s="66" t="s">
        <v>5</v>
      </c>
      <c r="I3" s="132"/>
      <c r="J3" s="132"/>
    </row>
    <row r="4" spans="1:11" ht="22.5" customHeight="1">
      <c r="B4" s="66" t="s">
        <v>7</v>
      </c>
      <c r="C4" s="132"/>
      <c r="D4" s="132"/>
      <c r="E4" s="132"/>
      <c r="F4" s="132"/>
      <c r="G4" s="8"/>
      <c r="H4" s="66" t="s">
        <v>9</v>
      </c>
      <c r="I4" s="132"/>
      <c r="J4" s="132"/>
    </row>
    <row r="5" spans="1:11" ht="22.5" customHeight="1">
      <c r="B5" s="66" t="s">
        <v>11</v>
      </c>
      <c r="C5" s="140"/>
      <c r="D5" s="140"/>
      <c r="E5" s="140"/>
      <c r="F5" s="140"/>
      <c r="G5" s="8"/>
      <c r="H5" s="66" t="s">
        <v>13</v>
      </c>
      <c r="I5" s="132"/>
      <c r="J5" s="132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15</v>
      </c>
      <c r="C8" s="68" t="s">
        <v>16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26</v>
      </c>
      <c r="C9" s="11" t="s">
        <v>27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29</v>
      </c>
      <c r="C10" s="10" t="s">
        <v>30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31</v>
      </c>
      <c r="C11" s="10" t="s">
        <v>30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33</v>
      </c>
      <c r="C12" s="10" t="s">
        <v>30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30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36</v>
      </c>
      <c r="C14" s="10" t="s">
        <v>37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38</v>
      </c>
      <c r="C15" s="11" t="s">
        <v>27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40</v>
      </c>
      <c r="C16" s="10" t="s">
        <v>41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42</v>
      </c>
      <c r="C17" s="10" t="s">
        <v>43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44</v>
      </c>
      <c r="C18" s="10" t="s">
        <v>45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48</v>
      </c>
      <c r="C19" s="10" t="s">
        <v>45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51</v>
      </c>
      <c r="C20" s="10" t="s">
        <v>45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53</v>
      </c>
      <c r="C21" s="10" t="s">
        <v>45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55</v>
      </c>
      <c r="C22" s="10" t="s">
        <v>45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57</v>
      </c>
      <c r="C23" s="10" t="s">
        <v>45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59</v>
      </c>
      <c r="C24" s="10" t="s">
        <v>45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60</v>
      </c>
      <c r="C25" s="10" t="s">
        <v>61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60</v>
      </c>
      <c r="C26" s="10" t="s">
        <v>62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63</v>
      </c>
      <c r="C27" s="10" t="s">
        <v>64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67</v>
      </c>
      <c r="C28" s="10" t="s">
        <v>68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72</v>
      </c>
      <c r="C29" s="10" t="s">
        <v>73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144</v>
      </c>
      <c r="C30" s="10" t="s">
        <v>45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145</v>
      </c>
      <c r="C31" s="10" t="s">
        <v>45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146</v>
      </c>
      <c r="C32" s="10" t="s">
        <v>45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112</v>
      </c>
      <c r="C33" s="10" t="s">
        <v>113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114</v>
      </c>
      <c r="C34" s="10" t="s">
        <v>113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115</v>
      </c>
      <c r="C35" s="10" t="s">
        <v>116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117</v>
      </c>
      <c r="C36" s="10" t="s">
        <v>116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25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102</v>
      </c>
      <c r="C39" s="48" t="s">
        <v>136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103</v>
      </c>
      <c r="C40" s="48" t="s">
        <v>136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104</v>
      </c>
      <c r="C41" s="48" t="s">
        <v>136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105</v>
      </c>
      <c r="C42" s="48" t="s">
        <v>136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119</v>
      </c>
      <c r="C43" s="48" t="s">
        <v>136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121</v>
      </c>
      <c r="C44" s="48" t="s">
        <v>136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137</v>
      </c>
      <c r="C45" s="48" t="s">
        <v>136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147</v>
      </c>
    </row>
    <row r="2" spans="1:9">
      <c r="E2" t="s">
        <v>148</v>
      </c>
    </row>
    <row r="3" spans="1:9">
      <c r="A3" t="s">
        <v>149</v>
      </c>
    </row>
    <row r="4" spans="1:9">
      <c r="A4" s="6" t="s">
        <v>27</v>
      </c>
      <c r="F4" s="6"/>
      <c r="H4" s="6"/>
    </row>
    <row r="5" spans="1:9">
      <c r="A5" s="6" t="s">
        <v>150</v>
      </c>
      <c r="F5" s="6"/>
      <c r="H5" s="6"/>
    </row>
    <row r="6" spans="1:9">
      <c r="A6" s="6" t="s">
        <v>54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151</v>
      </c>
      <c r="C11" s="6"/>
      <c r="H11" s="6"/>
    </row>
    <row r="12" spans="1:9">
      <c r="A12">
        <v>0.01</v>
      </c>
      <c r="B12" s="6" t="s">
        <v>100</v>
      </c>
      <c r="C12" s="6"/>
      <c r="D12" t="s">
        <v>44</v>
      </c>
      <c r="G12" s="16"/>
      <c r="H12" s="6"/>
    </row>
    <row r="13" spans="1:9">
      <c r="B13" s="6"/>
      <c r="C13" s="6"/>
      <c r="D13" t="s">
        <v>48</v>
      </c>
      <c r="G13" s="16"/>
      <c r="H13" s="6"/>
    </row>
    <row r="14" spans="1:9">
      <c r="B14" s="6"/>
      <c r="C14" s="6"/>
      <c r="D14" t="s">
        <v>51</v>
      </c>
    </row>
    <row r="15" spans="1:9">
      <c r="B15" s="6"/>
      <c r="C15" s="6"/>
      <c r="D15" t="s">
        <v>53</v>
      </c>
      <c r="H15" s="6"/>
    </row>
    <row r="16" spans="1:9">
      <c r="C16" s="6"/>
      <c r="H16" s="6"/>
    </row>
    <row r="17" spans="1:8">
      <c r="A17">
        <v>0.05</v>
      </c>
      <c r="B17" s="6" t="s">
        <v>152</v>
      </c>
      <c r="C17" s="6"/>
      <c r="D17" t="s">
        <v>63</v>
      </c>
      <c r="H17" s="6"/>
    </row>
    <row r="18" spans="1:8">
      <c r="B18" s="6"/>
      <c r="C18" s="6"/>
    </row>
    <row r="19" spans="1:8">
      <c r="A19" s="16">
        <v>0.1</v>
      </c>
      <c r="B19" s="6" t="s">
        <v>52</v>
      </c>
      <c r="C19" s="6"/>
      <c r="D19" t="s">
        <v>146</v>
      </c>
      <c r="H19" s="6"/>
    </row>
    <row r="20" spans="1:8">
      <c r="A20" s="16"/>
      <c r="B20" s="6"/>
      <c r="C20" s="6"/>
      <c r="D20" t="s">
        <v>144</v>
      </c>
      <c r="H20" s="6"/>
    </row>
    <row r="21" spans="1:8">
      <c r="C21" s="6"/>
    </row>
    <row r="22" spans="1:8">
      <c r="A22">
        <v>1</v>
      </c>
      <c r="B22" s="6" t="s">
        <v>54</v>
      </c>
      <c r="C22" s="6"/>
      <c r="D22" t="s">
        <v>40</v>
      </c>
      <c r="H22" s="6"/>
    </row>
    <row r="23" spans="1:8">
      <c r="B23" s="6"/>
      <c r="C23" s="6"/>
      <c r="D23" t="s">
        <v>57</v>
      </c>
      <c r="H23" s="6"/>
    </row>
    <row r="24" spans="1:8">
      <c r="B24" s="6"/>
      <c r="C24" s="6"/>
      <c r="D24" t="s">
        <v>59</v>
      </c>
      <c r="H24" s="6"/>
    </row>
    <row r="25" spans="1:8">
      <c r="C25" s="6"/>
      <c r="H25" s="6"/>
    </row>
    <row r="26" spans="1:8">
      <c r="A26">
        <v>1.1000000000000001</v>
      </c>
      <c r="B26" s="6" t="s">
        <v>129</v>
      </c>
      <c r="C26" s="6"/>
      <c r="D26" t="s">
        <v>115</v>
      </c>
      <c r="H26" s="6"/>
    </row>
    <row r="27" spans="1:8">
      <c r="B27" s="6"/>
      <c r="C27" s="6"/>
      <c r="D27" t="s">
        <v>117</v>
      </c>
      <c r="H27" s="6"/>
    </row>
    <row r="28" spans="1:8">
      <c r="C28" s="6"/>
      <c r="H28" s="6"/>
    </row>
    <row r="29" spans="1:8">
      <c r="A29">
        <v>5</v>
      </c>
      <c r="B29" s="6" t="s">
        <v>69</v>
      </c>
      <c r="C29" s="6"/>
      <c r="D29" t="s">
        <v>29</v>
      </c>
      <c r="H29" s="6"/>
    </row>
    <row r="30" spans="1:8">
      <c r="B30" s="6"/>
      <c r="C30" s="6"/>
      <c r="D30" t="s">
        <v>31</v>
      </c>
      <c r="H30" s="6"/>
    </row>
    <row r="31" spans="1:8">
      <c r="B31" s="6"/>
      <c r="C31" s="6"/>
      <c r="D31" t="s">
        <v>33</v>
      </c>
      <c r="H31" s="6"/>
    </row>
    <row r="32" spans="1:8">
      <c r="B32" s="6"/>
      <c r="C32" s="6"/>
      <c r="D32" t="s">
        <v>34</v>
      </c>
      <c r="H32" s="6"/>
    </row>
    <row r="33" spans="1:9">
      <c r="B33" s="6"/>
      <c r="C33" s="6"/>
      <c r="D33" t="s">
        <v>36</v>
      </c>
      <c r="H33" s="6"/>
    </row>
    <row r="34" spans="1:9">
      <c r="B34" s="6"/>
      <c r="C34" s="6"/>
      <c r="D34" t="s">
        <v>55</v>
      </c>
    </row>
    <row r="35" spans="1:9">
      <c r="B35" s="6"/>
      <c r="C35" s="6"/>
      <c r="D35" t="s">
        <v>72</v>
      </c>
    </row>
    <row r="36" spans="1:9" s="32" customFormat="1">
      <c r="I36" s="33"/>
    </row>
    <row r="38" spans="1:9">
      <c r="A38" t="s">
        <v>11</v>
      </c>
    </row>
    <row r="39" spans="1:9">
      <c r="A39" t="s">
        <v>153</v>
      </c>
    </row>
    <row r="40" spans="1:9">
      <c r="A40" t="s">
        <v>12</v>
      </c>
    </row>
    <row r="41" spans="1:9">
      <c r="A41" t="s">
        <v>154</v>
      </c>
    </row>
    <row r="42" spans="1:9">
      <c r="A42" t="s">
        <v>155</v>
      </c>
    </row>
    <row r="43" spans="1:9">
      <c r="A43" t="s">
        <v>156</v>
      </c>
    </row>
    <row r="44" spans="1:9">
      <c r="A44" t="s">
        <v>157</v>
      </c>
    </row>
    <row r="45" spans="1:9">
      <c r="A45" t="s">
        <v>158</v>
      </c>
    </row>
    <row r="46" spans="1:9">
      <c r="A46" t="s">
        <v>143</v>
      </c>
    </row>
    <row r="47" spans="1:9">
      <c r="A47" t="s">
        <v>159</v>
      </c>
    </row>
    <row r="49" spans="1:2">
      <c r="A49" t="s">
        <v>160</v>
      </c>
    </row>
    <row r="50" spans="1:2">
      <c r="A50" s="9" t="s">
        <v>161</v>
      </c>
    </row>
    <row r="51" spans="1:2">
      <c r="A51" s="9" t="s">
        <v>162</v>
      </c>
    </row>
    <row r="52" spans="1:2">
      <c r="A52" s="55" t="s">
        <v>163</v>
      </c>
    </row>
    <row r="54" spans="1:2">
      <c r="A54" t="s">
        <v>164</v>
      </c>
      <c r="B54" t="s">
        <v>165</v>
      </c>
    </row>
    <row r="55" spans="1:2">
      <c r="A55" s="65" t="s">
        <v>129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166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140625" defaultRowHeight="15"/>
  <sheetData>
    <row r="1" spans="2:5">
      <c r="B1" t="s">
        <v>167</v>
      </c>
    </row>
    <row r="2" spans="2:5">
      <c r="B2" s="22" t="s">
        <v>168</v>
      </c>
    </row>
    <row r="3" spans="2:5">
      <c r="C3" s="36">
        <v>1</v>
      </c>
      <c r="D3" s="23" t="s">
        <v>169</v>
      </c>
      <c r="E3" s="17"/>
    </row>
    <row r="4" spans="2:5">
      <c r="C4" s="19">
        <v>5.5</v>
      </c>
      <c r="D4" s="23" t="s">
        <v>169</v>
      </c>
      <c r="E4" s="17"/>
    </row>
    <row r="5" spans="2:5">
      <c r="B5" s="22"/>
      <c r="C5" s="36">
        <v>5.7</v>
      </c>
      <c r="D5" s="23" t="s">
        <v>170</v>
      </c>
      <c r="E5" s="17"/>
    </row>
    <row r="6" spans="2:5">
      <c r="B6" s="22"/>
      <c r="C6" s="21">
        <v>7</v>
      </c>
      <c r="D6" s="34" t="s">
        <v>171</v>
      </c>
      <c r="E6" s="17"/>
    </row>
    <row r="7" spans="2:5">
      <c r="B7" s="22"/>
      <c r="C7" s="21">
        <v>8.1</v>
      </c>
      <c r="D7" s="34" t="s">
        <v>172</v>
      </c>
      <c r="E7" s="17"/>
    </row>
    <row r="8" spans="2:5">
      <c r="B8" s="22" t="s">
        <v>173</v>
      </c>
      <c r="C8" s="21"/>
      <c r="D8" s="23"/>
      <c r="E8" s="17"/>
    </row>
    <row r="9" spans="2:5">
      <c r="C9" s="21" t="s">
        <v>174</v>
      </c>
      <c r="D9" s="34" t="s">
        <v>175</v>
      </c>
      <c r="E9" s="17"/>
    </row>
    <row r="10" spans="2:5">
      <c r="B10" s="22"/>
      <c r="C10" s="19">
        <v>10</v>
      </c>
      <c r="D10" s="23" t="s">
        <v>176</v>
      </c>
      <c r="E10" s="17"/>
    </row>
    <row r="11" spans="2:5">
      <c r="B11" s="22"/>
      <c r="C11" s="25">
        <v>99</v>
      </c>
      <c r="D11" s="34" t="s">
        <v>176</v>
      </c>
      <c r="E11" s="17"/>
    </row>
    <row r="12" spans="2:5">
      <c r="B12" s="22"/>
      <c r="C12" s="25">
        <v>100</v>
      </c>
      <c r="D12" s="23" t="s">
        <v>177</v>
      </c>
      <c r="E12" s="17"/>
    </row>
    <row r="13" spans="2:5">
      <c r="B13" s="22"/>
      <c r="C13" s="25">
        <v>299</v>
      </c>
      <c r="D13" s="34" t="s">
        <v>177</v>
      </c>
      <c r="E13" s="17"/>
    </row>
    <row r="14" spans="2:5">
      <c r="B14" s="22"/>
      <c r="C14" s="25">
        <v>300</v>
      </c>
      <c r="D14" s="23" t="s">
        <v>178</v>
      </c>
      <c r="E14" s="17"/>
    </row>
    <row r="15" spans="2:5">
      <c r="B15" s="22"/>
      <c r="C15" s="25">
        <v>499</v>
      </c>
      <c r="D15" s="34" t="s">
        <v>178</v>
      </c>
      <c r="E15" s="17"/>
    </row>
    <row r="16" spans="2:5">
      <c r="B16" s="22"/>
      <c r="C16" s="25">
        <v>999</v>
      </c>
      <c r="D16" s="24" t="s">
        <v>179</v>
      </c>
      <c r="E16" s="17"/>
    </row>
    <row r="17" spans="2:5">
      <c r="B17" s="22" t="s">
        <v>180</v>
      </c>
      <c r="C17" s="21"/>
      <c r="D17" s="23"/>
      <c r="E17" s="17"/>
    </row>
    <row r="18" spans="2:5">
      <c r="C18" s="20" t="s">
        <v>69</v>
      </c>
      <c r="D18" s="24" t="s">
        <v>175</v>
      </c>
      <c r="E18" s="17"/>
    </row>
    <row r="19" spans="2:5">
      <c r="B19" s="22"/>
      <c r="C19" s="19">
        <v>5</v>
      </c>
      <c r="D19" s="23" t="s">
        <v>176</v>
      </c>
      <c r="E19" s="17"/>
    </row>
    <row r="20" spans="2:5">
      <c r="B20" s="22"/>
      <c r="C20" s="20">
        <v>49</v>
      </c>
      <c r="D20" s="24" t="s">
        <v>176</v>
      </c>
      <c r="E20" s="17"/>
    </row>
    <row r="21" spans="2:5">
      <c r="B21" s="22"/>
      <c r="C21" s="19">
        <v>50</v>
      </c>
      <c r="D21" s="23" t="s">
        <v>177</v>
      </c>
      <c r="E21" s="17"/>
    </row>
    <row r="22" spans="2:5">
      <c r="B22" s="22"/>
      <c r="C22" s="20">
        <v>149</v>
      </c>
      <c r="D22" s="24" t="s">
        <v>177</v>
      </c>
      <c r="E22" s="17"/>
    </row>
    <row r="23" spans="2:5">
      <c r="B23" s="22"/>
      <c r="C23" s="19">
        <v>150</v>
      </c>
      <c r="D23" s="23" t="s">
        <v>178</v>
      </c>
      <c r="E23" s="17"/>
    </row>
    <row r="24" spans="2:5">
      <c r="B24" s="26"/>
      <c r="C24" s="20">
        <v>299</v>
      </c>
      <c r="D24" s="24" t="s">
        <v>178</v>
      </c>
      <c r="E24" s="17"/>
    </row>
    <row r="25" spans="2:5">
      <c r="B25" s="26"/>
      <c r="C25" s="20">
        <v>300</v>
      </c>
      <c r="D25" s="24" t="s">
        <v>179</v>
      </c>
      <c r="E25" s="17"/>
    </row>
    <row r="26" spans="2:5">
      <c r="B26" s="22" t="s">
        <v>181</v>
      </c>
      <c r="C26" s="19"/>
      <c r="D26" s="23"/>
      <c r="E26" s="17"/>
    </row>
    <row r="27" spans="2:5">
      <c r="C27" s="20" t="s">
        <v>69</v>
      </c>
      <c r="D27" s="24" t="s">
        <v>175</v>
      </c>
      <c r="E27" s="17"/>
    </row>
    <row r="28" spans="2:5">
      <c r="B28" s="26"/>
      <c r="C28" s="19">
        <v>5</v>
      </c>
      <c r="D28" s="23" t="s">
        <v>182</v>
      </c>
      <c r="E28" s="17"/>
    </row>
    <row r="29" spans="2:5">
      <c r="B29" s="26"/>
      <c r="C29" s="20">
        <v>20</v>
      </c>
      <c r="D29" s="24" t="s">
        <v>183</v>
      </c>
      <c r="E29" s="17"/>
    </row>
    <row r="30" spans="2:5">
      <c r="B30" s="22"/>
      <c r="C30" s="19">
        <v>60</v>
      </c>
      <c r="D30" s="23" t="s">
        <v>177</v>
      </c>
      <c r="E30" s="30"/>
    </row>
    <row r="31" spans="2:5">
      <c r="B31" s="22"/>
      <c r="C31" s="19">
        <v>120</v>
      </c>
      <c r="D31" s="23" t="s">
        <v>184</v>
      </c>
      <c r="E31" s="30"/>
    </row>
    <row r="32" spans="2:5">
      <c r="B32" s="22"/>
      <c r="C32" s="20">
        <v>180</v>
      </c>
      <c r="D32" s="24" t="s">
        <v>185</v>
      </c>
      <c r="E32" s="31"/>
    </row>
    <row r="33" spans="2:5">
      <c r="B33" s="22"/>
      <c r="C33" s="20">
        <v>300</v>
      </c>
      <c r="D33" s="24" t="s">
        <v>179</v>
      </c>
      <c r="E33" s="31"/>
    </row>
    <row r="34" spans="2:5">
      <c r="B34" s="22" t="s">
        <v>186</v>
      </c>
    </row>
    <row r="35" spans="2:5">
      <c r="C35" s="20" t="s">
        <v>69</v>
      </c>
      <c r="D35" s="24" t="s">
        <v>175</v>
      </c>
      <c r="E35" s="18"/>
    </row>
    <row r="36" spans="2:5">
      <c r="B36" s="22"/>
      <c r="C36" s="19">
        <v>5</v>
      </c>
      <c r="D36" s="23" t="s">
        <v>182</v>
      </c>
      <c r="E36" s="18"/>
    </row>
    <row r="37" spans="2:5">
      <c r="B37" s="22"/>
      <c r="C37" s="20">
        <v>20</v>
      </c>
      <c r="D37" s="24" t="s">
        <v>183</v>
      </c>
      <c r="E37" s="18"/>
    </row>
    <row r="38" spans="2:5">
      <c r="B38" s="22"/>
      <c r="C38" s="19">
        <v>60</v>
      </c>
      <c r="D38" s="23" t="s">
        <v>177</v>
      </c>
      <c r="E38" s="18"/>
    </row>
    <row r="39" spans="2:5">
      <c r="B39" s="22"/>
      <c r="C39" s="19">
        <v>120</v>
      </c>
      <c r="D39" s="23" t="s">
        <v>184</v>
      </c>
      <c r="E39" s="18"/>
    </row>
    <row r="40" spans="2:5">
      <c r="B40" s="22"/>
      <c r="C40" s="20">
        <v>180</v>
      </c>
      <c r="D40" s="24" t="s">
        <v>185</v>
      </c>
      <c r="E40" s="18"/>
    </row>
    <row r="41" spans="2:5">
      <c r="B41" s="22"/>
      <c r="C41" s="20">
        <v>300</v>
      </c>
      <c r="D41" s="24" t="s">
        <v>179</v>
      </c>
      <c r="E41" s="17"/>
    </row>
    <row r="42" spans="2:5">
      <c r="B42" s="22" t="s">
        <v>187</v>
      </c>
      <c r="C42" s="19"/>
      <c r="D42" s="23"/>
      <c r="E42" s="18"/>
    </row>
    <row r="43" spans="2:5">
      <c r="B43" s="22"/>
      <c r="C43" s="20" t="s">
        <v>69</v>
      </c>
      <c r="D43" s="24" t="s">
        <v>188</v>
      </c>
      <c r="E43" s="18"/>
    </row>
    <row r="44" spans="2:5">
      <c r="C44" s="20">
        <v>5</v>
      </c>
      <c r="D44" s="24" t="s">
        <v>176</v>
      </c>
      <c r="E44" s="17"/>
    </row>
    <row r="45" spans="2:5">
      <c r="C45" s="20">
        <v>15</v>
      </c>
      <c r="D45" s="24" t="s">
        <v>176</v>
      </c>
      <c r="E45" s="17"/>
    </row>
    <row r="46" spans="2:5">
      <c r="C46" s="20">
        <v>16</v>
      </c>
      <c r="D46" s="24" t="s">
        <v>177</v>
      </c>
      <c r="E46" s="17"/>
    </row>
    <row r="47" spans="2:5">
      <c r="B47" s="22"/>
      <c r="C47" s="19">
        <v>49</v>
      </c>
      <c r="D47" s="24" t="s">
        <v>177</v>
      </c>
      <c r="E47" s="18"/>
    </row>
    <row r="48" spans="2:5">
      <c r="B48" s="22"/>
      <c r="C48" s="19">
        <v>50</v>
      </c>
      <c r="D48" s="24" t="s">
        <v>189</v>
      </c>
      <c r="E48" s="18"/>
    </row>
    <row r="49" spans="2:5">
      <c r="B49" s="22"/>
      <c r="C49" s="20">
        <v>89</v>
      </c>
      <c r="D49" s="24" t="s">
        <v>189</v>
      </c>
      <c r="E49" s="18"/>
    </row>
    <row r="50" spans="2:5">
      <c r="B50" s="26"/>
      <c r="C50" s="20">
        <v>90</v>
      </c>
      <c r="D50" s="24" t="s">
        <v>178</v>
      </c>
      <c r="E50" s="18"/>
    </row>
    <row r="51" spans="2:5">
      <c r="B51" s="22" t="s">
        <v>190</v>
      </c>
      <c r="C51" s="19"/>
      <c r="D51" s="23"/>
      <c r="E51" s="18"/>
    </row>
    <row r="52" spans="2:5">
      <c r="C52" s="20" t="s">
        <v>100</v>
      </c>
      <c r="D52" s="24" t="s">
        <v>188</v>
      </c>
      <c r="E52" s="18"/>
    </row>
    <row r="53" spans="2:5">
      <c r="B53" s="22"/>
      <c r="C53" s="19">
        <v>0.01</v>
      </c>
      <c r="D53" s="24" t="s">
        <v>176</v>
      </c>
      <c r="E53" s="18"/>
    </row>
    <row r="54" spans="2:5">
      <c r="B54" s="22"/>
      <c r="C54" s="20">
        <v>0.1</v>
      </c>
      <c r="D54" s="24" t="s">
        <v>177</v>
      </c>
      <c r="E54" s="18"/>
    </row>
    <row r="55" spans="2:5">
      <c r="B55" s="22"/>
      <c r="C55" s="20">
        <v>0.2</v>
      </c>
      <c r="D55" s="24" t="s">
        <v>189</v>
      </c>
      <c r="E55" s="18"/>
    </row>
    <row r="56" spans="2:5">
      <c r="B56" s="22"/>
      <c r="C56" s="20">
        <v>1</v>
      </c>
      <c r="D56" s="24" t="s">
        <v>178</v>
      </c>
      <c r="E56" s="18"/>
    </row>
    <row r="57" spans="2:5">
      <c r="B57" s="26"/>
      <c r="C57" s="20">
        <v>5</v>
      </c>
      <c r="D57" s="24" t="s">
        <v>191</v>
      </c>
      <c r="E57" s="18"/>
    </row>
    <row r="58" spans="2:5">
      <c r="B58" s="22"/>
      <c r="C58" s="20">
        <v>10</v>
      </c>
      <c r="D58" s="24" t="s">
        <v>179</v>
      </c>
      <c r="E58" s="18"/>
    </row>
    <row r="59" spans="2:5">
      <c r="B59" s="22"/>
      <c r="C59" s="20">
        <v>12.1</v>
      </c>
      <c r="D59" s="24" t="s">
        <v>179</v>
      </c>
      <c r="E59" s="18"/>
    </row>
    <row r="60" spans="2:5">
      <c r="B60" s="22" t="s">
        <v>192</v>
      </c>
      <c r="C60" s="19"/>
      <c r="D60" s="23"/>
      <c r="E60" s="18"/>
    </row>
    <row r="61" spans="2:5">
      <c r="C61" s="19" t="s">
        <v>100</v>
      </c>
      <c r="D61" s="24" t="s">
        <v>188</v>
      </c>
      <c r="E61" s="30"/>
    </row>
    <row r="62" spans="2:5">
      <c r="B62" s="22"/>
      <c r="C62" s="20">
        <v>0.01</v>
      </c>
      <c r="D62" s="24" t="s">
        <v>176</v>
      </c>
      <c r="E62" s="30"/>
    </row>
    <row r="63" spans="2:5">
      <c r="B63" s="22"/>
      <c r="C63" s="19">
        <v>0.04</v>
      </c>
      <c r="D63" s="24" t="s">
        <v>178</v>
      </c>
      <c r="E63" s="30"/>
    </row>
    <row r="64" spans="2:5">
      <c r="B64" s="22"/>
      <c r="C64" s="19">
        <v>0.1</v>
      </c>
      <c r="D64" s="24" t="s">
        <v>191</v>
      </c>
      <c r="E64" s="30"/>
    </row>
    <row r="65" spans="2:5">
      <c r="B65" s="26"/>
      <c r="C65" s="20">
        <v>0.4</v>
      </c>
      <c r="D65" s="24" t="s">
        <v>193</v>
      </c>
      <c r="E65" s="30"/>
    </row>
    <row r="66" spans="2:5">
      <c r="B66" s="22" t="s">
        <v>194</v>
      </c>
    </row>
    <row r="67" spans="2:5">
      <c r="C67" s="20" t="s">
        <v>100</v>
      </c>
      <c r="D67" s="24" t="s">
        <v>188</v>
      </c>
    </row>
    <row r="68" spans="2:5">
      <c r="B68" s="22"/>
      <c r="C68" s="20">
        <v>0.01</v>
      </c>
      <c r="D68" s="24" t="s">
        <v>176</v>
      </c>
    </row>
    <row r="69" spans="2:5">
      <c r="B69" s="22"/>
      <c r="C69" s="20">
        <v>0.09</v>
      </c>
      <c r="D69" s="24" t="s">
        <v>176</v>
      </c>
    </row>
    <row r="70" spans="2:5">
      <c r="B70" s="22"/>
      <c r="C70" s="20">
        <v>0.1</v>
      </c>
      <c r="D70" s="24" t="s">
        <v>189</v>
      </c>
    </row>
    <row r="71" spans="2:5">
      <c r="B71" s="22"/>
      <c r="C71" s="20">
        <v>0.2</v>
      </c>
      <c r="D71" s="24" t="s">
        <v>178</v>
      </c>
    </row>
    <row r="72" spans="2:5">
      <c r="B72" s="22"/>
      <c r="C72" s="20">
        <v>0.3</v>
      </c>
      <c r="D72" s="24" t="s">
        <v>191</v>
      </c>
    </row>
    <row r="73" spans="2:5">
      <c r="B73" s="35" t="s">
        <v>195</v>
      </c>
      <c r="C73" s="20"/>
      <c r="D73" s="24"/>
    </row>
    <row r="74" spans="2:5">
      <c r="C74" s="20" t="s">
        <v>100</v>
      </c>
      <c r="D74" s="24" t="s">
        <v>188</v>
      </c>
    </row>
    <row r="75" spans="2:5">
      <c r="B75" s="35"/>
      <c r="C75" s="20">
        <v>0.01</v>
      </c>
      <c r="D75" s="24" t="s">
        <v>176</v>
      </c>
    </row>
    <row r="76" spans="2:5">
      <c r="B76" s="35"/>
      <c r="C76" s="20">
        <v>0.2</v>
      </c>
      <c r="D76" s="24" t="s">
        <v>196</v>
      </c>
    </row>
    <row r="77" spans="2:5">
      <c r="B77" s="35"/>
      <c r="C77" s="20">
        <v>1</v>
      </c>
      <c r="D77" s="24" t="s">
        <v>178</v>
      </c>
    </row>
    <row r="78" spans="2:5">
      <c r="B78" s="35"/>
      <c r="C78" s="20">
        <v>2</v>
      </c>
      <c r="D78" s="24" t="s">
        <v>193</v>
      </c>
    </row>
    <row r="79" spans="2:5">
      <c r="B79" s="22" t="s">
        <v>197</v>
      </c>
      <c r="C79" s="20"/>
      <c r="D79" s="24"/>
    </row>
    <row r="80" spans="2:5">
      <c r="C80" s="20" t="s">
        <v>54</v>
      </c>
      <c r="D80" s="24" t="s">
        <v>175</v>
      </c>
    </row>
    <row r="81" spans="2:4">
      <c r="B81" s="22"/>
      <c r="C81" s="20">
        <v>1</v>
      </c>
      <c r="D81" s="24" t="s">
        <v>176</v>
      </c>
    </row>
    <row r="82" spans="2:4">
      <c r="B82" s="22"/>
      <c r="C82" s="20">
        <v>10</v>
      </c>
      <c r="D82" s="24" t="s">
        <v>176</v>
      </c>
    </row>
    <row r="83" spans="2:4">
      <c r="B83" s="22"/>
      <c r="C83" s="20">
        <v>50</v>
      </c>
      <c r="D83" s="24" t="s">
        <v>177</v>
      </c>
    </row>
    <row r="84" spans="2:4">
      <c r="B84" s="22"/>
      <c r="C84" s="20">
        <v>150</v>
      </c>
      <c r="D84" s="24" t="s">
        <v>189</v>
      </c>
    </row>
    <row r="85" spans="2:4">
      <c r="B85" s="22"/>
      <c r="C85" s="20">
        <v>200</v>
      </c>
      <c r="D85" s="24" t="s">
        <v>178</v>
      </c>
    </row>
    <row r="86" spans="2:4">
      <c r="B86" s="22"/>
      <c r="C86" s="20">
        <v>350</v>
      </c>
      <c r="D86" s="24" t="s">
        <v>191</v>
      </c>
    </row>
    <row r="87" spans="2:4">
      <c r="B87" s="22"/>
      <c r="C87" s="20">
        <v>500</v>
      </c>
      <c r="D87" s="24" t="s">
        <v>179</v>
      </c>
    </row>
    <row r="88" spans="2:4">
      <c r="B88" s="22" t="s">
        <v>198</v>
      </c>
    </row>
    <row r="89" spans="2:4">
      <c r="C89" s="20" t="s">
        <v>54</v>
      </c>
      <c r="D89" s="24" t="s">
        <v>188</v>
      </c>
    </row>
    <row r="90" spans="2:4">
      <c r="B90" s="22"/>
      <c r="C90" s="20">
        <v>1</v>
      </c>
      <c r="D90" s="24" t="s">
        <v>176</v>
      </c>
    </row>
    <row r="91" spans="2:4">
      <c r="B91" s="22"/>
      <c r="C91" s="20">
        <v>9</v>
      </c>
      <c r="D91" s="24" t="s">
        <v>176</v>
      </c>
    </row>
    <row r="92" spans="2:4">
      <c r="B92" s="22"/>
      <c r="C92" s="20">
        <v>10</v>
      </c>
      <c r="D92" s="24" t="s">
        <v>196</v>
      </c>
    </row>
    <row r="93" spans="2:4">
      <c r="B93" s="35"/>
      <c r="C93" s="20">
        <v>20</v>
      </c>
      <c r="D93" s="24" t="s">
        <v>189</v>
      </c>
    </row>
    <row r="94" spans="2:4">
      <c r="B94" s="35"/>
      <c r="C94" s="20">
        <v>30</v>
      </c>
      <c r="D94" s="24" t="s">
        <v>178</v>
      </c>
    </row>
    <row r="95" spans="2:4">
      <c r="B95" s="35"/>
      <c r="C95" s="20">
        <v>40</v>
      </c>
      <c r="D95" s="24" t="s">
        <v>191</v>
      </c>
    </row>
    <row r="96" spans="2:4">
      <c r="B96" s="35"/>
      <c r="C96" s="20">
        <v>50</v>
      </c>
      <c r="D96" s="24" t="s">
        <v>193</v>
      </c>
    </row>
    <row r="97" spans="2:4">
      <c r="B97" s="26" t="s">
        <v>199</v>
      </c>
      <c r="C97" s="19"/>
      <c r="D97" s="27"/>
    </row>
    <row r="98" spans="2:4">
      <c r="C98" s="20" t="s">
        <v>54</v>
      </c>
      <c r="D98" s="28" t="s">
        <v>175</v>
      </c>
    </row>
    <row r="99" spans="2:4">
      <c r="B99" s="26"/>
      <c r="C99" s="19">
        <v>1</v>
      </c>
      <c r="D99" s="27" t="s">
        <v>176</v>
      </c>
    </row>
    <row r="100" spans="2:4">
      <c r="B100" s="26"/>
      <c r="C100" s="20">
        <v>9</v>
      </c>
      <c r="D100" s="28" t="s">
        <v>176</v>
      </c>
    </row>
    <row r="101" spans="2:4">
      <c r="B101" s="26"/>
      <c r="C101" s="19">
        <v>10</v>
      </c>
      <c r="D101" s="28" t="s">
        <v>189</v>
      </c>
    </row>
    <row r="102" spans="2:4">
      <c r="B102" s="26"/>
      <c r="C102" s="20">
        <v>40</v>
      </c>
      <c r="D102" s="28" t="s">
        <v>178</v>
      </c>
    </row>
    <row r="103" spans="2:4">
      <c r="B103" s="26"/>
      <c r="C103" s="20">
        <v>50</v>
      </c>
      <c r="D103" s="28" t="s">
        <v>191</v>
      </c>
    </row>
    <row r="104" spans="2:4">
      <c r="B104" s="26" t="s">
        <v>200</v>
      </c>
      <c r="C104" s="19"/>
      <c r="D104" s="27"/>
    </row>
    <row r="105" spans="2:4">
      <c r="B105" s="26"/>
      <c r="C105" s="19">
        <v>-10</v>
      </c>
      <c r="D105" s="27" t="s">
        <v>201</v>
      </c>
    </row>
    <row r="106" spans="2:4">
      <c r="B106" s="26"/>
      <c r="C106" s="19">
        <v>-2</v>
      </c>
      <c r="D106" s="28" t="s">
        <v>202</v>
      </c>
    </row>
    <row r="107" spans="2:4">
      <c r="C107" s="20">
        <v>-1</v>
      </c>
      <c r="D107" s="28" t="s">
        <v>203</v>
      </c>
    </row>
    <row r="108" spans="2:4">
      <c r="B108" s="26"/>
      <c r="C108" s="29">
        <v>1</v>
      </c>
      <c r="D108" s="28" t="s">
        <v>204</v>
      </c>
    </row>
    <row r="109" spans="2:4">
      <c r="B109" s="26"/>
      <c r="C109" s="20">
        <v>2</v>
      </c>
      <c r="D109" s="28" t="s">
        <v>204</v>
      </c>
    </row>
    <row r="110" spans="2:4">
      <c r="B110" s="26"/>
      <c r="C110" s="20"/>
      <c r="D110" s="28"/>
    </row>
    <row r="111" spans="2:4">
      <c r="B111" s="26" t="s">
        <v>205</v>
      </c>
      <c r="C111" s="19" t="s">
        <v>150</v>
      </c>
      <c r="D111" s="27" t="s">
        <v>206</v>
      </c>
    </row>
    <row r="112" spans="2:4">
      <c r="C112" s="19" t="s">
        <v>54</v>
      </c>
      <c r="D112" s="27" t="s">
        <v>207</v>
      </c>
    </row>
    <row r="113" spans="2:4">
      <c r="B113" s="26" t="s">
        <v>208</v>
      </c>
      <c r="C113" s="19" t="s">
        <v>150</v>
      </c>
      <c r="D113" s="27" t="s">
        <v>209</v>
      </c>
    </row>
    <row r="114" spans="2:4">
      <c r="C114" s="19" t="s">
        <v>54</v>
      </c>
      <c r="D114" s="27" t="s">
        <v>207</v>
      </c>
    </row>
    <row r="115" spans="2:4">
      <c r="B115" s="26" t="s">
        <v>210</v>
      </c>
      <c r="C115" s="19" t="s">
        <v>129</v>
      </c>
      <c r="D115" s="27" t="s">
        <v>207</v>
      </c>
    </row>
    <row r="116" spans="2:4">
      <c r="B116" s="26"/>
      <c r="C116" s="19" t="s">
        <v>166</v>
      </c>
      <c r="D116" s="27" t="s">
        <v>206</v>
      </c>
    </row>
    <row r="117" spans="2:4">
      <c r="B117" s="26"/>
      <c r="C117" s="19">
        <v>1.1000000000000001</v>
      </c>
      <c r="D117" s="27" t="s">
        <v>206</v>
      </c>
    </row>
    <row r="118" spans="2:4">
      <c r="C118" s="19">
        <v>24</v>
      </c>
      <c r="D118" s="27" t="s">
        <v>206</v>
      </c>
    </row>
    <row r="119" spans="2:4">
      <c r="B119" s="26" t="s">
        <v>211</v>
      </c>
      <c r="C119" s="19" t="s">
        <v>129</v>
      </c>
      <c r="D119" s="27" t="s">
        <v>207</v>
      </c>
    </row>
    <row r="120" spans="2:4">
      <c r="B120" s="26"/>
      <c r="C120" s="19" t="s">
        <v>166</v>
      </c>
      <c r="D120" s="27" t="s">
        <v>209</v>
      </c>
    </row>
    <row r="121" spans="2:4">
      <c r="B121" s="26"/>
      <c r="C121" s="19">
        <v>1.1000000000000001</v>
      </c>
      <c r="D121" s="27" t="s">
        <v>209</v>
      </c>
    </row>
    <row r="122" spans="2:4">
      <c r="C122" s="19">
        <v>24</v>
      </c>
      <c r="D122" s="27" t="s">
        <v>209</v>
      </c>
    </row>
    <row r="123" spans="2:4">
      <c r="B123" s="22" t="s">
        <v>63</v>
      </c>
    </row>
    <row r="124" spans="2:4">
      <c r="C124" s="20" t="s">
        <v>152</v>
      </c>
      <c r="D124" s="24" t="s">
        <v>212</v>
      </c>
    </row>
    <row r="125" spans="2:4">
      <c r="B125" s="22"/>
      <c r="C125" s="20">
        <v>0.05</v>
      </c>
      <c r="D125" s="24" t="s">
        <v>212</v>
      </c>
    </row>
    <row r="126" spans="2:4">
      <c r="B126" s="22"/>
      <c r="C126" s="20">
        <v>0.3</v>
      </c>
      <c r="D126" s="24" t="s">
        <v>176</v>
      </c>
    </row>
    <row r="127" spans="2:4">
      <c r="B127" s="22"/>
      <c r="C127" s="20">
        <v>1</v>
      </c>
      <c r="D127" s="24" t="s">
        <v>196</v>
      </c>
    </row>
    <row r="128" spans="2:4">
      <c r="B128" s="35"/>
      <c r="C128" s="20">
        <v>2.5</v>
      </c>
      <c r="D128" s="24" t="s">
        <v>189</v>
      </c>
    </row>
    <row r="129" spans="2:4">
      <c r="B129" s="35"/>
      <c r="C129" s="20">
        <v>5</v>
      </c>
      <c r="D129" s="24" t="s">
        <v>178</v>
      </c>
    </row>
    <row r="130" spans="2:4">
      <c r="B130" s="35"/>
      <c r="C130" s="20">
        <v>20</v>
      </c>
      <c r="D130" s="24" t="s">
        <v>191</v>
      </c>
    </row>
    <row r="131" spans="2:4">
      <c r="B131" s="35"/>
      <c r="C131" s="20">
        <v>40</v>
      </c>
      <c r="D131" s="24" t="s">
        <v>179</v>
      </c>
    </row>
    <row r="132" spans="2:4">
      <c r="B132" s="22" t="s">
        <v>213</v>
      </c>
    </row>
    <row r="133" spans="2:4">
      <c r="C133" s="20" t="s">
        <v>69</v>
      </c>
      <c r="D133" s="24" t="s">
        <v>214</v>
      </c>
    </row>
    <row r="134" spans="2:4">
      <c r="B134" s="22"/>
      <c r="C134" s="20">
        <v>5</v>
      </c>
      <c r="D134" s="24" t="s">
        <v>214</v>
      </c>
    </row>
    <row r="135" spans="2:4">
      <c r="B135" s="22"/>
      <c r="C135" s="20">
        <v>75</v>
      </c>
      <c r="D135" s="24" t="s">
        <v>215</v>
      </c>
    </row>
    <row r="136" spans="2:4">
      <c r="B136" s="22"/>
      <c r="C136" s="20">
        <v>80</v>
      </c>
      <c r="D136" s="24" t="s">
        <v>216</v>
      </c>
    </row>
    <row r="137" spans="2:4">
      <c r="B137" s="22"/>
      <c r="C137" s="20">
        <v>85</v>
      </c>
      <c r="D137" s="24" t="s">
        <v>177</v>
      </c>
    </row>
    <row r="138" spans="2:4">
      <c r="B138" s="35"/>
      <c r="C138" s="20">
        <v>90</v>
      </c>
      <c r="D138" s="24" t="s">
        <v>217</v>
      </c>
    </row>
    <row r="139" spans="2:4">
      <c r="B139" s="35"/>
      <c r="C139" s="20">
        <v>95</v>
      </c>
      <c r="D139" s="24" t="s">
        <v>218</v>
      </c>
    </row>
    <row r="140" spans="2:4">
      <c r="B140" s="22" t="s">
        <v>219</v>
      </c>
    </row>
    <row r="141" spans="2:4">
      <c r="C141" s="20" t="s">
        <v>100</v>
      </c>
      <c r="D141" s="24" t="s">
        <v>188</v>
      </c>
    </row>
    <row r="142" spans="2:4">
      <c r="B142" s="22"/>
      <c r="C142" s="20">
        <v>0.01</v>
      </c>
      <c r="D142" s="24" t="s">
        <v>212</v>
      </c>
    </row>
    <row r="143" spans="2:4">
      <c r="B143" s="22"/>
      <c r="C143" s="20">
        <v>0.2</v>
      </c>
      <c r="D143" s="24" t="s">
        <v>176</v>
      </c>
    </row>
    <row r="144" spans="2:4">
      <c r="B144" s="22"/>
      <c r="C144" s="20">
        <v>0.6</v>
      </c>
      <c r="D144" s="24" t="s">
        <v>207</v>
      </c>
    </row>
    <row r="145" spans="2:4">
      <c r="B145" s="35"/>
      <c r="C145" s="20">
        <v>1.1000000000000001</v>
      </c>
      <c r="D145" s="24" t="s">
        <v>178</v>
      </c>
    </row>
    <row r="146" spans="2:4">
      <c r="B146" s="35"/>
      <c r="C146" s="20">
        <v>2</v>
      </c>
      <c r="D146" s="24" t="s">
        <v>191</v>
      </c>
    </row>
    <row r="147" spans="2:4">
      <c r="C147" s="20">
        <v>5</v>
      </c>
      <c r="D147" s="24" t="s">
        <v>193</v>
      </c>
    </row>
    <row r="148" spans="2:4">
      <c r="B148" s="22" t="s">
        <v>67</v>
      </c>
    </row>
    <row r="149" spans="2:4">
      <c r="C149" s="20" t="s">
        <v>69</v>
      </c>
      <c r="D149" s="24" t="s">
        <v>212</v>
      </c>
    </row>
    <row r="150" spans="2:4">
      <c r="B150" s="22"/>
      <c r="C150" s="20">
        <v>5</v>
      </c>
      <c r="D150" s="24" t="s">
        <v>176</v>
      </c>
    </row>
    <row r="151" spans="2:4">
      <c r="B151" s="22"/>
      <c r="C151" s="20">
        <v>30</v>
      </c>
      <c r="D151" s="24" t="s">
        <v>177</v>
      </c>
    </row>
    <row r="152" spans="2:4">
      <c r="B152" s="22"/>
      <c r="C152" s="20">
        <v>50</v>
      </c>
      <c r="D152" s="24" t="s">
        <v>178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220</v>
      </c>
      <c r="H1" t="s">
        <v>221</v>
      </c>
      <c r="L1" t="s">
        <v>222</v>
      </c>
    </row>
    <row r="2" spans="1:13" ht="16.5" thickBot="1">
      <c r="A2" s="37"/>
      <c r="B2" s="40" t="s">
        <v>223</v>
      </c>
      <c r="C2" s="40" t="s">
        <v>224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202</v>
      </c>
    </row>
    <row r="3" spans="1:13">
      <c r="A3" t="s">
        <v>225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202</v>
      </c>
    </row>
    <row r="4" spans="1:13">
      <c r="A4" t="s">
        <v>31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226</v>
      </c>
    </row>
    <row r="5" spans="1:13" ht="15.75" thickBot="1">
      <c r="A5" s="38" t="s">
        <v>29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226</v>
      </c>
    </row>
    <row r="6" spans="1:13" ht="18.75">
      <c r="A6" s="42" t="s">
        <v>222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227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2"/>
      <c r="D3" s="132"/>
      <c r="E3" s="132"/>
      <c r="F3" s="132"/>
      <c r="G3" s="8"/>
      <c r="H3" s="66" t="s">
        <v>5</v>
      </c>
      <c r="I3" s="132"/>
      <c r="J3" s="132"/>
    </row>
    <row r="4" spans="1:11" ht="22.5" customHeight="1">
      <c r="B4" s="66" t="s">
        <v>7</v>
      </c>
      <c r="C4" s="132"/>
      <c r="D4" s="132"/>
      <c r="E4" s="132"/>
      <c r="F4" s="132"/>
      <c r="G4" s="8"/>
      <c r="H4" s="66" t="s">
        <v>9</v>
      </c>
      <c r="I4" s="132"/>
      <c r="J4" s="132"/>
    </row>
    <row r="5" spans="1:11" ht="22.5" customHeight="1">
      <c r="B5" s="66" t="s">
        <v>11</v>
      </c>
      <c r="C5" s="140"/>
      <c r="D5" s="140"/>
      <c r="E5" s="140"/>
      <c r="F5" s="140"/>
      <c r="G5" s="8"/>
      <c r="H5" s="66" t="s">
        <v>13</v>
      </c>
      <c r="I5" s="132"/>
      <c r="J5" s="132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15</v>
      </c>
      <c r="C8" s="68" t="s">
        <v>16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26</v>
      </c>
      <c r="C9" s="11" t="s">
        <v>27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29</v>
      </c>
      <c r="C10" s="10" t="s">
        <v>30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31</v>
      </c>
      <c r="C11" s="10" t="s">
        <v>30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33</v>
      </c>
      <c r="C12" s="10" t="s">
        <v>30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34</v>
      </c>
      <c r="C13" s="10" t="s">
        <v>30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36</v>
      </c>
      <c r="C14" s="10" t="s">
        <v>37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38</v>
      </c>
      <c r="C15" s="11" t="s">
        <v>27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40</v>
      </c>
      <c r="C16" s="10" t="s">
        <v>41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42</v>
      </c>
      <c r="C17" s="10" t="s">
        <v>43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44</v>
      </c>
      <c r="C18" s="10" t="s">
        <v>45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48</v>
      </c>
      <c r="C19" s="10" t="s">
        <v>45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51</v>
      </c>
      <c r="C20" s="10" t="s">
        <v>45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53</v>
      </c>
      <c r="C21" s="10" t="s">
        <v>45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55</v>
      </c>
      <c r="C22" s="10" t="s">
        <v>45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57</v>
      </c>
      <c r="C23" s="10" t="s">
        <v>45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59</v>
      </c>
      <c r="C24" s="10" t="s">
        <v>45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60</v>
      </c>
      <c r="C25" s="10" t="s">
        <v>61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60</v>
      </c>
      <c r="C26" s="10" t="s">
        <v>62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63</v>
      </c>
      <c r="C27" s="10" t="s">
        <v>64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67</v>
      </c>
      <c r="C28" s="10" t="s">
        <v>68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72</v>
      </c>
      <c r="C29" s="10" t="s">
        <v>73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144</v>
      </c>
      <c r="C30" s="10" t="s">
        <v>45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145</v>
      </c>
      <c r="C31" s="10" t="s">
        <v>45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146</v>
      </c>
      <c r="C32" s="10" t="s">
        <v>45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112</v>
      </c>
      <c r="C33" s="10" t="s">
        <v>113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114</v>
      </c>
      <c r="C34" s="10" t="s">
        <v>113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115</v>
      </c>
      <c r="C35" s="10" t="s">
        <v>116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117</v>
      </c>
      <c r="C36" s="10" t="s">
        <v>116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25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102</v>
      </c>
      <c r="C39" s="112" t="s">
        <v>228</v>
      </c>
      <c r="D39" s="113"/>
      <c r="E39" s="141" t="s">
        <v>76</v>
      </c>
      <c r="F39" s="141"/>
      <c r="G39" s="49" t="s">
        <v>229</v>
      </c>
      <c r="H39" s="114" t="s">
        <v>78</v>
      </c>
      <c r="I39" s="114"/>
      <c r="J39" s="114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103</v>
      </c>
      <c r="C40" s="72" t="s">
        <v>136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104</v>
      </c>
      <c r="C41" s="48" t="s">
        <v>136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105</v>
      </c>
      <c r="C42" s="48" t="s">
        <v>136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119</v>
      </c>
      <c r="C43" s="48" t="s">
        <v>136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121</v>
      </c>
      <c r="C44" s="48" t="s">
        <v>136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137</v>
      </c>
      <c r="C45" s="48" t="s">
        <v>136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230</v>
      </c>
    </row>
    <row r="12" spans="2:6">
      <c r="B12" s="71" t="s">
        <v>231</v>
      </c>
    </row>
    <row r="13" spans="2:6">
      <c r="B13" t="s">
        <v>120</v>
      </c>
    </row>
    <row r="14" spans="2:6">
      <c r="B14" t="s">
        <v>76</v>
      </c>
    </row>
    <row r="15" spans="2:6">
      <c r="B15" t="s">
        <v>118</v>
      </c>
    </row>
    <row r="18" spans="2:2">
      <c r="B18" s="71" t="s">
        <v>232</v>
      </c>
    </row>
    <row r="19" spans="2:2">
      <c r="B19" t="s">
        <v>93</v>
      </c>
    </row>
    <row r="20" spans="2:2">
      <c r="B20" t="s">
        <v>78</v>
      </c>
    </row>
    <row r="21" spans="2:2">
      <c r="B21" t="s">
        <v>233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="85" zoomScaleNormal="100" zoomScalePageLayoutView="85" workbookViewId="0">
      <selection activeCell="O15" sqref="O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7" width="10" style="1" customWidth="1"/>
    <col min="8" max="8" width="22.28515625" style="1" customWidth="1"/>
    <col min="9" max="9" width="13.85546875" style="1" customWidth="1"/>
    <col min="10" max="10" width="3.7109375" style="1" customWidth="1"/>
    <col min="11" max="11" width="2" style="1" customWidth="1"/>
    <col min="12" max="12" width="18.7109375" style="1" customWidth="1"/>
    <col min="13" max="13" width="10.855468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5</v>
      </c>
      <c r="I3" s="80" t="s">
        <v>92</v>
      </c>
      <c r="L3" s="1" t="str">
        <f>IF(ISBLANK(C3),"DEALER NAME",C3)</f>
        <v>DEALER NAME</v>
      </c>
      <c r="P3" s="8"/>
      <c r="Q3" s="8"/>
      <c r="R3" s="9" t="s">
        <v>5</v>
      </c>
      <c r="T3" s="57" t="str">
        <f>I3</f>
        <v>20170714SHO01</v>
      </c>
    </row>
    <row r="4" spans="1:21" ht="15.75">
      <c r="B4" s="66" t="s">
        <v>7</v>
      </c>
      <c r="C4" s="116"/>
      <c r="D4" s="117"/>
      <c r="E4" s="117"/>
      <c r="F4" s="118"/>
      <c r="G4" s="8"/>
      <c r="H4" s="66" t="s">
        <v>9</v>
      </c>
      <c r="I4" s="81">
        <f ca="1">TODAY()</f>
        <v>45086</v>
      </c>
      <c r="L4" s="3" t="str">
        <f>IF(ISBLANK(C4),"REFERENCE NAME",C4)</f>
        <v>REFERENCE NAME</v>
      </c>
      <c r="P4" s="8"/>
      <c r="Q4" s="8"/>
      <c r="R4" s="9" t="s">
        <v>9</v>
      </c>
      <c r="T4" s="58">
        <f ca="1">I4</f>
        <v>45086</v>
      </c>
    </row>
    <row r="5" spans="1:21">
      <c r="B5" s="66" t="s">
        <v>11</v>
      </c>
      <c r="C5" s="119"/>
      <c r="D5" s="119"/>
      <c r="E5" s="119"/>
      <c r="F5" s="119"/>
      <c r="G5" s="8"/>
      <c r="H5" s="66" t="s">
        <v>13</v>
      </c>
      <c r="I5" s="81">
        <f ca="1">TODAY()</f>
        <v>45086</v>
      </c>
      <c r="L5" s="9" t="s">
        <v>11</v>
      </c>
      <c r="M5" s="57" t="str">
        <f>IF(ISBLANK(C5),"TBC",C5)</f>
        <v>TBC</v>
      </c>
      <c r="P5" s="8"/>
      <c r="Q5" s="8"/>
      <c r="R5" s="9" t="s">
        <v>14</v>
      </c>
      <c r="T5" s="58">
        <f ca="1">I5</f>
        <v>45086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15</v>
      </c>
      <c r="C7" s="68" t="s">
        <v>16</v>
      </c>
      <c r="D7" s="68"/>
      <c r="E7" s="68" t="s">
        <v>18</v>
      </c>
      <c r="F7" s="68" t="s">
        <v>19</v>
      </c>
      <c r="G7" s="68" t="s">
        <v>20</v>
      </c>
      <c r="H7" s="120" t="s">
        <v>21</v>
      </c>
      <c r="I7" s="121"/>
      <c r="J7" s="4"/>
      <c r="K7" s="4"/>
      <c r="L7" s="59" t="s">
        <v>15</v>
      </c>
      <c r="M7" s="60" t="s">
        <v>22</v>
      </c>
      <c r="N7" s="60" t="s">
        <v>17</v>
      </c>
      <c r="O7" s="60" t="s">
        <v>23</v>
      </c>
      <c r="P7" s="60" t="s">
        <v>24</v>
      </c>
      <c r="Q7" s="123" t="s">
        <v>25</v>
      </c>
      <c r="R7" s="124"/>
      <c r="S7" s="124"/>
      <c r="T7" s="125"/>
      <c r="U7" s="5"/>
    </row>
    <row r="8" spans="1:21">
      <c r="A8" s="4"/>
      <c r="B8" s="10" t="s">
        <v>26</v>
      </c>
      <c r="C8" s="11" t="s">
        <v>27</v>
      </c>
      <c r="D8" s="14"/>
      <c r="E8" s="14"/>
      <c r="F8" s="11" t="s">
        <v>28</v>
      </c>
      <c r="G8" s="11" t="s">
        <v>27</v>
      </c>
      <c r="H8" s="108"/>
      <c r="I8" s="109"/>
      <c r="J8" s="4"/>
      <c r="K8" s="4"/>
      <c r="L8" s="10" t="s">
        <v>26</v>
      </c>
      <c r="M8" s="11" t="s">
        <v>27</v>
      </c>
      <c r="N8" s="14">
        <f>D8</f>
        <v>0</v>
      </c>
      <c r="O8" s="11" t="s">
        <v>28</v>
      </c>
      <c r="P8" s="11" t="s">
        <v>27</v>
      </c>
      <c r="Q8" s="11" t="e">
        <f>VLOOKUP(N8,Lookup!C3:D7,2)</f>
        <v>#N/A</v>
      </c>
      <c r="R8" s="112"/>
      <c r="S8" s="113"/>
      <c r="T8" s="122"/>
      <c r="U8" s="5"/>
    </row>
    <row r="9" spans="1:21">
      <c r="A9" s="4"/>
      <c r="B9" s="10" t="s">
        <v>29</v>
      </c>
      <c r="C9" s="10" t="s">
        <v>30</v>
      </c>
      <c r="D9" s="15"/>
      <c r="E9" s="15">
        <v>5</v>
      </c>
      <c r="F9" s="11" t="s">
        <v>27</v>
      </c>
      <c r="G9" s="11" t="s">
        <v>27</v>
      </c>
      <c r="H9" s="108"/>
      <c r="I9" s="109"/>
      <c r="J9" s="4"/>
      <c r="K9" s="4"/>
      <c r="L9" s="10" t="s">
        <v>29</v>
      </c>
      <c r="M9" s="10" t="s">
        <v>30</v>
      </c>
      <c r="N9" s="15" t="str">
        <f>IF(D9&lt;5,"&lt;5",D9)</f>
        <v>&lt;5</v>
      </c>
      <c r="O9" s="11" t="s">
        <v>27</v>
      </c>
      <c r="P9" s="11" t="s">
        <v>27</v>
      </c>
      <c r="Q9" s="11" t="str">
        <f>VLOOKUP(N9,Lookup!C18:D25,2)</f>
        <v>Trace</v>
      </c>
      <c r="R9" s="112"/>
      <c r="S9" s="113"/>
      <c r="T9" s="122"/>
      <c r="U9" s="5"/>
    </row>
    <row r="10" spans="1:21">
      <c r="A10" s="4"/>
      <c r="B10" s="10" t="s">
        <v>31</v>
      </c>
      <c r="C10" s="10" t="s">
        <v>30</v>
      </c>
      <c r="D10" s="15"/>
      <c r="E10" s="15">
        <v>5</v>
      </c>
      <c r="F10" s="11" t="s">
        <v>32</v>
      </c>
      <c r="G10" s="11" t="s">
        <v>27</v>
      </c>
      <c r="H10" s="108"/>
      <c r="I10" s="109"/>
      <c r="J10" s="4"/>
      <c r="K10" s="4"/>
      <c r="L10" s="10" t="s">
        <v>31</v>
      </c>
      <c r="M10" s="10" t="s">
        <v>30</v>
      </c>
      <c r="N10" s="15" t="str">
        <f t="shared" ref="N10" si="0">IF(D10&lt;5,"&lt;5",D10)</f>
        <v>&lt;5</v>
      </c>
      <c r="O10" s="11" t="s">
        <v>32</v>
      </c>
      <c r="P10" s="11" t="s">
        <v>27</v>
      </c>
      <c r="Q10" s="11" t="str">
        <f>VLOOKUP(N10,Lookup!C27:D33,2)</f>
        <v>Trace</v>
      </c>
      <c r="R10" s="112"/>
      <c r="S10" s="113"/>
      <c r="T10" s="122"/>
      <c r="U10" s="5"/>
    </row>
    <row r="11" spans="1:21">
      <c r="A11" s="4"/>
      <c r="B11" s="10" t="s">
        <v>36</v>
      </c>
      <c r="C11" s="10" t="s">
        <v>37</v>
      </c>
      <c r="D11" s="75">
        <f>2*(IF(D9&lt;5,5,D9)-(5*10^(D8-10)))/(1+(0.94*10^(D8-10)))*10^(6-D8)</f>
        <v>9999999.9980600011</v>
      </c>
      <c r="E11" s="15"/>
      <c r="F11" s="11" t="s">
        <v>27</v>
      </c>
      <c r="G11" s="11" t="s">
        <v>27</v>
      </c>
      <c r="H11" s="108"/>
      <c r="I11" s="109"/>
      <c r="J11" s="4"/>
      <c r="K11" s="4"/>
      <c r="L11" s="10" t="s">
        <v>36</v>
      </c>
      <c r="M11" s="10" t="s">
        <v>37</v>
      </c>
      <c r="N11" s="15">
        <f>IF(D11&lt;1,"&lt;1",D11)</f>
        <v>9999999.9980600011</v>
      </c>
      <c r="O11" s="11" t="s">
        <v>27</v>
      </c>
      <c r="P11" s="11" t="s">
        <v>27</v>
      </c>
      <c r="Q11" s="11" t="str">
        <f>VLOOKUP(N11,Lookup!C98:D103,2)</f>
        <v>Very High</v>
      </c>
      <c r="R11" s="112" t="s">
        <v>35</v>
      </c>
      <c r="S11" s="113"/>
      <c r="T11" s="122"/>
      <c r="U11" s="5"/>
    </row>
    <row r="12" spans="1:21">
      <c r="A12" s="4"/>
      <c r="B12" s="10" t="s">
        <v>38</v>
      </c>
      <c r="C12" s="11" t="s">
        <v>27</v>
      </c>
      <c r="D12" s="76">
        <f>+D8+0.5+VLOOKUP(IF(D9&lt;5,5,D9),LSI!$F$2:$G$25,2)+VLOOKUP(IF(D10&lt;5,5,D10),LSI!$H$2:$I$25,2)-12.1</f>
        <v>-10.6</v>
      </c>
      <c r="E12" s="14"/>
      <c r="F12" s="11" t="s">
        <v>27</v>
      </c>
      <c r="G12" s="11" t="s">
        <v>27</v>
      </c>
      <c r="H12" s="108"/>
      <c r="I12" s="109"/>
      <c r="J12" s="4"/>
      <c r="K12" s="4"/>
      <c r="L12" s="10" t="s">
        <v>39</v>
      </c>
      <c r="M12" s="11" t="s">
        <v>27</v>
      </c>
      <c r="N12" s="14">
        <f>D12</f>
        <v>-10.6</v>
      </c>
      <c r="O12" s="11" t="s">
        <v>27</v>
      </c>
      <c r="P12" s="11" t="s">
        <v>27</v>
      </c>
      <c r="Q12" s="11" t="e">
        <f>VLOOKUP(N12,Lookup!C105:D109,2)</f>
        <v>#N/A</v>
      </c>
      <c r="R12" s="112" t="s">
        <v>35</v>
      </c>
      <c r="S12" s="113"/>
      <c r="T12" s="122"/>
      <c r="U12" s="5"/>
    </row>
    <row r="13" spans="1:21">
      <c r="A13" s="4"/>
      <c r="B13" s="10" t="s">
        <v>40</v>
      </c>
      <c r="C13" s="10" t="s">
        <v>41</v>
      </c>
      <c r="D13" s="15"/>
      <c r="E13" s="15">
        <v>1</v>
      </c>
      <c r="F13" s="11" t="s">
        <v>27</v>
      </c>
      <c r="G13" s="11" t="s">
        <v>27</v>
      </c>
      <c r="H13" s="108"/>
      <c r="I13" s="109"/>
      <c r="J13" s="4"/>
      <c r="K13" s="4"/>
      <c r="L13" s="10" t="s">
        <v>40</v>
      </c>
      <c r="M13" s="10" t="s">
        <v>41</v>
      </c>
      <c r="N13" s="15" t="str">
        <f>IF(D13&lt;5,"&lt;5",D13)</f>
        <v>&lt;5</v>
      </c>
      <c r="O13" s="11" t="s">
        <v>27</v>
      </c>
      <c r="P13" s="11" t="s">
        <v>27</v>
      </c>
      <c r="Q13" s="11" t="str">
        <f>VLOOKUP(N13,Lookup!C43:D50,2)</f>
        <v>Not Detected</v>
      </c>
      <c r="R13" s="112"/>
      <c r="S13" s="113"/>
      <c r="T13" s="122"/>
      <c r="U13" s="5"/>
    </row>
    <row r="14" spans="1:21">
      <c r="A14" s="4"/>
      <c r="B14" s="10" t="s">
        <v>44</v>
      </c>
      <c r="C14" s="10" t="s">
        <v>45</v>
      </c>
      <c r="D14" s="11"/>
      <c r="E14" s="11">
        <v>0.01</v>
      </c>
      <c r="F14" s="11" t="s">
        <v>46</v>
      </c>
      <c r="G14" s="11" t="s">
        <v>27</v>
      </c>
      <c r="H14" s="110" t="str">
        <f>IF(D14&gt;=0.01,"Check if need to increase decimal on the right"," ")</f>
        <v xml:space="preserve"> </v>
      </c>
      <c r="I14" s="111"/>
      <c r="J14" s="4"/>
      <c r="K14" s="4"/>
      <c r="L14" s="10" t="s">
        <v>44</v>
      </c>
      <c r="M14" s="10" t="s">
        <v>45</v>
      </c>
      <c r="N14" s="14" t="str">
        <f>IF(D14&lt;0.01,"&lt;0.01",D14)</f>
        <v>&lt;0.01</v>
      </c>
      <c r="O14" s="11" t="s">
        <v>47</v>
      </c>
      <c r="P14" s="11" t="s">
        <v>27</v>
      </c>
      <c r="Q14" s="11" t="str">
        <f>VLOOKUP(N14,Lookup!C52:D59,2)</f>
        <v>Not Detected</v>
      </c>
      <c r="R14" s="112"/>
      <c r="S14" s="113"/>
      <c r="T14" s="122"/>
      <c r="U14" s="5"/>
    </row>
    <row r="15" spans="1:21">
      <c r="A15" s="4"/>
      <c r="B15" s="10" t="s">
        <v>48</v>
      </c>
      <c r="C15" s="10" t="s">
        <v>45</v>
      </c>
      <c r="D15" s="11"/>
      <c r="E15" s="11">
        <v>1.5</v>
      </c>
      <c r="F15" s="11" t="s">
        <v>49</v>
      </c>
      <c r="G15" s="11">
        <v>0.4</v>
      </c>
      <c r="H15" s="110" t="str">
        <f>IF(D15&gt;=0.01,"Check if need to increase decimal on the right"," ")</f>
        <v xml:space="preserve"> </v>
      </c>
      <c r="I15" s="111"/>
      <c r="J15" s="4"/>
      <c r="K15" s="4"/>
      <c r="L15" s="10" t="s">
        <v>48</v>
      </c>
      <c r="M15" s="10" t="s">
        <v>45</v>
      </c>
      <c r="N15" s="14" t="str">
        <f>IF(D15&lt;0.01,"&lt;0.01",D15)</f>
        <v>&lt;0.01</v>
      </c>
      <c r="O15" s="11" t="s">
        <v>49</v>
      </c>
      <c r="P15" s="11">
        <v>0.4</v>
      </c>
      <c r="Q15" s="11" t="str">
        <f>VLOOKUP(N15,Lookup!C61:D65,2)</f>
        <v>Not Detected</v>
      </c>
      <c r="R15" s="112" t="s">
        <v>50</v>
      </c>
      <c r="S15" s="113"/>
      <c r="T15" s="122"/>
      <c r="U15" s="5"/>
    </row>
    <row r="16" spans="1:21">
      <c r="A16" s="4"/>
      <c r="B16" s="10" t="s">
        <v>55</v>
      </c>
      <c r="C16" s="10" t="s">
        <v>45</v>
      </c>
      <c r="D16" s="11"/>
      <c r="E16" s="11">
        <v>10</v>
      </c>
      <c r="F16" s="11" t="s">
        <v>56</v>
      </c>
      <c r="G16" s="11" t="s">
        <v>27</v>
      </c>
      <c r="H16" s="108"/>
      <c r="I16" s="109"/>
      <c r="J16" s="4"/>
      <c r="K16" s="4"/>
      <c r="L16" s="10" t="s">
        <v>55</v>
      </c>
      <c r="M16" s="10" t="s">
        <v>45</v>
      </c>
      <c r="N16" s="15" t="str">
        <f>IF(D16&lt;10,"&lt;10",D16)</f>
        <v>&lt;10</v>
      </c>
      <c r="O16" s="11" t="s">
        <v>56</v>
      </c>
      <c r="P16" s="11" t="s">
        <v>27</v>
      </c>
      <c r="Q16" s="11" t="str">
        <f>VLOOKUP(N16,Lookup!C9:D16,2)</f>
        <v>Trace</v>
      </c>
      <c r="R16" s="112" t="s">
        <v>35</v>
      </c>
      <c r="S16" s="113"/>
      <c r="T16" s="122"/>
      <c r="U16" s="5"/>
    </row>
    <row r="17" spans="1:21">
      <c r="A17" s="4"/>
      <c r="B17" s="10" t="s">
        <v>72</v>
      </c>
      <c r="C17" s="10" t="s">
        <v>73</v>
      </c>
      <c r="D17" s="14"/>
      <c r="E17" s="14">
        <v>5</v>
      </c>
      <c r="F17" s="11" t="s">
        <v>27</v>
      </c>
      <c r="G17" s="11" t="s">
        <v>27</v>
      </c>
      <c r="H17" s="108"/>
      <c r="I17" s="109"/>
      <c r="J17" s="4"/>
      <c r="K17" s="4"/>
      <c r="L17" s="10" t="s">
        <v>72</v>
      </c>
      <c r="M17" s="10" t="s">
        <v>73</v>
      </c>
      <c r="N17" s="15" t="str">
        <f>IF(D17&lt;5,"&lt;5",D17)</f>
        <v>&lt;5</v>
      </c>
      <c r="O17" s="11" t="s">
        <v>27</v>
      </c>
      <c r="P17" s="11" t="s">
        <v>27</v>
      </c>
      <c r="Q17" s="11" t="str">
        <f>VLOOKUP(N17,Lookup!C133:D139,2)</f>
        <v>Very Poor</v>
      </c>
      <c r="R17" s="112"/>
      <c r="S17" s="113"/>
      <c r="T17" s="122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74</v>
      </c>
      <c r="C19" s="112" t="s">
        <v>75</v>
      </c>
      <c r="D19" s="113"/>
      <c r="E19" s="114" t="s">
        <v>76</v>
      </c>
      <c r="F19" s="114"/>
      <c r="G19" s="49" t="s">
        <v>77</v>
      </c>
      <c r="H19" s="114" t="s">
        <v>93</v>
      </c>
      <c r="I19" s="115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79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80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81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82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84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23</v>
      </c>
      <c r="M26" s="53" t="s">
        <v>85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24</v>
      </c>
      <c r="M27" s="127" t="s">
        <v>86</v>
      </c>
      <c r="N27" s="127"/>
      <c r="O27" s="127"/>
      <c r="P27" s="127"/>
      <c r="Q27" s="127"/>
      <c r="R27" s="127"/>
      <c r="S27" s="127"/>
      <c r="T27" s="127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45</v>
      </c>
      <c r="M28" s="126" t="s">
        <v>87</v>
      </c>
      <c r="N28" s="127"/>
      <c r="O28" s="127"/>
      <c r="P28" s="127"/>
      <c r="Q28" s="127"/>
      <c r="R28" s="127"/>
      <c r="S28" s="127"/>
      <c r="T28" s="127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26"/>
      <c r="N29" s="127"/>
      <c r="O29" s="127"/>
      <c r="P29" s="127"/>
      <c r="Q29" s="127"/>
      <c r="R29" s="127"/>
      <c r="S29" s="127"/>
      <c r="T29" s="127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88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89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90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91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C5:F5"/>
    <mergeCell ref="H7:I7"/>
    <mergeCell ref="Q7:T7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75" priority="21" operator="equal">
      <formula>"Above MAV"</formula>
    </cfRule>
    <cfRule type="cellIs" dxfId="74" priority="22" operator="equal">
      <formula>"ALERT"</formula>
    </cfRule>
  </conditionalFormatting>
  <dataValidations disablePrompts="1"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C5:C6 M5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view="pageLayout" zoomScaleNormal="110" zoomScaleSheetLayoutView="100" workbookViewId="0">
      <selection activeCell="H29" sqref="H29:J29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2.42578125" style="1" customWidth="1"/>
    <col min="12" max="12" width="2" style="1" customWidth="1"/>
    <col min="13" max="13" width="18.7109375" style="1" customWidth="1"/>
    <col min="14" max="14" width="10.85546875" style="1" customWidth="1"/>
    <col min="15" max="21" width="10" style="1" customWidth="1"/>
    <col min="22" max="22" width="0.5703125" style="1" customWidth="1"/>
    <col min="23" max="16384" width="9.140625" style="1"/>
  </cols>
  <sheetData>
    <row r="1" spans="1:21" ht="23.25">
      <c r="B1" s="70" t="s">
        <v>0</v>
      </c>
      <c r="J1" s="13" t="str">
        <f>'R-CHE'!I1</f>
        <v>Rev10</v>
      </c>
      <c r="K1" s="13"/>
      <c r="M1" s="2" t="s">
        <v>2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66" t="s">
        <v>3</v>
      </c>
      <c r="C3" s="129" t="s">
        <v>4</v>
      </c>
      <c r="D3" s="129"/>
      <c r="E3" s="129"/>
      <c r="F3" s="129"/>
      <c r="G3" s="8"/>
      <c r="H3" s="66" t="s">
        <v>5</v>
      </c>
      <c r="I3" s="130" t="s">
        <v>6</v>
      </c>
      <c r="J3" s="130"/>
      <c r="K3" s="57"/>
      <c r="M3" s="1" t="str">
        <f>IF(ISBLANK(C3),"DEALER NAME",C3)</f>
        <v>Think Water Pukekohe</v>
      </c>
      <c r="Q3" s="8"/>
      <c r="R3" s="8"/>
      <c r="S3" s="9" t="s">
        <v>5</v>
      </c>
      <c r="U3" s="57" t="str">
        <f>I3</f>
        <v>20230519SRT01</v>
      </c>
    </row>
    <row r="4" spans="1:21" ht="15.75">
      <c r="B4" s="66" t="s">
        <v>7</v>
      </c>
      <c r="C4" s="129" t="s">
        <v>94</v>
      </c>
      <c r="D4" s="129"/>
      <c r="E4" s="129"/>
      <c r="F4" s="129"/>
      <c r="G4" s="8"/>
      <c r="H4" s="66" t="s">
        <v>9</v>
      </c>
      <c r="I4" s="131">
        <f ca="1">TODAY()</f>
        <v>45086</v>
      </c>
      <c r="J4" s="130"/>
      <c r="K4" s="57"/>
      <c r="M4" s="3" t="str">
        <f>IF(ISBLANK(C4),"REFERENCE NAME",C4)</f>
        <v>Rens Bosmaw</v>
      </c>
      <c r="Q4" s="8"/>
      <c r="R4" s="8"/>
      <c r="S4" s="9" t="s">
        <v>9</v>
      </c>
      <c r="U4" s="58">
        <f ca="1">I4</f>
        <v>45086</v>
      </c>
    </row>
    <row r="5" spans="1:21">
      <c r="B5" s="66" t="s">
        <v>11</v>
      </c>
      <c r="C5" s="119" t="s">
        <v>12</v>
      </c>
      <c r="D5" s="119"/>
      <c r="E5" s="119"/>
      <c r="F5" s="119"/>
      <c r="G5" s="8"/>
      <c r="H5" s="66" t="s">
        <v>14</v>
      </c>
      <c r="I5" s="131">
        <f ca="1">TODAY()</f>
        <v>45086</v>
      </c>
      <c r="J5" s="130"/>
      <c r="K5" s="57"/>
      <c r="M5" s="9" t="s">
        <v>11</v>
      </c>
      <c r="N5" s="57" t="str">
        <f>IF(ISBLANK(C5),"TBC",C5)</f>
        <v>Ground Water</v>
      </c>
      <c r="Q5" s="8"/>
      <c r="R5" s="8"/>
      <c r="S5" s="9" t="s">
        <v>14</v>
      </c>
      <c r="U5" s="58">
        <f ca="1">I5</f>
        <v>45086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  <c r="R7" s="8">
        <v>3</v>
      </c>
      <c r="S7" s="8">
        <v>4</v>
      </c>
    </row>
    <row r="8" spans="1:21">
      <c r="A8" s="4"/>
      <c r="B8" s="67" t="s">
        <v>15</v>
      </c>
      <c r="C8" s="68" t="s">
        <v>16</v>
      </c>
      <c r="D8" s="68" t="s">
        <v>95</v>
      </c>
      <c r="E8" s="68" t="s">
        <v>96</v>
      </c>
      <c r="F8" s="68" t="s">
        <v>97</v>
      </c>
      <c r="G8" s="68" t="s">
        <v>98</v>
      </c>
      <c r="H8" s="8"/>
      <c r="I8" s="8"/>
      <c r="J8" s="8"/>
      <c r="K8" s="8"/>
      <c r="L8" s="4"/>
      <c r="M8" s="59" t="s">
        <v>15</v>
      </c>
      <c r="N8" s="60" t="s">
        <v>22</v>
      </c>
      <c r="O8" s="60" t="s">
        <v>23</v>
      </c>
      <c r="P8" s="60" t="s">
        <v>95</v>
      </c>
      <c r="Q8" s="60" t="s">
        <v>96</v>
      </c>
      <c r="R8" s="60" t="s">
        <v>97</v>
      </c>
      <c r="S8" s="60" t="s">
        <v>98</v>
      </c>
    </row>
    <row r="9" spans="1:21">
      <c r="A9" s="4"/>
      <c r="B9" s="10" t="s">
        <v>26</v>
      </c>
      <c r="C9" s="11" t="s">
        <v>27</v>
      </c>
      <c r="D9" s="14">
        <v>7.5</v>
      </c>
      <c r="E9" s="14">
        <v>7.4</v>
      </c>
      <c r="F9" s="14">
        <v>7.4</v>
      </c>
      <c r="G9" s="14">
        <v>7</v>
      </c>
      <c r="H9" s="61"/>
      <c r="I9" s="61"/>
      <c r="J9" s="61"/>
      <c r="K9" s="61"/>
      <c r="L9" s="4"/>
      <c r="M9" s="10" t="s">
        <v>26</v>
      </c>
      <c r="N9" s="11" t="s">
        <v>27</v>
      </c>
      <c r="O9" s="11" t="s">
        <v>28</v>
      </c>
      <c r="P9" s="14">
        <f>D9</f>
        <v>7.5</v>
      </c>
      <c r="Q9" s="14">
        <f t="shared" ref="Q9:S9" si="0">E9</f>
        <v>7.4</v>
      </c>
      <c r="R9" s="14">
        <f t="shared" si="0"/>
        <v>7.4</v>
      </c>
      <c r="S9" s="14">
        <f t="shared" si="0"/>
        <v>7</v>
      </c>
    </row>
    <row r="10" spans="1:21">
      <c r="A10" s="4"/>
      <c r="B10" s="10" t="s">
        <v>29</v>
      </c>
      <c r="C10" s="10" t="s">
        <v>30</v>
      </c>
      <c r="D10" s="15">
        <v>110</v>
      </c>
      <c r="E10" s="15">
        <v>110</v>
      </c>
      <c r="F10" s="15">
        <v>115</v>
      </c>
      <c r="G10" s="15">
        <v>20</v>
      </c>
      <c r="H10" s="78"/>
      <c r="I10" s="78"/>
      <c r="J10" s="78"/>
      <c r="K10" s="78"/>
      <c r="L10" s="4"/>
      <c r="M10" s="10" t="s">
        <v>29</v>
      </c>
      <c r="N10" s="10" t="s">
        <v>30</v>
      </c>
      <c r="O10" s="11" t="s">
        <v>27</v>
      </c>
      <c r="P10" s="15">
        <f t="shared" ref="P10:S11" si="1">IF(D10&lt;5,"&lt;5",D10)</f>
        <v>110</v>
      </c>
      <c r="Q10" s="15">
        <f t="shared" si="1"/>
        <v>110</v>
      </c>
      <c r="R10" s="15">
        <f t="shared" si="1"/>
        <v>115</v>
      </c>
      <c r="S10" s="15">
        <f t="shared" si="1"/>
        <v>20</v>
      </c>
    </row>
    <row r="11" spans="1:21">
      <c r="A11" s="4"/>
      <c r="B11" s="10" t="s">
        <v>31</v>
      </c>
      <c r="C11" s="10" t="s">
        <v>30</v>
      </c>
      <c r="D11" s="15">
        <v>85</v>
      </c>
      <c r="E11" s="15">
        <v>85</v>
      </c>
      <c r="F11" s="15">
        <v>15</v>
      </c>
      <c r="G11" s="15">
        <v>0</v>
      </c>
      <c r="H11" s="56"/>
      <c r="I11" s="56"/>
      <c r="J11" s="56"/>
      <c r="K11" s="56"/>
      <c r="L11" s="4"/>
      <c r="M11" s="10" t="s">
        <v>31</v>
      </c>
      <c r="N11" s="10" t="s">
        <v>30</v>
      </c>
      <c r="O11" s="11" t="s">
        <v>32</v>
      </c>
      <c r="P11" s="15">
        <f t="shared" si="1"/>
        <v>85</v>
      </c>
      <c r="Q11" s="15">
        <f t="shared" si="1"/>
        <v>85</v>
      </c>
      <c r="R11" s="15">
        <f t="shared" si="1"/>
        <v>15</v>
      </c>
      <c r="S11" s="15" t="str">
        <f t="shared" si="1"/>
        <v>&lt;5</v>
      </c>
    </row>
    <row r="12" spans="1:21">
      <c r="A12" s="4"/>
      <c r="B12" s="10" t="s">
        <v>36</v>
      </c>
      <c r="C12" s="10" t="s">
        <v>37</v>
      </c>
      <c r="D12" s="75">
        <f>2*(IF(D10&lt;5,5,D10)-(5*10^(D9-10)))/(1+(0.94*10^(D9-10)))*10^(6-D9)</f>
        <v>6.9353951060625896</v>
      </c>
      <c r="E12" s="75">
        <f>2*(IF(E10&lt;5,5,E10)-(5*10^(E9-10)))/(1+(0.94*10^(E9-10)))*10^(6-E9)</f>
        <v>8.7367288218285974</v>
      </c>
      <c r="F12" s="75">
        <f t="shared" ref="F12:G12" si="2">2*(IF(F10&lt;5,5,F10)-(5*10^(F9-10)))/(1+(0.94*10^(F9-10)))*10^(6-F9)</f>
        <v>9.1338982066566601</v>
      </c>
      <c r="G12" s="75">
        <f t="shared" si="2"/>
        <v>3.9952444701980143</v>
      </c>
      <c r="H12" s="56"/>
      <c r="I12" s="56"/>
      <c r="J12" s="56"/>
      <c r="K12" s="56"/>
      <c r="L12" s="4"/>
      <c r="M12" s="10" t="s">
        <v>36</v>
      </c>
      <c r="N12" s="10" t="s">
        <v>37</v>
      </c>
      <c r="O12" s="11" t="s">
        <v>27</v>
      </c>
      <c r="P12" s="15">
        <f>IF(D12&lt;1,"&lt;1",D12)</f>
        <v>6.9353951060625896</v>
      </c>
      <c r="Q12" s="15">
        <f t="shared" ref="Q12:S12" si="3">IF(E12&lt;1,"&lt;1",E12)</f>
        <v>8.7367288218285974</v>
      </c>
      <c r="R12" s="15">
        <f t="shared" si="3"/>
        <v>9.1338982066566601</v>
      </c>
      <c r="S12" s="15">
        <f t="shared" si="3"/>
        <v>3.9952444701980143</v>
      </c>
    </row>
    <row r="13" spans="1:21">
      <c r="A13" s="4"/>
      <c r="B13" s="10" t="s">
        <v>38</v>
      </c>
      <c r="C13" s="11" t="s">
        <v>27</v>
      </c>
      <c r="D13" s="76">
        <f>+D9+0.5+VLOOKUP(IF(D10&lt;5,5,D10),LSI!$F$2:$G$25,2)+VLOOKUP(IF(D11&lt;5,5,D11),LSI!$H$2:$I$25,2)-12.1</f>
        <v>-0.59999999999999964</v>
      </c>
      <c r="E13" s="76">
        <f>+E9+0.5+VLOOKUP(IF(E10&lt;5,5,E10),LSI!$F$2:$G$25,2)+VLOOKUP(IF(E11&lt;5,5,E11),LSI!$H$2:$I$25,2)-12.1</f>
        <v>-0.69999999999999929</v>
      </c>
      <c r="F13" s="76">
        <f>+F9+0.5+VLOOKUP(IF(F10&lt;5,5,F10),LSI!$F$2:$G$25,2)+VLOOKUP(IF(F11&lt;5,5,F11),LSI!$H$2:$I$25,2)-12.1</f>
        <v>-1.5999999999999996</v>
      </c>
      <c r="G13" s="76">
        <f>+G9+0.5+VLOOKUP(IF(G10&lt;5,5,G10),LSI!$F$2:$G$25,2)+VLOOKUP(IF(G11&lt;5,5,G11),LSI!$H$2:$I$25,2)-12.1</f>
        <v>-3.0999999999999996</v>
      </c>
      <c r="H13" s="8"/>
      <c r="I13" s="8"/>
      <c r="J13" s="8"/>
      <c r="K13" s="8"/>
      <c r="L13" s="4"/>
      <c r="M13" s="10" t="s">
        <v>38</v>
      </c>
      <c r="N13" s="11" t="s">
        <v>27</v>
      </c>
      <c r="O13" s="11" t="s">
        <v>27</v>
      </c>
      <c r="P13" s="11">
        <f>D13</f>
        <v>-0.59999999999999964</v>
      </c>
      <c r="Q13" s="11">
        <f t="shared" ref="Q13" si="4">E13</f>
        <v>-0.69999999999999929</v>
      </c>
      <c r="R13" s="11">
        <f t="shared" ref="R13" si="5">F13</f>
        <v>-1.5999999999999996</v>
      </c>
      <c r="S13" s="11">
        <f t="shared" ref="S13" si="6">G13</f>
        <v>-3.0999999999999996</v>
      </c>
    </row>
    <row r="14" spans="1:21">
      <c r="A14" s="4"/>
      <c r="B14" s="10" t="s">
        <v>44</v>
      </c>
      <c r="C14" s="10" t="s">
        <v>45</v>
      </c>
      <c r="D14" s="11">
        <v>3.3</v>
      </c>
      <c r="E14" s="11">
        <v>1.24</v>
      </c>
      <c r="F14" s="11" t="s">
        <v>99</v>
      </c>
      <c r="G14" s="11">
        <v>0.26</v>
      </c>
      <c r="H14" s="8"/>
      <c r="I14" s="8"/>
      <c r="J14" s="8"/>
      <c r="K14" s="8"/>
      <c r="L14" s="4"/>
      <c r="M14" s="10" t="s">
        <v>44</v>
      </c>
      <c r="N14" s="10" t="s">
        <v>45</v>
      </c>
      <c r="O14" s="11" t="s">
        <v>47</v>
      </c>
      <c r="P14" s="11">
        <f t="shared" ref="P14:S15" si="7">IF(D14&lt;0.01,"&lt;0.01",D14)</f>
        <v>3.3</v>
      </c>
      <c r="Q14" s="11">
        <f t="shared" si="7"/>
        <v>1.24</v>
      </c>
      <c r="R14" s="11" t="str">
        <f t="shared" si="7"/>
        <v>1,20</v>
      </c>
      <c r="S14" s="11">
        <f t="shared" si="7"/>
        <v>0.26</v>
      </c>
    </row>
    <row r="15" spans="1:21">
      <c r="A15" s="4"/>
      <c r="B15" s="10" t="s">
        <v>48</v>
      </c>
      <c r="C15" s="10" t="s">
        <v>45</v>
      </c>
      <c r="D15" s="11" t="s">
        <v>100</v>
      </c>
      <c r="E15" s="11">
        <v>0.01</v>
      </c>
      <c r="F15" s="11" t="s">
        <v>100</v>
      </c>
      <c r="G15" s="11" t="s">
        <v>100</v>
      </c>
      <c r="H15" s="8"/>
      <c r="I15" s="8"/>
      <c r="J15" s="8"/>
      <c r="K15" s="8"/>
      <c r="L15" s="4"/>
      <c r="M15" s="10" t="s">
        <v>48</v>
      </c>
      <c r="N15" s="10" t="s">
        <v>45</v>
      </c>
      <c r="O15" s="11" t="s">
        <v>49</v>
      </c>
      <c r="P15" s="11" t="str">
        <f t="shared" si="7"/>
        <v>&lt;0.01</v>
      </c>
      <c r="Q15" s="11">
        <f t="shared" si="7"/>
        <v>0.01</v>
      </c>
      <c r="R15" s="11" t="str">
        <f t="shared" si="7"/>
        <v>&lt;0.01</v>
      </c>
      <c r="S15" s="11" t="str">
        <f t="shared" si="7"/>
        <v>&lt;0.01</v>
      </c>
    </row>
    <row r="16" spans="1:21">
      <c r="A16" s="4"/>
      <c r="B16" s="10" t="s">
        <v>55</v>
      </c>
      <c r="C16" s="10" t="s">
        <v>45</v>
      </c>
      <c r="D16" s="11">
        <v>190</v>
      </c>
      <c r="E16" s="11">
        <v>200</v>
      </c>
      <c r="F16" s="11">
        <v>190</v>
      </c>
      <c r="G16" s="11">
        <v>230</v>
      </c>
      <c r="H16" s="56"/>
      <c r="I16" s="56"/>
      <c r="J16" s="56"/>
      <c r="K16" s="56"/>
      <c r="L16" s="4"/>
      <c r="M16" s="10" t="s">
        <v>55</v>
      </c>
      <c r="N16" s="10" t="s">
        <v>45</v>
      </c>
      <c r="O16" s="11" t="s">
        <v>56</v>
      </c>
      <c r="P16" s="11">
        <f>IF(D16&lt;10,"&lt;10",D16)</f>
        <v>190</v>
      </c>
      <c r="Q16" s="11">
        <f>IF(E16&lt;10,"&lt;10",E16)</f>
        <v>200</v>
      </c>
      <c r="R16" s="11">
        <f>IF(F16&lt;10,"&lt;10",F16)</f>
        <v>190</v>
      </c>
      <c r="S16" s="11">
        <f>IF(G16&lt;10,"&lt;10",G16)</f>
        <v>230</v>
      </c>
    </row>
    <row r="17" spans="1:22">
      <c r="A17" s="4"/>
      <c r="B17" s="10" t="s">
        <v>57</v>
      </c>
      <c r="C17" s="10" t="s">
        <v>45</v>
      </c>
      <c r="D17" s="15">
        <v>21</v>
      </c>
      <c r="E17" s="15">
        <v>20</v>
      </c>
      <c r="F17" s="15">
        <v>12</v>
      </c>
      <c r="G17" s="15">
        <v>99</v>
      </c>
      <c r="H17" s="56"/>
      <c r="I17" s="56"/>
      <c r="J17" s="56"/>
      <c r="K17" s="56"/>
      <c r="L17" s="4"/>
      <c r="M17" s="10" t="s">
        <v>57</v>
      </c>
      <c r="N17" s="10" t="s">
        <v>45</v>
      </c>
      <c r="O17" s="11" t="s">
        <v>58</v>
      </c>
      <c r="P17" s="11">
        <f>IF(D17&lt;1,"&lt;1",D17)</f>
        <v>21</v>
      </c>
      <c r="Q17" s="11">
        <f t="shared" ref="Q17:S18" si="8">IF(E17&lt;1,"&lt;1",E17)</f>
        <v>20</v>
      </c>
      <c r="R17" s="11">
        <f t="shared" si="8"/>
        <v>12</v>
      </c>
      <c r="S17" s="11">
        <f t="shared" si="8"/>
        <v>99</v>
      </c>
    </row>
    <row r="18" spans="1:22">
      <c r="A18" s="4"/>
      <c r="B18" s="10" t="s">
        <v>59</v>
      </c>
      <c r="C18" s="10" t="s">
        <v>45</v>
      </c>
      <c r="D18" s="15">
        <v>62</v>
      </c>
      <c r="E18" s="15">
        <v>31</v>
      </c>
      <c r="F18" s="15">
        <v>73</v>
      </c>
      <c r="G18" s="15">
        <v>88</v>
      </c>
      <c r="H18" s="56"/>
      <c r="I18" s="56"/>
      <c r="J18" s="56"/>
      <c r="K18" s="56"/>
      <c r="L18" s="4"/>
      <c r="M18" s="10" t="s">
        <v>59</v>
      </c>
      <c r="N18" s="10" t="s">
        <v>45</v>
      </c>
      <c r="O18" s="11" t="s">
        <v>32</v>
      </c>
      <c r="P18" s="11">
        <f>IF(D18&lt;1,"&lt;1",D18)</f>
        <v>62</v>
      </c>
      <c r="Q18" s="11">
        <f t="shared" si="8"/>
        <v>31</v>
      </c>
      <c r="R18" s="11">
        <f t="shared" si="8"/>
        <v>73</v>
      </c>
      <c r="S18" s="11">
        <f t="shared" si="8"/>
        <v>88</v>
      </c>
    </row>
    <row r="19" spans="1:22" hidden="1">
      <c r="A19" s="4"/>
      <c r="B19" s="10" t="s">
        <v>60</v>
      </c>
      <c r="C19" s="10" t="s">
        <v>61</v>
      </c>
      <c r="D19" s="14">
        <f>D20/10</f>
        <v>27.2</v>
      </c>
      <c r="E19" s="14">
        <f t="shared" ref="E19:G19" si="9">E20/10</f>
        <v>27.5</v>
      </c>
      <c r="F19" s="14">
        <f t="shared" si="9"/>
        <v>27.4</v>
      </c>
      <c r="G19" s="14">
        <f t="shared" si="9"/>
        <v>32.799999999999997</v>
      </c>
      <c r="H19" s="8"/>
      <c r="I19" s="8"/>
      <c r="J19" s="8"/>
      <c r="K19" s="8"/>
      <c r="L19" s="4"/>
      <c r="M19" s="10" t="s">
        <v>60</v>
      </c>
      <c r="N19" s="10" t="s">
        <v>61</v>
      </c>
      <c r="O19" s="11" t="s">
        <v>27</v>
      </c>
      <c r="P19" s="14">
        <f>P20/10</f>
        <v>27.2</v>
      </c>
      <c r="Q19" s="14">
        <f t="shared" ref="Q19:S19" si="10">Q20/10</f>
        <v>27.5</v>
      </c>
      <c r="R19" s="14">
        <f t="shared" si="10"/>
        <v>27.4</v>
      </c>
      <c r="S19" s="14">
        <f t="shared" si="10"/>
        <v>32.799999999999997</v>
      </c>
    </row>
    <row r="20" spans="1:22">
      <c r="A20" s="4"/>
      <c r="B20" s="10" t="s">
        <v>60</v>
      </c>
      <c r="C20" s="10" t="s">
        <v>62</v>
      </c>
      <c r="D20" s="15">
        <v>272</v>
      </c>
      <c r="E20" s="15">
        <v>275</v>
      </c>
      <c r="F20" s="15">
        <v>274</v>
      </c>
      <c r="G20" s="15">
        <v>328</v>
      </c>
      <c r="H20" s="56"/>
      <c r="I20" s="56"/>
      <c r="J20" s="56"/>
      <c r="K20" s="56"/>
      <c r="L20" s="4"/>
      <c r="M20" s="10" t="s">
        <v>60</v>
      </c>
      <c r="N20" s="10" t="s">
        <v>62</v>
      </c>
      <c r="O20" s="11" t="s">
        <v>27</v>
      </c>
      <c r="P20" s="14">
        <f t="shared" ref="P20:S20" si="11">D20</f>
        <v>272</v>
      </c>
      <c r="Q20" s="14">
        <f t="shared" si="11"/>
        <v>275</v>
      </c>
      <c r="R20" s="14">
        <f t="shared" si="11"/>
        <v>274</v>
      </c>
      <c r="S20" s="14">
        <f t="shared" si="11"/>
        <v>328</v>
      </c>
    </row>
    <row r="21" spans="1:22">
      <c r="A21" s="4"/>
      <c r="B21" s="10" t="s">
        <v>63</v>
      </c>
      <c r="C21" s="10" t="s">
        <v>64</v>
      </c>
      <c r="D21" s="11">
        <v>56</v>
      </c>
      <c r="E21" s="11">
        <v>26.97</v>
      </c>
      <c r="F21" s="11">
        <v>25.19</v>
      </c>
      <c r="G21" s="11">
        <v>4.91</v>
      </c>
      <c r="H21" s="78"/>
      <c r="I21" s="78"/>
      <c r="J21" s="78"/>
      <c r="K21" s="78"/>
      <c r="L21" s="4"/>
      <c r="M21" s="10" t="s">
        <v>63</v>
      </c>
      <c r="N21" s="10" t="s">
        <v>64</v>
      </c>
      <c r="O21" s="11" t="s">
        <v>65</v>
      </c>
      <c r="P21" s="14">
        <f>IF(D21&lt;0.05,"&lt;0.05",D21)</f>
        <v>56</v>
      </c>
      <c r="Q21" s="14">
        <f>IF(E21&lt;0.05,"&lt;0.05",E21)</f>
        <v>26.97</v>
      </c>
      <c r="R21" s="14">
        <f>IF(F21&lt;0.05,"&lt;0.05",F21)</f>
        <v>25.19</v>
      </c>
      <c r="S21" s="14">
        <f>IF(G21&lt;0.05,"&lt;0.05",G21)</f>
        <v>4.91</v>
      </c>
    </row>
    <row r="22" spans="1:22">
      <c r="A22" s="4"/>
      <c r="B22" s="10" t="s">
        <v>67</v>
      </c>
      <c r="C22" s="10" t="s">
        <v>68</v>
      </c>
      <c r="D22" s="15" t="s">
        <v>69</v>
      </c>
      <c r="E22" s="15" t="s">
        <v>69</v>
      </c>
      <c r="F22" s="15" t="s">
        <v>69</v>
      </c>
      <c r="G22" s="15" t="s">
        <v>69</v>
      </c>
      <c r="H22" s="8"/>
      <c r="I22" s="8"/>
      <c r="J22" s="8"/>
      <c r="K22" s="8"/>
      <c r="L22" s="4"/>
      <c r="M22" s="10" t="s">
        <v>67</v>
      </c>
      <c r="N22" s="10" t="s">
        <v>68</v>
      </c>
      <c r="O22" s="11" t="s">
        <v>27</v>
      </c>
      <c r="P22" s="11" t="str">
        <f>IF(D22&lt;5,"&lt;5",D22)</f>
        <v>&lt;5</v>
      </c>
      <c r="Q22" s="11" t="str">
        <f t="shared" ref="Q22:S23" si="12">IF(E22&lt;5,"&lt;5",E22)</f>
        <v>&lt;5</v>
      </c>
      <c r="R22" s="11" t="str">
        <f t="shared" si="12"/>
        <v>&lt;5</v>
      </c>
      <c r="S22" s="11" t="str">
        <f t="shared" si="12"/>
        <v>&lt;5</v>
      </c>
    </row>
    <row r="23" spans="1:22">
      <c r="A23" s="4"/>
      <c r="B23" s="10" t="s">
        <v>72</v>
      </c>
      <c r="C23" s="10" t="s">
        <v>73</v>
      </c>
      <c r="D23" s="14">
        <v>83.4</v>
      </c>
      <c r="E23" s="14">
        <v>90.1</v>
      </c>
      <c r="F23" s="14">
        <v>73</v>
      </c>
      <c r="G23" s="14">
        <v>97</v>
      </c>
      <c r="H23" s="8"/>
      <c r="I23" s="8"/>
      <c r="J23" s="8"/>
      <c r="K23" s="8"/>
      <c r="L23" s="4"/>
      <c r="M23" s="10" t="s">
        <v>72</v>
      </c>
      <c r="N23" s="10" t="s">
        <v>73</v>
      </c>
      <c r="O23" s="11" t="s">
        <v>27</v>
      </c>
      <c r="P23" s="14">
        <f>IF(D23&lt;5,"&lt;5",D23)</f>
        <v>83.4</v>
      </c>
      <c r="Q23" s="14">
        <f t="shared" si="12"/>
        <v>90.1</v>
      </c>
      <c r="R23" s="14">
        <f t="shared" si="12"/>
        <v>73</v>
      </c>
      <c r="S23" s="14">
        <f t="shared" si="12"/>
        <v>97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25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25</v>
      </c>
      <c r="N25" s="9" t="s">
        <v>101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102</v>
      </c>
      <c r="C26" s="119" t="s">
        <v>75</v>
      </c>
      <c r="D26" s="119"/>
      <c r="E26" s="128" t="s">
        <v>118</v>
      </c>
      <c r="F26" s="128"/>
      <c r="G26" s="10" t="s">
        <v>77</v>
      </c>
      <c r="H26" s="128" t="s">
        <v>78</v>
      </c>
      <c r="I26" s="128"/>
      <c r="J26" s="128"/>
      <c r="K26" s="47"/>
      <c r="L26" s="4"/>
      <c r="M26" s="10" t="s">
        <v>102</v>
      </c>
      <c r="N26" s="48" t="str">
        <f>CONCATENATE(C26, " ", E26," ", G26, " ", H26)</f>
        <v>The sample was discoloured  with some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103</v>
      </c>
      <c r="C27" s="119" t="s">
        <v>75</v>
      </c>
      <c r="D27" s="119"/>
      <c r="E27" s="128" t="s">
        <v>76</v>
      </c>
      <c r="F27" s="128"/>
      <c r="G27" s="10" t="s">
        <v>77</v>
      </c>
      <c r="H27" s="128" t="s">
        <v>78</v>
      </c>
      <c r="I27" s="128"/>
      <c r="J27" s="128"/>
      <c r="K27" s="47"/>
      <c r="L27" s="4"/>
      <c r="M27" s="10" t="s">
        <v>103</v>
      </c>
      <c r="N27" s="48" t="str">
        <f>CONCATENATE(C27, " ", E27," ", G27, " ", H27)</f>
        <v>The sample was slightly discoloured  with some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>
      <c r="A28" s="4"/>
      <c r="B28" s="10" t="s">
        <v>104</v>
      </c>
      <c r="C28" s="119" t="s">
        <v>75</v>
      </c>
      <c r="D28" s="119"/>
      <c r="E28" s="128" t="s">
        <v>76</v>
      </c>
      <c r="F28" s="128"/>
      <c r="G28" s="10" t="s">
        <v>77</v>
      </c>
      <c r="H28" s="128" t="s">
        <v>93</v>
      </c>
      <c r="I28" s="128"/>
      <c r="J28" s="128"/>
      <c r="K28" s="47"/>
      <c r="L28" s="4"/>
      <c r="M28" s="10" t="s">
        <v>104</v>
      </c>
      <c r="N28" s="48" t="str">
        <f>CONCATENATE(C28, " ", E28," ", G28, " ", H28)</f>
        <v>The sample was slightly discoloured  with no significant sediments</v>
      </c>
      <c r="O28" s="49"/>
      <c r="P28" s="49"/>
      <c r="Q28" s="49"/>
      <c r="R28" s="49"/>
      <c r="S28" s="49"/>
      <c r="T28" s="49"/>
      <c r="U28" s="50"/>
      <c r="V28" s="5"/>
    </row>
    <row r="29" spans="1:22">
      <c r="A29" s="4"/>
      <c r="B29" s="10" t="s">
        <v>105</v>
      </c>
      <c r="C29" s="119" t="s">
        <v>75</v>
      </c>
      <c r="D29" s="119"/>
      <c r="E29" s="128" t="s">
        <v>120</v>
      </c>
      <c r="F29" s="128"/>
      <c r="G29" s="10" t="s">
        <v>77</v>
      </c>
      <c r="H29" s="128" t="s">
        <v>93</v>
      </c>
      <c r="I29" s="128"/>
      <c r="J29" s="128"/>
      <c r="K29" s="47"/>
      <c r="L29" s="4"/>
      <c r="M29" s="10" t="s">
        <v>105</v>
      </c>
      <c r="N29" s="48" t="str">
        <f>CONCATENATE(C29, " ", E29," ", G29, " ", H29)</f>
        <v>The sample was clear  with no significant sediments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23</v>
      </c>
      <c r="N31" s="53" t="s">
        <v>85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45</v>
      </c>
      <c r="N32" s="126" t="s">
        <v>87</v>
      </c>
      <c r="O32" s="127"/>
      <c r="P32" s="127"/>
      <c r="Q32" s="127"/>
      <c r="R32" s="127"/>
      <c r="S32" s="127"/>
      <c r="T32" s="127"/>
      <c r="U32" s="127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88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89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90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106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6:D26"/>
    <mergeCell ref="E26:F26"/>
    <mergeCell ref="H26:J26"/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</mergeCells>
  <conditionalFormatting sqref="O19">
    <cfRule type="cellIs" dxfId="73" priority="4" operator="equal">
      <formula>"Above MAV"</formula>
    </cfRule>
    <cfRule type="cellIs" dxfId="72" priority="5" operator="equal">
      <formula>"ALERT"</formula>
    </cfRule>
  </conditionalFormatting>
  <conditionalFormatting sqref="O20">
    <cfRule type="cellIs" dxfId="71" priority="2" operator="equal">
      <formula>"Above MAV"</formula>
    </cfRule>
    <cfRule type="cellIs" dxfId="70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A10" zoomScale="85" zoomScaleNormal="110" zoomScaleSheetLayoutView="100" zoomScalePageLayoutView="85" workbookViewId="0">
      <selection activeCell="U1" sqref="U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2" width="3.28515625" style="1" customWidth="1"/>
    <col min="13" max="13" width="3.5703125" style="1" customWidth="1"/>
    <col min="14" max="14" width="1.140625" style="1" customWidth="1"/>
    <col min="15" max="15" width="18.7109375" style="1" customWidth="1"/>
    <col min="16" max="16" width="10.85546875" style="1" customWidth="1"/>
    <col min="17" max="23" width="10" style="1" customWidth="1"/>
    <col min="24" max="24" width="0.5703125" style="1" customWidth="1"/>
    <col min="25" max="16384" width="9.140625" style="1"/>
  </cols>
  <sheetData>
    <row r="1" spans="1:23" ht="23.25">
      <c r="B1" s="2" t="s">
        <v>0</v>
      </c>
      <c r="J1" s="13" t="str">
        <f>'R-CHE'!I1</f>
        <v>Rev10</v>
      </c>
      <c r="O1" s="2" t="s">
        <v>2</v>
      </c>
      <c r="W1" s="13" t="str">
        <f>'R-CHE'!I1</f>
        <v>Rev10</v>
      </c>
    </row>
    <row r="2" spans="1:23">
      <c r="J2" s="13"/>
      <c r="W2" s="13"/>
    </row>
    <row r="3" spans="1:23">
      <c r="B3" s="66" t="s">
        <v>3</v>
      </c>
      <c r="C3" s="129" t="s">
        <v>4</v>
      </c>
      <c r="D3" s="129"/>
      <c r="E3" s="129"/>
      <c r="F3" s="129"/>
      <c r="G3" s="8"/>
      <c r="H3" s="66" t="s">
        <v>5</v>
      </c>
      <c r="I3" s="132" t="s">
        <v>6</v>
      </c>
      <c r="J3" s="132"/>
      <c r="O3" s="1" t="str">
        <f>IF(ISBLANK(C3),"DEALER NAME",C3)</f>
        <v>Think Water Pukekohe</v>
      </c>
      <c r="S3" s="8"/>
      <c r="T3" s="8"/>
      <c r="U3" s="9" t="s">
        <v>5</v>
      </c>
      <c r="W3" s="57" t="str">
        <f>I3</f>
        <v>20230519SRT01</v>
      </c>
    </row>
    <row r="4" spans="1:23" ht="15.75">
      <c r="B4" s="66" t="s">
        <v>7</v>
      </c>
      <c r="C4" s="129" t="s">
        <v>8</v>
      </c>
      <c r="D4" s="129"/>
      <c r="E4" s="129"/>
      <c r="F4" s="129"/>
      <c r="G4" s="8"/>
      <c r="H4" s="66" t="s">
        <v>9</v>
      </c>
      <c r="I4" s="133">
        <v>45065</v>
      </c>
      <c r="J4" s="132"/>
      <c r="O4" s="3" t="str">
        <f>IF(ISBLANK(C4),"REFERENCE NAME",C4)</f>
        <v>Rens Bosman</v>
      </c>
      <c r="S4" s="8"/>
      <c r="T4" s="8"/>
      <c r="U4" s="9" t="s">
        <v>9</v>
      </c>
      <c r="W4" s="58">
        <f ca="1">TODAY()</f>
        <v>45086</v>
      </c>
    </row>
    <row r="5" spans="1:23">
      <c r="B5" s="66" t="s">
        <v>11</v>
      </c>
      <c r="C5" s="119" t="s">
        <v>12</v>
      </c>
      <c r="D5" s="119"/>
      <c r="E5" s="119"/>
      <c r="F5" s="119"/>
      <c r="G5" s="8"/>
      <c r="H5" s="66" t="s">
        <v>13</v>
      </c>
      <c r="I5" s="132" t="s">
        <v>107</v>
      </c>
      <c r="J5" s="132"/>
      <c r="O5" s="9" t="s">
        <v>11</v>
      </c>
      <c r="P5" s="57" t="str">
        <f>IF(ISBLANK(F5),"TBC",F5)</f>
        <v>TBC</v>
      </c>
      <c r="S5" s="8"/>
      <c r="T5" s="8"/>
      <c r="U5" s="9" t="s">
        <v>14</v>
      </c>
      <c r="W5" s="58">
        <f ca="1">TODAY()</f>
        <v>45086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 t="s">
        <v>108</v>
      </c>
      <c r="E7" s="8" t="s">
        <v>95</v>
      </c>
      <c r="F7" s="8" t="s">
        <v>96</v>
      </c>
      <c r="G7" s="8" t="s">
        <v>97</v>
      </c>
      <c r="H7" s="8" t="s">
        <v>98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15</v>
      </c>
      <c r="C8" s="68" t="s">
        <v>16</v>
      </c>
      <c r="D8" s="68"/>
      <c r="E8" s="68"/>
      <c r="F8" s="68"/>
      <c r="G8" s="68"/>
      <c r="H8" s="68"/>
      <c r="I8" s="68"/>
      <c r="K8" s="5"/>
      <c r="N8" s="4"/>
      <c r="O8" s="59" t="s">
        <v>15</v>
      </c>
      <c r="P8" s="60" t="s">
        <v>22</v>
      </c>
      <c r="Q8" s="60" t="s">
        <v>23</v>
      </c>
      <c r="R8" s="60" t="s">
        <v>95</v>
      </c>
      <c r="S8" s="60" t="s">
        <v>96</v>
      </c>
      <c r="T8" s="60" t="s">
        <v>97</v>
      </c>
      <c r="U8" s="60" t="s">
        <v>98</v>
      </c>
      <c r="V8" s="60" t="s">
        <v>109</v>
      </c>
      <c r="W8" s="60" t="s">
        <v>110</v>
      </c>
    </row>
    <row r="9" spans="1:23">
      <c r="A9" s="4"/>
      <c r="B9" s="10" t="s">
        <v>26</v>
      </c>
      <c r="C9" s="11" t="s">
        <v>27</v>
      </c>
      <c r="D9" s="14">
        <v>7.3</v>
      </c>
      <c r="E9" s="14">
        <v>7.5</v>
      </c>
      <c r="F9" s="14">
        <v>7.4</v>
      </c>
      <c r="G9" s="14">
        <v>7.4</v>
      </c>
      <c r="H9" s="14">
        <v>7</v>
      </c>
      <c r="I9" s="14"/>
      <c r="K9" s="5"/>
      <c r="N9" s="4"/>
      <c r="O9" s="10" t="s">
        <v>26</v>
      </c>
      <c r="P9" s="11" t="s">
        <v>27</v>
      </c>
      <c r="Q9" s="11" t="s">
        <v>28</v>
      </c>
      <c r="R9" s="14">
        <f>D9</f>
        <v>7.3</v>
      </c>
      <c r="S9" s="14">
        <f t="shared" ref="S9:W9" si="0">E9</f>
        <v>7.5</v>
      </c>
      <c r="T9" s="14">
        <f t="shared" si="0"/>
        <v>7.4</v>
      </c>
      <c r="U9" s="14">
        <f t="shared" si="0"/>
        <v>7.4</v>
      </c>
      <c r="V9" s="14">
        <f t="shared" si="0"/>
        <v>7</v>
      </c>
      <c r="W9" s="14">
        <f t="shared" si="0"/>
        <v>0</v>
      </c>
    </row>
    <row r="10" spans="1:23">
      <c r="A10" s="4"/>
      <c r="B10" s="10" t="s">
        <v>29</v>
      </c>
      <c r="C10" s="10" t="s">
        <v>30</v>
      </c>
      <c r="D10" s="15">
        <v>110</v>
      </c>
      <c r="E10" s="15">
        <v>110</v>
      </c>
      <c r="F10" s="15">
        <v>110</v>
      </c>
      <c r="G10" s="15">
        <v>115</v>
      </c>
      <c r="H10" s="15">
        <v>20</v>
      </c>
      <c r="I10" s="15"/>
      <c r="K10" s="5"/>
      <c r="N10" s="4"/>
      <c r="O10" s="10" t="s">
        <v>29</v>
      </c>
      <c r="P10" s="10" t="s">
        <v>30</v>
      </c>
      <c r="Q10" s="11" t="s">
        <v>27</v>
      </c>
      <c r="R10" s="15">
        <f>IF(D10&lt;5,"&lt;5",D10)</f>
        <v>110</v>
      </c>
      <c r="S10" s="15">
        <f t="shared" ref="S10:W13" si="1">IF(E10&lt;5,"&lt;5",E10)</f>
        <v>110</v>
      </c>
      <c r="T10" s="15">
        <f t="shared" si="1"/>
        <v>110</v>
      </c>
      <c r="U10" s="15">
        <f t="shared" si="1"/>
        <v>115</v>
      </c>
      <c r="V10" s="15">
        <f t="shared" si="1"/>
        <v>20</v>
      </c>
      <c r="W10" s="15" t="str">
        <f t="shared" si="1"/>
        <v>&lt;5</v>
      </c>
    </row>
    <row r="11" spans="1:23">
      <c r="A11" s="4"/>
      <c r="B11" s="10" t="s">
        <v>31</v>
      </c>
      <c r="C11" s="10" t="s">
        <v>30</v>
      </c>
      <c r="D11" s="15">
        <v>80</v>
      </c>
      <c r="E11" s="15">
        <v>85</v>
      </c>
      <c r="F11" s="15">
        <v>85</v>
      </c>
      <c r="G11" s="15">
        <v>15</v>
      </c>
      <c r="H11" s="15">
        <v>0</v>
      </c>
      <c r="I11" s="15"/>
      <c r="K11" s="5"/>
      <c r="N11" s="4"/>
      <c r="O11" s="10" t="s">
        <v>31</v>
      </c>
      <c r="P11" s="10" t="s">
        <v>30</v>
      </c>
      <c r="Q11" s="11" t="s">
        <v>32</v>
      </c>
      <c r="R11" s="15">
        <f>IF(D11&lt;5,"&lt;5",D11)</f>
        <v>80</v>
      </c>
      <c r="S11" s="15">
        <f t="shared" si="1"/>
        <v>85</v>
      </c>
      <c r="T11" s="15">
        <f t="shared" si="1"/>
        <v>85</v>
      </c>
      <c r="U11" s="15">
        <f t="shared" si="1"/>
        <v>15</v>
      </c>
      <c r="V11" s="15" t="str">
        <f t="shared" si="1"/>
        <v>&lt;5</v>
      </c>
      <c r="W11" s="15" t="str">
        <f t="shared" si="1"/>
        <v>&lt;5</v>
      </c>
    </row>
    <row r="12" spans="1:23">
      <c r="A12" s="4"/>
      <c r="B12" s="10" t="s">
        <v>33</v>
      </c>
      <c r="C12" s="10" t="s">
        <v>30</v>
      </c>
      <c r="D12" s="15"/>
      <c r="E12" s="15"/>
      <c r="F12" s="15"/>
      <c r="G12" s="15"/>
      <c r="H12" s="15"/>
      <c r="I12" s="15"/>
      <c r="K12" s="5"/>
      <c r="N12" s="4"/>
      <c r="O12" s="10" t="s">
        <v>33</v>
      </c>
      <c r="P12" s="10" t="s">
        <v>30</v>
      </c>
      <c r="Q12" s="11" t="s">
        <v>27</v>
      </c>
      <c r="R12" s="15" t="str">
        <f>IF(D12&lt;5,"&lt;5",D12)</f>
        <v>&lt;5</v>
      </c>
      <c r="S12" s="15" t="str">
        <f t="shared" si="1"/>
        <v>&lt;5</v>
      </c>
      <c r="T12" s="15" t="str">
        <f t="shared" si="1"/>
        <v>&lt;5</v>
      </c>
      <c r="U12" s="15" t="str">
        <f t="shared" si="1"/>
        <v>&lt;5</v>
      </c>
      <c r="V12" s="15" t="str">
        <f t="shared" si="1"/>
        <v>&lt;5</v>
      </c>
      <c r="W12" s="15" t="str">
        <f t="shared" si="1"/>
        <v>&lt;5</v>
      </c>
    </row>
    <row r="13" spans="1:23">
      <c r="A13" s="4"/>
      <c r="B13" s="10" t="s">
        <v>34</v>
      </c>
      <c r="C13" s="10" t="s">
        <v>30</v>
      </c>
      <c r="D13" s="75">
        <f t="shared" ref="D13:I13" si="2">D11-D12</f>
        <v>80</v>
      </c>
      <c r="E13" s="75">
        <f t="shared" si="2"/>
        <v>85</v>
      </c>
      <c r="F13" s="75">
        <f t="shared" si="2"/>
        <v>85</v>
      </c>
      <c r="G13" s="75">
        <f t="shared" si="2"/>
        <v>15</v>
      </c>
      <c r="H13" s="75">
        <f t="shared" si="2"/>
        <v>0</v>
      </c>
      <c r="I13" s="75">
        <f t="shared" si="2"/>
        <v>0</v>
      </c>
      <c r="K13" s="5"/>
      <c r="N13" s="4"/>
      <c r="O13" s="10" t="s">
        <v>34</v>
      </c>
      <c r="P13" s="10" t="s">
        <v>30</v>
      </c>
      <c r="Q13" s="11" t="s">
        <v>27</v>
      </c>
      <c r="R13" s="11">
        <f>IF(D13&lt;5,"&lt;5",D13)</f>
        <v>80</v>
      </c>
      <c r="S13" s="11">
        <f t="shared" si="1"/>
        <v>85</v>
      </c>
      <c r="T13" s="11">
        <f t="shared" si="1"/>
        <v>85</v>
      </c>
      <c r="U13" s="11">
        <f t="shared" si="1"/>
        <v>15</v>
      </c>
      <c r="V13" s="11" t="str">
        <f t="shared" si="1"/>
        <v>&lt;5</v>
      </c>
      <c r="W13" s="11" t="str">
        <f t="shared" si="1"/>
        <v>&lt;5</v>
      </c>
    </row>
    <row r="14" spans="1:23">
      <c r="A14" s="4"/>
      <c r="B14" s="10" t="s">
        <v>36</v>
      </c>
      <c r="C14" s="10" t="s">
        <v>37</v>
      </c>
      <c r="D14" s="75">
        <f t="shared" ref="D14:I14" si="3">2*(IF(D10&lt;5,5,D10)-(5*10^(D9-10)))/(1+(0.94*10^(D9-10)))*10^(6-D9)</f>
        <v>11.004479725529334</v>
      </c>
      <c r="E14" s="75">
        <f t="shared" si="3"/>
        <v>6.9353951060625896</v>
      </c>
      <c r="F14" s="75">
        <f t="shared" si="3"/>
        <v>8.7367288218285974</v>
      </c>
      <c r="G14" s="75">
        <f t="shared" si="3"/>
        <v>9.1338982066566601</v>
      </c>
      <c r="H14" s="75">
        <f t="shared" si="3"/>
        <v>3.9952444701980143</v>
      </c>
      <c r="I14" s="75">
        <f t="shared" si="3"/>
        <v>9999999.9980600011</v>
      </c>
      <c r="K14" s="5"/>
      <c r="N14" s="4"/>
      <c r="O14" s="10" t="s">
        <v>36</v>
      </c>
      <c r="P14" s="10" t="s">
        <v>37</v>
      </c>
      <c r="Q14" s="11" t="s">
        <v>27</v>
      </c>
      <c r="R14" s="15">
        <f>IF(D14&lt;1,"&lt;1",D14)</f>
        <v>11.004479725529334</v>
      </c>
      <c r="S14" s="15">
        <f t="shared" ref="S14:W14" si="4">IF(E14&lt;1,"&lt;1",E14)</f>
        <v>6.9353951060625896</v>
      </c>
      <c r="T14" s="15">
        <f t="shared" si="4"/>
        <v>8.7367288218285974</v>
      </c>
      <c r="U14" s="15">
        <f t="shared" si="4"/>
        <v>9.1338982066566601</v>
      </c>
      <c r="V14" s="15">
        <f t="shared" si="4"/>
        <v>3.9952444701980143</v>
      </c>
      <c r="W14" s="15">
        <f t="shared" si="4"/>
        <v>9999999.9980600011</v>
      </c>
    </row>
    <row r="15" spans="1:23">
      <c r="A15" s="4"/>
      <c r="B15" s="10" t="s">
        <v>38</v>
      </c>
      <c r="C15" s="11" t="s">
        <v>27</v>
      </c>
      <c r="D15" s="76">
        <f>+D9+0.5+VLOOKUP(IF(D10&lt;5,5,D10),[2]LSI!$F$2:$G$25,2)+VLOOKUP(IF(D11&lt;5,5,D11),[2]LSI!$H$2:$I$25,2)-12.1</f>
        <v>-0.79999999999999893</v>
      </c>
      <c r="E15" s="76">
        <f>+E9+0.5+VLOOKUP(IF(E10&lt;5,5,E10),[2]LSI!$F$2:$G$25,2)+VLOOKUP(IF(E11&lt;5,5,E11),[2]LSI!$H$2:$I$25,2)-12.1</f>
        <v>-0.59999999999999964</v>
      </c>
      <c r="F15" s="76">
        <f>+F9+0.5+VLOOKUP(IF(F10&lt;5,5,F10),[2]LSI!$F$2:$G$25,2)+VLOOKUP(IF(F11&lt;5,5,F11),[2]LSI!$H$2:$I$25,2)-12.1</f>
        <v>-0.69999999999999929</v>
      </c>
      <c r="G15" s="76">
        <f>+G9+0.5+VLOOKUP(IF(G10&lt;5,5,G10),[2]LSI!$F$2:$G$25,2)+VLOOKUP(IF(G11&lt;5,5,G11),[2]LSI!$H$2:$I$25,2)-12.1</f>
        <v>-1.5999999999999996</v>
      </c>
      <c r="H15" s="76">
        <f>+H9+0.5+VLOOKUP(IF(H10&lt;5,5,H10),[2]LSI!$F$2:$G$25,2)+VLOOKUP(IF(H11&lt;5,5,H11),[2]LSI!$H$2:$I$25,2)-12.1</f>
        <v>-3.0999999999999996</v>
      </c>
      <c r="I15" s="76">
        <f>+I9+0.5+VLOOKUP(IF(I10&lt;5,5,I10),[2]LSI!$F$2:$G$25,2)+VLOOKUP(IF(I11&lt;5,5,I11),[2]LSI!$H$2:$I$25,2)-12.1</f>
        <v>-10.6</v>
      </c>
      <c r="K15" s="5"/>
      <c r="N15" s="4"/>
      <c r="O15" s="10" t="s">
        <v>38</v>
      </c>
      <c r="P15" s="11" t="s">
        <v>27</v>
      </c>
      <c r="Q15" s="11" t="s">
        <v>27</v>
      </c>
      <c r="R15" s="14">
        <f>D15</f>
        <v>-0.79999999999999893</v>
      </c>
      <c r="S15" s="14">
        <f t="shared" ref="S15:W15" si="5">E15</f>
        <v>-0.59999999999999964</v>
      </c>
      <c r="T15" s="14">
        <f t="shared" si="5"/>
        <v>-0.69999999999999929</v>
      </c>
      <c r="U15" s="14">
        <f t="shared" si="5"/>
        <v>-1.5999999999999996</v>
      </c>
      <c r="V15" s="14">
        <f t="shared" si="5"/>
        <v>-3.0999999999999996</v>
      </c>
      <c r="W15" s="14">
        <f t="shared" si="5"/>
        <v>-10.6</v>
      </c>
    </row>
    <row r="16" spans="1:23">
      <c r="A16" s="4"/>
      <c r="B16" s="10" t="s">
        <v>40</v>
      </c>
      <c r="C16" s="10" t="s">
        <v>41</v>
      </c>
      <c r="D16" s="15"/>
      <c r="E16" s="15"/>
      <c r="F16" s="15"/>
      <c r="G16" s="15"/>
      <c r="H16" s="15"/>
      <c r="I16" s="15"/>
      <c r="K16" s="5"/>
      <c r="N16" s="4"/>
      <c r="O16" s="10" t="s">
        <v>40</v>
      </c>
      <c r="P16" s="10" t="s">
        <v>41</v>
      </c>
      <c r="Q16" s="11" t="s">
        <v>27</v>
      </c>
      <c r="R16" s="15" t="str">
        <f>IF(D16&lt;5,"&lt;5",D16)</f>
        <v>&lt;5</v>
      </c>
      <c r="S16" s="15" t="str">
        <f t="shared" ref="S16:W16" si="6">IF(E16&lt;5,"&lt;5",E16)</f>
        <v>&lt;5</v>
      </c>
      <c r="T16" s="15" t="str">
        <f t="shared" si="6"/>
        <v>&lt;5</v>
      </c>
      <c r="U16" s="15" t="str">
        <f t="shared" si="6"/>
        <v>&lt;5</v>
      </c>
      <c r="V16" s="15" t="str">
        <f t="shared" si="6"/>
        <v>&lt;5</v>
      </c>
      <c r="W16" s="15" t="str">
        <f t="shared" si="6"/>
        <v>&lt;5</v>
      </c>
    </row>
    <row r="17" spans="1:23" ht="15">
      <c r="A17" s="4"/>
      <c r="B17" s="10" t="s">
        <v>42</v>
      </c>
      <c r="C17" s="10" t="s">
        <v>43</v>
      </c>
      <c r="D17" s="15"/>
      <c r="E17" s="15"/>
      <c r="F17" s="15"/>
      <c r="G17" s="15"/>
      <c r="H17" s="15"/>
      <c r="I17" s="15"/>
      <c r="K17" s="5"/>
      <c r="N17" s="4"/>
      <c r="O17" s="10" t="s">
        <v>42</v>
      </c>
      <c r="P17" s="10" t="s">
        <v>43</v>
      </c>
      <c r="Q17" s="11" t="s">
        <v>27</v>
      </c>
      <c r="R17" s="15" t="str">
        <f>IF(D17&lt;1,"&lt;1",D17)</f>
        <v>&lt;1</v>
      </c>
      <c r="S17" s="15" t="str">
        <f t="shared" ref="S17:W17" si="7">IF(E17&lt;1,"&lt;1",E17)</f>
        <v>&lt;1</v>
      </c>
      <c r="T17" s="15" t="str">
        <f t="shared" si="7"/>
        <v>&lt;1</v>
      </c>
      <c r="U17" s="15" t="str">
        <f t="shared" si="7"/>
        <v>&lt;1</v>
      </c>
      <c r="V17" s="15" t="str">
        <f t="shared" si="7"/>
        <v>&lt;1</v>
      </c>
      <c r="W17" s="15" t="str">
        <f t="shared" si="7"/>
        <v>&lt;1</v>
      </c>
    </row>
    <row r="18" spans="1:23">
      <c r="A18" s="4"/>
      <c r="B18" s="10" t="s">
        <v>44</v>
      </c>
      <c r="C18" s="10" t="s">
        <v>45</v>
      </c>
      <c r="D18" s="11">
        <v>1.1200000000000001</v>
      </c>
      <c r="E18" s="11">
        <v>3.3</v>
      </c>
      <c r="F18" s="11">
        <v>1.24</v>
      </c>
      <c r="G18" s="11">
        <v>1.2</v>
      </c>
      <c r="H18" s="11">
        <v>0.26</v>
      </c>
      <c r="I18" s="11"/>
      <c r="K18" s="5"/>
      <c r="N18" s="4"/>
      <c r="O18" s="10" t="s">
        <v>44</v>
      </c>
      <c r="P18" s="10" t="s">
        <v>45</v>
      </c>
      <c r="Q18" s="11" t="s">
        <v>47</v>
      </c>
      <c r="R18" s="11">
        <f>IF(D18&lt;0.01,"&lt;0.01",D18)</f>
        <v>1.1200000000000001</v>
      </c>
      <c r="S18" s="11">
        <f t="shared" ref="S18:W21" si="8">IF(E18&lt;0.01,"&lt;0.01",E18)</f>
        <v>3.3</v>
      </c>
      <c r="T18" s="11">
        <f t="shared" si="8"/>
        <v>1.24</v>
      </c>
      <c r="U18" s="11">
        <f t="shared" si="8"/>
        <v>1.2</v>
      </c>
      <c r="V18" s="11">
        <f t="shared" si="8"/>
        <v>0.26</v>
      </c>
      <c r="W18" s="11" t="str">
        <f t="shared" si="8"/>
        <v>&lt;0.01</v>
      </c>
    </row>
    <row r="19" spans="1:23">
      <c r="A19" s="4"/>
      <c r="B19" s="10" t="s">
        <v>48</v>
      </c>
      <c r="C19" s="10" t="s">
        <v>45</v>
      </c>
      <c r="D19" s="11">
        <v>0.01</v>
      </c>
      <c r="E19" s="11" t="s">
        <v>100</v>
      </c>
      <c r="F19" s="11">
        <v>0.01</v>
      </c>
      <c r="G19" s="11" t="s">
        <v>100</v>
      </c>
      <c r="H19" s="11" t="s">
        <v>100</v>
      </c>
      <c r="I19" s="11"/>
      <c r="K19" s="5"/>
      <c r="N19" s="4"/>
      <c r="O19" s="10" t="s">
        <v>48</v>
      </c>
      <c r="P19" s="10" t="s">
        <v>45</v>
      </c>
      <c r="Q19" s="11" t="s">
        <v>49</v>
      </c>
      <c r="R19" s="11">
        <f>IF(D19&lt;0.01,"&lt;0.01",D19)</f>
        <v>0.01</v>
      </c>
      <c r="S19" s="11" t="str">
        <f t="shared" si="8"/>
        <v>&lt;0.01</v>
      </c>
      <c r="T19" s="11">
        <f t="shared" si="8"/>
        <v>0.01</v>
      </c>
      <c r="U19" s="11" t="str">
        <f t="shared" si="8"/>
        <v>&lt;0.01</v>
      </c>
      <c r="V19" s="11" t="str">
        <f t="shared" si="8"/>
        <v>&lt;0.01</v>
      </c>
      <c r="W19" s="11" t="str">
        <f t="shared" si="8"/>
        <v>&lt;0.01</v>
      </c>
    </row>
    <row r="20" spans="1:23">
      <c r="A20" s="4"/>
      <c r="B20" s="10" t="s">
        <v>51</v>
      </c>
      <c r="C20" s="10" t="s">
        <v>45</v>
      </c>
      <c r="D20" s="11"/>
      <c r="E20" s="11"/>
      <c r="F20" s="11"/>
      <c r="G20" s="11"/>
      <c r="H20" s="11"/>
      <c r="I20" s="11"/>
      <c r="K20" s="5"/>
      <c r="N20" s="4"/>
      <c r="O20" s="10" t="s">
        <v>51</v>
      </c>
      <c r="P20" s="10" t="s">
        <v>45</v>
      </c>
      <c r="Q20" s="11" t="s">
        <v>52</v>
      </c>
      <c r="R20" s="11" t="str">
        <f>IF(D20&lt;0.01,"&lt;0.01",D20)</f>
        <v>&lt;0.01</v>
      </c>
      <c r="S20" s="11" t="str">
        <f t="shared" si="8"/>
        <v>&lt;0.01</v>
      </c>
      <c r="T20" s="11" t="str">
        <f t="shared" si="8"/>
        <v>&lt;0.01</v>
      </c>
      <c r="U20" s="11" t="str">
        <f t="shared" si="8"/>
        <v>&lt;0.01</v>
      </c>
      <c r="V20" s="11" t="str">
        <f t="shared" si="8"/>
        <v>&lt;0.01</v>
      </c>
      <c r="W20" s="11" t="str">
        <f t="shared" si="8"/>
        <v>&lt;0.01</v>
      </c>
    </row>
    <row r="21" spans="1:23">
      <c r="A21" s="4"/>
      <c r="B21" s="10" t="s">
        <v>53</v>
      </c>
      <c r="C21" s="10" t="s">
        <v>45</v>
      </c>
      <c r="D21" s="11"/>
      <c r="E21" s="11"/>
      <c r="F21" s="11"/>
      <c r="G21" s="11"/>
      <c r="H21" s="11"/>
      <c r="I21" s="11"/>
      <c r="K21" s="5"/>
      <c r="N21" s="4"/>
      <c r="O21" s="10" t="s">
        <v>53</v>
      </c>
      <c r="P21" s="10" t="s">
        <v>45</v>
      </c>
      <c r="Q21" s="11" t="s">
        <v>54</v>
      </c>
      <c r="R21" s="11" t="str">
        <f>IF(D21&lt;0.01,"&lt;0.01",D21)</f>
        <v>&lt;0.01</v>
      </c>
      <c r="S21" s="11" t="str">
        <f t="shared" si="8"/>
        <v>&lt;0.01</v>
      </c>
      <c r="T21" s="11" t="str">
        <f t="shared" si="8"/>
        <v>&lt;0.01</v>
      </c>
      <c r="U21" s="11" t="str">
        <f t="shared" si="8"/>
        <v>&lt;0.01</v>
      </c>
      <c r="V21" s="11" t="str">
        <f t="shared" si="8"/>
        <v>&lt;0.01</v>
      </c>
      <c r="W21" s="11" t="str">
        <f t="shared" si="8"/>
        <v>&lt;0.01</v>
      </c>
    </row>
    <row r="22" spans="1:23">
      <c r="A22" s="4"/>
      <c r="B22" s="10" t="s">
        <v>55</v>
      </c>
      <c r="C22" s="10" t="s">
        <v>45</v>
      </c>
      <c r="D22" s="11">
        <v>200</v>
      </c>
      <c r="E22" s="11">
        <v>190</v>
      </c>
      <c r="F22" s="11">
        <v>200</v>
      </c>
      <c r="G22" s="11">
        <v>190</v>
      </c>
      <c r="H22" s="11">
        <v>230</v>
      </c>
      <c r="I22" s="11"/>
      <c r="K22" s="5"/>
      <c r="N22" s="4" t="s">
        <v>111</v>
      </c>
      <c r="O22" s="10" t="s">
        <v>55</v>
      </c>
      <c r="P22" s="10" t="s">
        <v>45</v>
      </c>
      <c r="Q22" s="11" t="s">
        <v>56</v>
      </c>
      <c r="R22" s="11">
        <f>IF(D22&lt;10,"&lt;10",D22)</f>
        <v>200</v>
      </c>
      <c r="S22" s="11">
        <f t="shared" ref="S22:W22" si="9">IF(E22&lt;10,"&lt;10",E22)</f>
        <v>190</v>
      </c>
      <c r="T22" s="11">
        <f t="shared" si="9"/>
        <v>200</v>
      </c>
      <c r="U22" s="11">
        <f t="shared" si="9"/>
        <v>190</v>
      </c>
      <c r="V22" s="11">
        <f t="shared" si="9"/>
        <v>230</v>
      </c>
      <c r="W22" s="11" t="str">
        <f t="shared" si="9"/>
        <v>&lt;10</v>
      </c>
    </row>
    <row r="23" spans="1:23">
      <c r="A23" s="4"/>
      <c r="B23" s="10" t="s">
        <v>57</v>
      </c>
      <c r="C23" s="10" t="s">
        <v>45</v>
      </c>
      <c r="D23" s="15">
        <v>23</v>
      </c>
      <c r="E23" s="15">
        <v>21</v>
      </c>
      <c r="F23" s="15">
        <v>20</v>
      </c>
      <c r="G23" s="15">
        <v>12</v>
      </c>
      <c r="H23" s="15">
        <v>99</v>
      </c>
      <c r="I23" s="15"/>
      <c r="K23" s="5"/>
      <c r="N23" s="4"/>
      <c r="O23" s="10" t="s">
        <v>57</v>
      </c>
      <c r="P23" s="10" t="s">
        <v>45</v>
      </c>
      <c r="Q23" s="11" t="s">
        <v>58</v>
      </c>
      <c r="R23" s="15">
        <f>IF(D23&lt;1,"&lt;1",D23)</f>
        <v>23</v>
      </c>
      <c r="S23" s="15">
        <f t="shared" ref="S23:W24" si="10">IF(E23&lt;1,"&lt;1",E23)</f>
        <v>21</v>
      </c>
      <c r="T23" s="15">
        <f t="shared" si="10"/>
        <v>20</v>
      </c>
      <c r="U23" s="15">
        <f t="shared" si="10"/>
        <v>12</v>
      </c>
      <c r="V23" s="15">
        <f t="shared" si="10"/>
        <v>99</v>
      </c>
      <c r="W23" s="15" t="str">
        <f t="shared" si="10"/>
        <v>&lt;1</v>
      </c>
    </row>
    <row r="24" spans="1:23">
      <c r="A24" s="4"/>
      <c r="B24" s="10" t="s">
        <v>59</v>
      </c>
      <c r="C24" s="10" t="s">
        <v>45</v>
      </c>
      <c r="D24" s="15">
        <v>31</v>
      </c>
      <c r="E24" s="15">
        <v>62</v>
      </c>
      <c r="F24" s="15">
        <v>31</v>
      </c>
      <c r="G24" s="15">
        <v>73</v>
      </c>
      <c r="H24" s="15">
        <v>88</v>
      </c>
      <c r="I24" s="15"/>
      <c r="K24" s="5"/>
      <c r="N24" s="4"/>
      <c r="O24" s="10" t="s">
        <v>59</v>
      </c>
      <c r="P24" s="10" t="s">
        <v>45</v>
      </c>
      <c r="Q24" s="11" t="s">
        <v>32</v>
      </c>
      <c r="R24" s="15">
        <f>IF(D24&lt;1,"&lt;1",D24)</f>
        <v>31</v>
      </c>
      <c r="S24" s="15">
        <f t="shared" si="10"/>
        <v>62</v>
      </c>
      <c r="T24" s="15">
        <f t="shared" si="10"/>
        <v>31</v>
      </c>
      <c r="U24" s="15">
        <f t="shared" si="10"/>
        <v>73</v>
      </c>
      <c r="V24" s="15">
        <f t="shared" si="10"/>
        <v>88</v>
      </c>
      <c r="W24" s="15" t="str">
        <f t="shared" si="10"/>
        <v>&lt;1</v>
      </c>
    </row>
    <row r="25" spans="1:23" hidden="1">
      <c r="A25" s="4"/>
      <c r="B25" s="10" t="s">
        <v>60</v>
      </c>
      <c r="C25" s="10" t="s">
        <v>61</v>
      </c>
      <c r="D25" s="15"/>
      <c r="E25" s="15"/>
      <c r="F25" s="15"/>
      <c r="G25" s="15"/>
      <c r="H25" s="15"/>
      <c r="I25" s="15"/>
      <c r="K25" s="5"/>
      <c r="N25" s="4"/>
      <c r="O25" s="10" t="s">
        <v>60</v>
      </c>
      <c r="P25" s="10" t="s">
        <v>61</v>
      </c>
      <c r="Q25" s="11" t="s">
        <v>27</v>
      </c>
      <c r="R25" s="14" t="str">
        <f>IF(H25&lt;5,"&lt;5")</f>
        <v>&lt;5</v>
      </c>
      <c r="S25" s="14" t="str">
        <f t="shared" ref="S25:W25" si="11">IF(I25&lt;5,"&lt;5")</f>
        <v>&lt;5</v>
      </c>
      <c r="T25" s="14" t="str">
        <f t="shared" si="11"/>
        <v>&lt;5</v>
      </c>
      <c r="U25" s="14" t="str">
        <f t="shared" si="11"/>
        <v>&lt;5</v>
      </c>
      <c r="V25" s="14" t="str">
        <f t="shared" si="11"/>
        <v>&lt;5</v>
      </c>
      <c r="W25" s="14" t="str">
        <f t="shared" si="11"/>
        <v>&lt;5</v>
      </c>
    </row>
    <row r="26" spans="1:23">
      <c r="A26" s="4"/>
      <c r="B26" s="10" t="s">
        <v>60</v>
      </c>
      <c r="C26" s="10" t="s">
        <v>62</v>
      </c>
      <c r="D26" s="15">
        <v>278</v>
      </c>
      <c r="E26" s="15">
        <v>272</v>
      </c>
      <c r="F26" s="15">
        <v>275</v>
      </c>
      <c r="G26" s="15">
        <v>274</v>
      </c>
      <c r="H26" s="15">
        <v>328</v>
      </c>
      <c r="I26" s="15"/>
      <c r="K26" s="5"/>
      <c r="N26" s="4"/>
      <c r="O26" s="10" t="s">
        <v>60</v>
      </c>
      <c r="P26" s="10" t="s">
        <v>62</v>
      </c>
      <c r="Q26" s="11" t="s">
        <v>27</v>
      </c>
      <c r="R26" s="14">
        <f>D26</f>
        <v>278</v>
      </c>
      <c r="S26" s="14">
        <f t="shared" ref="S26:W26" si="12">E26</f>
        <v>272</v>
      </c>
      <c r="T26" s="14">
        <f t="shared" si="12"/>
        <v>275</v>
      </c>
      <c r="U26" s="14">
        <f t="shared" si="12"/>
        <v>274</v>
      </c>
      <c r="V26" s="14">
        <f t="shared" si="12"/>
        <v>328</v>
      </c>
      <c r="W26" s="14">
        <f t="shared" si="12"/>
        <v>0</v>
      </c>
    </row>
    <row r="27" spans="1:23">
      <c r="A27" s="4"/>
      <c r="B27" s="10" t="s">
        <v>63</v>
      </c>
      <c r="C27" s="10" t="s">
        <v>64</v>
      </c>
      <c r="D27" s="11">
        <v>21.15</v>
      </c>
      <c r="E27" s="11">
        <v>56</v>
      </c>
      <c r="F27" s="11">
        <v>26.97</v>
      </c>
      <c r="G27" s="11">
        <v>25.19</v>
      </c>
      <c r="H27" s="11">
        <v>4.91</v>
      </c>
      <c r="I27" s="11"/>
      <c r="K27" s="5"/>
      <c r="N27" s="4"/>
      <c r="O27" s="10" t="s">
        <v>63</v>
      </c>
      <c r="P27" s="10" t="s">
        <v>64</v>
      </c>
      <c r="Q27" s="11" t="s">
        <v>65</v>
      </c>
      <c r="R27" s="14">
        <f>IF(D27&lt;0.05,"&lt;0.05",D27)</f>
        <v>21.15</v>
      </c>
      <c r="S27" s="14">
        <f t="shared" ref="S27:W27" si="13">IF(E27&lt;0.05,"&lt;0.05",E27)</f>
        <v>56</v>
      </c>
      <c r="T27" s="14">
        <f t="shared" si="13"/>
        <v>26.97</v>
      </c>
      <c r="U27" s="14">
        <f t="shared" si="13"/>
        <v>25.19</v>
      </c>
      <c r="V27" s="14">
        <f t="shared" si="13"/>
        <v>4.91</v>
      </c>
      <c r="W27" s="14" t="str">
        <f t="shared" si="13"/>
        <v>&lt;0.05</v>
      </c>
    </row>
    <row r="28" spans="1:23">
      <c r="A28" s="4"/>
      <c r="B28" s="10" t="s">
        <v>67</v>
      </c>
      <c r="C28" s="10" t="s">
        <v>68</v>
      </c>
      <c r="D28" s="15" t="s">
        <v>69</v>
      </c>
      <c r="E28" s="15" t="s">
        <v>69</v>
      </c>
      <c r="F28" s="15" t="s">
        <v>69</v>
      </c>
      <c r="G28" s="15" t="s">
        <v>69</v>
      </c>
      <c r="H28" s="15" t="s">
        <v>69</v>
      </c>
      <c r="I28" s="15"/>
      <c r="K28" s="5"/>
      <c r="N28" s="4"/>
      <c r="O28" s="10" t="s">
        <v>67</v>
      </c>
      <c r="P28" s="10" t="s">
        <v>68</v>
      </c>
      <c r="Q28" s="11" t="s">
        <v>27</v>
      </c>
      <c r="R28" s="15" t="str">
        <f>IF(D28&lt;5,"&lt;5",D28)</f>
        <v>&lt;5</v>
      </c>
      <c r="S28" s="15" t="str">
        <f t="shared" ref="S28:W29" si="14">IF(E28&lt;5,"&lt;5",E28)</f>
        <v>&lt;5</v>
      </c>
      <c r="T28" s="15" t="str">
        <f t="shared" si="14"/>
        <v>&lt;5</v>
      </c>
      <c r="U28" s="15" t="str">
        <f t="shared" si="14"/>
        <v>&lt;5</v>
      </c>
      <c r="V28" s="15" t="str">
        <f t="shared" si="14"/>
        <v>&lt;5</v>
      </c>
      <c r="W28" s="15" t="str">
        <f t="shared" si="14"/>
        <v>&lt;5</v>
      </c>
    </row>
    <row r="29" spans="1:23" ht="15" thickBot="1">
      <c r="A29" s="4"/>
      <c r="B29" s="10" t="s">
        <v>72</v>
      </c>
      <c r="C29" s="10" t="s">
        <v>73</v>
      </c>
      <c r="D29" s="14">
        <v>91.4</v>
      </c>
      <c r="E29" s="14">
        <v>83.4</v>
      </c>
      <c r="F29" s="14">
        <v>90.1</v>
      </c>
      <c r="G29" s="14">
        <v>73</v>
      </c>
      <c r="H29" s="14">
        <v>97</v>
      </c>
      <c r="I29" s="14"/>
      <c r="K29" s="5"/>
      <c r="N29" s="4"/>
      <c r="O29" s="99" t="s">
        <v>72</v>
      </c>
      <c r="P29" s="99" t="s">
        <v>73</v>
      </c>
      <c r="Q29" s="100" t="s">
        <v>27</v>
      </c>
      <c r="R29" s="101">
        <f>IF(D29&lt;5,"&lt;5",D29)</f>
        <v>91.4</v>
      </c>
      <c r="S29" s="101">
        <f t="shared" si="14"/>
        <v>83.4</v>
      </c>
      <c r="T29" s="101">
        <f t="shared" si="14"/>
        <v>90.1</v>
      </c>
      <c r="U29" s="101">
        <f t="shared" si="14"/>
        <v>73</v>
      </c>
      <c r="V29" s="101">
        <f t="shared" si="14"/>
        <v>97</v>
      </c>
      <c r="W29" s="101" t="str">
        <f t="shared" si="14"/>
        <v>&lt;5</v>
      </c>
    </row>
    <row r="30" spans="1:23" ht="15" thickTop="1">
      <c r="A30" s="4"/>
      <c r="B30" s="10" t="s">
        <v>112</v>
      </c>
      <c r="C30" s="10" t="s">
        <v>113</v>
      </c>
      <c r="D30" s="11" t="s">
        <v>27</v>
      </c>
      <c r="E30" s="11" t="s">
        <v>27</v>
      </c>
      <c r="F30" s="11" t="s">
        <v>27</v>
      </c>
      <c r="G30" s="11" t="s">
        <v>27</v>
      </c>
      <c r="H30" s="11" t="s">
        <v>27</v>
      </c>
      <c r="I30" s="11" t="s">
        <v>27</v>
      </c>
      <c r="K30" s="5"/>
      <c r="N30" s="4"/>
      <c r="O30" s="98" t="s">
        <v>112</v>
      </c>
      <c r="P30" s="98" t="s">
        <v>113</v>
      </c>
      <c r="Q30" s="98" t="str">
        <f>IF(ISBLANK(D30)," ",D30)</f>
        <v>-</v>
      </c>
      <c r="R30" s="98" t="str">
        <f t="shared" ref="R30:W33" si="15">IF(ISBLANK(E30)," ",E30)</f>
        <v>-</v>
      </c>
      <c r="S30" s="98" t="str">
        <f t="shared" si="15"/>
        <v>-</v>
      </c>
      <c r="T30" s="98" t="str">
        <f t="shared" si="15"/>
        <v>-</v>
      </c>
      <c r="U30" s="98" t="str">
        <f t="shared" si="15"/>
        <v>-</v>
      </c>
      <c r="V30" s="98" t="str">
        <f t="shared" si="15"/>
        <v>-</v>
      </c>
      <c r="W30" s="98" t="str">
        <f t="shared" si="15"/>
        <v xml:space="preserve"> </v>
      </c>
    </row>
    <row r="31" spans="1:23">
      <c r="A31" s="4"/>
      <c r="B31" s="10" t="s">
        <v>114</v>
      </c>
      <c r="C31" s="10" t="s">
        <v>113</v>
      </c>
      <c r="D31" s="11" t="s">
        <v>27</v>
      </c>
      <c r="E31" s="11" t="s">
        <v>27</v>
      </c>
      <c r="F31" s="11" t="s">
        <v>27</v>
      </c>
      <c r="G31" s="11" t="s">
        <v>27</v>
      </c>
      <c r="H31" s="11" t="s">
        <v>27</v>
      </c>
      <c r="I31" s="11" t="s">
        <v>27</v>
      </c>
      <c r="K31" s="5"/>
      <c r="N31" s="4"/>
      <c r="O31" s="10" t="s">
        <v>114</v>
      </c>
      <c r="P31" s="10" t="s">
        <v>113</v>
      </c>
      <c r="Q31" s="10" t="str">
        <f t="shared" ref="Q31:Q33" si="16">IF(ISBLANK(D31)," ",D31)</f>
        <v>-</v>
      </c>
      <c r="R31" s="10" t="str">
        <f t="shared" si="15"/>
        <v>-</v>
      </c>
      <c r="S31" s="10" t="str">
        <f t="shared" si="15"/>
        <v>-</v>
      </c>
      <c r="T31" s="10" t="str">
        <f t="shared" si="15"/>
        <v>-</v>
      </c>
      <c r="U31" s="10" t="str">
        <f t="shared" si="15"/>
        <v>-</v>
      </c>
      <c r="V31" s="10" t="str">
        <f t="shared" si="15"/>
        <v>-</v>
      </c>
      <c r="W31" s="10" t="str">
        <f t="shared" si="15"/>
        <v xml:space="preserve"> </v>
      </c>
    </row>
    <row r="32" spans="1:23">
      <c r="A32" s="4"/>
      <c r="B32" s="10" t="s">
        <v>115</v>
      </c>
      <c r="C32" s="10" t="s">
        <v>116</v>
      </c>
      <c r="D32" s="11"/>
      <c r="E32" s="11"/>
      <c r="F32" s="11"/>
      <c r="G32" s="11"/>
      <c r="H32" s="11"/>
      <c r="I32" s="11"/>
      <c r="K32" s="5"/>
      <c r="N32" s="4"/>
      <c r="O32" s="10" t="s">
        <v>115</v>
      </c>
      <c r="P32" s="10" t="s">
        <v>116</v>
      </c>
      <c r="Q32" s="10" t="str">
        <f t="shared" si="16"/>
        <v xml:space="preserve"> </v>
      </c>
      <c r="R32" s="10" t="str">
        <f t="shared" si="15"/>
        <v xml:space="preserve"> </v>
      </c>
      <c r="S32" s="10" t="str">
        <f t="shared" si="15"/>
        <v xml:space="preserve"> </v>
      </c>
      <c r="T32" s="10" t="str">
        <f t="shared" si="15"/>
        <v xml:space="preserve"> </v>
      </c>
      <c r="U32" s="10" t="str">
        <f t="shared" si="15"/>
        <v xml:space="preserve"> </v>
      </c>
      <c r="V32" s="10" t="str">
        <f t="shared" si="15"/>
        <v xml:space="preserve"> </v>
      </c>
      <c r="W32" s="10" t="str">
        <f t="shared" si="15"/>
        <v xml:space="preserve"> </v>
      </c>
    </row>
    <row r="33" spans="1:24">
      <c r="A33" s="4"/>
      <c r="B33" s="10" t="s">
        <v>117</v>
      </c>
      <c r="C33" s="10" t="s">
        <v>116</v>
      </c>
      <c r="D33" s="11"/>
      <c r="E33" s="11"/>
      <c r="F33" s="11"/>
      <c r="G33" s="11"/>
      <c r="H33" s="11"/>
      <c r="I33" s="11"/>
      <c r="K33" s="5"/>
      <c r="N33" s="4"/>
      <c r="O33" s="10" t="s">
        <v>117</v>
      </c>
      <c r="P33" s="10" t="s">
        <v>116</v>
      </c>
      <c r="Q33" s="10" t="str">
        <f t="shared" si="16"/>
        <v xml:space="preserve"> </v>
      </c>
      <c r="R33" s="10" t="str">
        <f t="shared" si="15"/>
        <v xml:space="preserve"> </v>
      </c>
      <c r="S33" s="10" t="str">
        <f t="shared" si="15"/>
        <v xml:space="preserve"> </v>
      </c>
      <c r="T33" s="10" t="str">
        <f t="shared" si="15"/>
        <v xml:space="preserve"> </v>
      </c>
      <c r="U33" s="10" t="str">
        <f t="shared" si="15"/>
        <v xml:space="preserve"> </v>
      </c>
      <c r="V33" s="10" t="str">
        <f t="shared" si="15"/>
        <v xml:space="preserve"> </v>
      </c>
      <c r="W33" s="10" t="str">
        <f t="shared" si="15"/>
        <v xml:space="preserve"> </v>
      </c>
    </row>
    <row r="34" spans="1:24">
      <c r="A34" s="4"/>
      <c r="B34" s="4"/>
      <c r="C34" s="4"/>
      <c r="D34" s="8"/>
      <c r="E34" s="8"/>
      <c r="F34" s="8"/>
      <c r="G34" s="8"/>
      <c r="H34" s="8"/>
      <c r="I34" s="8"/>
      <c r="K34" s="5"/>
      <c r="N34" s="4"/>
      <c r="O34" s="4"/>
      <c r="P34" s="4"/>
      <c r="Q34" s="8"/>
      <c r="R34" s="8"/>
      <c r="S34" s="8"/>
      <c r="T34" s="8"/>
      <c r="U34" s="8"/>
      <c r="V34" s="8"/>
      <c r="W34" s="8"/>
      <c r="X34" s="5"/>
    </row>
    <row r="35" spans="1:24">
      <c r="A35" s="4"/>
      <c r="B35" s="7" t="s">
        <v>25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25</v>
      </c>
      <c r="P35" s="9" t="s">
        <v>101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102</v>
      </c>
      <c r="C36" s="112" t="s">
        <v>75</v>
      </c>
      <c r="D36" s="113"/>
      <c r="E36" s="114" t="s">
        <v>76</v>
      </c>
      <c r="F36" s="114"/>
      <c r="G36" s="49" t="s">
        <v>77</v>
      </c>
      <c r="H36" s="114" t="s">
        <v>78</v>
      </c>
      <c r="I36" s="115"/>
      <c r="K36" s="5"/>
      <c r="N36" s="4"/>
      <c r="O36" s="10" t="s">
        <v>102</v>
      </c>
      <c r="P36" s="48" t="str">
        <f>CONCATENATE(C36, " ", E36," ", G36, " ", H36)</f>
        <v>The sample was slightly discoloured  with some significant sediments</v>
      </c>
      <c r="Q36" s="49"/>
      <c r="R36" s="49"/>
      <c r="S36" s="49"/>
      <c r="T36" s="49"/>
      <c r="U36" s="49"/>
      <c r="V36" s="49"/>
      <c r="W36" s="50"/>
      <c r="X36" s="5"/>
    </row>
    <row r="37" spans="1:24">
      <c r="A37" s="4"/>
      <c r="B37" s="10" t="s">
        <v>103</v>
      </c>
      <c r="C37" s="112" t="s">
        <v>75</v>
      </c>
      <c r="D37" s="113"/>
      <c r="E37" s="114" t="s">
        <v>118</v>
      </c>
      <c r="F37" s="114"/>
      <c r="G37" s="49" t="s">
        <v>77</v>
      </c>
      <c r="H37" s="114" t="s">
        <v>78</v>
      </c>
      <c r="I37" s="115"/>
      <c r="K37" s="5"/>
      <c r="N37" s="4"/>
      <c r="O37" s="10" t="s">
        <v>103</v>
      </c>
      <c r="P37" s="48" t="str">
        <f t="shared" ref="P37:P41" si="17">CONCATENATE(C37, " ", E37," ", G37, " ", H37)</f>
        <v>The sample was discoloured  with some significant sediments</v>
      </c>
      <c r="Q37" s="51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104</v>
      </c>
      <c r="C38" s="112" t="s">
        <v>75</v>
      </c>
      <c r="D38" s="113"/>
      <c r="E38" s="114" t="s">
        <v>76</v>
      </c>
      <c r="F38" s="114"/>
      <c r="G38" s="49" t="s">
        <v>77</v>
      </c>
      <c r="H38" s="114" t="s">
        <v>78</v>
      </c>
      <c r="I38" s="115"/>
      <c r="K38" s="5"/>
      <c r="N38" s="4"/>
      <c r="O38" s="10" t="s">
        <v>104</v>
      </c>
      <c r="P38" s="48" t="str">
        <f t="shared" si="17"/>
        <v>The sample was slightly discoloured  with some significant sediments</v>
      </c>
      <c r="Q38" s="49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105</v>
      </c>
      <c r="C39" s="112" t="s">
        <v>75</v>
      </c>
      <c r="D39" s="113"/>
      <c r="E39" s="114" t="s">
        <v>76</v>
      </c>
      <c r="F39" s="114"/>
      <c r="G39" s="49" t="s">
        <v>77</v>
      </c>
      <c r="H39" s="114" t="s">
        <v>93</v>
      </c>
      <c r="I39" s="115"/>
      <c r="K39" s="5"/>
      <c r="N39" s="4"/>
      <c r="O39" s="10" t="s">
        <v>105</v>
      </c>
      <c r="P39" s="48" t="str">
        <f t="shared" si="17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119</v>
      </c>
      <c r="C40" s="112" t="s">
        <v>75</v>
      </c>
      <c r="D40" s="113"/>
      <c r="E40" s="114" t="s">
        <v>120</v>
      </c>
      <c r="F40" s="114"/>
      <c r="G40" s="49" t="s">
        <v>77</v>
      </c>
      <c r="H40" s="114" t="s">
        <v>93</v>
      </c>
      <c r="I40" s="115"/>
      <c r="K40" s="5"/>
      <c r="N40" s="4"/>
      <c r="O40" s="10" t="s">
        <v>119</v>
      </c>
      <c r="P40" s="48" t="str">
        <f t="shared" si="17"/>
        <v>The sample was clear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121</v>
      </c>
      <c r="C41" s="112" t="s">
        <v>75</v>
      </c>
      <c r="D41" s="113"/>
      <c r="E41" s="114" t="s">
        <v>76</v>
      </c>
      <c r="F41" s="114"/>
      <c r="G41" s="49" t="s">
        <v>77</v>
      </c>
      <c r="H41" s="114" t="s">
        <v>93</v>
      </c>
      <c r="I41" s="115"/>
      <c r="K41" s="5"/>
      <c r="N41" s="4"/>
      <c r="O41" s="10" t="s">
        <v>121</v>
      </c>
      <c r="P41" s="48" t="str">
        <f t="shared" si="17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K42" s="5"/>
      <c r="N42" s="4"/>
      <c r="O42" s="47"/>
      <c r="P42" s="4"/>
      <c r="Q42" s="4"/>
      <c r="R42" s="4"/>
      <c r="S42" s="4"/>
      <c r="T42" s="4"/>
      <c r="U42" s="4"/>
      <c r="V42" s="4"/>
      <c r="W42" s="4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52" t="s">
        <v>23</v>
      </c>
      <c r="P43" s="53" t="s">
        <v>85</v>
      </c>
      <c r="Q43" s="54"/>
      <c r="R43" s="54"/>
      <c r="S43" s="54"/>
      <c r="T43" s="54"/>
      <c r="U43" s="54"/>
      <c r="V43" s="54"/>
      <c r="W43" s="5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47" t="s">
        <v>45</v>
      </c>
      <c r="P44" s="126" t="s">
        <v>87</v>
      </c>
      <c r="Q44" s="127"/>
      <c r="R44" s="127"/>
      <c r="S44" s="127"/>
      <c r="T44" s="127"/>
      <c r="U44" s="127"/>
      <c r="V44" s="127"/>
      <c r="W44" s="127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88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89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90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106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</mergeCells>
  <conditionalFormatting sqref="Q25">
    <cfRule type="cellIs" dxfId="69" priority="11" operator="equal">
      <formula>"Above MAV"</formula>
    </cfRule>
    <cfRule type="cellIs" dxfId="68" priority="12" operator="equal">
      <formula>"ALERT"</formula>
    </cfRule>
  </conditionalFormatting>
  <conditionalFormatting sqref="Q26">
    <cfRule type="cellIs" dxfId="67" priority="9" operator="equal">
      <formula>"Above MAV"</formula>
    </cfRule>
    <cfRule type="cellIs" dxfId="66" priority="10" operator="equal">
      <formula>"ALERT"</formula>
    </cfRule>
  </conditionalFormatting>
  <conditionalFormatting sqref="D13">
    <cfRule type="cellIs" dxfId="65" priority="4" operator="lessThan">
      <formula>$D$12&lt;0</formula>
    </cfRule>
  </conditionalFormatting>
  <conditionalFormatting sqref="E13">
    <cfRule type="cellIs" dxfId="64" priority="3" operator="lessThan">
      <formula>$D$12&lt;0</formula>
    </cfRule>
  </conditionalFormatting>
  <conditionalFormatting sqref="F13">
    <cfRule type="cellIs" dxfId="63" priority="2" operator="lessThan">
      <formula>$D$12&lt;0</formula>
    </cfRule>
  </conditionalFormatting>
  <conditionalFormatting sqref="G13:I13">
    <cfRule type="cellIs" dxfId="62" priority="1" operator="lessThan">
      <formula>$D$12&lt;0</formula>
    </cfRule>
  </conditionalFormatting>
  <dataValidations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4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2" sqref="J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122</v>
      </c>
      <c r="F3" s="8"/>
      <c r="G3" s="8"/>
      <c r="H3" s="9" t="s">
        <v>5</v>
      </c>
      <c r="J3" s="57" t="s">
        <v>123</v>
      </c>
    </row>
    <row r="4" spans="1:11" ht="15.75">
      <c r="B4" s="3" t="s">
        <v>124</v>
      </c>
      <c r="F4" s="8"/>
      <c r="G4" s="8"/>
      <c r="H4" s="9" t="s">
        <v>9</v>
      </c>
      <c r="J4" s="58">
        <v>43354</v>
      </c>
    </row>
    <row r="5" spans="1:11">
      <c r="B5" s="9" t="s">
        <v>11</v>
      </c>
      <c r="C5" s="57" t="s">
        <v>12</v>
      </c>
      <c r="F5" s="8"/>
      <c r="G5" s="8"/>
      <c r="H5" s="9" t="s">
        <v>14</v>
      </c>
      <c r="J5" s="58">
        <f ca="1">TODAY()</f>
        <v>45086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15</v>
      </c>
      <c r="C7" s="60" t="s">
        <v>22</v>
      </c>
      <c r="D7" s="60" t="s">
        <v>17</v>
      </c>
      <c r="E7" s="60" t="s">
        <v>23</v>
      </c>
      <c r="F7" s="60" t="s">
        <v>24</v>
      </c>
      <c r="G7" s="123" t="s">
        <v>25</v>
      </c>
      <c r="H7" s="124"/>
      <c r="I7" s="124"/>
      <c r="J7" s="125"/>
      <c r="K7" s="5"/>
    </row>
    <row r="8" spans="1:11">
      <c r="A8" s="4"/>
      <c r="B8" s="10" t="s">
        <v>112</v>
      </c>
      <c r="C8" s="10" t="s">
        <v>113</v>
      </c>
      <c r="D8" s="11" t="s">
        <v>27</v>
      </c>
      <c r="E8" s="11" t="s">
        <v>27</v>
      </c>
      <c r="F8" s="11" t="s">
        <v>27</v>
      </c>
      <c r="G8" s="11" t="e">
        <f>VLOOKUP(D8,Lookup!C111:D112,2,FALSE)</f>
        <v>#N/A</v>
      </c>
      <c r="H8" s="112"/>
      <c r="I8" s="113"/>
      <c r="J8" s="122"/>
      <c r="K8" s="5"/>
    </row>
    <row r="9" spans="1:11">
      <c r="A9" s="4"/>
      <c r="B9" s="10" t="s">
        <v>114</v>
      </c>
      <c r="C9" s="10" t="s">
        <v>113</v>
      </c>
      <c r="D9" s="11" t="s">
        <v>27</v>
      </c>
      <c r="E9" s="11" t="s">
        <v>27</v>
      </c>
      <c r="F9" s="11" t="s">
        <v>54</v>
      </c>
      <c r="G9" s="11" t="e">
        <f>VLOOKUP(D9,Lookup!C113:D114,2,FALSE)</f>
        <v>#N/A</v>
      </c>
      <c r="H9" s="112"/>
      <c r="I9" s="113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125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126</v>
      </c>
      <c r="K13" s="5"/>
    </row>
    <row r="14" spans="1:11">
      <c r="A14" s="4"/>
      <c r="B14" s="9" t="s">
        <v>127</v>
      </c>
      <c r="K14" s="5"/>
    </row>
    <row r="15" spans="1:11">
      <c r="A15" s="4"/>
      <c r="B15" s="9" t="s">
        <v>128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23</v>
      </c>
      <c r="C17" s="53" t="s">
        <v>85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24</v>
      </c>
      <c r="C18" s="127" t="s">
        <v>86</v>
      </c>
      <c r="D18" s="127"/>
      <c r="E18" s="127"/>
      <c r="F18" s="127"/>
      <c r="G18" s="127"/>
      <c r="H18" s="127"/>
      <c r="I18" s="127"/>
      <c r="J18" s="127"/>
      <c r="K18" s="5"/>
    </row>
    <row r="19" spans="1:11">
      <c r="A19" s="4"/>
      <c r="B19" s="47"/>
      <c r="C19" s="126"/>
      <c r="D19" s="127"/>
      <c r="E19" s="127"/>
      <c r="F19" s="127"/>
      <c r="G19" s="127"/>
      <c r="H19" s="127"/>
      <c r="I19" s="127"/>
      <c r="J19" s="127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88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89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90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106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61" priority="6" operator="equal">
      <formula>"Above MAV"</formula>
    </cfRule>
    <cfRule type="cellIs" dxfId="60" priority="7" operator="equal">
      <formula>"ALERT"</formula>
    </cfRule>
  </conditionalFormatting>
  <conditionalFormatting sqref="B12">
    <cfRule type="containsText" dxfId="59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J2" sqref="J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122</v>
      </c>
      <c r="F3" s="8"/>
      <c r="G3" s="8"/>
      <c r="H3" s="9" t="s">
        <v>5</v>
      </c>
      <c r="J3" s="57" t="s">
        <v>123</v>
      </c>
    </row>
    <row r="4" spans="1:11" ht="15.75">
      <c r="B4" s="3" t="s">
        <v>124</v>
      </c>
      <c r="F4" s="8"/>
      <c r="G4" s="8"/>
      <c r="H4" s="9" t="s">
        <v>9</v>
      </c>
      <c r="J4" s="58">
        <v>43354</v>
      </c>
    </row>
    <row r="5" spans="1:11">
      <c r="B5" s="9" t="s">
        <v>11</v>
      </c>
      <c r="C5" s="57" t="s">
        <v>12</v>
      </c>
      <c r="F5" s="8"/>
      <c r="G5" s="8"/>
      <c r="H5" s="9" t="s">
        <v>14</v>
      </c>
      <c r="J5" s="58">
        <f ca="1">TODAY()</f>
        <v>45086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15</v>
      </c>
      <c r="C7" s="60" t="s">
        <v>22</v>
      </c>
      <c r="D7" s="60" t="s">
        <v>17</v>
      </c>
      <c r="E7" s="60" t="s">
        <v>23</v>
      </c>
      <c r="F7" s="60" t="s">
        <v>24</v>
      </c>
      <c r="G7" s="123" t="s">
        <v>25</v>
      </c>
      <c r="H7" s="124"/>
      <c r="I7" s="124"/>
      <c r="J7" s="125"/>
      <c r="K7" s="5"/>
    </row>
    <row r="8" spans="1:11">
      <c r="A8" s="4"/>
      <c r="B8" s="10" t="s">
        <v>115</v>
      </c>
      <c r="C8" s="10" t="s">
        <v>116</v>
      </c>
      <c r="D8" s="11" t="s">
        <v>129</v>
      </c>
      <c r="E8" s="11" t="s">
        <v>27</v>
      </c>
      <c r="F8" s="11" t="s">
        <v>27</v>
      </c>
      <c r="G8" s="11" t="str">
        <f>VLOOKUP(D8,Lookup!C115:D118,2)</f>
        <v>Ideal</v>
      </c>
      <c r="H8" s="112"/>
      <c r="I8" s="113"/>
      <c r="J8" s="122"/>
      <c r="K8" s="5"/>
    </row>
    <row r="9" spans="1:11">
      <c r="A9" s="4"/>
      <c r="B9" s="10" t="s">
        <v>117</v>
      </c>
      <c r="C9" s="10" t="s">
        <v>116</v>
      </c>
      <c r="D9" s="11" t="s">
        <v>129</v>
      </c>
      <c r="E9" s="11" t="s">
        <v>27</v>
      </c>
      <c r="F9" s="11" t="s">
        <v>129</v>
      </c>
      <c r="G9" s="11" t="str">
        <f>VLOOKUP(D9,Lookup!C119:D122,2)</f>
        <v>Ideal</v>
      </c>
      <c r="H9" s="112"/>
      <c r="I9" s="113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125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126</v>
      </c>
      <c r="K13" s="5"/>
    </row>
    <row r="14" spans="1:11">
      <c r="A14" s="4"/>
      <c r="B14" s="9" t="s">
        <v>130</v>
      </c>
      <c r="K14" s="5"/>
    </row>
    <row r="15" spans="1:11">
      <c r="A15" s="4"/>
      <c r="B15" s="9" t="s">
        <v>127</v>
      </c>
      <c r="K15" s="5"/>
    </row>
    <row r="16" spans="1:11">
      <c r="A16" s="4"/>
      <c r="B16" s="9" t="s">
        <v>128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23</v>
      </c>
      <c r="C18" s="53" t="s">
        <v>85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24</v>
      </c>
      <c r="C19" s="127" t="s">
        <v>86</v>
      </c>
      <c r="D19" s="127"/>
      <c r="E19" s="127"/>
      <c r="F19" s="127"/>
      <c r="G19" s="127"/>
      <c r="H19" s="127"/>
      <c r="I19" s="127"/>
      <c r="J19" s="127"/>
      <c r="K19" s="5"/>
    </row>
    <row r="20" spans="1:11">
      <c r="A20" s="4"/>
      <c r="B20" s="47"/>
      <c r="C20" s="126"/>
      <c r="D20" s="127"/>
      <c r="E20" s="127"/>
      <c r="F20" s="127"/>
      <c r="G20" s="127"/>
      <c r="H20" s="127"/>
      <c r="I20" s="127"/>
      <c r="J20" s="127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88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89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90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106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G10">
    <cfRule type="cellIs" dxfId="58" priority="6" operator="equal">
      <formula>"Above MAV"</formula>
    </cfRule>
    <cfRule type="cellIs" dxfId="57" priority="7" operator="equal">
      <formula>"ALERT"</formula>
    </cfRule>
  </conditionalFormatting>
  <conditionalFormatting sqref="G8:G9">
    <cfRule type="cellIs" dxfId="56" priority="2" operator="equal">
      <formula>"Above MAV"</formula>
    </cfRule>
    <cfRule type="cellIs" dxfId="55" priority="3" operator="equal">
      <formula>"ALERT"</formula>
    </cfRule>
  </conditionalFormatting>
  <conditionalFormatting sqref="B12">
    <cfRule type="containsText" dxfId="54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C1" zoomScaleNormal="110" zoomScaleSheetLayoutView="115" workbookViewId="0">
      <selection activeCell="R26" sqref="R26:T2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7109375" style="1" customWidth="1"/>
    <col min="13" max="13" width="10.85546875" style="1" customWidth="1"/>
    <col min="14" max="20" width="10" style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5</v>
      </c>
      <c r="I3" s="80" t="s">
        <v>131</v>
      </c>
      <c r="L3" s="1" t="str">
        <f>IF(ISBLANK(C3),"DEALER NAME",C3)</f>
        <v>DEALER NAME</v>
      </c>
      <c r="P3" s="8"/>
      <c r="Q3" s="8"/>
      <c r="R3" s="9" t="s">
        <v>5</v>
      </c>
      <c r="T3" s="57" t="str">
        <f>I3</f>
        <v>20170714C+E01</v>
      </c>
    </row>
    <row r="4" spans="1:21" ht="15.75">
      <c r="B4" s="66" t="s">
        <v>7</v>
      </c>
      <c r="C4" s="116"/>
      <c r="D4" s="117"/>
      <c r="E4" s="117"/>
      <c r="F4" s="118"/>
      <c r="G4" s="8"/>
      <c r="H4" s="66" t="s">
        <v>9</v>
      </c>
      <c r="I4" s="81">
        <f ca="1">TODAY()</f>
        <v>45086</v>
      </c>
      <c r="L4" s="3" t="str">
        <f>IF(ISBLANK(C4),"REFERENCE NAME",C4)</f>
        <v>REFERENCE NAME</v>
      </c>
      <c r="P4" s="8"/>
      <c r="Q4" s="8"/>
      <c r="R4" s="9" t="s">
        <v>9</v>
      </c>
      <c r="T4" s="58">
        <f t="shared" ref="T4:T5" ca="1" si="0">I4</f>
        <v>45086</v>
      </c>
    </row>
    <row r="5" spans="1:21">
      <c r="B5" s="66" t="s">
        <v>11</v>
      </c>
      <c r="C5" s="119"/>
      <c r="D5" s="119"/>
      <c r="E5" s="119"/>
      <c r="F5" s="119"/>
      <c r="G5" s="8"/>
      <c r="H5" s="66" t="s">
        <v>14</v>
      </c>
      <c r="I5" s="81">
        <f ca="1">TODAY()</f>
        <v>45086</v>
      </c>
      <c r="L5" s="9" t="s">
        <v>11</v>
      </c>
      <c r="M5" s="57" t="str">
        <f>IF(ISBLANK(C5),"TBC",C5)</f>
        <v>TBC</v>
      </c>
      <c r="P5" s="8"/>
      <c r="Q5" s="8"/>
      <c r="R5" s="9" t="s">
        <v>14</v>
      </c>
      <c r="T5" s="58">
        <f t="shared" ca="1" si="0"/>
        <v>45086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15</v>
      </c>
      <c r="C7" s="68" t="s">
        <v>16</v>
      </c>
      <c r="D7" s="68" t="s">
        <v>17</v>
      </c>
      <c r="E7" s="68" t="s">
        <v>18</v>
      </c>
      <c r="F7" s="68" t="s">
        <v>19</v>
      </c>
      <c r="G7" s="68" t="s">
        <v>20</v>
      </c>
      <c r="H7" s="120" t="s">
        <v>21</v>
      </c>
      <c r="I7" s="121"/>
      <c r="J7" s="4"/>
      <c r="K7" s="4"/>
      <c r="L7" s="59" t="s">
        <v>15</v>
      </c>
      <c r="M7" s="60" t="s">
        <v>22</v>
      </c>
      <c r="N7" s="60" t="s">
        <v>17</v>
      </c>
      <c r="O7" s="60" t="s">
        <v>23</v>
      </c>
      <c r="P7" s="60" t="s">
        <v>24</v>
      </c>
      <c r="Q7" s="123" t="s">
        <v>25</v>
      </c>
      <c r="R7" s="124"/>
      <c r="S7" s="124"/>
      <c r="T7" s="125"/>
      <c r="U7" s="5"/>
    </row>
    <row r="8" spans="1:21">
      <c r="A8" s="4"/>
      <c r="B8" s="10" t="s">
        <v>26</v>
      </c>
      <c r="C8" s="11" t="s">
        <v>27</v>
      </c>
      <c r="D8" s="14"/>
      <c r="E8" s="14"/>
      <c r="F8" s="11" t="s">
        <v>28</v>
      </c>
      <c r="G8" s="11" t="s">
        <v>27</v>
      </c>
      <c r="H8" s="108"/>
      <c r="I8" s="109"/>
      <c r="J8" s="4"/>
      <c r="K8" s="4"/>
      <c r="L8" s="10" t="s">
        <v>26</v>
      </c>
      <c r="M8" s="11" t="s">
        <v>27</v>
      </c>
      <c r="N8" s="14">
        <f>D8</f>
        <v>0</v>
      </c>
      <c r="O8" s="11" t="s">
        <v>28</v>
      </c>
      <c r="P8" s="11" t="s">
        <v>27</v>
      </c>
      <c r="Q8" s="11" t="e">
        <f>VLOOKUP(N8,Lookup!C3:D7,2)</f>
        <v>#N/A</v>
      </c>
      <c r="R8" s="112"/>
      <c r="S8" s="113"/>
      <c r="T8" s="122"/>
      <c r="U8" s="5"/>
    </row>
    <row r="9" spans="1:21">
      <c r="A9" s="4"/>
      <c r="B9" s="10" t="s">
        <v>29</v>
      </c>
      <c r="C9" s="10" t="s">
        <v>30</v>
      </c>
      <c r="D9" s="15"/>
      <c r="E9" s="15">
        <v>5</v>
      </c>
      <c r="F9" s="11" t="s">
        <v>27</v>
      </c>
      <c r="G9" s="11" t="s">
        <v>27</v>
      </c>
      <c r="H9" s="108"/>
      <c r="I9" s="109"/>
      <c r="J9" s="4"/>
      <c r="K9" s="4"/>
      <c r="L9" s="10" t="s">
        <v>29</v>
      </c>
      <c r="M9" s="10" t="s">
        <v>30</v>
      </c>
      <c r="N9" s="15" t="str">
        <f>IF(D9&lt;5,"&lt;5",D9)</f>
        <v>&lt;5</v>
      </c>
      <c r="O9" s="11" t="s">
        <v>27</v>
      </c>
      <c r="P9" s="11" t="s">
        <v>27</v>
      </c>
      <c r="Q9" s="11" t="str">
        <f>VLOOKUP(N9,Lookup!C18:D25,2)</f>
        <v>Trace</v>
      </c>
      <c r="R9" s="112"/>
      <c r="S9" s="113"/>
      <c r="T9" s="122"/>
      <c r="U9" s="5"/>
    </row>
    <row r="10" spans="1:21">
      <c r="A10" s="4"/>
      <c r="B10" s="10" t="s">
        <v>31</v>
      </c>
      <c r="C10" s="10" t="s">
        <v>30</v>
      </c>
      <c r="D10" s="15"/>
      <c r="E10" s="15">
        <v>5</v>
      </c>
      <c r="F10" s="11" t="s">
        <v>32</v>
      </c>
      <c r="G10" s="11" t="s">
        <v>27</v>
      </c>
      <c r="H10" s="108"/>
      <c r="I10" s="109"/>
      <c r="J10" s="4"/>
      <c r="K10" s="4"/>
      <c r="L10" s="10" t="s">
        <v>31</v>
      </c>
      <c r="M10" s="10" t="s">
        <v>30</v>
      </c>
      <c r="N10" s="15" t="str">
        <f t="shared" ref="N10:N11" si="1">IF(D10&lt;5,"&lt;5",D10)</f>
        <v>&lt;5</v>
      </c>
      <c r="O10" s="11" t="s">
        <v>32</v>
      </c>
      <c r="P10" s="11" t="s">
        <v>27</v>
      </c>
      <c r="Q10" s="11" t="str">
        <f>VLOOKUP(N10,Lookup!C27:D33,2)</f>
        <v>Trace</v>
      </c>
      <c r="R10" s="112"/>
      <c r="S10" s="113"/>
      <c r="T10" s="122"/>
      <c r="U10" s="5"/>
    </row>
    <row r="11" spans="1:21">
      <c r="A11" s="4"/>
      <c r="B11" s="10" t="s">
        <v>33</v>
      </c>
      <c r="C11" s="10" t="s">
        <v>30</v>
      </c>
      <c r="D11" s="15"/>
      <c r="E11" s="15">
        <v>5</v>
      </c>
      <c r="F11" s="11" t="s">
        <v>27</v>
      </c>
      <c r="G11" s="11" t="s">
        <v>27</v>
      </c>
      <c r="H11" s="108"/>
      <c r="I11" s="109"/>
      <c r="J11" s="4"/>
      <c r="K11" s="4"/>
      <c r="L11" s="10" t="s">
        <v>33</v>
      </c>
      <c r="M11" s="10" t="s">
        <v>30</v>
      </c>
      <c r="N11" s="15" t="str">
        <f t="shared" si="1"/>
        <v>&lt;5</v>
      </c>
      <c r="O11" s="11" t="s">
        <v>27</v>
      </c>
      <c r="P11" s="11" t="s">
        <v>27</v>
      </c>
      <c r="Q11" s="11" t="str">
        <f>VLOOKUP(N11,Lookup!C35:D41,2)</f>
        <v>Trace</v>
      </c>
      <c r="R11" s="112"/>
      <c r="S11" s="113"/>
      <c r="T11" s="122"/>
      <c r="U11" s="5"/>
    </row>
    <row r="12" spans="1:21">
      <c r="A12" s="4"/>
      <c r="B12" s="10" t="s">
        <v>34</v>
      </c>
      <c r="C12" s="10" t="s">
        <v>30</v>
      </c>
      <c r="D12" s="75">
        <f>D10-D11</f>
        <v>0</v>
      </c>
      <c r="E12" s="11">
        <v>5</v>
      </c>
      <c r="F12" s="11" t="s">
        <v>27</v>
      </c>
      <c r="G12" s="11" t="s">
        <v>27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34</v>
      </c>
      <c r="M12" s="10" t="s">
        <v>30</v>
      </c>
      <c r="N12" s="11" t="str">
        <f>IF(D12&lt;5,"&lt;5",D12)</f>
        <v>&lt;5</v>
      </c>
      <c r="O12" s="11" t="s">
        <v>27</v>
      </c>
      <c r="P12" s="11" t="s">
        <v>27</v>
      </c>
      <c r="Q12" s="11" t="str">
        <f>VLOOKUP(N12,Lookup!C35:D41,2)</f>
        <v>Trace</v>
      </c>
      <c r="R12" s="112" t="s">
        <v>35</v>
      </c>
      <c r="S12" s="113"/>
      <c r="T12" s="122"/>
      <c r="U12" s="5"/>
    </row>
    <row r="13" spans="1:21">
      <c r="A13" s="4"/>
      <c r="B13" s="10" t="s">
        <v>36</v>
      </c>
      <c r="C13" s="10" t="s">
        <v>37</v>
      </c>
      <c r="D13" s="75">
        <f>2*(IF(D9&lt;5,5,D9)-(5*10^(D8-10)))/(1+(0.94*10^(D8-10)))*10^(6-D8)</f>
        <v>9999999.9980600011</v>
      </c>
      <c r="E13" s="15"/>
      <c r="F13" s="11" t="s">
        <v>27</v>
      </c>
      <c r="G13" s="11" t="s">
        <v>27</v>
      </c>
      <c r="H13" s="108"/>
      <c r="I13" s="109"/>
      <c r="J13" s="4"/>
      <c r="K13" s="4"/>
      <c r="L13" s="10" t="s">
        <v>36</v>
      </c>
      <c r="M13" s="10" t="s">
        <v>37</v>
      </c>
      <c r="N13" s="15">
        <f>IF(D13&lt;1,"&lt;1",D13)</f>
        <v>9999999.9980600011</v>
      </c>
      <c r="O13" s="11" t="s">
        <v>27</v>
      </c>
      <c r="P13" s="11" t="s">
        <v>27</v>
      </c>
      <c r="Q13" s="11" t="str">
        <f>VLOOKUP(N13,Lookup!C98:D103,2)</f>
        <v>Very High</v>
      </c>
      <c r="R13" s="112" t="s">
        <v>35</v>
      </c>
      <c r="S13" s="113"/>
      <c r="T13" s="122"/>
      <c r="U13" s="5"/>
    </row>
    <row r="14" spans="1:21">
      <c r="A14" s="4"/>
      <c r="B14" s="10" t="s">
        <v>38</v>
      </c>
      <c r="C14" s="11" t="s">
        <v>27</v>
      </c>
      <c r="D14" s="76">
        <f>+D8+0.5+VLOOKUP(IF(D9&lt;5,5,D9),LSI!$F$2:$G$25,2)+VLOOKUP(IF(D10&lt;5,5,D10),LSI!$H$2:$I$25,2)-12.1</f>
        <v>-10.6</v>
      </c>
      <c r="E14" s="14"/>
      <c r="F14" s="11" t="s">
        <v>27</v>
      </c>
      <c r="G14" s="11" t="s">
        <v>27</v>
      </c>
      <c r="H14" s="108"/>
      <c r="I14" s="109"/>
      <c r="J14" s="4"/>
      <c r="K14" s="4"/>
      <c r="L14" s="10" t="s">
        <v>39</v>
      </c>
      <c r="M14" s="11" t="s">
        <v>27</v>
      </c>
      <c r="N14" s="14">
        <f>D14</f>
        <v>-10.6</v>
      </c>
      <c r="O14" s="11" t="s">
        <v>27</v>
      </c>
      <c r="P14" s="11" t="s">
        <v>27</v>
      </c>
      <c r="Q14" s="11" t="e">
        <f>VLOOKUP(N14,Lookup!C105:D109,2)</f>
        <v>#N/A</v>
      </c>
      <c r="R14" s="112" t="s">
        <v>35</v>
      </c>
      <c r="S14" s="113"/>
      <c r="T14" s="122"/>
      <c r="U14" s="5"/>
    </row>
    <row r="15" spans="1:21">
      <c r="A15" s="4"/>
      <c r="B15" s="10" t="s">
        <v>40</v>
      </c>
      <c r="C15" s="10" t="s">
        <v>41</v>
      </c>
      <c r="D15" s="15"/>
      <c r="E15" s="15">
        <v>1</v>
      </c>
      <c r="F15" s="11" t="s">
        <v>27</v>
      </c>
      <c r="G15" s="11" t="s">
        <v>27</v>
      </c>
      <c r="H15" s="108"/>
      <c r="I15" s="109"/>
      <c r="J15" s="4"/>
      <c r="K15" s="4"/>
      <c r="L15" s="10" t="s">
        <v>40</v>
      </c>
      <c r="M15" s="10" t="s">
        <v>41</v>
      </c>
      <c r="N15" s="15" t="str">
        <f>IF(D15&lt;5,"&lt;5",D15)</f>
        <v>&lt;5</v>
      </c>
      <c r="O15" s="11" t="s">
        <v>27</v>
      </c>
      <c r="P15" s="11" t="s">
        <v>27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5">
      <c r="A16" s="4"/>
      <c r="B16" s="10" t="s">
        <v>42</v>
      </c>
      <c r="C16" s="10" t="s">
        <v>43</v>
      </c>
      <c r="D16" s="15"/>
      <c r="E16" s="15">
        <v>1</v>
      </c>
      <c r="F16" s="11" t="s">
        <v>27</v>
      </c>
      <c r="G16" s="11">
        <v>50</v>
      </c>
      <c r="H16" s="108"/>
      <c r="I16" s="109"/>
      <c r="J16" s="4"/>
      <c r="K16" s="4"/>
      <c r="L16" s="10" t="s">
        <v>42</v>
      </c>
      <c r="M16" s="10" t="s">
        <v>43</v>
      </c>
      <c r="N16" s="15" t="str">
        <f>IF(D16&lt;1,"&lt;1",D16)</f>
        <v>&lt;1</v>
      </c>
      <c r="O16" s="11" t="s">
        <v>27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44</v>
      </c>
      <c r="C17" s="10" t="s">
        <v>45</v>
      </c>
      <c r="D17" s="11"/>
      <c r="E17" s="11">
        <v>0.01</v>
      </c>
      <c r="F17" s="11" t="s">
        <v>46</v>
      </c>
      <c r="G17" s="11" t="s">
        <v>27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44</v>
      </c>
      <c r="M17" s="10" t="s">
        <v>45</v>
      </c>
      <c r="N17" s="14" t="str">
        <f>IF(D17&lt;0.01,"&lt;0.01",D17)</f>
        <v>&lt;0.01</v>
      </c>
      <c r="O17" s="11" t="s">
        <v>47</v>
      </c>
      <c r="P17" s="11" t="s">
        <v>27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48</v>
      </c>
      <c r="C18" s="10" t="s">
        <v>45</v>
      </c>
      <c r="D18" s="11"/>
      <c r="E18" s="11">
        <v>1.5</v>
      </c>
      <c r="F18" s="11" t="s">
        <v>49</v>
      </c>
      <c r="G18" s="11">
        <v>0.4</v>
      </c>
      <c r="H18" s="110" t="str">
        <f t="shared" ref="H18:H20" si="2">IF(D18&gt;=0.01,"Check if need to increase decimal on the right"," ")</f>
        <v xml:space="preserve"> </v>
      </c>
      <c r="I18" s="111"/>
      <c r="J18" s="4"/>
      <c r="K18" s="4"/>
      <c r="L18" s="10" t="s">
        <v>48</v>
      </c>
      <c r="M18" s="10" t="s">
        <v>45</v>
      </c>
      <c r="N18" s="14" t="str">
        <f>IF(D18&lt;0.01,"&lt;0.01",D18)</f>
        <v>&lt;0.01</v>
      </c>
      <c r="O18" s="11" t="s">
        <v>49</v>
      </c>
      <c r="P18" s="11">
        <v>0.4</v>
      </c>
      <c r="Q18" s="11" t="str">
        <f>VLOOKUP(N18,Lookup!C61:D65,2)</f>
        <v>Not Detected</v>
      </c>
      <c r="R18" s="112" t="s">
        <v>50</v>
      </c>
      <c r="S18" s="113"/>
      <c r="T18" s="122"/>
      <c r="U18" s="5"/>
    </row>
    <row r="19" spans="1:21">
      <c r="A19" s="4"/>
      <c r="B19" s="10" t="s">
        <v>51</v>
      </c>
      <c r="C19" s="10" t="s">
        <v>45</v>
      </c>
      <c r="D19" s="11"/>
      <c r="E19" s="11">
        <v>0.01</v>
      </c>
      <c r="F19" s="11" t="s">
        <v>52</v>
      </c>
      <c r="G19" s="11" t="s">
        <v>27</v>
      </c>
      <c r="H19" s="110" t="str">
        <f t="shared" si="2"/>
        <v xml:space="preserve"> </v>
      </c>
      <c r="I19" s="111"/>
      <c r="J19" s="4"/>
      <c r="K19" s="4"/>
      <c r="L19" s="10" t="s">
        <v>51</v>
      </c>
      <c r="M19" s="10" t="s">
        <v>45</v>
      </c>
      <c r="N19" s="64" t="str">
        <f>IF(D19&lt;0.01,"&lt;0.01",D19)</f>
        <v>&lt;0.01</v>
      </c>
      <c r="O19" s="11" t="s">
        <v>52</v>
      </c>
      <c r="P19" s="11" t="s">
        <v>27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53</v>
      </c>
      <c r="C20" s="10" t="s">
        <v>45</v>
      </c>
      <c r="D20" s="11"/>
      <c r="E20" s="11">
        <v>0.01</v>
      </c>
      <c r="F20" s="11" t="s">
        <v>54</v>
      </c>
      <c r="G20" s="15">
        <v>2</v>
      </c>
      <c r="H20" s="110" t="str">
        <f t="shared" si="2"/>
        <v xml:space="preserve"> </v>
      </c>
      <c r="I20" s="111"/>
      <c r="J20" s="4"/>
      <c r="K20" s="4"/>
      <c r="L20" s="10" t="s">
        <v>53</v>
      </c>
      <c r="M20" s="10" t="s">
        <v>45</v>
      </c>
      <c r="N20" s="64" t="str">
        <f>IF(D20&lt;0.01,"&lt;0.01",D20)</f>
        <v>&lt;0.01</v>
      </c>
      <c r="O20" s="11" t="s">
        <v>54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55</v>
      </c>
      <c r="C21" s="10" t="s">
        <v>45</v>
      </c>
      <c r="D21" s="11"/>
      <c r="E21" s="11">
        <v>10</v>
      </c>
      <c r="F21" s="11" t="s">
        <v>56</v>
      </c>
      <c r="G21" s="11" t="s">
        <v>27</v>
      </c>
      <c r="H21" s="108"/>
      <c r="I21" s="109"/>
      <c r="J21" s="4"/>
      <c r="K21" s="4"/>
      <c r="L21" s="10" t="s">
        <v>55</v>
      </c>
      <c r="M21" s="10" t="s">
        <v>45</v>
      </c>
      <c r="N21" s="15" t="str">
        <f>IF(D21&lt;10,"&lt;10",D21)</f>
        <v>&lt;10</v>
      </c>
      <c r="O21" s="11" t="s">
        <v>56</v>
      </c>
      <c r="P21" s="11" t="s">
        <v>27</v>
      </c>
      <c r="Q21" s="11" t="str">
        <f>VLOOKUP(N21,Lookup!C9:D16,2)</f>
        <v>Trace</v>
      </c>
      <c r="R21" s="112" t="s">
        <v>35</v>
      </c>
      <c r="S21" s="113"/>
      <c r="T21" s="122"/>
      <c r="U21" s="5"/>
    </row>
    <row r="22" spans="1:21">
      <c r="A22" s="4"/>
      <c r="B22" s="10" t="s">
        <v>57</v>
      </c>
      <c r="C22" s="10" t="s">
        <v>45</v>
      </c>
      <c r="D22" s="15"/>
      <c r="E22" s="15">
        <v>1</v>
      </c>
      <c r="F22" s="11" t="s">
        <v>58</v>
      </c>
      <c r="G22" s="11" t="s">
        <v>27</v>
      </c>
      <c r="H22" s="108"/>
      <c r="I22" s="109"/>
      <c r="J22" s="4"/>
      <c r="K22" s="4"/>
      <c r="L22" s="10" t="s">
        <v>57</v>
      </c>
      <c r="M22" s="10" t="s">
        <v>45</v>
      </c>
      <c r="N22" s="15" t="str">
        <f>IF(D22&lt;1,"&lt;1",D22)</f>
        <v>&lt;1</v>
      </c>
      <c r="O22" s="11" t="s">
        <v>58</v>
      </c>
      <c r="P22" s="11" t="s">
        <v>27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59</v>
      </c>
      <c r="C23" s="10" t="s">
        <v>45</v>
      </c>
      <c r="D23" s="15"/>
      <c r="E23" s="15"/>
      <c r="F23" s="11" t="s">
        <v>32</v>
      </c>
      <c r="G23" s="11" t="s">
        <v>27</v>
      </c>
      <c r="H23" s="108"/>
      <c r="I23" s="109"/>
      <c r="J23" s="4"/>
      <c r="K23" s="4"/>
      <c r="L23" s="10" t="s">
        <v>59</v>
      </c>
      <c r="M23" s="10" t="s">
        <v>45</v>
      </c>
      <c r="N23" s="15" t="str">
        <f>IF(D23&lt;1,"&lt;1",D23)</f>
        <v>&lt;1</v>
      </c>
      <c r="O23" s="11" t="s">
        <v>32</v>
      </c>
      <c r="P23" s="11" t="s">
        <v>27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60</v>
      </c>
      <c r="C24" s="10" t="s">
        <v>61</v>
      </c>
      <c r="D24" s="15">
        <f ca="1">D25/10</f>
        <v>0</v>
      </c>
      <c r="E24" s="15"/>
      <c r="F24" s="11" t="s">
        <v>27</v>
      </c>
      <c r="G24" s="11" t="s">
        <v>27</v>
      </c>
      <c r="H24" s="108"/>
      <c r="I24" s="109"/>
      <c r="J24" s="4"/>
      <c r="K24" s="4"/>
      <c r="L24" s="10" t="s">
        <v>60</v>
      </c>
      <c r="M24" s="10" t="s">
        <v>61</v>
      </c>
      <c r="N24" s="15">
        <f ca="1">D24</f>
        <v>0</v>
      </c>
      <c r="O24" s="11" t="s">
        <v>27</v>
      </c>
      <c r="P24" s="11" t="s">
        <v>27</v>
      </c>
      <c r="Q24" s="11" t="s">
        <v>27</v>
      </c>
      <c r="R24" s="112"/>
      <c r="S24" s="113"/>
      <c r="T24" s="122"/>
      <c r="U24" s="5"/>
    </row>
    <row r="25" spans="1:21">
      <c r="A25" s="4"/>
      <c r="B25" s="10" t="s">
        <v>60</v>
      </c>
      <c r="C25" s="10" t="s">
        <v>62</v>
      </c>
      <c r="D25" s="15">
        <f ca="1">D24*10</f>
        <v>0</v>
      </c>
      <c r="E25" s="15"/>
      <c r="F25" s="11" t="s">
        <v>27</v>
      </c>
      <c r="G25" s="11" t="s">
        <v>27</v>
      </c>
      <c r="H25" s="108"/>
      <c r="I25" s="109"/>
      <c r="J25" s="4"/>
      <c r="K25" s="4"/>
      <c r="L25" s="10" t="s">
        <v>60</v>
      </c>
      <c r="M25" s="10" t="s">
        <v>62</v>
      </c>
      <c r="N25" s="14">
        <f ca="1">D25</f>
        <v>0</v>
      </c>
      <c r="O25" s="11" t="s">
        <v>27</v>
      </c>
      <c r="P25" s="11" t="s">
        <v>27</v>
      </c>
      <c r="Q25" s="11" t="s">
        <v>27</v>
      </c>
      <c r="R25" s="112"/>
      <c r="S25" s="113"/>
      <c r="T25" s="122"/>
      <c r="U25" s="5"/>
    </row>
    <row r="26" spans="1:21">
      <c r="A26" s="4"/>
      <c r="B26" s="10" t="s">
        <v>63</v>
      </c>
      <c r="C26" s="10" t="s">
        <v>64</v>
      </c>
      <c r="D26" s="11"/>
      <c r="E26" s="11">
        <v>0.05</v>
      </c>
      <c r="F26" s="11" t="s">
        <v>65</v>
      </c>
      <c r="G26" s="11" t="s">
        <v>27</v>
      </c>
      <c r="H26" s="108"/>
      <c r="I26" s="109"/>
      <c r="J26" s="4"/>
      <c r="K26" s="4"/>
      <c r="L26" s="10" t="s">
        <v>63</v>
      </c>
      <c r="M26" s="10" t="s">
        <v>64</v>
      </c>
      <c r="N26" s="15" t="str">
        <f>IF(D26&lt;0.05,"&lt;0.05",D26)</f>
        <v>&lt;0.05</v>
      </c>
      <c r="O26" s="11" t="s">
        <v>65</v>
      </c>
      <c r="P26" s="11" t="s">
        <v>27</v>
      </c>
      <c r="Q26" s="11" t="str">
        <f>VLOOKUP(N26,Lookup!C124:D131,2)</f>
        <v>Very Low</v>
      </c>
      <c r="R26" s="112" t="s">
        <v>66</v>
      </c>
      <c r="S26" s="113"/>
      <c r="T26" s="122"/>
      <c r="U26" s="5"/>
    </row>
    <row r="27" spans="1:21">
      <c r="A27" s="4"/>
      <c r="B27" s="10" t="s">
        <v>67</v>
      </c>
      <c r="C27" s="10" t="s">
        <v>68</v>
      </c>
      <c r="D27" s="15"/>
      <c r="E27" s="15">
        <v>5</v>
      </c>
      <c r="F27" s="11" t="s">
        <v>27</v>
      </c>
      <c r="G27" s="11" t="s">
        <v>27</v>
      </c>
      <c r="H27" s="108"/>
      <c r="I27" s="109"/>
      <c r="J27" s="4"/>
      <c r="K27" s="4"/>
      <c r="L27" s="10" t="s">
        <v>67</v>
      </c>
      <c r="M27" s="10" t="s">
        <v>68</v>
      </c>
      <c r="N27" s="15" t="str">
        <f>IF(D27&lt;5,"&lt;5",D27)</f>
        <v>&lt;5</v>
      </c>
      <c r="O27" s="11" t="s">
        <v>27</v>
      </c>
      <c r="P27" s="11" t="s">
        <v>27</v>
      </c>
      <c r="Q27" s="11" t="str">
        <f>VLOOKUP(N27,Lookup!C149:D152,2)</f>
        <v>Very Low</v>
      </c>
      <c r="R27" s="112" t="s">
        <v>71</v>
      </c>
      <c r="S27" s="113"/>
      <c r="T27" s="122"/>
      <c r="U27" s="5"/>
    </row>
    <row r="28" spans="1:21" ht="15" thickBot="1">
      <c r="A28" s="4"/>
      <c r="B28" s="10" t="s">
        <v>72</v>
      </c>
      <c r="C28" s="10" t="s">
        <v>73</v>
      </c>
      <c r="D28" s="14"/>
      <c r="E28" s="14">
        <v>5</v>
      </c>
      <c r="F28" s="11" t="s">
        <v>27</v>
      </c>
      <c r="G28" s="11" t="s">
        <v>27</v>
      </c>
      <c r="H28" s="108"/>
      <c r="I28" s="109"/>
      <c r="J28" s="4"/>
      <c r="K28" s="4"/>
      <c r="L28" s="99" t="s">
        <v>72</v>
      </c>
      <c r="M28" s="99" t="s">
        <v>73</v>
      </c>
      <c r="N28" s="103" t="str">
        <f>IF(D28&lt;5,"&lt;5",D28)</f>
        <v>&lt;5</v>
      </c>
      <c r="O28" s="100" t="s">
        <v>27</v>
      </c>
      <c r="P28" s="100" t="s">
        <v>27</v>
      </c>
      <c r="Q28" s="100" t="str">
        <f>VLOOKUP(N28,Lookup!C133:D139,2)</f>
        <v>Very Poor</v>
      </c>
      <c r="R28" s="134"/>
      <c r="S28" s="135"/>
      <c r="T28" s="136"/>
      <c r="U28" s="5"/>
    </row>
    <row r="29" spans="1:21" ht="15" thickTop="1">
      <c r="A29" s="4"/>
      <c r="B29" s="10" t="s">
        <v>112</v>
      </c>
      <c r="C29" s="10" t="s">
        <v>113</v>
      </c>
      <c r="D29" s="11" t="s">
        <v>27</v>
      </c>
      <c r="E29" s="15"/>
      <c r="F29" s="11" t="s">
        <v>27</v>
      </c>
      <c r="G29" s="11" t="s">
        <v>27</v>
      </c>
      <c r="H29" s="108"/>
      <c r="I29" s="109"/>
      <c r="J29" s="4"/>
      <c r="K29" s="4"/>
      <c r="L29" s="98" t="s">
        <v>112</v>
      </c>
      <c r="M29" s="98" t="s">
        <v>113</v>
      </c>
      <c r="N29" s="102" t="str">
        <f>IF(ISBLANK(D29)," ",D29)</f>
        <v>-</v>
      </c>
      <c r="O29" s="102" t="s">
        <v>27</v>
      </c>
      <c r="P29" s="102" t="s">
        <v>27</v>
      </c>
      <c r="Q29" s="11" t="e">
        <f>VLOOKUP(N29,Lookup!C111:D112,2,FALSE)</f>
        <v>#N/A</v>
      </c>
      <c r="R29" s="137"/>
      <c r="S29" s="138"/>
      <c r="T29" s="139"/>
      <c r="U29" s="5"/>
    </row>
    <row r="30" spans="1:21">
      <c r="A30" s="4"/>
      <c r="B30" s="10" t="s">
        <v>114</v>
      </c>
      <c r="C30" s="10" t="s">
        <v>113</v>
      </c>
      <c r="D30" s="11" t="s">
        <v>27</v>
      </c>
      <c r="E30" s="15"/>
      <c r="F30" s="11" t="s">
        <v>27</v>
      </c>
      <c r="G30" s="11" t="s">
        <v>27</v>
      </c>
      <c r="H30" s="108"/>
      <c r="I30" s="109"/>
      <c r="J30" s="4"/>
      <c r="K30" s="4"/>
      <c r="L30" s="10" t="s">
        <v>114</v>
      </c>
      <c r="M30" s="10" t="s">
        <v>113</v>
      </c>
      <c r="N30" s="11" t="str">
        <f>IF(ISBLANK(D30)," ",D30)</f>
        <v>-</v>
      </c>
      <c r="O30" s="11" t="s">
        <v>27</v>
      </c>
      <c r="P30" s="11" t="s">
        <v>54</v>
      </c>
      <c r="Q30" s="11" t="e">
        <f>VLOOKUP(N30,Lookup!C113:D114,2,FALSE)</f>
        <v>#N/A</v>
      </c>
      <c r="R30" s="112"/>
      <c r="S30" s="113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74</v>
      </c>
      <c r="C32" s="112" t="s">
        <v>75</v>
      </c>
      <c r="D32" s="113"/>
      <c r="E32" s="114" t="s">
        <v>76</v>
      </c>
      <c r="F32" s="114"/>
      <c r="G32" s="49" t="s">
        <v>77</v>
      </c>
      <c r="H32" s="114" t="s">
        <v>93</v>
      </c>
      <c r="I32" s="115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79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80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81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82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83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132</v>
      </c>
      <c r="C38" s="104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84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23</v>
      </c>
      <c r="M41" s="53" t="s">
        <v>85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24</v>
      </c>
      <c r="M42" s="127" t="s">
        <v>86</v>
      </c>
      <c r="N42" s="127"/>
      <c r="O42" s="127"/>
      <c r="P42" s="127"/>
      <c r="Q42" s="127"/>
      <c r="R42" s="127"/>
      <c r="S42" s="127"/>
      <c r="T42" s="127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45</v>
      </c>
      <c r="M43" s="126" t="s">
        <v>87</v>
      </c>
      <c r="N43" s="127"/>
      <c r="O43" s="127"/>
      <c r="P43" s="127"/>
      <c r="Q43" s="127"/>
      <c r="R43" s="127"/>
      <c r="S43" s="127"/>
      <c r="T43" s="127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88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89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90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91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R12:T12"/>
    <mergeCell ref="Q7:T7"/>
    <mergeCell ref="R8:T8"/>
    <mergeCell ref="R9:T9"/>
    <mergeCell ref="R10:T10"/>
    <mergeCell ref="R11:T11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H9:I9"/>
    <mergeCell ref="H10:I10"/>
    <mergeCell ref="H11:I11"/>
    <mergeCell ref="H12:I12"/>
    <mergeCell ref="H13:I13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7:I27"/>
    <mergeCell ref="H28:I28"/>
    <mergeCell ref="C32:D32"/>
    <mergeCell ref="E32:F32"/>
    <mergeCell ref="H32:I32"/>
    <mergeCell ref="H29:I29"/>
    <mergeCell ref="H30:I30"/>
  </mergeCells>
  <conditionalFormatting sqref="Q8:Q28 Q31">
    <cfRule type="cellIs" dxfId="53" priority="28" operator="equal">
      <formula>"Above MAV"</formula>
    </cfRule>
    <cfRule type="cellIs" dxfId="52" priority="29" operator="equal">
      <formula>"ALERT"</formula>
    </cfRule>
  </conditionalFormatting>
  <conditionalFormatting sqref="P24">
    <cfRule type="cellIs" dxfId="51" priority="26" operator="equal">
      <formula>"Above MAV"</formula>
    </cfRule>
    <cfRule type="cellIs" dxfId="50" priority="27" operator="equal">
      <formula>"ALERT"</formula>
    </cfRule>
  </conditionalFormatting>
  <conditionalFormatting sqref="O24">
    <cfRule type="cellIs" dxfId="49" priority="24" operator="equal">
      <formula>"Above MAV"</formula>
    </cfRule>
    <cfRule type="cellIs" dxfId="48" priority="25" operator="equal">
      <formula>"ALERT"</formula>
    </cfRule>
  </conditionalFormatting>
  <conditionalFormatting sqref="O25">
    <cfRule type="cellIs" dxfId="47" priority="22" operator="equal">
      <formula>"Above MAV"</formula>
    </cfRule>
    <cfRule type="cellIs" dxfId="46" priority="23" operator="equal">
      <formula>"ALERT"</formula>
    </cfRule>
  </conditionalFormatting>
  <conditionalFormatting sqref="P25">
    <cfRule type="cellIs" dxfId="45" priority="20" operator="equal">
      <formula>"Above MAV"</formula>
    </cfRule>
    <cfRule type="cellIs" dxfId="44" priority="21" operator="equal">
      <formula>"ALERT"</formula>
    </cfRule>
  </conditionalFormatting>
  <conditionalFormatting sqref="D12">
    <cfRule type="cellIs" dxfId="43" priority="19" operator="lessThan">
      <formula>$D$12&lt;0</formula>
    </cfRule>
  </conditionalFormatting>
  <conditionalFormatting sqref="G24">
    <cfRule type="cellIs" dxfId="42" priority="17" operator="equal">
      <formula>"Above MAV"</formula>
    </cfRule>
    <cfRule type="cellIs" dxfId="41" priority="18" operator="equal">
      <formula>"ALERT"</formula>
    </cfRule>
  </conditionalFormatting>
  <conditionalFormatting sqref="F24">
    <cfRule type="cellIs" dxfId="40" priority="15" operator="equal">
      <formula>"Above MAV"</formula>
    </cfRule>
    <cfRule type="cellIs" dxfId="39" priority="16" operator="equal">
      <formula>"ALERT"</formula>
    </cfRule>
  </conditionalFormatting>
  <conditionalFormatting sqref="F25">
    <cfRule type="cellIs" dxfId="38" priority="13" operator="equal">
      <formula>"Above MAV"</formula>
    </cfRule>
    <cfRule type="cellIs" dxfId="37" priority="14" operator="equal">
      <formula>"ALERT"</formula>
    </cfRule>
  </conditionalFormatting>
  <conditionalFormatting sqref="G25">
    <cfRule type="cellIs" dxfId="36" priority="11" operator="equal">
      <formula>"Above MAV"</formula>
    </cfRule>
    <cfRule type="cellIs" dxfId="35" priority="12" operator="equal">
      <formula>"ALERT"</formula>
    </cfRule>
  </conditionalFormatting>
  <conditionalFormatting sqref="F29:F30">
    <cfRule type="cellIs" dxfId="34" priority="8" operator="equal">
      <formula>"Above MAV"</formula>
    </cfRule>
    <cfRule type="cellIs" dxfId="33" priority="9" operator="equal">
      <formula>"ALERT"</formula>
    </cfRule>
  </conditionalFormatting>
  <conditionalFormatting sqref="G29:G30">
    <cfRule type="cellIs" dxfId="32" priority="6" operator="equal">
      <formula>"Above MAV"</formula>
    </cfRule>
    <cfRule type="cellIs" dxfId="31" priority="7" operator="equal">
      <formula>"ALERT"</formula>
    </cfRule>
  </conditionalFormatting>
  <conditionalFormatting sqref="H12:I12">
    <cfRule type="containsText" dxfId="30" priority="4" operator="containsText" text="Hardness">
      <formula>NOT(ISERROR(SEARCH("Hardness",H12)))</formula>
    </cfRule>
  </conditionalFormatting>
  <conditionalFormatting sqref="Q29:Q30">
    <cfRule type="cellIs" dxfId="29" priority="2" operator="equal">
      <formula>"Above MAV"</formula>
    </cfRule>
    <cfRule type="cellIs" dxfId="28" priority="3" operator="equal">
      <formula>"ALERT"</formula>
    </cfRule>
  </conditionalFormatting>
  <conditionalFormatting sqref="L38">
    <cfRule type="containsText" dxfId="27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C4" zoomScaleNormal="110" zoomScaleSheetLayoutView="115" workbookViewId="0">
      <selection activeCell="D12" sqref="D12:D1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7109375" style="1" customWidth="1"/>
    <col min="13" max="13" width="10.85546875" style="1" customWidth="1"/>
    <col min="14" max="20" width="10" style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5</v>
      </c>
      <c r="I3" s="80" t="s">
        <v>133</v>
      </c>
      <c r="L3" s="1" t="str">
        <f>IF(ISBLANK(C3),"DEALER NAME",C3)</f>
        <v>DEALER NAME</v>
      </c>
      <c r="P3" s="8"/>
      <c r="Q3" s="8"/>
      <c r="R3" s="9" t="s">
        <v>5</v>
      </c>
      <c r="T3" s="57" t="str">
        <f>I3</f>
        <v>20170714C+M01</v>
      </c>
    </row>
    <row r="4" spans="1:21" ht="15.75">
      <c r="B4" s="66" t="s">
        <v>7</v>
      </c>
      <c r="C4" s="116"/>
      <c r="D4" s="117"/>
      <c r="E4" s="117"/>
      <c r="F4" s="118"/>
      <c r="G4" s="8"/>
      <c r="H4" s="66" t="s">
        <v>9</v>
      </c>
      <c r="I4" s="81">
        <f ca="1">TODAY()</f>
        <v>45086</v>
      </c>
      <c r="L4" s="3" t="str">
        <f>IF(ISBLANK(C4),"REFERENCE NAME",C4)</f>
        <v>REFERENCE NAME</v>
      </c>
      <c r="P4" s="8"/>
      <c r="Q4" s="8"/>
      <c r="R4" s="9" t="s">
        <v>9</v>
      </c>
      <c r="T4" s="58">
        <f t="shared" ref="T4:T5" ca="1" si="0">I4</f>
        <v>45086</v>
      </c>
    </row>
    <row r="5" spans="1:21">
      <c r="B5" s="66" t="s">
        <v>11</v>
      </c>
      <c r="C5" s="119"/>
      <c r="D5" s="119"/>
      <c r="E5" s="119"/>
      <c r="F5" s="119"/>
      <c r="G5" s="8"/>
      <c r="H5" s="66" t="s">
        <v>14</v>
      </c>
      <c r="I5" s="81">
        <f ca="1">TODAY()</f>
        <v>45086</v>
      </c>
      <c r="L5" s="9" t="s">
        <v>11</v>
      </c>
      <c r="M5" s="57" t="str">
        <f>IF(ISBLANK(C5),"TBC",C5)</f>
        <v>TBC</v>
      </c>
      <c r="P5" s="8"/>
      <c r="Q5" s="8"/>
      <c r="R5" s="9" t="s">
        <v>14</v>
      </c>
      <c r="T5" s="58">
        <f t="shared" ca="1" si="0"/>
        <v>45086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15</v>
      </c>
      <c r="C7" s="68" t="s">
        <v>16</v>
      </c>
      <c r="D7" s="68" t="s">
        <v>17</v>
      </c>
      <c r="E7" s="68" t="s">
        <v>18</v>
      </c>
      <c r="F7" s="68" t="s">
        <v>19</v>
      </c>
      <c r="G7" s="68" t="s">
        <v>20</v>
      </c>
      <c r="H7" s="120" t="s">
        <v>21</v>
      </c>
      <c r="I7" s="121"/>
      <c r="J7" s="4"/>
      <c r="K7" s="4"/>
      <c r="L7" s="59" t="s">
        <v>15</v>
      </c>
      <c r="M7" s="60" t="s">
        <v>22</v>
      </c>
      <c r="N7" s="60" t="s">
        <v>17</v>
      </c>
      <c r="O7" s="60" t="s">
        <v>23</v>
      </c>
      <c r="P7" s="60" t="s">
        <v>24</v>
      </c>
      <c r="Q7" s="123" t="s">
        <v>25</v>
      </c>
      <c r="R7" s="124"/>
      <c r="S7" s="124"/>
      <c r="T7" s="125"/>
      <c r="U7" s="5"/>
    </row>
    <row r="8" spans="1:21">
      <c r="A8" s="4"/>
      <c r="B8" s="10" t="s">
        <v>26</v>
      </c>
      <c r="C8" s="11" t="s">
        <v>27</v>
      </c>
      <c r="D8" s="14"/>
      <c r="E8" s="14"/>
      <c r="F8" s="11" t="s">
        <v>28</v>
      </c>
      <c r="G8" s="11" t="s">
        <v>27</v>
      </c>
      <c r="H8" s="108"/>
      <c r="I8" s="109"/>
      <c r="J8" s="4"/>
      <c r="K8" s="4"/>
      <c r="L8" s="10" t="s">
        <v>26</v>
      </c>
      <c r="M8" s="11" t="s">
        <v>27</v>
      </c>
      <c r="N8" s="14">
        <f>D8</f>
        <v>0</v>
      </c>
      <c r="O8" s="11" t="s">
        <v>28</v>
      </c>
      <c r="P8" s="11" t="s">
        <v>27</v>
      </c>
      <c r="Q8" s="11" t="e">
        <f>VLOOKUP(N8,Lookup!C3:D7,2)</f>
        <v>#N/A</v>
      </c>
      <c r="R8" s="112"/>
      <c r="S8" s="113"/>
      <c r="T8" s="122"/>
      <c r="U8" s="5"/>
    </row>
    <row r="9" spans="1:21">
      <c r="A9" s="4"/>
      <c r="B9" s="10" t="s">
        <v>29</v>
      </c>
      <c r="C9" s="10" t="s">
        <v>30</v>
      </c>
      <c r="D9" s="15"/>
      <c r="E9" s="15">
        <v>5</v>
      </c>
      <c r="F9" s="11" t="s">
        <v>27</v>
      </c>
      <c r="G9" s="11" t="s">
        <v>27</v>
      </c>
      <c r="H9" s="108"/>
      <c r="I9" s="109"/>
      <c r="J9" s="4"/>
      <c r="K9" s="4"/>
      <c r="L9" s="10" t="s">
        <v>29</v>
      </c>
      <c r="M9" s="10" t="s">
        <v>30</v>
      </c>
      <c r="N9" s="15" t="str">
        <f>IF(D9&lt;5,"&lt;5",D9)</f>
        <v>&lt;5</v>
      </c>
      <c r="O9" s="11" t="s">
        <v>27</v>
      </c>
      <c r="P9" s="11" t="s">
        <v>27</v>
      </c>
      <c r="Q9" s="11" t="str">
        <f>VLOOKUP(N9,Lookup!C18:D25,2)</f>
        <v>Trace</v>
      </c>
      <c r="R9" s="112"/>
      <c r="S9" s="113"/>
      <c r="T9" s="122"/>
      <c r="U9" s="5"/>
    </row>
    <row r="10" spans="1:21">
      <c r="A10" s="4"/>
      <c r="B10" s="10" t="s">
        <v>31</v>
      </c>
      <c r="C10" s="10" t="s">
        <v>30</v>
      </c>
      <c r="D10" s="15"/>
      <c r="E10" s="15">
        <v>5</v>
      </c>
      <c r="F10" s="11" t="s">
        <v>32</v>
      </c>
      <c r="G10" s="11" t="s">
        <v>27</v>
      </c>
      <c r="H10" s="108"/>
      <c r="I10" s="109"/>
      <c r="J10" s="4"/>
      <c r="K10" s="4"/>
      <c r="L10" s="10" t="s">
        <v>31</v>
      </c>
      <c r="M10" s="10" t="s">
        <v>30</v>
      </c>
      <c r="N10" s="15" t="str">
        <f t="shared" ref="N10:N11" si="1">IF(D10&lt;5,"&lt;5",D10)</f>
        <v>&lt;5</v>
      </c>
      <c r="O10" s="11" t="s">
        <v>32</v>
      </c>
      <c r="P10" s="11" t="s">
        <v>27</v>
      </c>
      <c r="Q10" s="11" t="str">
        <f>VLOOKUP(N10,Lookup!C27:D33,2)</f>
        <v>Trace</v>
      </c>
      <c r="R10" s="112"/>
      <c r="S10" s="113"/>
      <c r="T10" s="122"/>
      <c r="U10" s="5"/>
    </row>
    <row r="11" spans="1:21">
      <c r="A11" s="4"/>
      <c r="B11" s="10" t="s">
        <v>33</v>
      </c>
      <c r="C11" s="10" t="s">
        <v>30</v>
      </c>
      <c r="D11" s="15"/>
      <c r="E11" s="15">
        <v>5</v>
      </c>
      <c r="F11" s="11" t="s">
        <v>27</v>
      </c>
      <c r="G11" s="11" t="s">
        <v>27</v>
      </c>
      <c r="H11" s="108"/>
      <c r="I11" s="109"/>
      <c r="J11" s="4"/>
      <c r="K11" s="4"/>
      <c r="L11" s="10" t="s">
        <v>33</v>
      </c>
      <c r="M11" s="10" t="s">
        <v>30</v>
      </c>
      <c r="N11" s="15" t="str">
        <f t="shared" si="1"/>
        <v>&lt;5</v>
      </c>
      <c r="O11" s="11" t="s">
        <v>27</v>
      </c>
      <c r="P11" s="11" t="s">
        <v>27</v>
      </c>
      <c r="Q11" s="11" t="str">
        <f>VLOOKUP(N11,Lookup!C35:D41,2)</f>
        <v>Trace</v>
      </c>
      <c r="R11" s="112"/>
      <c r="S11" s="113"/>
      <c r="T11" s="122"/>
      <c r="U11" s="5"/>
    </row>
    <row r="12" spans="1:21">
      <c r="A12" s="4"/>
      <c r="B12" s="10" t="s">
        <v>34</v>
      </c>
      <c r="C12" s="10" t="s">
        <v>30</v>
      </c>
      <c r="D12" s="75">
        <f>D10-D11</f>
        <v>0</v>
      </c>
      <c r="E12" s="11">
        <v>5</v>
      </c>
      <c r="F12" s="11" t="s">
        <v>27</v>
      </c>
      <c r="G12" s="11" t="s">
        <v>27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34</v>
      </c>
      <c r="M12" s="10" t="s">
        <v>30</v>
      </c>
      <c r="N12" s="11" t="str">
        <f>IF(D12&lt;5,"&lt;5",D12)</f>
        <v>&lt;5</v>
      </c>
      <c r="O12" s="11" t="s">
        <v>27</v>
      </c>
      <c r="P12" s="11" t="s">
        <v>27</v>
      </c>
      <c r="Q12" s="11" t="str">
        <f>VLOOKUP(N12,Lookup!C35:D41,2)</f>
        <v>Trace</v>
      </c>
      <c r="R12" s="112" t="s">
        <v>35</v>
      </c>
      <c r="S12" s="113"/>
      <c r="T12" s="122"/>
      <c r="U12" s="5"/>
    </row>
    <row r="13" spans="1:21">
      <c r="A13" s="4"/>
      <c r="B13" s="10" t="s">
        <v>36</v>
      </c>
      <c r="C13" s="10" t="s">
        <v>37</v>
      </c>
      <c r="D13" s="75">
        <f>2*(IF(D9&lt;5,5,D9)-(5*10^(D8-10)))/(1+(0.94*10^(D8-10)))*10^(6-D8)</f>
        <v>9999999.9980600011</v>
      </c>
      <c r="E13" s="15"/>
      <c r="F13" s="11" t="s">
        <v>27</v>
      </c>
      <c r="G13" s="11" t="s">
        <v>27</v>
      </c>
      <c r="H13" s="108"/>
      <c r="I13" s="109"/>
      <c r="J13" s="4"/>
      <c r="K13" s="4"/>
      <c r="L13" s="10" t="s">
        <v>36</v>
      </c>
      <c r="M13" s="10" t="s">
        <v>37</v>
      </c>
      <c r="N13" s="15">
        <f>IF(D13&lt;1,"&lt;1",D13)</f>
        <v>9999999.9980600011</v>
      </c>
      <c r="O13" s="11" t="s">
        <v>27</v>
      </c>
      <c r="P13" s="11" t="s">
        <v>27</v>
      </c>
      <c r="Q13" s="11" t="str">
        <f>VLOOKUP(N13,Lookup!C98:D103,2)</f>
        <v>Very High</v>
      </c>
      <c r="R13" s="112" t="s">
        <v>35</v>
      </c>
      <c r="S13" s="113"/>
      <c r="T13" s="122"/>
      <c r="U13" s="5"/>
    </row>
    <row r="14" spans="1:21">
      <c r="A14" s="4"/>
      <c r="B14" s="10" t="s">
        <v>38</v>
      </c>
      <c r="C14" s="11" t="s">
        <v>27</v>
      </c>
      <c r="D14" s="76">
        <f>+D8+0.5+VLOOKUP(IF(D9&lt;5,5,D9),LSI!$F$2:$G$25,2)+VLOOKUP(IF(D10&lt;5,5,D10),LSI!$H$2:$I$25,2)-12.1</f>
        <v>-10.6</v>
      </c>
      <c r="E14" s="14"/>
      <c r="F14" s="11" t="s">
        <v>27</v>
      </c>
      <c r="G14" s="11" t="s">
        <v>27</v>
      </c>
      <c r="H14" s="108"/>
      <c r="I14" s="109"/>
      <c r="J14" s="4"/>
      <c r="K14" s="4"/>
      <c r="L14" s="10" t="s">
        <v>39</v>
      </c>
      <c r="M14" s="11" t="s">
        <v>27</v>
      </c>
      <c r="N14" s="14">
        <f>D14</f>
        <v>-10.6</v>
      </c>
      <c r="O14" s="11" t="s">
        <v>27</v>
      </c>
      <c r="P14" s="11" t="s">
        <v>27</v>
      </c>
      <c r="Q14" s="11" t="e">
        <f>VLOOKUP(N14,Lookup!C105:D109,2)</f>
        <v>#N/A</v>
      </c>
      <c r="R14" s="112" t="s">
        <v>35</v>
      </c>
      <c r="S14" s="113"/>
      <c r="T14" s="122"/>
      <c r="U14" s="5"/>
    </row>
    <row r="15" spans="1:21">
      <c r="A15" s="4"/>
      <c r="B15" s="10" t="s">
        <v>40</v>
      </c>
      <c r="C15" s="10" t="s">
        <v>41</v>
      </c>
      <c r="D15" s="15"/>
      <c r="E15" s="15">
        <v>1</v>
      </c>
      <c r="F15" s="11" t="s">
        <v>27</v>
      </c>
      <c r="G15" s="11" t="s">
        <v>27</v>
      </c>
      <c r="H15" s="108"/>
      <c r="I15" s="109"/>
      <c r="J15" s="4"/>
      <c r="K15" s="4"/>
      <c r="L15" s="10" t="s">
        <v>40</v>
      </c>
      <c r="M15" s="10" t="s">
        <v>41</v>
      </c>
      <c r="N15" s="15" t="str">
        <f>IF(D15&lt;5,"&lt;5",D15)</f>
        <v>&lt;5</v>
      </c>
      <c r="O15" s="11" t="s">
        <v>27</v>
      </c>
      <c r="P15" s="11" t="s">
        <v>27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5">
      <c r="A16" s="4"/>
      <c r="B16" s="10" t="s">
        <v>42</v>
      </c>
      <c r="C16" s="10" t="s">
        <v>43</v>
      </c>
      <c r="D16" s="15"/>
      <c r="E16" s="15">
        <v>1</v>
      </c>
      <c r="F16" s="11" t="s">
        <v>27</v>
      </c>
      <c r="G16" s="11">
        <v>50</v>
      </c>
      <c r="H16" s="108"/>
      <c r="I16" s="109"/>
      <c r="J16" s="4"/>
      <c r="K16" s="4"/>
      <c r="L16" s="10" t="s">
        <v>42</v>
      </c>
      <c r="M16" s="10" t="s">
        <v>43</v>
      </c>
      <c r="N16" s="15" t="str">
        <f>IF(D16&lt;1,"&lt;1",D16)</f>
        <v>&lt;1</v>
      </c>
      <c r="O16" s="11" t="s">
        <v>27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44</v>
      </c>
      <c r="C17" s="10" t="s">
        <v>45</v>
      </c>
      <c r="D17" s="11"/>
      <c r="E17" s="11">
        <v>0.01</v>
      </c>
      <c r="F17" s="11" t="s">
        <v>46</v>
      </c>
      <c r="G17" s="11" t="s">
        <v>27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44</v>
      </c>
      <c r="M17" s="10" t="s">
        <v>45</v>
      </c>
      <c r="N17" s="14" t="str">
        <f>IF(D17&lt;0.01,"&lt;0.01",D17)</f>
        <v>&lt;0.01</v>
      </c>
      <c r="O17" s="11" t="s">
        <v>47</v>
      </c>
      <c r="P17" s="11" t="s">
        <v>27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48</v>
      </c>
      <c r="C18" s="10" t="s">
        <v>45</v>
      </c>
      <c r="D18" s="11"/>
      <c r="E18" s="11">
        <v>1.5</v>
      </c>
      <c r="F18" s="11" t="s">
        <v>49</v>
      </c>
      <c r="G18" s="11">
        <v>0.4</v>
      </c>
      <c r="H18" s="110" t="str">
        <f t="shared" ref="H18:H20" si="2">IF(D18&gt;=0.01,"Check if need to increase decimal on the right"," ")</f>
        <v xml:space="preserve"> </v>
      </c>
      <c r="I18" s="111"/>
      <c r="J18" s="4"/>
      <c r="K18" s="4"/>
      <c r="L18" s="10" t="s">
        <v>48</v>
      </c>
      <c r="M18" s="10" t="s">
        <v>45</v>
      </c>
      <c r="N18" s="14" t="str">
        <f>IF(D18&lt;0.01,"&lt;0.01",D18)</f>
        <v>&lt;0.01</v>
      </c>
      <c r="O18" s="11" t="s">
        <v>49</v>
      </c>
      <c r="P18" s="11">
        <v>0.4</v>
      </c>
      <c r="Q18" s="11" t="str">
        <f>VLOOKUP(N18,Lookup!C61:D65,2)</f>
        <v>Not Detected</v>
      </c>
      <c r="R18" s="112" t="s">
        <v>50</v>
      </c>
      <c r="S18" s="113"/>
      <c r="T18" s="122"/>
      <c r="U18" s="5"/>
    </row>
    <row r="19" spans="1:21">
      <c r="A19" s="4"/>
      <c r="B19" s="10" t="s">
        <v>51</v>
      </c>
      <c r="C19" s="10" t="s">
        <v>45</v>
      </c>
      <c r="D19" s="11"/>
      <c r="E19" s="11">
        <v>0.01</v>
      </c>
      <c r="F19" s="11" t="s">
        <v>52</v>
      </c>
      <c r="G19" s="11" t="s">
        <v>27</v>
      </c>
      <c r="H19" s="110" t="str">
        <f t="shared" si="2"/>
        <v xml:space="preserve"> </v>
      </c>
      <c r="I19" s="111"/>
      <c r="J19" s="4"/>
      <c r="K19" s="4"/>
      <c r="L19" s="10" t="s">
        <v>51</v>
      </c>
      <c r="M19" s="10" t="s">
        <v>45</v>
      </c>
      <c r="N19" s="64" t="str">
        <f>IF(D19&lt;0.01,"&lt;0.01",D19)</f>
        <v>&lt;0.01</v>
      </c>
      <c r="O19" s="11" t="s">
        <v>52</v>
      </c>
      <c r="P19" s="11" t="s">
        <v>27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53</v>
      </c>
      <c r="C20" s="10" t="s">
        <v>45</v>
      </c>
      <c r="D20" s="11"/>
      <c r="E20" s="11">
        <v>0.01</v>
      </c>
      <c r="F20" s="11" t="s">
        <v>54</v>
      </c>
      <c r="G20" s="15">
        <v>2</v>
      </c>
      <c r="H20" s="110" t="str">
        <f t="shared" si="2"/>
        <v xml:space="preserve"> </v>
      </c>
      <c r="I20" s="111"/>
      <c r="J20" s="4"/>
      <c r="K20" s="4"/>
      <c r="L20" s="10" t="s">
        <v>53</v>
      </c>
      <c r="M20" s="10" t="s">
        <v>45</v>
      </c>
      <c r="N20" s="64" t="str">
        <f>IF(D20&lt;0.01,"&lt;0.01",D20)</f>
        <v>&lt;0.01</v>
      </c>
      <c r="O20" s="11" t="s">
        <v>54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55</v>
      </c>
      <c r="C21" s="10" t="s">
        <v>45</v>
      </c>
      <c r="D21" s="11"/>
      <c r="E21" s="11">
        <v>10</v>
      </c>
      <c r="F21" s="11" t="s">
        <v>56</v>
      </c>
      <c r="G21" s="11" t="s">
        <v>27</v>
      </c>
      <c r="H21" s="108"/>
      <c r="I21" s="109"/>
      <c r="J21" s="4"/>
      <c r="K21" s="4"/>
      <c r="L21" s="10" t="s">
        <v>55</v>
      </c>
      <c r="M21" s="10" t="s">
        <v>45</v>
      </c>
      <c r="N21" s="15" t="str">
        <f>IF(D21&lt;10,"&lt;10",D21)</f>
        <v>&lt;10</v>
      </c>
      <c r="O21" s="11" t="s">
        <v>56</v>
      </c>
      <c r="P21" s="11" t="s">
        <v>27</v>
      </c>
      <c r="Q21" s="11" t="str">
        <f>VLOOKUP(N21,Lookup!C9:D16,2)</f>
        <v>Trace</v>
      </c>
      <c r="R21" s="112" t="s">
        <v>35</v>
      </c>
      <c r="S21" s="113"/>
      <c r="T21" s="122"/>
      <c r="U21" s="5"/>
    </row>
    <row r="22" spans="1:21">
      <c r="A22" s="4"/>
      <c r="B22" s="10" t="s">
        <v>57</v>
      </c>
      <c r="C22" s="10" t="s">
        <v>45</v>
      </c>
      <c r="D22" s="15"/>
      <c r="E22" s="15">
        <v>1</v>
      </c>
      <c r="F22" s="11" t="s">
        <v>58</v>
      </c>
      <c r="G22" s="11" t="s">
        <v>27</v>
      </c>
      <c r="H22" s="108"/>
      <c r="I22" s="109"/>
      <c r="J22" s="4"/>
      <c r="K22" s="4"/>
      <c r="L22" s="10" t="s">
        <v>57</v>
      </c>
      <c r="M22" s="10" t="s">
        <v>45</v>
      </c>
      <c r="N22" s="15" t="str">
        <f>IF(D22&lt;1,"&lt;1",D22)</f>
        <v>&lt;1</v>
      </c>
      <c r="O22" s="11" t="s">
        <v>58</v>
      </c>
      <c r="P22" s="11" t="s">
        <v>27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59</v>
      </c>
      <c r="C23" s="10" t="s">
        <v>45</v>
      </c>
      <c r="D23" s="15"/>
      <c r="E23" s="15"/>
      <c r="F23" s="11" t="s">
        <v>32</v>
      </c>
      <c r="G23" s="11" t="s">
        <v>27</v>
      </c>
      <c r="H23" s="108"/>
      <c r="I23" s="109"/>
      <c r="J23" s="4"/>
      <c r="K23" s="4"/>
      <c r="L23" s="10" t="s">
        <v>59</v>
      </c>
      <c r="M23" s="10" t="s">
        <v>45</v>
      </c>
      <c r="N23" s="15" t="str">
        <f>IF(D23&lt;1,"&lt;1",D23)</f>
        <v>&lt;1</v>
      </c>
      <c r="O23" s="11" t="s">
        <v>32</v>
      </c>
      <c r="P23" s="11" t="s">
        <v>27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60</v>
      </c>
      <c r="C24" s="10" t="s">
        <v>61</v>
      </c>
      <c r="D24" s="15">
        <f ca="1">D25/10</f>
        <v>0</v>
      </c>
      <c r="E24" s="15"/>
      <c r="F24" s="11" t="s">
        <v>27</v>
      </c>
      <c r="G24" s="11" t="s">
        <v>27</v>
      </c>
      <c r="H24" s="108"/>
      <c r="I24" s="109"/>
      <c r="J24" s="4"/>
      <c r="K24" s="4"/>
      <c r="L24" s="10" t="s">
        <v>60</v>
      </c>
      <c r="M24" s="10" t="s">
        <v>61</v>
      </c>
      <c r="N24" s="15">
        <f ca="1">D24</f>
        <v>0</v>
      </c>
      <c r="O24" s="11" t="s">
        <v>27</v>
      </c>
      <c r="P24" s="11" t="s">
        <v>27</v>
      </c>
      <c r="Q24" s="11" t="s">
        <v>27</v>
      </c>
      <c r="R24" s="112"/>
      <c r="S24" s="113"/>
      <c r="T24" s="122"/>
      <c r="U24" s="5"/>
    </row>
    <row r="25" spans="1:21">
      <c r="A25" s="4"/>
      <c r="B25" s="10" t="s">
        <v>60</v>
      </c>
      <c r="C25" s="10" t="s">
        <v>62</v>
      </c>
      <c r="D25" s="15">
        <f ca="1">D24*10</f>
        <v>0</v>
      </c>
      <c r="E25" s="15"/>
      <c r="F25" s="11" t="s">
        <v>27</v>
      </c>
      <c r="G25" s="11" t="s">
        <v>27</v>
      </c>
      <c r="H25" s="108"/>
      <c r="I25" s="109"/>
      <c r="J25" s="4"/>
      <c r="K25" s="4"/>
      <c r="L25" s="10" t="s">
        <v>60</v>
      </c>
      <c r="M25" s="10" t="s">
        <v>62</v>
      </c>
      <c r="N25" s="14">
        <f ca="1">D25</f>
        <v>0</v>
      </c>
      <c r="O25" s="11" t="s">
        <v>27</v>
      </c>
      <c r="P25" s="11" t="s">
        <v>27</v>
      </c>
      <c r="Q25" s="11" t="s">
        <v>27</v>
      </c>
      <c r="R25" s="112"/>
      <c r="S25" s="113"/>
      <c r="T25" s="122"/>
      <c r="U25" s="5"/>
    </row>
    <row r="26" spans="1:21">
      <c r="A26" s="4"/>
      <c r="B26" s="10" t="s">
        <v>63</v>
      </c>
      <c r="C26" s="10" t="s">
        <v>64</v>
      </c>
      <c r="D26" s="11"/>
      <c r="E26" s="11">
        <v>0.05</v>
      </c>
      <c r="F26" s="11" t="s">
        <v>65</v>
      </c>
      <c r="G26" s="11" t="s">
        <v>27</v>
      </c>
      <c r="H26" s="108"/>
      <c r="I26" s="109"/>
      <c r="J26" s="4"/>
      <c r="K26" s="4"/>
      <c r="L26" s="10" t="s">
        <v>63</v>
      </c>
      <c r="M26" s="10" t="s">
        <v>64</v>
      </c>
      <c r="N26" s="15" t="str">
        <f>IF(D26&lt;0.05,"&lt;0.05",D26)</f>
        <v>&lt;0.05</v>
      </c>
      <c r="O26" s="11" t="s">
        <v>65</v>
      </c>
      <c r="P26" s="11" t="s">
        <v>27</v>
      </c>
      <c r="Q26" s="11" t="str">
        <f>VLOOKUP(N26,Lookup!C124:D131,2)</f>
        <v>Very Low</v>
      </c>
      <c r="R26" s="112" t="s">
        <v>66</v>
      </c>
      <c r="S26" s="113"/>
      <c r="T26" s="122"/>
      <c r="U26" s="5"/>
    </row>
    <row r="27" spans="1:21">
      <c r="A27" s="4"/>
      <c r="B27" s="10" t="s">
        <v>67</v>
      </c>
      <c r="C27" s="10" t="s">
        <v>68</v>
      </c>
      <c r="D27" s="15"/>
      <c r="E27" s="15">
        <v>5</v>
      </c>
      <c r="F27" s="11" t="s">
        <v>27</v>
      </c>
      <c r="G27" s="11" t="s">
        <v>27</v>
      </c>
      <c r="H27" s="108"/>
      <c r="I27" s="109"/>
      <c r="J27" s="4"/>
      <c r="K27" s="4"/>
      <c r="L27" s="10" t="s">
        <v>67</v>
      </c>
      <c r="M27" s="10" t="s">
        <v>68</v>
      </c>
      <c r="N27" s="15" t="str">
        <f>IF(D27&lt;5,"&lt;5",D27)</f>
        <v>&lt;5</v>
      </c>
      <c r="O27" s="11" t="s">
        <v>27</v>
      </c>
      <c r="P27" s="11" t="s">
        <v>27</v>
      </c>
      <c r="Q27" s="11" t="str">
        <f>VLOOKUP(N27,Lookup!C149:D152,2)</f>
        <v>Very Low</v>
      </c>
      <c r="R27" s="112" t="s">
        <v>71</v>
      </c>
      <c r="S27" s="113"/>
      <c r="T27" s="122"/>
      <c r="U27" s="5"/>
    </row>
    <row r="28" spans="1:21" ht="15" thickBot="1">
      <c r="A28" s="4"/>
      <c r="B28" s="10" t="s">
        <v>72</v>
      </c>
      <c r="C28" s="10" t="s">
        <v>73</v>
      </c>
      <c r="D28" s="14"/>
      <c r="E28" s="14">
        <v>5</v>
      </c>
      <c r="F28" s="11" t="s">
        <v>27</v>
      </c>
      <c r="G28" s="11" t="s">
        <v>27</v>
      </c>
      <c r="H28" s="108"/>
      <c r="I28" s="109"/>
      <c r="J28" s="4"/>
      <c r="K28" s="4"/>
      <c r="L28" s="99" t="s">
        <v>72</v>
      </c>
      <c r="M28" s="99" t="s">
        <v>73</v>
      </c>
      <c r="N28" s="103" t="str">
        <f>IF(D28&lt;5,"&lt;5",D28)</f>
        <v>&lt;5</v>
      </c>
      <c r="O28" s="100" t="s">
        <v>27</v>
      </c>
      <c r="P28" s="100" t="s">
        <v>27</v>
      </c>
      <c r="Q28" s="100" t="str">
        <f>VLOOKUP(N28,Lookup!C133:D139,2)</f>
        <v>Very Poor</v>
      </c>
      <c r="R28" s="134"/>
      <c r="S28" s="135"/>
      <c r="T28" s="136"/>
      <c r="U28" s="5"/>
    </row>
    <row r="29" spans="1:21" ht="15" thickTop="1">
      <c r="A29" s="4"/>
      <c r="B29" s="10" t="s">
        <v>115</v>
      </c>
      <c r="C29" s="10" t="s">
        <v>116</v>
      </c>
      <c r="D29" s="11" t="s">
        <v>129</v>
      </c>
      <c r="E29" s="15"/>
      <c r="F29" s="11" t="s">
        <v>27</v>
      </c>
      <c r="G29" s="11" t="s">
        <v>27</v>
      </c>
      <c r="H29" s="108"/>
      <c r="I29" s="109"/>
      <c r="J29" s="4"/>
      <c r="K29" s="4"/>
      <c r="L29" s="10" t="s">
        <v>115</v>
      </c>
      <c r="M29" s="10" t="s">
        <v>116</v>
      </c>
      <c r="N29" s="102" t="str">
        <f>D29</f>
        <v>&lt;1.1</v>
      </c>
      <c r="O29" s="102" t="s">
        <v>27</v>
      </c>
      <c r="P29" s="102" t="s">
        <v>27</v>
      </c>
      <c r="Q29" s="11" t="str">
        <f>VLOOKUP(N29,Lookup!C115:D118,2)</f>
        <v>Ideal</v>
      </c>
      <c r="R29" s="137"/>
      <c r="S29" s="138"/>
      <c r="T29" s="139"/>
      <c r="U29" s="5"/>
    </row>
    <row r="30" spans="1:21">
      <c r="A30" s="4"/>
      <c r="B30" s="10" t="s">
        <v>117</v>
      </c>
      <c r="C30" s="10" t="s">
        <v>116</v>
      </c>
      <c r="D30" s="11" t="s">
        <v>129</v>
      </c>
      <c r="E30" s="15"/>
      <c r="F30" s="11" t="s">
        <v>27</v>
      </c>
      <c r="G30" s="11" t="s">
        <v>27</v>
      </c>
      <c r="H30" s="108"/>
      <c r="I30" s="109"/>
      <c r="J30" s="4"/>
      <c r="K30" s="4"/>
      <c r="L30" s="10" t="s">
        <v>117</v>
      </c>
      <c r="M30" s="10" t="s">
        <v>116</v>
      </c>
      <c r="N30" s="11" t="str">
        <f>D30</f>
        <v>&lt;1.1</v>
      </c>
      <c r="O30" s="11" t="s">
        <v>27</v>
      </c>
      <c r="P30" s="11" t="s">
        <v>54</v>
      </c>
      <c r="Q30" s="11" t="str">
        <f>VLOOKUP(N30,Lookup!C119:D122,2)</f>
        <v>Ideal</v>
      </c>
      <c r="R30" s="112"/>
      <c r="S30" s="113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74</v>
      </c>
      <c r="C32" s="112" t="s">
        <v>75</v>
      </c>
      <c r="D32" s="113"/>
      <c r="E32" s="114" t="s">
        <v>76</v>
      </c>
      <c r="F32" s="114"/>
      <c r="G32" s="49" t="s">
        <v>77</v>
      </c>
      <c r="H32" s="114" t="s">
        <v>93</v>
      </c>
      <c r="I32" s="115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79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80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81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82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83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132</v>
      </c>
      <c r="C38" s="104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84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23</v>
      </c>
      <c r="M41" s="53" t="s">
        <v>85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24</v>
      </c>
      <c r="M42" s="127" t="s">
        <v>86</v>
      </c>
      <c r="N42" s="127"/>
      <c r="O42" s="127"/>
      <c r="P42" s="127"/>
      <c r="Q42" s="127"/>
      <c r="R42" s="127"/>
      <c r="S42" s="127"/>
      <c r="T42" s="127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45</v>
      </c>
      <c r="M43" s="126" t="s">
        <v>87</v>
      </c>
      <c r="N43" s="127"/>
      <c r="O43" s="127"/>
      <c r="P43" s="127"/>
      <c r="Q43" s="127"/>
      <c r="R43" s="127"/>
      <c r="S43" s="127"/>
      <c r="T43" s="127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88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89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90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91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7:I17"/>
    <mergeCell ref="R17:T17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M43:T43"/>
    <mergeCell ref="H30:I30"/>
    <mergeCell ref="R30:T30"/>
    <mergeCell ref="C32:D32"/>
    <mergeCell ref="E32:F32"/>
    <mergeCell ref="H32:I32"/>
    <mergeCell ref="M42:T42"/>
  </mergeCells>
  <conditionalFormatting sqref="Q8:Q28 Q31">
    <cfRule type="cellIs" dxfId="26" priority="26" operator="equal">
      <formula>"Above MAV"</formula>
    </cfRule>
    <cfRule type="cellIs" dxfId="25" priority="27" operator="equal">
      <formula>"ALERT"</formula>
    </cfRule>
  </conditionalFormatting>
  <conditionalFormatting sqref="P24">
    <cfRule type="cellIs" dxfId="24" priority="24" operator="equal">
      <formula>"Above MAV"</formula>
    </cfRule>
    <cfRule type="cellIs" dxfId="23" priority="25" operator="equal">
      <formula>"ALERT"</formula>
    </cfRule>
  </conditionalFormatting>
  <conditionalFormatting sqref="O24">
    <cfRule type="cellIs" dxfId="22" priority="22" operator="equal">
      <formula>"Above MAV"</formula>
    </cfRule>
    <cfRule type="cellIs" dxfId="21" priority="23" operator="equal">
      <formula>"ALERT"</formula>
    </cfRule>
  </conditionalFormatting>
  <conditionalFormatting sqref="O25">
    <cfRule type="cellIs" dxfId="20" priority="20" operator="equal">
      <formula>"Above MAV"</formula>
    </cfRule>
    <cfRule type="cellIs" dxfId="19" priority="21" operator="equal">
      <formula>"ALERT"</formula>
    </cfRule>
  </conditionalFormatting>
  <conditionalFormatting sqref="P25">
    <cfRule type="cellIs" dxfId="18" priority="18" operator="equal">
      <formula>"Above MAV"</formula>
    </cfRule>
    <cfRule type="cellIs" dxfId="17" priority="19" operator="equal">
      <formula>"ALERT"</formula>
    </cfRule>
  </conditionalFormatting>
  <conditionalFormatting sqref="D12">
    <cfRule type="cellIs" dxfId="16" priority="17" operator="lessThan">
      <formula>$D$12&lt;0</formula>
    </cfRule>
  </conditionalFormatting>
  <conditionalFormatting sqref="G24">
    <cfRule type="cellIs" dxfId="15" priority="15" operator="equal">
      <formula>"Above MAV"</formula>
    </cfRule>
    <cfRule type="cellIs" dxfId="14" priority="16" operator="equal">
      <formula>"ALERT"</formula>
    </cfRule>
  </conditionalFormatting>
  <conditionalFormatting sqref="F24">
    <cfRule type="cellIs" dxfId="13" priority="13" operator="equal">
      <formula>"Above MAV"</formula>
    </cfRule>
    <cfRule type="cellIs" dxfId="12" priority="14" operator="equal">
      <formula>"ALERT"</formula>
    </cfRule>
  </conditionalFormatting>
  <conditionalFormatting sqref="F25">
    <cfRule type="cellIs" dxfId="11" priority="11" operator="equal">
      <formula>"Above MAV"</formula>
    </cfRule>
    <cfRule type="cellIs" dxfId="10" priority="12" operator="equal">
      <formula>"ALERT"</formula>
    </cfRule>
  </conditionalFormatting>
  <conditionalFormatting sqref="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F30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G29:G30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H12:I12">
    <cfRule type="containsText" dxfId="3" priority="4" operator="containsText" text="Hardness">
      <formula>NOT(ISERROR(SEARCH("Hardness",H12)))</formula>
    </cfRule>
  </conditionalFormatting>
  <conditionalFormatting sqref="Q29:Q30">
    <cfRule type="cellIs" dxfId="2" priority="2" operator="equal">
      <formula>"Above MAV"</formula>
    </cfRule>
    <cfRule type="cellIs" dxfId="1" priority="3" operator="equal">
      <formula>"ALERT"</formula>
    </cfRule>
  </conditionalFormatting>
  <conditionalFormatting sqref="L38">
    <cfRule type="containsText" dxfId="0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Normal="110" workbookViewId="0">
      <selection activeCell="F37" sqref="E37:F3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134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5</v>
      </c>
      <c r="I4" s="132"/>
      <c r="J4" s="132"/>
    </row>
    <row r="5" spans="1:11" ht="22.5" customHeight="1">
      <c r="B5" s="66" t="s">
        <v>7</v>
      </c>
      <c r="C5" s="132"/>
      <c r="D5" s="132"/>
      <c r="E5" s="132"/>
      <c r="F5" s="132"/>
      <c r="G5" s="8"/>
      <c r="H5" s="66" t="s">
        <v>9</v>
      </c>
      <c r="I5" s="132"/>
      <c r="J5" s="132"/>
    </row>
    <row r="6" spans="1:11" ht="22.5" customHeight="1">
      <c r="B6" s="66" t="s">
        <v>11</v>
      </c>
      <c r="C6" s="140"/>
      <c r="D6" s="140"/>
      <c r="E6" s="140"/>
      <c r="F6" s="140"/>
      <c r="G6" s="8"/>
      <c r="H6" s="66" t="s">
        <v>13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15</v>
      </c>
      <c r="C9" s="68" t="s">
        <v>16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26</v>
      </c>
      <c r="C10" s="11" t="s">
        <v>27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29</v>
      </c>
      <c r="C11" s="10" t="s">
        <v>30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31</v>
      </c>
      <c r="C12" s="10" t="s">
        <v>30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33</v>
      </c>
      <c r="C13" s="10" t="s">
        <v>30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40</v>
      </c>
      <c r="C14" s="10" t="s">
        <v>41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42</v>
      </c>
      <c r="C15" s="10" t="s">
        <v>43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44</v>
      </c>
      <c r="C16" s="10" t="s">
        <v>45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48</v>
      </c>
      <c r="C17" s="10" t="s">
        <v>45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51</v>
      </c>
      <c r="C18" s="10" t="s">
        <v>45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53</v>
      </c>
      <c r="C19" s="10" t="s">
        <v>45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55</v>
      </c>
      <c r="C20" s="10" t="s">
        <v>45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57</v>
      </c>
      <c r="C21" s="10" t="s">
        <v>45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59</v>
      </c>
      <c r="C22" s="10" t="s">
        <v>45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60</v>
      </c>
      <c r="C23" s="69" t="s">
        <v>135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63</v>
      </c>
      <c r="C24" s="10" t="s">
        <v>64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67</v>
      </c>
      <c r="C25" s="10" t="s">
        <v>68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72</v>
      </c>
      <c r="C26" s="10" t="s">
        <v>73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4"/>
      <c r="C27" s="4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7" t="s">
        <v>25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102</v>
      </c>
      <c r="C29" s="48" t="s">
        <v>136</v>
      </c>
      <c r="D29" s="51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103</v>
      </c>
      <c r="C30" s="48" t="s">
        <v>136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104</v>
      </c>
      <c r="C31" s="48" t="s">
        <v>136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105</v>
      </c>
      <c r="C32" s="48" t="s">
        <v>136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119</v>
      </c>
      <c r="C33" s="48" t="s">
        <v>136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121</v>
      </c>
      <c r="C34" s="48" t="s">
        <v>136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137</v>
      </c>
      <c r="C35" s="48" t="s">
        <v>136</v>
      </c>
      <c r="D35" s="49"/>
      <c r="E35" s="49"/>
      <c r="F35" s="49"/>
      <c r="G35" s="49"/>
      <c r="H35" s="49"/>
      <c r="I35" s="49"/>
      <c r="J35" s="50"/>
      <c r="K35" s="5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6B581D1-52FC-4AAB-A1BE-23246A994D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purl.org/dc/elements/1.1/"/>
    <ds:schemaRef ds:uri="http://schemas.openxmlformats.org/package/2006/metadata/core-properties"/>
    <ds:schemaRef ds:uri="7d810c15-f90f-49da-a0e3-a69cb093d57d"/>
    <ds:schemaRef ds:uri="http://schemas.microsoft.com/office/infopath/2007/PartnerControls"/>
    <ds:schemaRef ds:uri="df3d46c1-1a59-485a-af3a-7064b4cd56c1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Ella Dudley</cp:lastModifiedBy>
  <cp:revision/>
  <cp:lastPrinted>2023-06-09T02:49:35Z</cp:lastPrinted>
  <dcterms:created xsi:type="dcterms:W3CDTF">2017-07-10T05:27:40Z</dcterms:created>
  <dcterms:modified xsi:type="dcterms:W3CDTF">2023-06-09T02:56:08Z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