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6 June/"/>
    </mc:Choice>
  </mc:AlternateContent>
  <xr:revisionPtr revIDLastSave="115" documentId="13_ncr:1_{437CB799-6185-482E-8983-3DB59875094D}" xr6:coauthVersionLast="47" xr6:coauthVersionMax="47" xr10:uidLastSave="{EE96D9DF-3D2A-4EF4-BF42-248E9E50ACEE}"/>
  <bookViews>
    <workbookView xWindow="-120" yWindow="-120" windowWidth="51840" windowHeight="2124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P9" i="9"/>
  <c r="Q16" i="9"/>
  <c r="Q17" i="9"/>
  <c r="Q18" i="9"/>
  <c r="Q21" i="9"/>
  <c r="Q22" i="9"/>
  <c r="Q23" i="9"/>
  <c r="P23" i="9"/>
  <c r="P22" i="9"/>
  <c r="P21" i="9"/>
  <c r="P18" i="9"/>
  <c r="P17" i="9"/>
  <c r="P16" i="9"/>
  <c r="Q14" i="9"/>
  <c r="Q15" i="9"/>
  <c r="P15" i="9"/>
  <c r="P14" i="9"/>
  <c r="G13" i="9"/>
  <c r="F13" i="9"/>
  <c r="G12" i="9"/>
  <c r="F12" i="9"/>
  <c r="E12" i="9"/>
  <c r="Q12" i="9" s="1"/>
  <c r="E13" i="9"/>
  <c r="Q13" i="9" s="1"/>
  <c r="P10" i="9"/>
  <c r="P11" i="9"/>
  <c r="D13" i="9"/>
  <c r="P13" i="9" s="1"/>
  <c r="Q10" i="9"/>
  <c r="Q11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 s="1"/>
  <c r="Q20" i="9"/>
  <c r="Q19" i="9" s="1"/>
  <c r="E19" i="9"/>
  <c r="N25" i="22"/>
  <c r="G20" i="9"/>
  <c r="G19" i="9"/>
  <c r="D25" i="22"/>
  <c r="D24" i="22"/>
  <c r="N24" i="22"/>
  <c r="N25" i="27"/>
  <c r="F20" i="9"/>
  <c r="F19" i="9"/>
  <c r="D25" i="27"/>
  <c r="D24" i="27"/>
  <c r="N24" i="27"/>
</calcChain>
</file>

<file path=xl/sharedStrings.xml><?xml version="1.0" encoding="utf-8"?>
<sst xmlns="http://schemas.openxmlformats.org/spreadsheetml/2006/main" count="1896" uniqueCount="231">
  <si>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</si>
  <si>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</si>
  <si>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</si>
  <si>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</si>
  <si>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</si>
  <si>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</si>
  <si>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</si>
  <si>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</si>
  <si>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</si>
  <si>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</si>
  <si>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</si>
  <si>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</si>
  <si>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</si>
  <si>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</si>
  <si>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</si>
  <si>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</si>
  <si>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</si>
  <si>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</si>
  <si>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</si>
  <si>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</si>
  <si>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</si>
  <si>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</si>
  <si>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</si>
  <si>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</si>
  <si>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</si>
  <si>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</si>
  <si>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</si>
  <si>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</si>
  <si>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</si>
  <si>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</si>
  <si>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</si>
  <si>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</si>
  <si>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</si>
  <si>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</si>
  <si>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</si>
  <si>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</si>
  <si>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</si>
  <si>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</si>
  <si>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</si>
  <si>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</si>
  <si>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</si>
  <si>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</si>
  <si>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</si>
  <si>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</si>
  <si>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</si>
  <si>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</si>
  <si>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</si>
  <si>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</si>
  <si>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</si>
  <si>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</si>
  <si>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</si>
  <si>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</si>
  <si>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</si>
  <si>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</si>
  <si>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</si>
  <si>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</si>
  <si>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</si>
  <si>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</si>
  <si>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</si>
  <si>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</si>
  <si>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</si>
  <si>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</si>
  <si>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</si>
  <si>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</si>
  <si>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</si>
  <si>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</si>
  <si>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</si>
  <si>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</si>
  <si>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</si>
  <si>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</si>
  <si>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</si>
  <si>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</si>
  <si>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</si>
  <si>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</si>
  <si>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</si>
  <si>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</si>
  <si>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</si>
  <si>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</si>
  <si>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</si>
  <si>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</si>
  <si>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</si>
  <si>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</si>
  <si>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</si>
  <si>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</si>
  <si>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</si>
  <si>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</si>
  <si>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</si>
  <si>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</si>
  <si>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</si>
  <si>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</si>
  <si>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</si>
  <si>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</si>
  <si>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</si>
  <si>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</si>
  <si>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</si>
  <si>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</si>
  <si>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</si>
  <si>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</si>
  <si>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</si>
  <si>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</si>
  <si>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</si>
  <si>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</si>
  <si>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</si>
  <si>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</si>
  <si>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</si>
  <si>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</si>
  <si>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</si>
  <si>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</si>
  <si>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</si>
  <si>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</si>
  <si>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</si>
  <si>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</si>
  <si>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</si>
  <si>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</si>
  <si>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</si>
  <si>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</si>
  <si>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</si>
  <si>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</si>
  <si>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</si>
  <si>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</si>
  <si>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</si>
  <si>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</si>
  <si>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</si>
  <si>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</si>
  <si>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</si>
  <si>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</si>
  <si>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</si>
  <si>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</si>
  <si>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</si>
  <si>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</si>
  <si>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</si>
  <si>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</si>
  <si>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</si>
  <si>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</si>
  <si>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</si>
  <si>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</si>
  <si>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</si>
  <si>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</si>
  <si>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</si>
  <si>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</si>
  <si>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</si>
  <si>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</si>
  <si>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</si>
  <si>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</si>
  <si>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</si>
  <si>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</si>
  <si>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</si>
  <si>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</si>
  <si>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</si>
  <si>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</si>
  <si>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</si>
  <si>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</si>
  <si>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</si>
  <si>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</si>
  <si>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</si>
  <si>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</si>
  <si>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</si>
  <si>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</si>
  <si>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</si>
  <si>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</si>
  <si>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</si>
  <si>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</si>
  <si>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</si>
  <si>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</si>
  <si>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</si>
  <si>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</si>
  <si>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</si>
  <si>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</si>
  <si>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</si>
  <si>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</si>
  <si>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</si>
  <si>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</si>
  <si>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</si>
  <si>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</si>
  <si>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</si>
  <si>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</si>
  <si>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</si>
  <si>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</si>
  <si>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</si>
  <si>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</si>
  <si>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</si>
  <si>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</si>
  <si>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</si>
  <si>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</si>
  <si>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</si>
  <si>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</si>
  <si>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</si>
  <si>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</si>
  <si>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</si>
  <si>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</si>
  <si>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</si>
  <si>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</si>
  <si>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</si>
  <si>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</si>
  <si>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</si>
  <si>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</si>
  <si>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</si>
  <si>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</si>
  <si>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</si>
  <si>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</si>
  <si>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</si>
  <si>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</si>
  <si>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</si>
  <si>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</si>
  <si>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</si>
  <si>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</si>
  <si>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</si>
  <si>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</si>
  <si>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</si>
  <si>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</si>
  <si>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</si>
  <si>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</si>
  <si>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</si>
  <si>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</si>
  <si>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</si>
  <si>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</si>
  <si>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</si>
  <si>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</si>
  <si>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</si>
  <si>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</si>
  <si>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</si>
  <si>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</si>
  <si>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</si>
  <si>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</si>
  <si>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</si>
  <si>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</si>
  <si>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Think Water Marlborough</t>
  </si>
  <si>
    <t>Babich Winery</t>
  </si>
  <si>
    <t>20230622SRT01</t>
  </si>
  <si>
    <t>Before Softener</t>
  </si>
  <si>
    <t>After Softener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</si>
</sst>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45106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45106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45106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45106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 t="s">
        <v>130</v>
      </c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1" t="s">
        <v>71</v>
      </c>
      <c r="F39" s="141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45106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45106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45106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45106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T9" sqref="T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11.7109375" style="1" bestFit="1" customWidth="1"/>
    <col min="5" max="5" width="11.140625" style="1" customWidth="1"/>
    <col min="6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15" width="10" style="1" customWidth="1"/>
    <col min="16" max="16" width="14.42578125" style="1" customWidth="1"/>
    <col min="17" max="17" width="15" style="1" customWidth="1"/>
    <col min="18" max="18" width="10.140625" style="1" customWidth="1"/>
    <col min="19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Think Water Marlborough</v>
      </c>
      <c r="Q3" s="8"/>
      <c r="R3" s="8"/>
      <c r="S3" s="9" t="s">
        <v>4</v>
      </c>
      <c r="U3" s="57" t="str">
        <f>I3</f>
        <v>20230622SRT01</v>
      </c>
    </row>
    <row r="4" spans="1:21" ht="15.7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45106</v>
      </c>
      <c r="J4" s="130"/>
      <c r="K4" s="57"/>
      <c r="M4" s="3" t="str">
        <f>IF(ISBLANK(C4),"REFERENCE NAME",C4)</f>
        <v>Babich Winery</v>
      </c>
      <c r="Q4" s="8"/>
      <c r="R4" s="8"/>
      <c r="S4" s="9" t="s">
        <v>7</v>
      </c>
      <c r="U4" s="58">
        <f ca="1">I4</f>
        <v>45106</v>
      </c>
    </row>
    <row r="5" spans="1:21">
      <c r="B5" s="66" t="s">
        <v>8</v>
      </c>
      <c r="C5" s="119" t="s">
        <v>143</v>
      </c>
      <c r="D5" s="119"/>
      <c r="E5" s="119"/>
      <c r="F5" s="119"/>
      <c r="G5" s="8"/>
      <c r="H5" s="66" t="s">
        <v>10</v>
      </c>
      <c r="I5" s="131">
        <f ca="1">TODAY()</f>
        <v>45106</v>
      </c>
      <c r="J5" s="130"/>
      <c r="K5" s="57"/>
      <c r="M5" s="9" t="s">
        <v>8</v>
      </c>
      <c r="N5" s="57" t="str">
        <f>IF(ISBLANK(C5),"TBC",C5)</f>
        <v>Surface Water</v>
      </c>
      <c r="Q5" s="8"/>
      <c r="R5" s="8"/>
      <c r="S5" s="9" t="s">
        <v>10</v>
      </c>
      <c r="U5" s="58">
        <f ca="1">I5</f>
        <v>45106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</row>
    <row r="8" spans="1:21">
      <c r="A8" s="4"/>
      <c r="B8" s="67" t="s">
        <v>11</v>
      </c>
      <c r="C8" s="68" t="s">
        <v>12</v>
      </c>
      <c r="D8" s="68" t="s">
        <v>229</v>
      </c>
      <c r="E8" s="68" t="s">
        <v>230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229</v>
      </c>
      <c r="Q8" s="60" t="s">
        <v>230</v>
      </c>
    </row>
    <row r="9" spans="1:21">
      <c r="A9" s="4"/>
      <c r="B9" s="10" t="s">
        <v>22</v>
      </c>
      <c r="C9" s="11" t="s">
        <v>23</v>
      </c>
      <c r="D9" s="14">
        <v>6.7</v>
      </c>
      <c r="E9" s="14">
        <v>7</v>
      </c>
      <c r="F9" s="14"/>
      <c r="G9" s="14"/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6.7</v>
      </c>
      <c r="Q9" s="14">
        <f t="shared" ref="Q9" si="0">E9</f>
        <v>7</v>
      </c>
    </row>
    <row r="10" spans="1:21">
      <c r="A10" s="4"/>
      <c r="B10" s="10" t="s">
        <v>25</v>
      </c>
      <c r="C10" s="10" t="s">
        <v>26</v>
      </c>
      <c r="D10" s="15">
        <v>40</v>
      </c>
      <c r="E10" s="15">
        <v>50</v>
      </c>
      <c r="F10" s="15"/>
      <c r="G10" s="15"/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Q11" si="1">IF(D10&lt;5,"&lt;5",D10)</f>
        <v>40</v>
      </c>
      <c r="Q10" s="15">
        <f t="shared" si="1"/>
        <v>50</v>
      </c>
    </row>
    <row r="11" spans="1:21">
      <c r="A11" s="4"/>
      <c r="B11" s="10" t="s">
        <v>27</v>
      </c>
      <c r="C11" s="10" t="s">
        <v>26</v>
      </c>
      <c r="D11" s="15">
        <v>30</v>
      </c>
      <c r="E11" s="15">
        <v>0</v>
      </c>
      <c r="F11" s="15"/>
      <c r="G11" s="15"/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30</v>
      </c>
      <c r="Q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15.953582531769216</v>
      </c>
      <c r="E12" s="75">
        <f>2*(IF(E10&lt;5,5,E10)-(5*10^(E9-10)))/(1+(0.94*10^(E9-10)))*10^(6-E9)</f>
        <v>9.989609766819191</v>
      </c>
      <c r="F12" s="75">
        <f t="shared" ref="F12:G12" si="2">2*(IF(F10&lt;5,5,F10)-(5*10^(F9-10)))/(1+(0.94*10^(F9-10)))*10^(6-F9)</f>
        <v>9999999.9980600011</v>
      </c>
      <c r="G12" s="75">
        <f t="shared" si="2"/>
        <v>9999999.9980600011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15.953582531769216</v>
      </c>
      <c r="Q12" s="15">
        <f t="shared" ref="Q12" si="3">IF(E12&lt;1,"&lt;1",E12)</f>
        <v>9.989609766819191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-2.3999999999999986</v>
      </c>
      <c r="E13" s="76">
        <f>+E9+0.5+VLOOKUP(IF(E10&lt;5,5,E10),LSI!$F$2:$G$25,2)+VLOOKUP(IF(E11&lt;5,5,E11),LSI!$H$2:$I$25,2)-12.1</f>
        <v>-2.5999999999999996</v>
      </c>
      <c r="F13" s="76">
        <f>+F9+0.5+VLOOKUP(IF(F10&lt;5,5,F10),LSI!$F$2:$G$25,2)+VLOOKUP(IF(F11&lt;5,5,F11),LSI!$H$2:$I$25,2)-12.1</f>
        <v>-10.6</v>
      </c>
      <c r="G13" s="76">
        <f>+G9+0.5+VLOOKUP(IF(G10&lt;5,5,G10),LSI!$F$2:$G$25,2)+VLOOKUP(IF(G11&lt;5,5,G11),LSI!$H$2:$I$25,2)-12.1</f>
        <v>-10.6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-2.3999999999999986</v>
      </c>
      <c r="Q13" s="11">
        <f t="shared" ref="Q13" si="4">E13</f>
        <v>-2.5999999999999996</v>
      </c>
    </row>
    <row r="14" spans="1:21">
      <c r="A14" s="4"/>
      <c r="B14" s="10" t="s">
        <v>40</v>
      </c>
      <c r="C14" s="10" t="s">
        <v>41</v>
      </c>
      <c r="D14" s="11">
        <v>0.03</v>
      </c>
      <c r="E14" s="11" t="s">
        <v>139</v>
      </c>
      <c r="F14" s="11"/>
      <c r="G14" s="11"/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Q15" si="5">IF(D14&lt;0.01,"&lt;0.01",D14)</f>
        <v>0.03</v>
      </c>
      <c r="Q14" s="11" t="str">
        <f t="shared" si="5"/>
        <v>&lt;0.01</v>
      </c>
    </row>
    <row r="15" spans="1:21">
      <c r="A15" s="4"/>
      <c r="B15" s="10" t="s">
        <v>44</v>
      </c>
      <c r="C15" s="10" t="s">
        <v>41</v>
      </c>
      <c r="D15" s="11" t="s">
        <v>139</v>
      </c>
      <c r="E15" s="11" t="s">
        <v>139</v>
      </c>
      <c r="F15" s="11"/>
      <c r="G15" s="11"/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5"/>
        <v>&lt;0.01</v>
      </c>
      <c r="Q15" s="11" t="str">
        <f t="shared" si="5"/>
        <v>&lt;0.01</v>
      </c>
    </row>
    <row r="16" spans="1:21">
      <c r="A16" s="4"/>
      <c r="B16" s="10" t="s">
        <v>51</v>
      </c>
      <c r="C16" s="10" t="s">
        <v>41</v>
      </c>
      <c r="D16" s="11">
        <v>93</v>
      </c>
      <c r="E16" s="11">
        <v>91</v>
      </c>
      <c r="F16" s="11"/>
      <c r="G16" s="11"/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93</v>
      </c>
      <c r="Q16" s="11">
        <f>IF(E16&lt;10,"&lt;10",E16)</f>
        <v>91</v>
      </c>
    </row>
    <row r="17" spans="1:22">
      <c r="A17" s="4"/>
      <c r="B17" s="10" t="s">
        <v>53</v>
      </c>
      <c r="C17" s="10" t="s">
        <v>41</v>
      </c>
      <c r="D17" s="15">
        <v>11</v>
      </c>
      <c r="E17" s="15">
        <v>6</v>
      </c>
      <c r="F17" s="15"/>
      <c r="G17" s="15"/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11</v>
      </c>
      <c r="Q17" s="11">
        <f t="shared" ref="Q17:Q18" si="6">IF(E17&lt;1,"&lt;1",E17)</f>
        <v>6</v>
      </c>
    </row>
    <row r="18" spans="1:22">
      <c r="A18" s="4"/>
      <c r="B18" s="10" t="s">
        <v>55</v>
      </c>
      <c r="C18" s="10" t="s">
        <v>41</v>
      </c>
      <c r="D18" s="15">
        <v>16</v>
      </c>
      <c r="E18" s="15">
        <v>36</v>
      </c>
      <c r="F18" s="15"/>
      <c r="G18" s="15"/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16</v>
      </c>
      <c r="Q18" s="11">
        <f t="shared" si="6"/>
        <v>36</v>
      </c>
    </row>
    <row r="19" spans="1:22" hidden="1">
      <c r="A19" s="4"/>
      <c r="B19" s="10" t="s">
        <v>56</v>
      </c>
      <c r="C19" s="10" t="s">
        <v>57</v>
      </c>
      <c r="D19" s="14">
        <f>D20/10</f>
        <v>13.1</v>
      </c>
      <c r="E19" s="14">
        <f t="shared" ref="E19:G19" si="7">E20/10</f>
        <v>12.8</v>
      </c>
      <c r="F19" s="14">
        <f t="shared" ca="1" si="7"/>
        <v>0</v>
      </c>
      <c r="G19" s="14">
        <f t="shared" ca="1" si="7"/>
        <v>0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13.1</v>
      </c>
      <c r="Q19" s="14">
        <f t="shared" ref="Q19" si="8">Q20/10</f>
        <v>12.8</v>
      </c>
    </row>
    <row r="20" spans="1:22">
      <c r="A20" s="4"/>
      <c r="B20" s="10" t="s">
        <v>56</v>
      </c>
      <c r="C20" s="10" t="s">
        <v>58</v>
      </c>
      <c r="D20" s="15">
        <v>131</v>
      </c>
      <c r="E20" s="15">
        <v>128</v>
      </c>
      <c r="F20" s="15">
        <f t="shared" ref="F20:G20" ca="1" si="9">F19*1000</f>
        <v>0</v>
      </c>
      <c r="G20" s="15">
        <f t="shared" ca="1" si="9"/>
        <v>0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Q20" si="10">D20</f>
        <v>131</v>
      </c>
      <c r="Q20" s="14">
        <f t="shared" si="10"/>
        <v>128</v>
      </c>
    </row>
    <row r="21" spans="1:22">
      <c r="A21" s="4"/>
      <c r="B21" s="10" t="s">
        <v>59</v>
      </c>
      <c r="C21" s="10" t="s">
        <v>60</v>
      </c>
      <c r="D21" s="11" t="s">
        <v>140</v>
      </c>
      <c r="E21" s="11">
        <v>1.89</v>
      </c>
      <c r="F21" s="11"/>
      <c r="G21" s="11"/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 t="str">
        <f>IF(D21&lt;0.05,"&lt;0.05",D21)</f>
        <v>&lt;0.05</v>
      </c>
      <c r="Q21" s="14">
        <f>IF(E21&lt;0.05,"&lt;0.05",E21)</f>
        <v>1.89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/>
      <c r="G22" s="15"/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Q23" si="11">IF(E22&lt;5,"&lt;5",E22)</f>
        <v>&lt;5</v>
      </c>
    </row>
    <row r="23" spans="1:22">
      <c r="A23" s="4"/>
      <c r="B23" s="10" t="s">
        <v>67</v>
      </c>
      <c r="C23" s="10" t="s">
        <v>68</v>
      </c>
      <c r="D23" s="14">
        <v>99.3</v>
      </c>
      <c r="E23" s="14">
        <v>99</v>
      </c>
      <c r="F23" s="14"/>
      <c r="G23" s="14"/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99.3</v>
      </c>
      <c r="Q23" s="14">
        <f t="shared" si="11"/>
        <v>99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222</v>
      </c>
      <c r="F26" s="128"/>
      <c r="G26" s="10" t="s">
        <v>72</v>
      </c>
      <c r="H26" s="128" t="s">
        <v>73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222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 hidden="1">
      <c r="A28" s="4"/>
      <c r="B28" s="10" t="s">
        <v>95</v>
      </c>
      <c r="C28" s="119" t="s">
        <v>70</v>
      </c>
      <c r="D28" s="119"/>
      <c r="E28" s="128"/>
      <c r="F28" s="128"/>
      <c r="G28" s="10" t="s">
        <v>72</v>
      </c>
      <c r="H28" s="128"/>
      <c r="I28" s="128"/>
      <c r="J28" s="128"/>
      <c r="K28" s="47"/>
      <c r="L28" s="4"/>
      <c r="M28" s="10" t="s">
        <v>95</v>
      </c>
      <c r="N28" s="48" t="str">
        <f>CONCATENATE(C28, " ", E28," ", G28, " ", H28)</f>
        <v xml:space="preserve">The sample was   with </v>
      </c>
      <c r="O28" s="49"/>
      <c r="P28" s="49"/>
      <c r="Q28" s="49"/>
      <c r="R28" s="49"/>
      <c r="S28" s="49"/>
      <c r="T28" s="49"/>
      <c r="U28" s="50"/>
      <c r="V28" s="5"/>
    </row>
    <row r="29" spans="1:22" hidden="1">
      <c r="A29" s="4"/>
      <c r="B29" s="10" t="s">
        <v>96</v>
      </c>
      <c r="C29" s="119" t="s">
        <v>70</v>
      </c>
      <c r="D29" s="119"/>
      <c r="E29" s="128"/>
      <c r="F29" s="128"/>
      <c r="G29" s="10" t="s">
        <v>72</v>
      </c>
      <c r="H29" s="128"/>
      <c r="I29" s="128"/>
      <c r="J29" s="128"/>
      <c r="K29" s="47"/>
      <c r="L29" s="4"/>
      <c r="M29" s="10" t="s">
        <v>96</v>
      </c>
      <c r="N29" s="48" t="str">
        <f>CONCATENATE(C29, " ", E29," ", G29, " ", H29)</f>
        <v xml:space="preserve">The sample was   with 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D16" sqref="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14.140625" style="1" customWidth="1"/>
    <col min="5" max="5" width="14.42578125" style="1" customWidth="1"/>
    <col min="6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2" t="s">
        <v>228</v>
      </c>
      <c r="J3" s="132"/>
      <c r="O3" s="1" t="str">
        <f>IF(ISBLANK(C3),"DEALER NAME",C3)</f>
        <v>Think Water Marlborough</v>
      </c>
      <c r="S3" s="8"/>
      <c r="T3" s="8"/>
      <c r="U3" s="9" t="s">
        <v>4</v>
      </c>
      <c r="W3" s="57" t="str">
        <f>I3</f>
        <v>20230622SRT01</v>
      </c>
    </row>
    <row r="4" spans="1:23" ht="15.7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3">
        <v>45099</v>
      </c>
      <c r="J4" s="132"/>
      <c r="O4" s="3" t="str">
        <f>IF(ISBLANK(C4),"REFERENCE NAME",C4)</f>
        <v>Babich Winery</v>
      </c>
      <c r="S4" s="8"/>
      <c r="T4" s="8"/>
      <c r="U4" s="9" t="s">
        <v>7</v>
      </c>
      <c r="W4" s="58">
        <f ca="1">TODAY()</f>
        <v>45106</v>
      </c>
    </row>
    <row r="5" spans="1:23">
      <c r="B5" s="66" t="s">
        <v>8</v>
      </c>
      <c r="C5" s="119" t="s">
        <v>111</v>
      </c>
      <c r="D5" s="119"/>
      <c r="E5" s="119"/>
      <c r="F5" s="119"/>
      <c r="G5" s="8"/>
      <c r="H5" s="66" t="s">
        <v>9</v>
      </c>
      <c r="I5" s="133">
        <v>45099</v>
      </c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45106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 t="s">
        <v>229</v>
      </c>
      <c r="E8" s="68" t="s">
        <v>230</v>
      </c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>
        <v>6.7</v>
      </c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6.7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>
        <v>40</v>
      </c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>
        <f>IF(D10&lt;5,"&lt;5",D10)</f>
        <v>40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>
        <v>30</v>
      </c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>
        <f>IF(D11&lt;5,"&lt;5",D11)</f>
        <v>30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>
        <v>0.03</v>
      </c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2">D11-D12</f>
        <v>29.97</v>
      </c>
      <c r="E13" s="75">
        <f t="shared" si="2"/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>
        <f>IF(D13&lt;5,"&lt;5",D13)</f>
        <v>29.97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3">2*(IF(D10&lt;5,5,D10)-(5*10^(D9-10)))/(1+(0.94*10^(D9-10)))*10^(6-D9)</f>
        <v>15.953582531769216</v>
      </c>
      <c r="E14" s="75">
        <f t="shared" si="3"/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15.953582531769216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-2.3999999999999986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-2.3999999999999986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222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clear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222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clear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4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45106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45106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45106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45106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45106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45106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7"/>
      <c r="S29" s="138"/>
      <c r="T29" s="139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45106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45106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45106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45106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7"/>
      <c r="S29" s="138"/>
      <c r="T29" s="139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7d810c15-f90f-49da-a0e3-a69cb093d57d"/>
    <ds:schemaRef ds:uri="http://schemas.microsoft.com/office/infopath/2007/PartnerControls"/>
    <ds:schemaRef ds:uri="http://schemas.openxmlformats.org/package/2006/metadata/core-properties"/>
    <ds:schemaRef ds:uri="df3d46c1-1a59-485a-af3a-7064b4cd56c1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cp:lastPrinted>2023-06-29T02:53:43Z</cp:lastPrinted>
  <dcterms:created xsi:type="dcterms:W3CDTF">2017-07-10T05:27:40Z</dcterms:created>
  <dcterms:modified xsi:type="dcterms:W3CDTF">2023-06-29T04:30:09Z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