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5 May/"/>
    </mc:Choice>
  </mc:AlternateContent>
  <xr:revisionPtr revIDLastSave="1" documentId="13_ncr:1_{EA707D04-9BDE-475F-BB1E-5A99CB966BA3}" xr6:coauthVersionLast="47" xr6:coauthVersionMax="47" xr10:uidLastSave="{C3D41AA0-C441-4A7C-B74B-86BFD72FE604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2" l="1"/>
  <c r="C22" i="26"/>
  <c r="C34" i="18"/>
  <c r="Q17" i="27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L36" i="22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L22" i="26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L34" i="18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P20" i="9"/>
  <c r="P19" i="9" s="1"/>
  <c r="D19" i="9"/>
  <c r="Q20" i="9"/>
  <c r="Q19" i="9" s="1"/>
  <c r="E19" i="9"/>
  <c r="F19" i="9"/>
  <c r="R20" i="9"/>
  <c r="R19" i="9"/>
  <c r="S19" i="9"/>
  <c r="S20" i="9"/>
  <c r="G19" i="9"/>
</calcChain>
</file>

<file path=xl/sharedStrings.xml><?xml version="1.0" encoding="utf-8"?>
<sst xmlns="http://schemas.openxmlformats.org/spreadsheetml/2006/main" count="1923" uniqueCount="233">
  <si>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</si>
  <si>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</si>
  <si>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</si>
  <si>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</si>
  <si>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</si>
  <si>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</si>
  <si>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</si>
  <si>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</si>
  <si>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</si>
  <si>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</si>
  <si>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</si>
  <si>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</si>
  <si>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</si>
  <si>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</si>
  <si>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</si>
  <si>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</si>
  <si>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</si>
  <si>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</si>
  <si>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</si>
  <si>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</si>
  <si>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</si>
  <si>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</si>
  <si>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</si>
  <si>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</si>
  <si>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</si>
  <si>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</si>
  <si>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</si>
  <si>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</si>
  <si>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</si>
  <si>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</si>
  <si>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</si>
  <si>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</si>
  <si>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</si>
  <si>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</si>
  <si>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</si>
  <si>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</si>
  <si>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</si>
  <si>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</si>
  <si>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</si>
  <si>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</si>
  <si>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</si>
  <si>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</si>
  <si>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</si>
  <si>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</si>
  <si>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</si>
  <si>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</si>
  <si>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</si>
  <si>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</si>
  <si>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</si>
  <si>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</si>
  <si>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</si>
  <si>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</si>
  <si>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</si>
  <si>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</si>
  <si>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</si>
  <si>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</si>
  <si>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</si>
  <si>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</si>
  <si>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</si>
  <si>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</si>
  <si>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</si>
  <si>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</si>
  <si>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</si>
  <si>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</si>
  <si>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</si>
  <si>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</si>
  <si>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</si>
  <si>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</si>
  <si>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</si>
  <si>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</si>
  <si>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</si>
  <si>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</si>
  <si>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</si>
  <si>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</si>
  <si>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</si>
  <si>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</si>
  <si>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</si>
  <si>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</si>
  <si>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</si>
  <si>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</si>
  <si>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</si>
  <si>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</si>
  <si>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</si>
  <si>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</si>
  <si>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</si>
  <si>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</si>
  <si>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</si>
  <si>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</si>
  <si>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</si>
  <si>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</si>
  <si>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</si>
  <si>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</si>
  <si>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</si>
  <si>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</si>
  <si>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</si>
  <si>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</si>
  <si>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</si>
  <si>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</si>
  <si>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</si>
  <si>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</si>
  <si>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</si>
  <si>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</si>
  <si>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</si>
  <si>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</si>
  <si>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</si>
  <si>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</si>
  <si>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</si>
  <si>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</si>
  <si>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</si>
  <si>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</si>
  <si>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</si>
  <si>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</si>
  <si>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</si>
  <si>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</si>
  <si>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</si>
  <si>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</si>
  <si>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</si>
  <si>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</si>
  <si>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</si>
  <si>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</si>
  <si>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</si>
  <si>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</si>
  <si>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</si>
  <si>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</si>
  <si>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</si>
  <si>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</si>
  <si>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</si>
  <si>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</si>
  <si>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</si>
  <si>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</si>
  <si>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</si>
  <si>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</si>
  <si>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</si>
  <si>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</si>
  <si>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</si>
  <si>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</si>
  <si>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</si>
  <si>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</si>
  <si>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</si>
  <si>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</si>
  <si>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</si>
  <si>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</si>
  <si>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</si>
  <si>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</si>
  <si>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</si>
  <si>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</si>
  <si>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</si>
  <si>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</si>
  <si>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</si>
  <si>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</si>
  <si>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</si>
  <si>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</si>
  <si>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</si>
  <si>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</si>
  <si>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</si>
  <si>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</si>
  <si>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</si>
  <si>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</si>
  <si>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</si>
  <si>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</si>
  <si>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</si>
  <si>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</si>
  <si>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</si>
  <si>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</si>
  <si>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</si>
  <si>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</si>
  <si>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</si>
  <si>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</si>
  <si>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</si>
  <si>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</si>
  <si>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</si>
  <si>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</si>
  <si>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</si>
  <si>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</si>
  <si>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</si>
  <si>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</si>
  <si>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</si>
  <si>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</si>
  <si>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</si>
  <si>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</si>
  <si>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</si>
  <si>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</si>
  <si>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</si>
  <si>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</si>
  <si>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</si>
  <si>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</si>
  <si>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</si>
  <si>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</si>
  <si>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</si>
  <si>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</si>
  <si>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</si>
  <si>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</si>
  <si>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</si>
  <si>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</si>
  <si>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</si>
  <si>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</si>
  <si>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</si>
  <si>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</si>
  <si>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</si>
  <si>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</si>
  <si>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</si>
  <si>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</si>
  <si>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</si>
  <si>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</si>
  <si>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</si>
  <si>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</si>
  <si>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</si>
  <si>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</si>
  <si>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</si>
  <si>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</si>
  <si>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</si>
  <si>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</si>
  <si>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</si>
  <si>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</si>
  <si>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</si>
  <si>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</si>
  <si>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</si>
  <si>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</si>
  <si>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</si>
  <si>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</si>
  <si>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</si>
  <si>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</si>
  <si>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</si>
  <si>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</si>
  <si>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</si>
  <si>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</si>
  <si>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</si>
  <si>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</si>
  <si>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</si>
  <si>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</si>
  <si>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Paeroa Farm Services</t>
  </si>
  <si>
    <t>K Singh</t>
  </si>
  <si>
    <t>20240528SRT01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</si>
</sst>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topLeftCell="A28" zoomScaleNormal="100" workbookViewId="0">
      <selection activeCell="D11" sqref="D1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45442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>
        <v>7.3</v>
      </c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7.3</v>
      </c>
      <c r="O8" s="11" t="s">
        <v>23</v>
      </c>
      <c r="P8" s="11" t="s">
        <v>22</v>
      </c>
      <c r="Q8" s="11" t="str">
        <f>VLOOKUP(N8,Lookup!C3:D7,2)</f>
        <v>Neutral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>
        <v>40</v>
      </c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>
        <f>IF(D9&lt;5,"&lt;5",D9)</f>
        <v>40</v>
      </c>
      <c r="O9" s="11" t="s">
        <v>22</v>
      </c>
      <c r="P9" s="11" t="s">
        <v>22</v>
      </c>
      <c r="Q9" s="11" t="str">
        <f>VLOOKUP(N9,Lookup!C18:D25,2)</f>
        <v>Low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>
        <v>42</v>
      </c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>
        <f t="shared" ref="N10:N11" si="0">IF(D10&lt;5,"&lt;5",D10)</f>
        <v>42</v>
      </c>
      <c r="O10" s="11" t="s">
        <v>217</v>
      </c>
      <c r="P10" s="11" t="s">
        <v>22</v>
      </c>
      <c r="Q10" s="11" t="str">
        <f>VLOOKUP(N10,Lookup!C27:D33,2)</f>
        <v>Slightly Hard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42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5">
        <f>IF(D12&lt;5,"&lt;5",D12)</f>
        <v>42</v>
      </c>
      <c r="O12" s="11" t="s">
        <v>22</v>
      </c>
      <c r="P12" s="11" t="s">
        <v>22</v>
      </c>
      <c r="Q12" s="11" t="str">
        <f>VLOOKUP(N12,Lookup!C35:D41,2)</f>
        <v>Slightly Hard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4.000993818760521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4.000993818760521</v>
      </c>
      <c r="O13" s="11" t="s">
        <v>22</v>
      </c>
      <c r="P13" s="11" t="s">
        <v>22</v>
      </c>
      <c r="Q13" s="11" t="str">
        <f>VLOOKUP(N13,Lookup!C98:D103,2)</f>
        <v>Low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-1.5999999999999996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-1.5999999999999996</v>
      </c>
      <c r="O14" s="11" t="s">
        <v>22</v>
      </c>
      <c r="P14" s="11" t="s">
        <v>22</v>
      </c>
      <c r="Q14" s="11" t="str">
        <f>VLOOKUP(N14,Lookup!C105:D109,2)</f>
        <v>Corrosive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33" t="str">
        <f t="shared" ref="H19:H21" si="1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33" t="str">
        <f t="shared" si="1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33" t="str">
        <f t="shared" si="1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2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3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4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18"/>
      <c r="S29" s="119"/>
      <c r="T29" s="120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18" t="s">
        <v>61</v>
      </c>
      <c r="D31" s="119"/>
      <c r="E31" s="124" t="s">
        <v>62</v>
      </c>
      <c r="F31" s="124"/>
      <c r="G31" s="49" t="s">
        <v>63</v>
      </c>
      <c r="H31" s="124" t="s">
        <v>64</v>
      </c>
      <c r="I31" s="125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IF(D18&lt;0.3,"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17" t="s">
        <v>216</v>
      </c>
      <c r="N40" s="117"/>
      <c r="O40" s="117"/>
      <c r="P40" s="117"/>
      <c r="Q40" s="117"/>
      <c r="R40" s="117"/>
      <c r="S40" s="117"/>
      <c r="T40" s="117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16" t="s">
        <v>71</v>
      </c>
      <c r="N41" s="117"/>
      <c r="O41" s="117"/>
      <c r="P41" s="117"/>
      <c r="Q41" s="117"/>
      <c r="R41" s="117"/>
      <c r="S41" s="117"/>
      <c r="T41" s="117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16"/>
      <c r="N42" s="117"/>
      <c r="O42" s="117"/>
      <c r="P42" s="117"/>
      <c r="Q42" s="117"/>
      <c r="R42" s="117"/>
      <c r="S42" s="117"/>
      <c r="T42" s="117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H28:I28"/>
    <mergeCell ref="H29:I29"/>
    <mergeCell ref="H23:I23"/>
    <mergeCell ref="H24:I24"/>
    <mergeCell ref="H25:I25"/>
    <mergeCell ref="H26:I26"/>
    <mergeCell ref="H27:I27"/>
    <mergeCell ref="H18:I18"/>
    <mergeCell ref="H19:I19"/>
    <mergeCell ref="H20:I20"/>
    <mergeCell ref="H21:I21"/>
    <mergeCell ref="H22:I22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M42:T42"/>
    <mergeCell ref="R26:T26"/>
    <mergeCell ref="R27:T27"/>
    <mergeCell ref="R28:T28"/>
    <mergeCell ref="R29:T29"/>
    <mergeCell ref="M40:T40"/>
    <mergeCell ref="M41:T41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18" t="s">
        <v>208</v>
      </c>
      <c r="D39" s="119"/>
      <c r="E39" s="148" t="s">
        <v>78</v>
      </c>
      <c r="F39" s="148"/>
      <c r="G39" s="49" t="s">
        <v>209</v>
      </c>
      <c r="H39" s="124" t="s">
        <v>64</v>
      </c>
      <c r="I39" s="124"/>
      <c r="J39" s="12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Normal="100" workbookViewId="0">
      <selection activeCell="C22" sqref="C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45442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31"/>
      <c r="I11" s="132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18" t="s">
        <v>29</v>
      </c>
      <c r="S11" s="119"/>
      <c r="T11" s="120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31"/>
      <c r="I12" s="132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18" t="s">
        <v>29</v>
      </c>
      <c r="S12" s="119"/>
      <c r="T12" s="120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31"/>
      <c r="I13" s="132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18"/>
      <c r="S13" s="119"/>
      <c r="T13" s="120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33" t="str">
        <f>IF(D14&gt;=0.01,"Check if need to increase decimal on the right"," ")</f>
        <v xml:space="preserve"> </v>
      </c>
      <c r="I14" s="134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18"/>
      <c r="S14" s="119"/>
      <c r="T14" s="120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33" t="str">
        <f>IF(D15&gt;=0.01,"Check if need to increase decimal on the right"," ")</f>
        <v xml:space="preserve"> </v>
      </c>
      <c r="I15" s="134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18" t="s">
        <v>41</v>
      </c>
      <c r="S15" s="119"/>
      <c r="T15" s="120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31"/>
      <c r="I16" s="132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18" t="s">
        <v>29</v>
      </c>
      <c r="S16" s="119"/>
      <c r="T16" s="120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31"/>
      <c r="I17" s="132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18"/>
      <c r="S17" s="119"/>
      <c r="T17" s="120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18" t="s">
        <v>61</v>
      </c>
      <c r="D19" s="119"/>
      <c r="E19" s="124" t="s">
        <v>78</v>
      </c>
      <c r="F19" s="124"/>
      <c r="G19" s="49" t="s">
        <v>63</v>
      </c>
      <c r="H19" s="124" t="s">
        <v>79</v>
      </c>
      <c r="I19" s="12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IF(D14&lt;0.3,"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17" t="s">
        <v>216</v>
      </c>
      <c r="N27" s="117"/>
      <c r="O27" s="117"/>
      <c r="P27" s="117"/>
      <c r="Q27" s="117"/>
      <c r="R27" s="117"/>
      <c r="S27" s="117"/>
      <c r="T27" s="11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16" t="s">
        <v>71</v>
      </c>
      <c r="N28" s="117"/>
      <c r="O28" s="117"/>
      <c r="P28" s="117"/>
      <c r="Q28" s="117"/>
      <c r="R28" s="117"/>
      <c r="S28" s="117"/>
      <c r="T28" s="11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16"/>
      <c r="N29" s="117"/>
      <c r="O29" s="117"/>
      <c r="P29" s="117"/>
      <c r="Q29" s="117"/>
      <c r="R29" s="117"/>
      <c r="S29" s="117"/>
      <c r="T29" s="11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H7:I7"/>
    <mergeCell ref="Q7:T7"/>
    <mergeCell ref="C5:F5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4" zoomScale="115" zoomScaleNormal="110" zoomScaleSheetLayoutView="100" zoomScalePageLayoutView="115" workbookViewId="0">
      <selection activeCell="S43" sqref="S43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7" t="s">
        <v>230</v>
      </c>
      <c r="D3" s="137"/>
      <c r="E3" s="137"/>
      <c r="F3" s="137"/>
      <c r="G3" s="8"/>
      <c r="H3" s="66" t="s">
        <v>3</v>
      </c>
      <c r="I3" s="138" t="s">
        <v>232</v>
      </c>
      <c r="J3" s="138"/>
      <c r="K3" s="57"/>
      <c r="M3" s="1" t="str">
        <f>IF(ISBLANK(C3),"DEALER NAME",C3)</f>
        <v>Paeroa Farm Services</v>
      </c>
      <c r="Q3" s="8"/>
      <c r="R3" s="8"/>
      <c r="S3" s="9" t="s">
        <v>3</v>
      </c>
      <c r="U3" s="57" t="str">
        <f>I3</f>
        <v>20240528SRT01</v>
      </c>
    </row>
    <row r="4" spans="1:21" ht="15.75">
      <c r="B4" s="66" t="s">
        <v>5</v>
      </c>
      <c r="C4" s="137" t="s">
        <v>231</v>
      </c>
      <c r="D4" s="137"/>
      <c r="E4" s="137"/>
      <c r="F4" s="137"/>
      <c r="G4" s="8"/>
      <c r="H4" s="66" t="s">
        <v>6</v>
      </c>
      <c r="I4" s="139">
        <v>45440</v>
      </c>
      <c r="J4" s="138"/>
      <c r="K4" s="57"/>
      <c r="M4" s="3" t="str">
        <f>IF(ISBLANK(C4),"REFERENCE NAME",C4)</f>
        <v>K Singh</v>
      </c>
      <c r="Q4" s="8"/>
      <c r="R4" s="8"/>
      <c r="S4" s="9" t="s">
        <v>6</v>
      </c>
      <c r="U4" s="58">
        <f>I4</f>
        <v>45440</v>
      </c>
    </row>
    <row r="5" spans="1:21">
      <c r="B5" s="66" t="s">
        <v>7</v>
      </c>
      <c r="C5" s="135" t="s">
        <v>102</v>
      </c>
      <c r="D5" s="135"/>
      <c r="E5" s="135"/>
      <c r="F5" s="135"/>
      <c r="G5" s="8"/>
      <c r="H5" s="66" t="s">
        <v>8</v>
      </c>
      <c r="I5" s="139">
        <v>45440</v>
      </c>
      <c r="J5" s="138"/>
      <c r="K5" s="57"/>
      <c r="M5" s="9" t="s">
        <v>7</v>
      </c>
      <c r="N5" s="57" t="str">
        <f>IF(ISBLANK(C5),"TBC",C5)</f>
        <v>Ground Water</v>
      </c>
      <c r="Q5" s="8"/>
      <c r="R5" s="8"/>
      <c r="S5" s="9" t="s">
        <v>9</v>
      </c>
      <c r="U5" s="58">
        <f ca="1">TODAY()</f>
        <v>45442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6.6</v>
      </c>
      <c r="E9" s="14">
        <v>6.7</v>
      </c>
      <c r="F9" s="14">
        <v>6.6</v>
      </c>
      <c r="G9" s="14">
        <v>6.4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6.6</v>
      </c>
      <c r="Q9" s="14">
        <f t="shared" ref="Q9:S9" si="0">E9</f>
        <v>6.7</v>
      </c>
      <c r="R9" s="14">
        <f t="shared" si="0"/>
        <v>6.6</v>
      </c>
      <c r="S9" s="14">
        <f t="shared" si="0"/>
        <v>6.4</v>
      </c>
    </row>
    <row r="10" spans="1:21">
      <c r="A10" s="4"/>
      <c r="B10" s="10" t="s">
        <v>24</v>
      </c>
      <c r="C10" s="10" t="s">
        <v>25</v>
      </c>
      <c r="D10" s="15">
        <v>360</v>
      </c>
      <c r="E10" s="15">
        <v>420</v>
      </c>
      <c r="F10" s="15">
        <v>390</v>
      </c>
      <c r="G10" s="15">
        <v>210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360</v>
      </c>
      <c r="Q10" s="15">
        <f t="shared" si="1"/>
        <v>420</v>
      </c>
      <c r="R10" s="15">
        <f t="shared" si="1"/>
        <v>390</v>
      </c>
      <c r="S10" s="15">
        <f t="shared" si="1"/>
        <v>210</v>
      </c>
    </row>
    <row r="11" spans="1:21">
      <c r="A11" s="4"/>
      <c r="B11" s="10" t="s">
        <v>26</v>
      </c>
      <c r="C11" s="10" t="s">
        <v>25</v>
      </c>
      <c r="D11" s="15">
        <v>105</v>
      </c>
      <c r="E11" s="15">
        <v>60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1"/>
        <v>105</v>
      </c>
      <c r="Q11" s="15">
        <f t="shared" si="1"/>
        <v>60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180.78716876055589</v>
      </c>
      <c r="E12" s="75">
        <f>2*(IF(E10&lt;5,5,E10)-(5*10^(E9-10)))/(1+(0.94*10^(E9-10)))*10^(6-E9)</f>
        <v>167.5221121100823</v>
      </c>
      <c r="F12" s="75">
        <f t="shared" ref="F12:G12" si="2">2*(IF(F10&lt;5,5,F10)-(5*10^(F9-10)))/(1+(0.94*10^(F9-10)))*10^(6-F9)</f>
        <v>195.85284945942882</v>
      </c>
      <c r="G12" s="75">
        <f t="shared" si="2"/>
        <v>167.16454118824169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180.78716876055589</v>
      </c>
      <c r="Q12" s="15">
        <f t="shared" ref="Q12:S12" si="3">IF(E12&lt;1,"&lt;1",E12)</f>
        <v>167.5221121100823</v>
      </c>
      <c r="R12" s="15">
        <f t="shared" si="3"/>
        <v>195.85284945942882</v>
      </c>
      <c r="S12" s="15">
        <f t="shared" si="3"/>
        <v>167.16454118824169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-0.90000000000000036</v>
      </c>
      <c r="E13" s="76">
        <f>+E9+0.5+VLOOKUP(IF(E10&lt;5,5,E10),LSI!$F$2:$G$25,2)+VLOOKUP(IF(E11&lt;5,5,E11),LSI!$H$2:$I$25,2)-12.1</f>
        <v>-1</v>
      </c>
      <c r="F13" s="76">
        <f>+F9+0.5+VLOOKUP(IF(F10&lt;5,5,F10),LSI!$F$2:$G$25,2)+VLOOKUP(IF(F11&lt;5,5,F11),LSI!$H$2:$I$25,2)-12.1</f>
        <v>-2.2000000000000011</v>
      </c>
      <c r="G13" s="76">
        <f>+G9+0.5+VLOOKUP(IF(G10&lt;5,5,G10),LSI!$F$2:$G$25,2)+VLOOKUP(IF(G11&lt;5,5,G11),LSI!$H$2:$I$25,2)-12.1</f>
        <v>-2.5999999999999996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-0.90000000000000036</v>
      </c>
      <c r="Q13" s="11">
        <f t="shared" ref="Q13" si="4">E13</f>
        <v>-1</v>
      </c>
      <c r="R13" s="11">
        <f t="shared" ref="R13" si="5">F13</f>
        <v>-2.2000000000000011</v>
      </c>
      <c r="S13" s="11">
        <f t="shared" ref="S13" si="6">G13</f>
        <v>-2.5999999999999996</v>
      </c>
    </row>
    <row r="14" spans="1:21">
      <c r="A14" s="4"/>
      <c r="B14" s="10" t="s">
        <v>38</v>
      </c>
      <c r="C14" s="10" t="s">
        <v>39</v>
      </c>
      <c r="D14" s="11">
        <v>17</v>
      </c>
      <c r="E14" s="11">
        <v>17.2</v>
      </c>
      <c r="F14" s="11">
        <v>0.56999999999999995</v>
      </c>
      <c r="G14" s="11">
        <v>0.04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17</v>
      </c>
      <c r="Q14" s="11">
        <f t="shared" si="7"/>
        <v>17.2</v>
      </c>
      <c r="R14" s="11">
        <f t="shared" si="7"/>
        <v>0.56999999999999995</v>
      </c>
      <c r="S14" s="11">
        <f t="shared" si="7"/>
        <v>0.04</v>
      </c>
    </row>
    <row r="15" spans="1:21">
      <c r="A15" s="4"/>
      <c r="B15" s="10" t="s">
        <v>40</v>
      </c>
      <c r="C15" s="10" t="s">
        <v>39</v>
      </c>
      <c r="D15" s="11">
        <v>0.02</v>
      </c>
      <c r="E15" s="11">
        <v>0.2</v>
      </c>
      <c r="F15" s="11" t="s">
        <v>131</v>
      </c>
      <c r="G15" s="11" t="s">
        <v>131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>
        <f t="shared" si="7"/>
        <v>0.02</v>
      </c>
      <c r="Q15" s="11">
        <f t="shared" si="7"/>
        <v>0.2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46</v>
      </c>
      <c r="C16" s="10" t="s">
        <v>39</v>
      </c>
      <c r="D16" s="11">
        <v>550</v>
      </c>
      <c r="E16" s="11">
        <v>550</v>
      </c>
      <c r="F16" s="11">
        <v>580</v>
      </c>
      <c r="G16" s="11">
        <v>670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550</v>
      </c>
      <c r="Q16" s="11">
        <f>IF(E16&lt;10,"&lt;10",E16)</f>
        <v>550</v>
      </c>
      <c r="R16" s="11">
        <f>IF(F16&lt;10,"&lt;10",F16)</f>
        <v>580</v>
      </c>
      <c r="S16" s="11">
        <f>IF(G16&lt;10,"&lt;10",G16)</f>
        <v>670</v>
      </c>
    </row>
    <row r="17" spans="1:22">
      <c r="A17" s="4"/>
      <c r="B17" s="10" t="s">
        <v>47</v>
      </c>
      <c r="C17" s="10" t="s">
        <v>39</v>
      </c>
      <c r="D17" s="15">
        <v>15</v>
      </c>
      <c r="E17" s="15">
        <v>8</v>
      </c>
      <c r="F17" s="15">
        <v>15</v>
      </c>
      <c r="G17" s="15">
        <v>210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15</v>
      </c>
      <c r="Q17" s="11">
        <f t="shared" ref="Q17:S18" si="8">IF(E17&lt;1,"&lt;1",E17)</f>
        <v>8</v>
      </c>
      <c r="R17" s="11">
        <f t="shared" si="8"/>
        <v>15</v>
      </c>
      <c r="S17" s="11">
        <f t="shared" si="8"/>
        <v>210</v>
      </c>
    </row>
    <row r="18" spans="1:22">
      <c r="A18" s="4"/>
      <c r="B18" s="10" t="s">
        <v>48</v>
      </c>
      <c r="C18" s="10" t="s">
        <v>39</v>
      </c>
      <c r="D18" s="15">
        <v>180</v>
      </c>
      <c r="E18" s="15">
        <v>150</v>
      </c>
      <c r="F18" s="15">
        <v>330</v>
      </c>
      <c r="G18" s="15">
        <v>370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180</v>
      </c>
      <c r="Q18" s="11">
        <f t="shared" si="8"/>
        <v>150</v>
      </c>
      <c r="R18" s="11">
        <f t="shared" si="8"/>
        <v>330</v>
      </c>
      <c r="S18" s="11">
        <f t="shared" si="8"/>
        <v>370</v>
      </c>
    </row>
    <row r="19" spans="1:22" hidden="1">
      <c r="A19" s="4"/>
      <c r="B19" s="10" t="s">
        <v>49</v>
      </c>
      <c r="C19" s="10" t="s">
        <v>50</v>
      </c>
      <c r="D19" s="14">
        <f>D20/10</f>
        <v>78</v>
      </c>
      <c r="E19" s="14">
        <f t="shared" ref="E19:G19" si="9">E20/10</f>
        <v>77.900000000000006</v>
      </c>
      <c r="F19" s="14">
        <f t="shared" si="9"/>
        <v>82.3</v>
      </c>
      <c r="G19" s="14">
        <f t="shared" si="9"/>
        <v>97.8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78</v>
      </c>
      <c r="Q19" s="14">
        <f t="shared" ref="Q19:S19" si="10">Q20/10</f>
        <v>77.900000000000006</v>
      </c>
      <c r="R19" s="14">
        <f t="shared" si="10"/>
        <v>82.3</v>
      </c>
      <c r="S19" s="14">
        <f t="shared" si="10"/>
        <v>97.8</v>
      </c>
    </row>
    <row r="20" spans="1:22">
      <c r="A20" s="4"/>
      <c r="B20" s="10" t="s">
        <v>49</v>
      </c>
      <c r="C20" s="10" t="s">
        <v>51</v>
      </c>
      <c r="D20" s="15">
        <v>780</v>
      </c>
      <c r="E20" s="15">
        <v>779</v>
      </c>
      <c r="F20" s="15">
        <v>823</v>
      </c>
      <c r="G20" s="15">
        <v>978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1">D20</f>
        <v>780</v>
      </c>
      <c r="Q20" s="14">
        <f t="shared" si="11"/>
        <v>779</v>
      </c>
      <c r="R20" s="14">
        <f t="shared" si="11"/>
        <v>823</v>
      </c>
      <c r="S20" s="14">
        <f t="shared" si="11"/>
        <v>978</v>
      </c>
    </row>
    <row r="21" spans="1:22">
      <c r="A21" s="4"/>
      <c r="B21" s="10" t="s">
        <v>52</v>
      </c>
      <c r="C21" s="10" t="s">
        <v>53</v>
      </c>
      <c r="D21" s="11">
        <v>59</v>
      </c>
      <c r="E21" s="11">
        <v>72</v>
      </c>
      <c r="F21" s="11">
        <v>0.39</v>
      </c>
      <c r="G21" s="11">
        <v>0.2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59</v>
      </c>
      <c r="Q21" s="14">
        <f>IF(E21&lt;0.05,"&lt;0.05",E21)</f>
        <v>72</v>
      </c>
      <c r="R21" s="14">
        <f>IF(F21&lt;0.05,"&lt;0.05",F21)</f>
        <v>0.39</v>
      </c>
      <c r="S21" s="14">
        <f>IF(G21&lt;0.05,"&lt;0.05",G21)</f>
        <v>0.2</v>
      </c>
    </row>
    <row r="22" spans="1:22">
      <c r="A22" s="4"/>
      <c r="B22" s="10" t="s">
        <v>55</v>
      </c>
      <c r="C22" s="10" t="s">
        <v>56</v>
      </c>
      <c r="D22" s="15">
        <v>40</v>
      </c>
      <c r="E22" s="15">
        <v>15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>
        <f>IF(D22&lt;5,"&lt;5",D22)</f>
        <v>40</v>
      </c>
      <c r="Q22" s="11">
        <f t="shared" ref="Q22:S23" si="12">IF(E22&lt;5,"&lt;5",E22)</f>
        <v>15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3.7</v>
      </c>
      <c r="E23" s="14">
        <v>3.2</v>
      </c>
      <c r="F23" s="14">
        <v>12.7</v>
      </c>
      <c r="G23" s="14">
        <v>89.4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 t="str">
        <f>IF(D23&lt;5,"&lt;5",D23)</f>
        <v>&lt;5</v>
      </c>
      <c r="Q23" s="14" t="str">
        <f t="shared" si="12"/>
        <v>&lt;5</v>
      </c>
      <c r="R23" s="14">
        <f t="shared" si="12"/>
        <v>12.7</v>
      </c>
      <c r="S23" s="14">
        <f t="shared" si="12"/>
        <v>89.4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5" t="s">
        <v>61</v>
      </c>
      <c r="D26" s="135"/>
      <c r="E26" s="136" t="s">
        <v>212</v>
      </c>
      <c r="F26" s="136"/>
      <c r="G26" s="10" t="s">
        <v>63</v>
      </c>
      <c r="H26" s="136" t="s">
        <v>64</v>
      </c>
      <c r="I26" s="136"/>
      <c r="J26" s="136"/>
      <c r="K26" s="47"/>
      <c r="L26" s="4"/>
      <c r="M26" s="10" t="s">
        <v>85</v>
      </c>
      <c r="N26" s="48" t="str">
        <f>CONCATENATE(C26, " ", E26," ", G26, " ", H26)</f>
        <v>The sample was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5" t="s">
        <v>61</v>
      </c>
      <c r="D27" s="135"/>
      <c r="E27" s="136" t="s">
        <v>212</v>
      </c>
      <c r="F27" s="136"/>
      <c r="G27" s="10" t="s">
        <v>63</v>
      </c>
      <c r="H27" s="136" t="s">
        <v>64</v>
      </c>
      <c r="I27" s="136"/>
      <c r="J27" s="136"/>
      <c r="K27" s="47"/>
      <c r="L27" s="4"/>
      <c r="M27" s="10" t="s">
        <v>86</v>
      </c>
      <c r="N27" s="48" t="str">
        <f>CONCATENATE(C27, " ", E27," ", G27, " ", H27)</f>
        <v>The sample was discoloured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5" t="s">
        <v>61</v>
      </c>
      <c r="D28" s="135"/>
      <c r="E28" s="136" t="s">
        <v>78</v>
      </c>
      <c r="F28" s="136"/>
      <c r="G28" s="10" t="s">
        <v>63</v>
      </c>
      <c r="H28" s="136" t="s">
        <v>79</v>
      </c>
      <c r="I28" s="136"/>
      <c r="J28" s="136"/>
      <c r="K28" s="47"/>
      <c r="L28" s="4"/>
      <c r="M28" s="10" t="s">
        <v>87</v>
      </c>
      <c r="N28" s="48" t="str">
        <f>CONCATENATE(C28, " ", E28," ", G28, " ", H28)</f>
        <v>The sample was slightly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5" t="s">
        <v>61</v>
      </c>
      <c r="D29" s="135"/>
      <c r="E29" s="136" t="s">
        <v>62</v>
      </c>
      <c r="F29" s="136"/>
      <c r="G29" s="10" t="s">
        <v>63</v>
      </c>
      <c r="H29" s="136" t="s">
        <v>79</v>
      </c>
      <c r="I29" s="136"/>
      <c r="J29" s="136"/>
      <c r="K29" s="47"/>
      <c r="L29" s="4"/>
      <c r="M29" s="10" t="s">
        <v>88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16" t="s">
        <v>71</v>
      </c>
      <c r="O32" s="117"/>
      <c r="P32" s="117"/>
      <c r="Q32" s="117"/>
      <c r="R32" s="117"/>
      <c r="S32" s="117"/>
      <c r="T32" s="117"/>
      <c r="U32" s="11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topLeftCell="A23" zoomScaleNormal="110" zoomScaleSheetLayoutView="100" workbookViewId="0">
      <selection activeCell="R18" sqref="R1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7"/>
      <c r="D3" s="137"/>
      <c r="E3" s="137"/>
      <c r="F3" s="137"/>
      <c r="G3" s="8"/>
      <c r="H3" s="66" t="s">
        <v>3</v>
      </c>
      <c r="I3" s="138" t="s">
        <v>90</v>
      </c>
      <c r="J3" s="138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7"/>
      <c r="D4" s="137"/>
      <c r="E4" s="137"/>
      <c r="F4" s="137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45442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18" t="s">
        <v>61</v>
      </c>
      <c r="D37" s="119"/>
      <c r="E37" s="124" t="s">
        <v>78</v>
      </c>
      <c r="F37" s="124"/>
      <c r="G37" s="49" t="s">
        <v>63</v>
      </c>
      <c r="H37" s="124" t="s">
        <v>79</v>
      </c>
      <c r="I37" s="125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18" t="s">
        <v>61</v>
      </c>
      <c r="D38" s="119"/>
      <c r="E38" s="124" t="s">
        <v>78</v>
      </c>
      <c r="F38" s="124"/>
      <c r="G38" s="49" t="s">
        <v>63</v>
      </c>
      <c r="H38" s="124" t="s">
        <v>79</v>
      </c>
      <c r="I38" s="125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18" t="s">
        <v>61</v>
      </c>
      <c r="D39" s="119"/>
      <c r="E39" s="124" t="s">
        <v>78</v>
      </c>
      <c r="F39" s="124"/>
      <c r="G39" s="49" t="s">
        <v>63</v>
      </c>
      <c r="H39" s="124" t="s">
        <v>79</v>
      </c>
      <c r="I39" s="125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18" t="s">
        <v>61</v>
      </c>
      <c r="D40" s="119"/>
      <c r="E40" s="124" t="s">
        <v>78</v>
      </c>
      <c r="F40" s="124"/>
      <c r="G40" s="49" t="s">
        <v>63</v>
      </c>
      <c r="H40" s="124" t="s">
        <v>79</v>
      </c>
      <c r="I40" s="125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18" t="s">
        <v>61</v>
      </c>
      <c r="D41" s="119"/>
      <c r="E41" s="124" t="s">
        <v>78</v>
      </c>
      <c r="F41" s="124"/>
      <c r="G41" s="49" t="s">
        <v>63</v>
      </c>
      <c r="H41" s="124" t="s">
        <v>79</v>
      </c>
      <c r="I41" s="125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18" t="s">
        <v>61</v>
      </c>
      <c r="D42" s="119"/>
      <c r="E42" s="124" t="s">
        <v>78</v>
      </c>
      <c r="F42" s="124"/>
      <c r="G42" s="49" t="s">
        <v>63</v>
      </c>
      <c r="H42" s="124" t="s">
        <v>79</v>
      </c>
      <c r="I42" s="125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16" t="s">
        <v>71</v>
      </c>
      <c r="Q45" s="117"/>
      <c r="R45" s="117"/>
      <c r="S45" s="117"/>
      <c r="T45" s="117"/>
      <c r="U45" s="117"/>
      <c r="V45" s="117"/>
      <c r="W45" s="117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45442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18"/>
      <c r="I8" s="119"/>
      <c r="J8" s="120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17" t="s">
        <v>216</v>
      </c>
      <c r="D18" s="117"/>
      <c r="E18" s="117"/>
      <c r="F18" s="117"/>
      <c r="G18" s="117"/>
      <c r="H18" s="117"/>
      <c r="I18" s="117"/>
      <c r="J18" s="117"/>
      <c r="K18" s="5"/>
    </row>
    <row r="19" spans="1:11">
      <c r="A19" s="4"/>
      <c r="B19" s="47"/>
      <c r="C19" s="116"/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45442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18"/>
      <c r="I8" s="119"/>
      <c r="J8" s="120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17" t="s">
        <v>216</v>
      </c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7"/>
      <c r="C20" s="116"/>
      <c r="D20" s="117"/>
      <c r="E20" s="117"/>
      <c r="F20" s="117"/>
      <c r="G20" s="117"/>
      <c r="H20" s="117"/>
      <c r="I20" s="117"/>
      <c r="J20" s="11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zoomScaleNormal="110" zoomScaleSheetLayoutView="115" workbookViewId="0">
      <selection activeCell="D8" sqref="D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/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45442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3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4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5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31"/>
      <c r="I30" s="132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62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IF(D18&lt;0.3,"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H28:I28"/>
    <mergeCell ref="H29:I29"/>
    <mergeCell ref="C33:D33"/>
    <mergeCell ref="E33:F33"/>
    <mergeCell ref="H33:I33"/>
    <mergeCell ref="H30:I30"/>
    <mergeCell ref="H31:I31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9:I9"/>
    <mergeCell ref="H10:I10"/>
    <mergeCell ref="H11:I11"/>
    <mergeCell ref="H12:I12"/>
    <mergeCell ref="H13:I13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R12:T12"/>
    <mergeCell ref="Q7:T7"/>
    <mergeCell ref="R8:T8"/>
    <mergeCell ref="R9:T9"/>
    <mergeCell ref="R10:T10"/>
    <mergeCell ref="R11:T1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45442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/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/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/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31"/>
      <c r="I30" s="132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78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M44:T44"/>
    <mergeCell ref="H31:I31"/>
    <mergeCell ref="R31:T31"/>
    <mergeCell ref="C33:D33"/>
    <mergeCell ref="E33:F33"/>
    <mergeCell ref="H33:I33"/>
    <mergeCell ref="M43:T43"/>
    <mergeCell ref="H28:I28"/>
    <mergeCell ref="R28:T28"/>
    <mergeCell ref="H29:I29"/>
    <mergeCell ref="R29:T29"/>
    <mergeCell ref="H30:I30"/>
    <mergeCell ref="R30:T30"/>
    <mergeCell ref="H25:I25"/>
    <mergeCell ref="R25:T25"/>
    <mergeCell ref="H26:I26"/>
    <mergeCell ref="R26:T26"/>
    <mergeCell ref="H27:I27"/>
    <mergeCell ref="R27:T27"/>
    <mergeCell ref="H22:I22"/>
    <mergeCell ref="R22:T22"/>
    <mergeCell ref="H23:I23"/>
    <mergeCell ref="R23:T23"/>
    <mergeCell ref="H24:I24"/>
    <mergeCell ref="R24:T24"/>
    <mergeCell ref="H19:I19"/>
    <mergeCell ref="R19:T19"/>
    <mergeCell ref="H20:I20"/>
    <mergeCell ref="R20:T20"/>
    <mergeCell ref="H21:I21"/>
    <mergeCell ref="R21:T21"/>
    <mergeCell ref="H15:I15"/>
    <mergeCell ref="R15:T15"/>
    <mergeCell ref="H16:I16"/>
    <mergeCell ref="R16:T16"/>
    <mergeCell ref="H18:I18"/>
    <mergeCell ref="R18:T18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7d810c15-f90f-49da-a0e3-a69cb093d57d"/>
    <ds:schemaRef ds:uri="df3d46c1-1a59-485a-af3a-7064b4cd56c1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2024-05-29T23:36:39Z</cp:lastPrinted>
  <dcterms:created xsi:type="dcterms:W3CDTF">2017-07-10T05:27:40Z</dcterms:created>
  <dcterms:modified xsi:type="dcterms:W3CDTF">2024-05-29T23:37:06Z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