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6 June/"/>
    </mc:Choice>
  </mc:AlternateContent>
  <xr:revisionPtr revIDLastSave="14" documentId="13_ncr:1_{54E10AFF-229C-4978-92E5-3752DF437422}" xr6:coauthVersionLast="47" xr6:coauthVersionMax="47" xr10:uidLastSave="{1DA5E687-92DC-40BA-8821-6AE6E7903D28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'R-SRT'!$L$1:$V$46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9" l="1"/>
  <c r="E19" i="9"/>
  <c r="D19" i="9"/>
  <c r="F13" i="9"/>
  <c r="E13" i="9"/>
  <c r="D13" i="9"/>
  <c r="F12" i="9"/>
  <c r="E12" i="9"/>
  <c r="D12" i="9"/>
  <c r="C36" i="22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P9" i="9"/>
  <c r="Q16" i="9"/>
  <c r="R16" i="9"/>
  <c r="Q17" i="9"/>
  <c r="R17" i="9"/>
  <c r="Q18" i="9"/>
  <c r="R18" i="9"/>
  <c r="Q21" i="9"/>
  <c r="R21" i="9"/>
  <c r="Q22" i="9"/>
  <c r="R22" i="9"/>
  <c r="Q23" i="9"/>
  <c r="R23" i="9"/>
  <c r="P23" i="9"/>
  <c r="P22" i="9"/>
  <c r="P21" i="9"/>
  <c r="P18" i="9"/>
  <c r="P17" i="9"/>
  <c r="P16" i="9"/>
  <c r="Q14" i="9"/>
  <c r="R14" i="9"/>
  <c r="Q15" i="9"/>
  <c r="R15" i="9"/>
  <c r="P15" i="9"/>
  <c r="P14" i="9"/>
  <c r="R13" i="9"/>
  <c r="R12" i="9"/>
  <c r="Q12" i="9"/>
  <c r="Q13" i="9"/>
  <c r="P10" i="9"/>
  <c r="P11" i="9"/>
  <c r="P13" i="9"/>
  <c r="Q10" i="9"/>
  <c r="Q11" i="9"/>
  <c r="R11" i="9"/>
  <c r="R10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P12" i="9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Q20" i="9"/>
  <c r="Q19" i="9" s="1"/>
  <c r="R20" i="9"/>
  <c r="R19" i="9" s="1"/>
  <c r="P20" i="9"/>
  <c r="P19" i="9" s="1"/>
</calcChain>
</file>

<file path=xl/sharedStrings.xml><?xml version="1.0" encoding="utf-8"?>
<sst xmlns="http://schemas.openxmlformats.org/spreadsheetml/2006/main" count="1916" uniqueCount="233">
  <si>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</si>
  <si>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</si>
  <si>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</si>
  <si>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</si>
  <si>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</si>
  <si>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</si>
  <si>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</si>
  <si>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</si>
  <si>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</si>
  <si>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</si>
  <si>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</si>
  <si>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</si>
  <si>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</si>
  <si>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</si>
  <si>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</si>
  <si>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</si>
  <si>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</si>
  <si>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</si>
  <si>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</si>
  <si>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</si>
  <si>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</si>
  <si>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</si>
  <si>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</si>
  <si>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</si>
  <si>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</si>
  <si>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</si>
  <si>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</si>
  <si>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</si>
  <si>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</si>
  <si>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</si>
  <si>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</si>
  <si>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</si>
  <si>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</si>
  <si>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</si>
  <si>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</si>
  <si>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</si>
  <si>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</si>
  <si>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</si>
  <si>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</si>
  <si>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</si>
  <si>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</si>
  <si>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</si>
  <si>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</si>
  <si>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</si>
  <si>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</si>
  <si>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</si>
  <si>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</si>
  <si>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</si>
  <si>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</si>
  <si>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</si>
  <si>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</si>
  <si>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</si>
  <si>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</si>
  <si>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</si>
  <si>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</si>
  <si>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</si>
  <si>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</si>
  <si>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</si>
  <si>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</si>
  <si>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</si>
  <si>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</si>
  <si>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</si>
  <si>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</si>
  <si>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</si>
  <si>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</si>
  <si>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</si>
  <si>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</si>
  <si>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</si>
  <si>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</si>
  <si>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</si>
  <si>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</si>
  <si>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</si>
  <si>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</si>
  <si>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</si>
  <si>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</si>
  <si>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</si>
  <si>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</si>
  <si>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</si>
  <si>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</si>
  <si>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</si>
  <si>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</si>
  <si>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</si>
  <si>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</si>
  <si>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</si>
  <si>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</si>
  <si>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</si>
  <si>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</si>
  <si>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</si>
  <si>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</si>
  <si>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</si>
  <si>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</si>
  <si>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</si>
  <si>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</si>
  <si>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</si>
  <si>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</si>
  <si>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</si>
  <si>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</si>
  <si>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</si>
  <si>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</si>
  <si>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</si>
  <si>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</si>
  <si>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</si>
  <si>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</si>
  <si>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</si>
  <si>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</si>
  <si>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</si>
  <si>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</si>
  <si>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</si>
  <si>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</si>
  <si>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</si>
  <si>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</si>
  <si>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</si>
  <si>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</si>
  <si>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</si>
  <si>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</si>
  <si>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</si>
  <si>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</si>
  <si>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</si>
  <si>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</si>
  <si>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</si>
  <si>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</si>
  <si>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</si>
  <si>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</si>
  <si>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</si>
  <si>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</si>
  <si>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</si>
  <si>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</si>
  <si>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</si>
  <si>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</si>
  <si>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</si>
  <si>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</si>
  <si>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</si>
  <si>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</si>
  <si>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</si>
  <si>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</si>
  <si>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</si>
  <si>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</si>
  <si>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</si>
  <si>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</si>
  <si>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</si>
  <si>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</si>
  <si>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</si>
  <si>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</si>
  <si>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</si>
  <si>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</si>
  <si>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</si>
  <si>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</si>
  <si>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</si>
  <si>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</si>
  <si>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</si>
  <si>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</si>
  <si>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</si>
  <si>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</si>
  <si>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</si>
  <si>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</si>
  <si>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</si>
  <si>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</si>
  <si>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</si>
  <si>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</si>
  <si>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</si>
  <si>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</si>
  <si>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</si>
  <si>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</si>
  <si>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</si>
  <si>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</si>
  <si>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</si>
  <si>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</si>
  <si>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</si>
  <si>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</si>
  <si>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</si>
  <si>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</si>
  <si>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</si>
  <si>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</si>
  <si>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</si>
  <si>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</si>
  <si>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</si>
  <si>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</si>
  <si>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</si>
  <si>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</si>
  <si>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</si>
  <si>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</si>
  <si>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</si>
  <si>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</si>
  <si>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</si>
  <si>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</si>
  <si>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</si>
  <si>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</si>
  <si>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</si>
  <si>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</si>
  <si>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</si>
  <si>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</si>
  <si>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</si>
  <si>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</si>
  <si>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</si>
  <si>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</si>
  <si>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</si>
  <si>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</si>
  <si>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</si>
  <si>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</si>
  <si>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</si>
  <si>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</si>
  <si>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</si>
  <si>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</si>
  <si>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</si>
  <si>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</si>
  <si>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</si>
  <si>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</si>
  <si>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</si>
  <si>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</si>
  <si>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</si>
  <si>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</si>
  <si>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</si>
  <si>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</si>
  <si>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</si>
  <si>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</si>
  <si>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</si>
  <si>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</si>
  <si>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</si>
  <si>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</si>
  <si>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</si>
  <si>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</si>
  <si>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</si>
  <si>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</si>
  <si>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</si>
  <si>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</si>
  <si>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</si>
  <si>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</si>
  <si>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</si>
  <si>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</si>
  <si>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</si>
  <si>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Hyardmech</t>
  </si>
  <si>
    <t>Yealands</t>
  </si>
  <si>
    <t>20240606SRT01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</si>
</sst>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32</xdr:row>
      <xdr:rowOff>53613</xdr:rowOff>
    </xdr:from>
    <xdr:to>
      <xdr:col>12</xdr:col>
      <xdr:colOff>876300</xdr:colOff>
      <xdr:row>34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zoomScaleNormal="100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45454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45454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4"/>
  <sheetViews>
    <sheetView tabSelected="1" view="pageLayout" zoomScaleNormal="110" zoomScaleSheetLayoutView="100" workbookViewId="0">
      <selection activeCell="I30" sqref="I3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232</v>
      </c>
      <c r="J3" s="138"/>
      <c r="K3" s="57"/>
      <c r="M3" s="1" t="str">
        <f>IF(ISBLANK(C3),"DEALER NAME",C3)</f>
        <v>Hyardmech</v>
      </c>
      <c r="Q3" s="8"/>
      <c r="R3" s="8"/>
      <c r="S3" s="9" t="s">
        <v>3</v>
      </c>
      <c r="U3" s="57" t="str">
        <f>I3</f>
        <v>20240606SRT01</v>
      </c>
    </row>
    <row r="4" spans="1:21" ht="15.75">
      <c r="B4" s="66" t="s">
        <v>5</v>
      </c>
      <c r="C4" s="137" t="s">
        <v>231</v>
      </c>
      <c r="D4" s="137"/>
      <c r="E4" s="137"/>
      <c r="F4" s="137"/>
      <c r="G4" s="8"/>
      <c r="H4" s="66" t="s">
        <v>6</v>
      </c>
      <c r="I4" s="139">
        <v>45449</v>
      </c>
      <c r="J4" s="138"/>
      <c r="K4" s="57"/>
      <c r="M4" s="3" t="str">
        <f>IF(ISBLANK(C4),"REFERENCE NAME",C4)</f>
        <v>Yealands</v>
      </c>
      <c r="Q4" s="8"/>
      <c r="R4" s="8"/>
      <c r="S4" s="9" t="s">
        <v>6</v>
      </c>
      <c r="U4" s="58">
        <f>I4</f>
        <v>45449</v>
      </c>
    </row>
    <row r="5" spans="1:21">
      <c r="B5" s="66" t="s">
        <v>7</v>
      </c>
      <c r="C5" s="135" t="s">
        <v>134</v>
      </c>
      <c r="D5" s="135"/>
      <c r="E5" s="135"/>
      <c r="F5" s="135"/>
      <c r="G5" s="8"/>
      <c r="H5" s="66" t="s">
        <v>8</v>
      </c>
      <c r="I5" s="139">
        <v>45449</v>
      </c>
      <c r="J5" s="138"/>
      <c r="K5" s="57"/>
      <c r="M5" s="9" t="s">
        <v>7</v>
      </c>
      <c r="N5" s="57" t="str">
        <f>IF(ISBLANK(C5),"TBC",C5)</f>
        <v>Surface Water</v>
      </c>
      <c r="Q5" s="8"/>
      <c r="R5" s="8"/>
      <c r="S5" s="9" t="s">
        <v>9</v>
      </c>
      <c r="U5" s="58">
        <f ca="1">TODAY()</f>
        <v>45454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61"/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</row>
    <row r="8" spans="1:21">
      <c r="A8" s="4"/>
      <c r="B8" s="67" t="s">
        <v>10</v>
      </c>
      <c r="C8" s="68" t="s">
        <v>11</v>
      </c>
      <c r="D8" s="68" t="s">
        <v>81</v>
      </c>
      <c r="E8" s="68" t="s">
        <v>82</v>
      </c>
      <c r="F8" s="68" t="s">
        <v>83</v>
      </c>
      <c r="G8" s="8"/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81</v>
      </c>
      <c r="Q8" s="60" t="s">
        <v>82</v>
      </c>
      <c r="R8" s="60" t="s">
        <v>83</v>
      </c>
    </row>
    <row r="9" spans="1:21">
      <c r="A9" s="4"/>
      <c r="B9" s="10" t="s">
        <v>21</v>
      </c>
      <c r="C9" s="11" t="s">
        <v>22</v>
      </c>
      <c r="D9" s="14">
        <v>7.3</v>
      </c>
      <c r="E9" s="14">
        <v>7.3</v>
      </c>
      <c r="F9" s="14">
        <v>7.1</v>
      </c>
      <c r="G9" s="61"/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7.3</v>
      </c>
      <c r="Q9" s="14">
        <f t="shared" ref="Q9:R9" si="0">E9</f>
        <v>7.3</v>
      </c>
      <c r="R9" s="14">
        <f t="shared" si="0"/>
        <v>7.1</v>
      </c>
    </row>
    <row r="10" spans="1:21">
      <c r="A10" s="4"/>
      <c r="B10" s="10" t="s">
        <v>24</v>
      </c>
      <c r="C10" s="10" t="s">
        <v>25</v>
      </c>
      <c r="D10" s="15">
        <v>105</v>
      </c>
      <c r="E10" s="15">
        <v>110</v>
      </c>
      <c r="F10" s="15">
        <v>35</v>
      </c>
      <c r="G10" s="78"/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>IF(D10&lt;5,"&lt;5",D10)</f>
        <v>105</v>
      </c>
      <c r="Q10" s="15">
        <f t="shared" ref="Q10:R11" si="1">IF(E10&lt;5,"&lt;5",E10)</f>
        <v>110</v>
      </c>
      <c r="R10" s="15">
        <f t="shared" si="1"/>
        <v>35</v>
      </c>
    </row>
    <row r="11" spans="1:21">
      <c r="A11" s="4"/>
      <c r="B11" s="10" t="s">
        <v>26</v>
      </c>
      <c r="C11" s="10" t="s">
        <v>25</v>
      </c>
      <c r="D11" s="15">
        <v>85</v>
      </c>
      <c r="E11" s="15">
        <v>0</v>
      </c>
      <c r="F11" s="15">
        <v>0</v>
      </c>
      <c r="G11" s="56"/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>IF(D11&lt;5,"&lt;5",D11)</f>
        <v>85</v>
      </c>
      <c r="Q11" s="15" t="str">
        <f t="shared" si="1"/>
        <v>&lt;5</v>
      </c>
      <c r="R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10.504230732188704</v>
      </c>
      <c r="E12" s="75">
        <f t="shared" ref="E12:F12" si="2">2*(IF(E10&lt;5,5,E10)-(5*10^(E9-10)))/(1+(0.94*10^(E9-10)))*10^(6-E9)</f>
        <v>11.004479725529334</v>
      </c>
      <c r="F12" s="75">
        <f t="shared" si="2"/>
        <v>5.5527266025627462</v>
      </c>
      <c r="G12" s="56"/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10.504230732188704</v>
      </c>
      <c r="Q12" s="15">
        <f t="shared" ref="Q12:R12" si="3">IF(E12&lt;1,"&lt;1",E12)</f>
        <v>11.004479725529334</v>
      </c>
      <c r="R12" s="15">
        <f t="shared" si="3"/>
        <v>5.5527266025627462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-0.79999999999999893</v>
      </c>
      <c r="E13" s="76">
        <f>+E9+0.5+VLOOKUP(IF(E10&lt;5,5,E10),LSI!$F$2:$G$25,2)+VLOOKUP(IF(E11&lt;5,5,E11),LSI!$H$2:$I$25,2)-12.1</f>
        <v>-2</v>
      </c>
      <c r="F13" s="76">
        <f>+F9+0.5+VLOOKUP(IF(F10&lt;5,5,F10),LSI!$F$2:$G$25,2)+VLOOKUP(IF(F11&lt;5,5,F11),LSI!$H$2:$I$25,2)-12.1</f>
        <v>-2.7000000000000011</v>
      </c>
      <c r="G13" s="8"/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-0.79999999999999893</v>
      </c>
      <c r="Q13" s="11">
        <f t="shared" ref="Q13" si="4">E13</f>
        <v>-2</v>
      </c>
      <c r="R13" s="11">
        <f t="shared" ref="R13" si="5">F13</f>
        <v>-2.7000000000000011</v>
      </c>
    </row>
    <row r="14" spans="1:21">
      <c r="A14" s="4"/>
      <c r="B14" s="10" t="s">
        <v>38</v>
      </c>
      <c r="C14" s="10" t="s">
        <v>39</v>
      </c>
      <c r="D14" s="11">
        <v>0.97</v>
      </c>
      <c r="E14" s="11">
        <v>0.05</v>
      </c>
      <c r="F14" s="11">
        <v>0</v>
      </c>
      <c r="G14" s="8"/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>IF(D14&lt;0.01,"&lt;0.01",D14)</f>
        <v>0.97</v>
      </c>
      <c r="Q14" s="11">
        <f t="shared" ref="Q14:R15" si="6">IF(E14&lt;0.01,"&lt;0.01",E14)</f>
        <v>0.05</v>
      </c>
      <c r="R14" s="11" t="str">
        <f t="shared" si="6"/>
        <v>&lt;0.01</v>
      </c>
    </row>
    <row r="15" spans="1:21">
      <c r="A15" s="4"/>
      <c r="B15" s="10" t="s">
        <v>40</v>
      </c>
      <c r="C15" s="10" t="s">
        <v>39</v>
      </c>
      <c r="D15" s="11">
        <v>0.2</v>
      </c>
      <c r="E15" s="11" t="s">
        <v>131</v>
      </c>
      <c r="F15" s="11" t="s">
        <v>131</v>
      </c>
      <c r="G15" s="8"/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>IF(D15&lt;0.01,"&lt;0.01",D15)</f>
        <v>0.2</v>
      </c>
      <c r="Q15" s="11" t="str">
        <f t="shared" si="6"/>
        <v>&lt;0.01</v>
      </c>
      <c r="R15" s="11" t="str">
        <f t="shared" si="6"/>
        <v>&lt;0.01</v>
      </c>
    </row>
    <row r="16" spans="1:21">
      <c r="A16" s="4"/>
      <c r="B16" s="10" t="s">
        <v>46</v>
      </c>
      <c r="C16" s="10" t="s">
        <v>39</v>
      </c>
      <c r="D16" s="11">
        <v>190</v>
      </c>
      <c r="E16" s="11">
        <v>190</v>
      </c>
      <c r="F16" s="11">
        <v>270</v>
      </c>
      <c r="G16" s="56"/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190</v>
      </c>
      <c r="Q16" s="11">
        <f>IF(E16&lt;10,"&lt;10",E16)</f>
        <v>190</v>
      </c>
      <c r="R16" s="11">
        <f>IF(F16&lt;10,"&lt;10",F16)</f>
        <v>270</v>
      </c>
    </row>
    <row r="17" spans="1:22">
      <c r="A17" s="4"/>
      <c r="B17" s="10" t="s">
        <v>47</v>
      </c>
      <c r="C17" s="10" t="s">
        <v>39</v>
      </c>
      <c r="D17" s="15">
        <v>15</v>
      </c>
      <c r="E17" s="15">
        <v>21</v>
      </c>
      <c r="F17" s="15">
        <v>120</v>
      </c>
      <c r="G17" s="56"/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15</v>
      </c>
      <c r="Q17" s="11">
        <f t="shared" ref="Q17:R18" si="7">IF(E17&lt;1,"&lt;1",E17)</f>
        <v>21</v>
      </c>
      <c r="R17" s="11">
        <f t="shared" si="7"/>
        <v>120</v>
      </c>
    </row>
    <row r="18" spans="1:22">
      <c r="A18" s="4"/>
      <c r="B18" s="10" t="s">
        <v>48</v>
      </c>
      <c r="C18" s="10" t="s">
        <v>39</v>
      </c>
      <c r="D18" s="15">
        <v>21</v>
      </c>
      <c r="E18" s="15">
        <v>91</v>
      </c>
      <c r="F18" s="15">
        <v>85</v>
      </c>
      <c r="G18" s="56"/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21</v>
      </c>
      <c r="Q18" s="11">
        <f t="shared" si="7"/>
        <v>91</v>
      </c>
      <c r="R18" s="11">
        <f t="shared" si="7"/>
        <v>85</v>
      </c>
    </row>
    <row r="19" spans="1:22" hidden="1">
      <c r="A19" s="4"/>
      <c r="B19" s="10" t="s">
        <v>49</v>
      </c>
      <c r="C19" s="10" t="s">
        <v>50</v>
      </c>
      <c r="D19" s="14">
        <f t="shared" ref="D19:F19" si="8">D20/10</f>
        <v>26.4</v>
      </c>
      <c r="E19" s="14">
        <f t="shared" si="8"/>
        <v>26.3</v>
      </c>
      <c r="F19" s="14">
        <f t="shared" si="8"/>
        <v>37.200000000000003</v>
      </c>
      <c r="G19" s="8"/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26.4</v>
      </c>
      <c r="Q19" s="14">
        <f t="shared" ref="Q19:R19" si="9">Q20/10</f>
        <v>26.3</v>
      </c>
      <c r="R19" s="14">
        <f t="shared" si="9"/>
        <v>37.200000000000003</v>
      </c>
    </row>
    <row r="20" spans="1:22">
      <c r="A20" s="4"/>
      <c r="B20" s="10" t="s">
        <v>49</v>
      </c>
      <c r="C20" s="10" t="s">
        <v>51</v>
      </c>
      <c r="D20" s="15">
        <v>264</v>
      </c>
      <c r="E20" s="15">
        <v>263</v>
      </c>
      <c r="F20" s="15">
        <v>372</v>
      </c>
      <c r="G20" s="56"/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>D20</f>
        <v>264</v>
      </c>
      <c r="Q20" s="14">
        <f t="shared" ref="Q20:R20" si="10">E20</f>
        <v>263</v>
      </c>
      <c r="R20" s="14">
        <f t="shared" si="10"/>
        <v>372</v>
      </c>
    </row>
    <row r="21" spans="1:22">
      <c r="A21" s="4"/>
      <c r="B21" s="10" t="s">
        <v>52</v>
      </c>
      <c r="C21" s="10" t="s">
        <v>53</v>
      </c>
      <c r="D21" s="11">
        <v>2.5499999999999998</v>
      </c>
      <c r="E21" s="11">
        <v>0.68</v>
      </c>
      <c r="F21" s="11">
        <v>0.59</v>
      </c>
      <c r="G21" s="78"/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2.5499999999999998</v>
      </c>
      <c r="Q21" s="14">
        <f>IF(E21&lt;0.05,"&lt;0.05",E21)</f>
        <v>0.68</v>
      </c>
      <c r="R21" s="14">
        <f>IF(F21&lt;0.05,"&lt;0.05",F21)</f>
        <v>0.59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8"/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R23" si="11">IF(E22&lt;5,"&lt;5",E22)</f>
        <v>&lt;5</v>
      </c>
      <c r="R22" s="11" t="str">
        <f t="shared" si="11"/>
        <v>&lt;5</v>
      </c>
    </row>
    <row r="23" spans="1:22">
      <c r="A23" s="4"/>
      <c r="B23" s="10" t="s">
        <v>58</v>
      </c>
      <c r="C23" s="10" t="s">
        <v>59</v>
      </c>
      <c r="D23" s="14">
        <v>73.8</v>
      </c>
      <c r="E23" s="14">
        <v>59.4</v>
      </c>
      <c r="F23" s="14">
        <v>97.6</v>
      </c>
      <c r="G23" s="8"/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73.8</v>
      </c>
      <c r="Q23" s="14">
        <f t="shared" si="11"/>
        <v>59.4</v>
      </c>
      <c r="R23" s="14">
        <f t="shared" si="11"/>
        <v>97.6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78</v>
      </c>
      <c r="F26" s="136"/>
      <c r="G26" s="10" t="s">
        <v>63</v>
      </c>
      <c r="H26" s="136" t="s">
        <v>79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slightly discoloured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62</v>
      </c>
      <c r="F27" s="136"/>
      <c r="G27" s="10" t="s">
        <v>63</v>
      </c>
      <c r="H27" s="136" t="s">
        <v>79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62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</row>
    <row r="30" spans="1:22">
      <c r="A30" s="4"/>
      <c r="B30" s="4"/>
      <c r="C30" s="8"/>
      <c r="D30" s="8"/>
      <c r="E30" s="8"/>
      <c r="F30" s="8"/>
      <c r="G30" s="8"/>
      <c r="H30" s="8"/>
      <c r="I30" s="8"/>
      <c r="J30" s="8"/>
      <c r="K30" s="8"/>
      <c r="L30" s="4"/>
      <c r="M30" s="52" t="s">
        <v>18</v>
      </c>
      <c r="N30" s="53" t="s">
        <v>215</v>
      </c>
      <c r="O30" s="54"/>
      <c r="P30" s="54"/>
      <c r="Q30" s="54"/>
      <c r="R30" s="54"/>
      <c r="S30" s="54"/>
      <c r="T30" s="54"/>
      <c r="U30" s="5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47" t="s">
        <v>39</v>
      </c>
      <c r="N31" s="133" t="s">
        <v>71</v>
      </c>
      <c r="O31" s="134"/>
      <c r="P31" s="134"/>
      <c r="Q31" s="134"/>
      <c r="R31" s="134"/>
      <c r="S31" s="134"/>
      <c r="T31" s="134"/>
      <c r="U31" s="13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/>
      <c r="N32" s="8"/>
      <c r="O32" s="8"/>
      <c r="P32" s="8"/>
      <c r="Q32" s="8"/>
      <c r="R32" s="8"/>
      <c r="S32" s="8"/>
      <c r="T32" s="8"/>
      <c r="U32" s="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12"/>
      <c r="C35" s="8"/>
      <c r="D35" s="8"/>
      <c r="E35" s="8"/>
      <c r="F35" s="8"/>
      <c r="G35" s="8"/>
      <c r="H35" s="8"/>
      <c r="I35" s="8"/>
      <c r="J35" s="8"/>
      <c r="K35" s="8"/>
      <c r="L35" s="4"/>
      <c r="M35" s="4" t="s">
        <v>72</v>
      </c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 t="s">
        <v>73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12" t="s">
        <v>89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</row>
    <row r="123" spans="1:22">
      <c r="L123" s="4"/>
    </row>
    <row r="124" spans="1:22">
      <c r="L124" s="4"/>
    </row>
  </sheetData>
  <mergeCells count="16">
    <mergeCell ref="N31:U31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fitToHeight="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E26:E28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H26:H28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45454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45454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45454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45454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45454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df3d46c1-1a59-485a-af3a-7064b4cd56c1"/>
    <ds:schemaRef ds:uri="http://schemas.microsoft.com/office/infopath/2007/PartnerControls"/>
    <ds:schemaRef ds:uri="7d810c15-f90f-49da-a0e3-a69cb093d57d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2024-06-10T23:47:46Z</cp:lastPrinted>
  <dcterms:created xsi:type="dcterms:W3CDTF">2017-07-10T05:27:40Z</dcterms:created>
  <dcterms:modified xsi:type="dcterms:W3CDTF">2024-06-10T23:47:56Z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