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6 June/"/>
    </mc:Choice>
  </mc:AlternateContent>
  <xr:revisionPtr revIDLastSave="67" documentId="13_ncr:1_{55EFAA91-1B3A-4615-A6EE-4A09B603A71D}" xr6:coauthVersionLast="47" xr6:coauthVersionMax="47" xr10:uidLastSave="{9A0F2428-1E23-4AD8-80EB-4BE78C6EDBE7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19" i="9"/>
  <c r="D19" i="9"/>
  <c r="P20" i="9"/>
  <c r="E19" i="9"/>
  <c r="Q20" i="9"/>
  <c r="Q19" i="9" s="1"/>
  <c r="R19" i="9"/>
  <c r="F19" i="9"/>
  <c r="R20" i="9"/>
  <c r="G19" i="9"/>
  <c r="S20" i="9"/>
  <c r="S19" i="9" s="1"/>
</calcChain>
</file>

<file path=xl/sharedStrings.xml><?xml version="1.0" encoding="utf-8"?>
<sst xmlns="http://schemas.openxmlformats.org/spreadsheetml/2006/main" count="1930" uniqueCount="233">
  <si>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</si>
  <si>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</si>
  <si>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</si>
  <si>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</si>
  <si>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</si>
  <si>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</si>
  <si>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</si>
  <si>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</si>
  <si>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</si>
  <si>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</si>
  <si>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</si>
  <si>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</si>
  <si>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</si>
  <si>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</si>
  <si>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</si>
  <si>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</si>
  <si>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</si>
  <si>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</si>
  <si>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</si>
  <si>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</si>
  <si>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</si>
  <si>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</si>
  <si>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</si>
  <si>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</si>
  <si>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</si>
  <si>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</si>
  <si>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</si>
  <si>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</si>
  <si>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</si>
  <si>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</si>
  <si>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</si>
  <si>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</si>
  <si>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</si>
  <si>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</si>
  <si>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</si>
  <si>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</si>
  <si>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</si>
  <si>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</si>
  <si>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</si>
  <si>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</si>
  <si>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</si>
  <si>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</si>
  <si>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</si>
  <si>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</si>
  <si>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</si>
  <si>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</si>
  <si>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</si>
  <si>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</si>
  <si>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</si>
  <si>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</si>
  <si>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</si>
  <si>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</si>
  <si>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</si>
  <si>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</si>
  <si>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</si>
  <si>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</si>
  <si>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</si>
  <si>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</si>
  <si>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</si>
  <si>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</si>
  <si>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</si>
  <si>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</si>
  <si>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</si>
  <si>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</si>
  <si>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</si>
  <si>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</si>
  <si>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</si>
  <si>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</si>
  <si>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</si>
  <si>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</si>
  <si>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</si>
  <si>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</si>
  <si>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</si>
  <si>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</si>
  <si>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</si>
  <si>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</si>
  <si>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</si>
  <si>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</si>
  <si>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</si>
  <si>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</si>
  <si>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</si>
  <si>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</si>
  <si>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</si>
  <si>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</si>
  <si>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</si>
  <si>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</si>
  <si>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</si>
  <si>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</si>
  <si>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</si>
  <si>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</si>
  <si>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</si>
  <si>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</si>
  <si>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</si>
  <si>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</si>
  <si>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</si>
  <si>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</si>
  <si>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</si>
  <si>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</si>
  <si>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</si>
  <si>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</si>
  <si>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</si>
  <si>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</si>
  <si>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</si>
  <si>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</si>
  <si>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</si>
  <si>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</si>
  <si>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</si>
  <si>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</si>
  <si>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</si>
  <si>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</si>
  <si>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</si>
  <si>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</si>
  <si>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</si>
  <si>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</si>
  <si>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</si>
  <si>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</si>
  <si>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</si>
  <si>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</si>
  <si>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</si>
  <si>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</si>
  <si>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</si>
  <si>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</si>
  <si>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</si>
  <si>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</si>
  <si>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</si>
  <si>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</si>
  <si>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</si>
  <si>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</si>
  <si>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</si>
  <si>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</si>
  <si>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</si>
  <si>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</si>
  <si>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</si>
  <si>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</si>
  <si>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</si>
  <si>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</si>
  <si>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</si>
  <si>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</si>
  <si>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</si>
  <si>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</si>
  <si>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</si>
  <si>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</si>
  <si>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</si>
  <si>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</si>
  <si>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</si>
  <si>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</si>
  <si>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</si>
  <si>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</si>
  <si>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</si>
  <si>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</si>
  <si>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</si>
  <si>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</si>
  <si>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</si>
  <si>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</si>
  <si>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</si>
  <si>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</si>
  <si>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</si>
  <si>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</si>
  <si>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</si>
  <si>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</si>
  <si>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</si>
  <si>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</si>
  <si>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</si>
  <si>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</si>
  <si>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</si>
  <si>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</si>
  <si>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</si>
  <si>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</si>
  <si>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</si>
  <si>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</si>
  <si>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</si>
  <si>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</si>
  <si>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</si>
  <si>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</si>
  <si>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</si>
  <si>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</si>
  <si>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</si>
  <si>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</si>
  <si>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</si>
  <si>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</si>
  <si>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</si>
  <si>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</si>
  <si>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</si>
  <si>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</si>
  <si>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</si>
  <si>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</si>
  <si>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</si>
  <si>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</si>
  <si>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</si>
  <si>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</si>
  <si>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</si>
  <si>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</si>
  <si>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</si>
  <si>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</si>
  <si>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</si>
  <si>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</si>
  <si>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</si>
  <si>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</si>
  <si>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</si>
  <si>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</si>
  <si>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</si>
  <si>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</si>
  <si>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</si>
  <si>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</si>
  <si>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</si>
  <si>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</si>
  <si>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</si>
  <si>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</si>
  <si>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</si>
  <si>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</si>
  <si>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</si>
  <si>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</si>
  <si>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</si>
  <si>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</si>
  <si>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</si>
  <si>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</si>
  <si>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</si>
  <si>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</si>
  <si>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</si>
  <si>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</si>
  <si>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</si>
  <si>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</si>
  <si>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</si>
  <si>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</si>
  <si>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</si>
  <si>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</si>
  <si>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</si>
  <si>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</si>
  <si>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</si>
  <si>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</si>
  <si>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Steve Miller Rural Services Ltd</t>
  </si>
  <si>
    <t>20240611SRT01</t>
  </si>
  <si>
    <t>Pirihima Whanau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</si>
</sst>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15" zoomScaleNormal="100" workbookViewId="0">
      <selection activeCell="D10" sqref="D1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45460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45460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231</v>
      </c>
      <c r="J3" s="138"/>
      <c r="K3" s="57"/>
      <c r="M3" s="1" t="str">
        <f>IF(ISBLANK(C3),"DEALER NAME",C3)</f>
        <v>Steve Miller Rural Services Ltd</v>
      </c>
      <c r="Q3" s="8"/>
      <c r="R3" s="8"/>
      <c r="S3" s="9" t="s">
        <v>3</v>
      </c>
      <c r="U3" s="57" t="str">
        <f>I3</f>
        <v>20240611SRT01</v>
      </c>
    </row>
    <row r="4" spans="1:21" ht="15.75">
      <c r="B4" s="66" t="s">
        <v>5</v>
      </c>
      <c r="C4" s="137" t="s">
        <v>232</v>
      </c>
      <c r="D4" s="137"/>
      <c r="E4" s="137"/>
      <c r="F4" s="137"/>
      <c r="G4" s="8"/>
      <c r="H4" s="66" t="s">
        <v>6</v>
      </c>
      <c r="I4" s="139">
        <v>45454</v>
      </c>
      <c r="J4" s="138"/>
      <c r="K4" s="57"/>
      <c r="M4" s="3" t="str">
        <f>IF(ISBLANK(C4),"REFERENCE NAME",C4)</f>
        <v>Pirihima Whanau Trust</v>
      </c>
      <c r="Q4" s="8"/>
      <c r="R4" s="8"/>
      <c r="S4" s="9" t="s">
        <v>6</v>
      </c>
      <c r="U4" s="58">
        <f>I4</f>
        <v>45454</v>
      </c>
    </row>
    <row r="5" spans="1:21">
      <c r="B5" s="66" t="s">
        <v>7</v>
      </c>
      <c r="C5" s="135" t="s">
        <v>135</v>
      </c>
      <c r="D5" s="135"/>
      <c r="E5" s="135"/>
      <c r="F5" s="135"/>
      <c r="G5" s="8"/>
      <c r="H5" s="66" t="s">
        <v>8</v>
      </c>
      <c r="I5" s="139">
        <v>45454</v>
      </c>
      <c r="J5" s="138"/>
      <c r="K5" s="57"/>
      <c r="M5" s="9" t="s">
        <v>7</v>
      </c>
      <c r="N5" s="57" t="str">
        <f>IF(ISBLANK(C5),"TBC",C5)</f>
        <v>Rain Water</v>
      </c>
      <c r="Q5" s="8"/>
      <c r="R5" s="8"/>
      <c r="S5" s="9" t="s">
        <v>9</v>
      </c>
      <c r="U5" s="58">
        <f ca="1">TODAY()</f>
        <v>45460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7.2</v>
      </c>
      <c r="E9" s="14">
        <v>7.2</v>
      </c>
      <c r="F9" s="14">
        <v>7.4</v>
      </c>
      <c r="G9" s="14">
        <v>7.1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7.2</v>
      </c>
      <c r="Q9" s="14">
        <f t="shared" ref="Q9:S9" si="0">E9</f>
        <v>7.2</v>
      </c>
      <c r="R9" s="14">
        <f t="shared" si="0"/>
        <v>7.4</v>
      </c>
      <c r="S9" s="14">
        <f t="shared" si="0"/>
        <v>7.1</v>
      </c>
    </row>
    <row r="10" spans="1:21">
      <c r="A10" s="4"/>
      <c r="B10" s="10" t="s">
        <v>24</v>
      </c>
      <c r="C10" s="10" t="s">
        <v>25</v>
      </c>
      <c r="D10" s="15">
        <v>50</v>
      </c>
      <c r="E10" s="15">
        <v>45</v>
      </c>
      <c r="F10" s="15">
        <v>70</v>
      </c>
      <c r="G10" s="15">
        <v>20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50</v>
      </c>
      <c r="Q10" s="15">
        <f t="shared" si="1"/>
        <v>45</v>
      </c>
      <c r="R10" s="15">
        <f t="shared" si="1"/>
        <v>70</v>
      </c>
      <c r="S10" s="15">
        <f t="shared" si="1"/>
        <v>20</v>
      </c>
    </row>
    <row r="11" spans="1:21">
      <c r="A11" s="4"/>
      <c r="B11" s="10" t="s">
        <v>26</v>
      </c>
      <c r="C11" s="10" t="s">
        <v>25</v>
      </c>
      <c r="D11" s="15">
        <v>35</v>
      </c>
      <c r="E11" s="15">
        <v>30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35</v>
      </c>
      <c r="Q11" s="15">
        <f t="shared" si="1"/>
        <v>30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6.2991889156692853</v>
      </c>
      <c r="E12" s="75">
        <f>2*(IF(E10&lt;5,5,E10)-(5*10^(E9-10)))/(1+(0.94*10^(E9-10)))*10^(6-E9)</f>
        <v>5.6691701728606976</v>
      </c>
      <c r="F12" s="75">
        <f t="shared" ref="F12:G12" si="2">2*(IF(F10&lt;5,5,F10)-(5*10^(F9-10)))/(1+(0.94*10^(F9-10)))*10^(6-F9)</f>
        <v>5.5593737432041044</v>
      </c>
      <c r="G12" s="75">
        <f t="shared" si="2"/>
        <v>3.1725585651749104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6.2991889156692853</v>
      </c>
      <c r="Q12" s="15">
        <f t="shared" ref="Q12:S12" si="3">IF(E12&lt;1,"&lt;1",E12)</f>
        <v>5.6691701728606976</v>
      </c>
      <c r="R12" s="15">
        <f t="shared" si="3"/>
        <v>5.5593737432041044</v>
      </c>
      <c r="S12" s="15">
        <f t="shared" si="3"/>
        <v>3.1725585651749104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-1.5999999999999996</v>
      </c>
      <c r="E13" s="76">
        <f>+E9+0.5+VLOOKUP(IF(E10&lt;5,5,E10),LSI!$F$2:$G$25,2)+VLOOKUP(IF(E11&lt;5,5,E11),LSI!$H$2:$I$25,2)-12.1</f>
        <v>-1.7999999999999989</v>
      </c>
      <c r="F13" s="76">
        <f>+F9+0.5+VLOOKUP(IF(F10&lt;5,5,F10),LSI!$F$2:$G$25,2)+VLOOKUP(IF(F11&lt;5,5,F11),LSI!$H$2:$I$25,2)-12.1</f>
        <v>-2.0999999999999996</v>
      </c>
      <c r="G13" s="76">
        <f>+G9+0.5+VLOOKUP(IF(G10&lt;5,5,G10),LSI!$F$2:$G$25,2)+VLOOKUP(IF(G11&lt;5,5,G11),LSI!$H$2:$I$25,2)-12.1</f>
        <v>-3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-1.5999999999999996</v>
      </c>
      <c r="Q13" s="11">
        <f t="shared" ref="Q13" si="4">E13</f>
        <v>-1.7999999999999989</v>
      </c>
      <c r="R13" s="11">
        <f t="shared" ref="R13" si="5">F13</f>
        <v>-2.0999999999999996</v>
      </c>
      <c r="S13" s="11">
        <f t="shared" ref="S13" si="6">G13</f>
        <v>-3</v>
      </c>
    </row>
    <row r="14" spans="1:21">
      <c r="A14" s="4"/>
      <c r="B14" s="10" t="s">
        <v>38</v>
      </c>
      <c r="C14" s="10" t="s">
        <v>39</v>
      </c>
      <c r="D14" s="11">
        <v>7.0000000000000007E-2</v>
      </c>
      <c r="E14" s="11">
        <v>0.02</v>
      </c>
      <c r="F14" s="11">
        <v>0</v>
      </c>
      <c r="G14" s="11">
        <v>0.01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7.0000000000000007E-2</v>
      </c>
      <c r="Q14" s="11">
        <f t="shared" si="7"/>
        <v>0.02</v>
      </c>
      <c r="R14" s="11" t="str">
        <f t="shared" si="7"/>
        <v>&lt;0.01</v>
      </c>
      <c r="S14" s="11">
        <f t="shared" si="7"/>
        <v>0.01</v>
      </c>
    </row>
    <row r="15" spans="1:21">
      <c r="A15" s="4"/>
      <c r="B15" s="10" t="s">
        <v>40</v>
      </c>
      <c r="C15" s="10" t="s">
        <v>39</v>
      </c>
      <c r="D15" s="11" t="s">
        <v>131</v>
      </c>
      <c r="E15" s="11" t="s">
        <v>131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130</v>
      </c>
      <c r="E16" s="11">
        <v>1302</v>
      </c>
      <c r="F16" s="11">
        <v>130</v>
      </c>
      <c r="G16" s="11">
        <v>150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130</v>
      </c>
      <c r="Q16" s="11">
        <f>IF(E16&lt;10,"&lt;10",E16)</f>
        <v>1302</v>
      </c>
      <c r="R16" s="11">
        <f>IF(F16&lt;10,"&lt;10",F16)</f>
        <v>130</v>
      </c>
      <c r="S16" s="11">
        <f>IF(G16&lt;10,"&lt;10",G16)</f>
        <v>150</v>
      </c>
    </row>
    <row r="17" spans="1:22">
      <c r="A17" s="4"/>
      <c r="B17" s="10" t="s">
        <v>47</v>
      </c>
      <c r="C17" s="10" t="s">
        <v>39</v>
      </c>
      <c r="D17" s="15">
        <v>23</v>
      </c>
      <c r="E17" s="11">
        <v>24</v>
      </c>
      <c r="F17" s="15">
        <v>24</v>
      </c>
      <c r="G17" s="15">
        <v>63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23</v>
      </c>
      <c r="Q17" s="11">
        <f t="shared" ref="Q17:S18" si="8">IF(E17&lt;1,"&lt;1",E17)</f>
        <v>24</v>
      </c>
      <c r="R17" s="11">
        <f t="shared" si="8"/>
        <v>24</v>
      </c>
      <c r="S17" s="11">
        <f t="shared" si="8"/>
        <v>63</v>
      </c>
    </row>
    <row r="18" spans="1:22">
      <c r="A18" s="4"/>
      <c r="B18" s="10" t="s">
        <v>48</v>
      </c>
      <c r="C18" s="10" t="s">
        <v>39</v>
      </c>
      <c r="D18" s="15">
        <v>32</v>
      </c>
      <c r="E18" s="11">
        <v>30</v>
      </c>
      <c r="F18" s="15">
        <v>63</v>
      </c>
      <c r="G18" s="15">
        <v>66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32</v>
      </c>
      <c r="Q18" s="11">
        <f t="shared" si="8"/>
        <v>30</v>
      </c>
      <c r="R18" s="11">
        <f t="shared" si="8"/>
        <v>63</v>
      </c>
      <c r="S18" s="11">
        <f t="shared" si="8"/>
        <v>66</v>
      </c>
    </row>
    <row r="19" spans="1:22" hidden="1">
      <c r="A19" s="4"/>
      <c r="B19" s="10" t="s">
        <v>49</v>
      </c>
      <c r="C19" s="10" t="s">
        <v>50</v>
      </c>
      <c r="D19" s="14">
        <f>D20/10</f>
        <v>18.100000000000001</v>
      </c>
      <c r="E19" s="14">
        <f t="shared" ref="E19:G19" si="9">E20/10</f>
        <v>18.3</v>
      </c>
      <c r="F19" s="14">
        <f t="shared" si="9"/>
        <v>18.2</v>
      </c>
      <c r="G19" s="14">
        <f t="shared" si="9"/>
        <v>21.5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18.100000000000001</v>
      </c>
      <c r="Q19" s="14">
        <f t="shared" ref="Q19:S19" si="10">Q20/10</f>
        <v>18.3</v>
      </c>
      <c r="R19" s="14">
        <f t="shared" si="10"/>
        <v>18.2</v>
      </c>
      <c r="S19" s="14">
        <f t="shared" si="10"/>
        <v>21.5</v>
      </c>
    </row>
    <row r="20" spans="1:22">
      <c r="A20" s="4"/>
      <c r="B20" s="10" t="s">
        <v>49</v>
      </c>
      <c r="C20" s="10" t="s">
        <v>51</v>
      </c>
      <c r="D20" s="15">
        <v>181</v>
      </c>
      <c r="E20" s="15">
        <v>183</v>
      </c>
      <c r="F20" s="15">
        <v>182</v>
      </c>
      <c r="G20" s="15">
        <v>215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181</v>
      </c>
      <c r="Q20" s="14">
        <f t="shared" si="11"/>
        <v>183</v>
      </c>
      <c r="R20" s="14">
        <f t="shared" si="11"/>
        <v>182</v>
      </c>
      <c r="S20" s="14">
        <f t="shared" si="11"/>
        <v>215</v>
      </c>
    </row>
    <row r="21" spans="1:22">
      <c r="A21" s="4"/>
      <c r="B21" s="10" t="s">
        <v>52</v>
      </c>
      <c r="C21" s="10" t="s">
        <v>53</v>
      </c>
      <c r="D21" s="11">
        <v>0.41</v>
      </c>
      <c r="E21" s="11" t="s">
        <v>132</v>
      </c>
      <c r="F21" s="11" t="s">
        <v>132</v>
      </c>
      <c r="G21" s="11" t="s">
        <v>132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0.41</v>
      </c>
      <c r="Q21" s="14" t="str">
        <f>IF(E21&lt;0.05,"&lt;0.05",E21)</f>
        <v>&lt;0.05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98.8</v>
      </c>
      <c r="E23" s="14">
        <v>99.8</v>
      </c>
      <c r="F23" s="14">
        <v>68.099999999999994</v>
      </c>
      <c r="G23" s="14">
        <v>95.3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98.8</v>
      </c>
      <c r="Q23" s="14">
        <f t="shared" si="12"/>
        <v>99.8</v>
      </c>
      <c r="R23" s="14">
        <f t="shared" si="12"/>
        <v>68.099999999999994</v>
      </c>
      <c r="S23" s="14">
        <f t="shared" si="12"/>
        <v>95.3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62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clear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62</v>
      </c>
      <c r="F27" s="136"/>
      <c r="G27" s="10" t="s">
        <v>63</v>
      </c>
      <c r="H27" s="136" t="s">
        <v>79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fitToHeight="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30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45460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45460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45460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45460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45460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a5cd7eb-20f6-421f-86e5-fd7431334de1}" enabled="0" method="" siteId="{ea5cd7eb-20f6-421f-86e5-fd7431334de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2024-06-12T22:14:20Z</cp:lastPrinted>
  <dcterms:created xsi:type="dcterms:W3CDTF">2017-07-10T05:27:40Z</dcterms:created>
  <dcterms:modified xsi:type="dcterms:W3CDTF">2024-06-17T00:10:03Z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