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HG Sales#1\3. LIFUNG\2. commit  PO\KIDS\PO\SS22\"/>
    </mc:Choice>
  </mc:AlternateContent>
  <xr:revisionPtr revIDLastSave="0" documentId="13_ncr:1_{7A9AB93C-5F7A-4188-A20E-5F777049637C}" xr6:coauthVersionLast="47" xr6:coauthVersionMax="47" xr10:uidLastSave="{00000000-0000-0000-0000-000000000000}"/>
  <bookViews>
    <workbookView xWindow="-120" yWindow="-120" windowWidth="29040" windowHeight="15840" xr2:uid="{D60C12B8-8A39-4F69-BB4B-9A4DEED60F57}"/>
  </bookViews>
  <sheets>
    <sheet name="SS22" sheetId="1" r:id="rId1"/>
  </sheets>
  <definedNames>
    <definedName name="_xlnm.Print_Area" localSheetId="0">'SS22'!$A$1:$AF$373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67" i="1" l="1"/>
  <c r="K167" i="1"/>
  <c r="L167" i="1"/>
  <c r="M167" i="1"/>
  <c r="N167" i="1"/>
  <c r="O167" i="1"/>
  <c r="P167" i="1"/>
  <c r="Q167" i="1"/>
  <c r="R167" i="1"/>
  <c r="I167" i="1"/>
  <c r="J166" i="1"/>
  <c r="K166" i="1"/>
  <c r="L166" i="1"/>
  <c r="M166" i="1"/>
  <c r="N166" i="1"/>
  <c r="O166" i="1"/>
  <c r="P166" i="1"/>
  <c r="Q166" i="1"/>
  <c r="R166" i="1"/>
  <c r="I166" i="1"/>
  <c r="J165" i="1"/>
  <c r="K165" i="1"/>
  <c r="L165" i="1"/>
  <c r="M165" i="1"/>
  <c r="N165" i="1"/>
  <c r="O165" i="1"/>
  <c r="P165" i="1"/>
  <c r="Q165" i="1"/>
  <c r="R165" i="1"/>
  <c r="I165" i="1"/>
  <c r="J164" i="1"/>
  <c r="K164" i="1"/>
  <c r="L164" i="1"/>
  <c r="M164" i="1"/>
  <c r="N164" i="1"/>
  <c r="O164" i="1"/>
  <c r="P164" i="1"/>
  <c r="Q164" i="1"/>
  <c r="R164" i="1"/>
  <c r="S164" i="1"/>
  <c r="I164" i="1"/>
  <c r="I274" i="1"/>
  <c r="J239" i="1"/>
  <c r="I143" i="1"/>
  <c r="I123" i="1"/>
  <c r="R103" i="1"/>
  <c r="Q103" i="1"/>
  <c r="P103" i="1"/>
  <c r="O103" i="1"/>
  <c r="N103" i="1"/>
  <c r="M103" i="1"/>
  <c r="L103" i="1"/>
  <c r="K103" i="1"/>
  <c r="J103" i="1"/>
  <c r="I103" i="1"/>
  <c r="R83" i="1"/>
  <c r="Q83" i="1"/>
  <c r="P83" i="1"/>
  <c r="O83" i="1"/>
  <c r="N83" i="1"/>
  <c r="M83" i="1"/>
  <c r="L83" i="1"/>
  <c r="K83" i="1"/>
  <c r="J83" i="1"/>
  <c r="I83" i="1"/>
  <c r="R63" i="1"/>
  <c r="Q63" i="1"/>
  <c r="P63" i="1"/>
  <c r="O63" i="1"/>
  <c r="N63" i="1"/>
  <c r="M63" i="1"/>
  <c r="L63" i="1"/>
  <c r="K63" i="1"/>
  <c r="J63" i="1"/>
  <c r="I63" i="1"/>
  <c r="N43" i="1"/>
  <c r="M43" i="1"/>
  <c r="L43" i="1"/>
  <c r="K43" i="1"/>
  <c r="J43" i="1"/>
  <c r="I43" i="1"/>
  <c r="L23" i="1"/>
  <c r="K23" i="1"/>
  <c r="J23" i="1"/>
  <c r="I23" i="1"/>
  <c r="W287" i="1" l="1"/>
  <c r="X287" i="1"/>
  <c r="Y287" i="1"/>
  <c r="Z287" i="1"/>
  <c r="AA287" i="1"/>
  <c r="W288" i="1"/>
  <c r="X288" i="1"/>
  <c r="Y288" i="1"/>
  <c r="Z288" i="1"/>
  <c r="AA288" i="1"/>
  <c r="W289" i="1"/>
  <c r="X289" i="1"/>
  <c r="Y289" i="1"/>
  <c r="Z289" i="1"/>
  <c r="AA289" i="1"/>
  <c r="W290" i="1"/>
  <c r="X290" i="1"/>
  <c r="Y290" i="1"/>
  <c r="Z290" i="1"/>
  <c r="AA290" i="1"/>
  <c r="W291" i="1"/>
  <c r="X291" i="1"/>
  <c r="Y291" i="1"/>
  <c r="Z291" i="1"/>
  <c r="AA291" i="1"/>
  <c r="X286" i="1"/>
  <c r="Y286" i="1"/>
  <c r="Z286" i="1"/>
  <c r="AA286" i="1"/>
  <c r="W286" i="1"/>
  <c r="AB285" i="1"/>
  <c r="AC285" i="1"/>
  <c r="AD285" i="1"/>
  <c r="AB284" i="1"/>
  <c r="AC284" i="1"/>
  <c r="AD284" i="1"/>
  <c r="AC280" i="1"/>
  <c r="AD280" i="1"/>
  <c r="AC281" i="1"/>
  <c r="AD281" i="1"/>
  <c r="AC282" i="1"/>
  <c r="AD282" i="1"/>
  <c r="AC283" i="1"/>
  <c r="AD283" i="1"/>
  <c r="AB281" i="1"/>
  <c r="AB282" i="1"/>
  <c r="AB283" i="1"/>
  <c r="AB280" i="1"/>
  <c r="Y274" i="1"/>
  <c r="Z274" i="1"/>
  <c r="AA274" i="1"/>
  <c r="AB274" i="1"/>
  <c r="AC274" i="1"/>
  <c r="AD274" i="1"/>
  <c r="Y275" i="1"/>
  <c r="Z275" i="1"/>
  <c r="AA275" i="1"/>
  <c r="AB275" i="1"/>
  <c r="AC275" i="1"/>
  <c r="AD275" i="1"/>
  <c r="Y276" i="1"/>
  <c r="Z276" i="1"/>
  <c r="AA276" i="1"/>
  <c r="AB276" i="1"/>
  <c r="AC276" i="1"/>
  <c r="AD276" i="1"/>
  <c r="Y277" i="1"/>
  <c r="Z277" i="1"/>
  <c r="AA277" i="1"/>
  <c r="AB277" i="1"/>
  <c r="AC277" i="1"/>
  <c r="AD277" i="1"/>
  <c r="Y278" i="1"/>
  <c r="Z278" i="1"/>
  <c r="AA278" i="1"/>
  <c r="AB278" i="1"/>
  <c r="AC278" i="1"/>
  <c r="AD278" i="1"/>
  <c r="Y279" i="1"/>
  <c r="Z279" i="1"/>
  <c r="AA279" i="1"/>
  <c r="AB279" i="1"/>
  <c r="AC279" i="1"/>
  <c r="AD279" i="1"/>
  <c r="V274" i="1"/>
  <c r="W274" i="1"/>
  <c r="X274" i="1"/>
  <c r="V275" i="1"/>
  <c r="W275" i="1"/>
  <c r="X275" i="1"/>
  <c r="V276" i="1"/>
  <c r="W276" i="1"/>
  <c r="X276" i="1"/>
  <c r="V277" i="1"/>
  <c r="W277" i="1"/>
  <c r="X277" i="1"/>
  <c r="V278" i="1"/>
  <c r="W278" i="1"/>
  <c r="X278" i="1"/>
  <c r="V279" i="1"/>
  <c r="W279" i="1"/>
  <c r="X279" i="1"/>
  <c r="U279" i="1"/>
  <c r="U274" i="1"/>
  <c r="U275" i="1"/>
  <c r="U276" i="1"/>
  <c r="U278" i="1"/>
  <c r="U277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I183" i="1"/>
  <c r="I184" i="1" s="1"/>
  <c r="J183" i="1"/>
  <c r="J184" i="1" s="1"/>
  <c r="K183" i="1"/>
  <c r="K184" i="1" s="1"/>
  <c r="L183" i="1"/>
  <c r="M183" i="1"/>
  <c r="N183" i="1"/>
  <c r="O183" i="1"/>
  <c r="P183" i="1"/>
  <c r="Q183" i="1"/>
  <c r="R183" i="1"/>
  <c r="R123" i="1"/>
  <c r="Q123" i="1"/>
  <c r="P123" i="1"/>
  <c r="O123" i="1"/>
  <c r="N123" i="1"/>
  <c r="M123" i="1"/>
  <c r="L123" i="1"/>
  <c r="K123" i="1"/>
  <c r="J123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R143" i="1"/>
  <c r="Q143" i="1"/>
  <c r="P143" i="1"/>
  <c r="O143" i="1"/>
  <c r="N143" i="1"/>
  <c r="M143" i="1"/>
  <c r="L143" i="1"/>
  <c r="K143" i="1"/>
  <c r="J143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R163" i="1"/>
  <c r="Q163" i="1"/>
  <c r="P163" i="1"/>
  <c r="O163" i="1"/>
  <c r="N163" i="1"/>
  <c r="M163" i="1"/>
  <c r="L163" i="1"/>
  <c r="K163" i="1"/>
  <c r="J163" i="1"/>
  <c r="I163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24" i="1"/>
  <c r="O43" i="1"/>
  <c r="P43" i="1"/>
  <c r="Q43" i="1"/>
  <c r="R43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4" i="1"/>
  <c r="M23" i="1"/>
  <c r="N23" i="1"/>
  <c r="O23" i="1"/>
  <c r="P23" i="1"/>
  <c r="Q23" i="1"/>
  <c r="R23" i="1"/>
  <c r="O184" i="1" l="1"/>
  <c r="P184" i="1"/>
  <c r="N184" i="1"/>
  <c r="R184" i="1"/>
  <c r="L184" i="1"/>
  <c r="M184" i="1"/>
  <c r="Q184" i="1"/>
  <c r="R358" i="1"/>
  <c r="Q358" i="1"/>
  <c r="P358" i="1"/>
  <c r="O358" i="1"/>
  <c r="I358" i="1"/>
  <c r="R357" i="1"/>
  <c r="Q357" i="1"/>
  <c r="P357" i="1"/>
  <c r="O357" i="1"/>
  <c r="I357" i="1"/>
  <c r="R356" i="1"/>
  <c r="Q356" i="1"/>
  <c r="P356" i="1"/>
  <c r="O356" i="1"/>
  <c r="N356" i="1"/>
  <c r="M356" i="1"/>
  <c r="L356" i="1"/>
  <c r="K356" i="1"/>
  <c r="J356" i="1"/>
  <c r="I356" i="1"/>
  <c r="R355" i="1"/>
  <c r="Q355" i="1"/>
  <c r="P355" i="1"/>
  <c r="O355" i="1"/>
  <c r="I355" i="1"/>
  <c r="R354" i="1"/>
  <c r="Q354" i="1"/>
  <c r="P354" i="1"/>
  <c r="O354" i="1"/>
  <c r="N354" i="1"/>
  <c r="M354" i="1"/>
  <c r="L354" i="1"/>
  <c r="K354" i="1"/>
  <c r="J354" i="1"/>
  <c r="I354" i="1"/>
  <c r="S359" i="1"/>
  <c r="R351" i="1"/>
  <c r="Q351" i="1"/>
  <c r="P351" i="1"/>
  <c r="J351" i="1"/>
  <c r="I351" i="1"/>
  <c r="R350" i="1"/>
  <c r="Q350" i="1"/>
  <c r="P350" i="1"/>
  <c r="J350" i="1"/>
  <c r="I350" i="1"/>
  <c r="R349" i="1"/>
  <c r="Q349" i="1"/>
  <c r="P349" i="1"/>
  <c r="J349" i="1"/>
  <c r="I349" i="1"/>
  <c r="R348" i="1"/>
  <c r="Q348" i="1"/>
  <c r="P348" i="1"/>
  <c r="J348" i="1"/>
  <c r="I348" i="1"/>
  <c r="R347" i="1"/>
  <c r="Q347" i="1"/>
  <c r="P347" i="1"/>
  <c r="J347" i="1"/>
  <c r="I347" i="1"/>
  <c r="R346" i="1"/>
  <c r="Q346" i="1"/>
  <c r="P346" i="1"/>
  <c r="J346" i="1"/>
  <c r="I346" i="1"/>
  <c r="O345" i="1"/>
  <c r="N345" i="1"/>
  <c r="M345" i="1"/>
  <c r="L345" i="1"/>
  <c r="K345" i="1"/>
  <c r="J345" i="1"/>
  <c r="I345" i="1"/>
  <c r="O344" i="1"/>
  <c r="N344" i="1"/>
  <c r="M344" i="1"/>
  <c r="L344" i="1"/>
  <c r="K344" i="1"/>
  <c r="J344" i="1"/>
  <c r="I344" i="1"/>
  <c r="O343" i="1"/>
  <c r="N343" i="1"/>
  <c r="M343" i="1"/>
  <c r="L343" i="1"/>
  <c r="K343" i="1"/>
  <c r="J343" i="1"/>
  <c r="I343" i="1"/>
  <c r="O342" i="1"/>
  <c r="N342" i="1"/>
  <c r="M342" i="1"/>
  <c r="L342" i="1"/>
  <c r="K342" i="1"/>
  <c r="J342" i="1"/>
  <c r="I342" i="1"/>
  <c r="O341" i="1"/>
  <c r="N341" i="1"/>
  <c r="M341" i="1"/>
  <c r="L341" i="1"/>
  <c r="K341" i="1"/>
  <c r="J341" i="1"/>
  <c r="I341" i="1"/>
  <c r="O340" i="1"/>
  <c r="N340" i="1"/>
  <c r="M340" i="1"/>
  <c r="L340" i="1"/>
  <c r="K340" i="1"/>
  <c r="J340" i="1"/>
  <c r="I340" i="1"/>
  <c r="R339" i="1"/>
  <c r="Q339" i="1"/>
  <c r="P339" i="1"/>
  <c r="R338" i="1"/>
  <c r="Q338" i="1"/>
  <c r="P338" i="1"/>
  <c r="R337" i="1"/>
  <c r="Q337" i="1"/>
  <c r="P337" i="1"/>
  <c r="R336" i="1"/>
  <c r="Q336" i="1"/>
  <c r="P336" i="1"/>
  <c r="R335" i="1"/>
  <c r="Q335" i="1"/>
  <c r="P335" i="1"/>
  <c r="R334" i="1"/>
  <c r="Q334" i="1"/>
  <c r="P334" i="1"/>
  <c r="S184" i="1" l="1"/>
  <c r="S354" i="1"/>
  <c r="S356" i="1"/>
  <c r="R331" i="1" l="1"/>
  <c r="Q331" i="1"/>
  <c r="P331" i="1"/>
  <c r="J331" i="1"/>
  <c r="I331" i="1"/>
  <c r="R330" i="1"/>
  <c r="Q330" i="1"/>
  <c r="P330" i="1"/>
  <c r="J330" i="1"/>
  <c r="I330" i="1"/>
  <c r="R329" i="1"/>
  <c r="Q329" i="1"/>
  <c r="P329" i="1"/>
  <c r="J329" i="1"/>
  <c r="I329" i="1"/>
  <c r="R328" i="1"/>
  <c r="Q328" i="1"/>
  <c r="P328" i="1"/>
  <c r="J328" i="1"/>
  <c r="I328" i="1"/>
  <c r="R327" i="1"/>
  <c r="Q327" i="1"/>
  <c r="P327" i="1"/>
  <c r="J327" i="1"/>
  <c r="I327" i="1"/>
  <c r="R326" i="1"/>
  <c r="Q326" i="1"/>
  <c r="P326" i="1"/>
  <c r="J326" i="1"/>
  <c r="I326" i="1"/>
  <c r="O325" i="1"/>
  <c r="N325" i="1"/>
  <c r="M325" i="1"/>
  <c r="L325" i="1"/>
  <c r="K325" i="1"/>
  <c r="J325" i="1"/>
  <c r="I325" i="1"/>
  <c r="O324" i="1"/>
  <c r="N324" i="1"/>
  <c r="M324" i="1"/>
  <c r="L324" i="1"/>
  <c r="K324" i="1"/>
  <c r="J324" i="1"/>
  <c r="I324" i="1"/>
  <c r="O323" i="1"/>
  <c r="N323" i="1"/>
  <c r="M323" i="1"/>
  <c r="L323" i="1"/>
  <c r="K323" i="1"/>
  <c r="J323" i="1"/>
  <c r="I323" i="1"/>
  <c r="O322" i="1"/>
  <c r="N322" i="1"/>
  <c r="M322" i="1"/>
  <c r="L322" i="1"/>
  <c r="K322" i="1"/>
  <c r="J322" i="1"/>
  <c r="I322" i="1"/>
  <c r="O321" i="1"/>
  <c r="N321" i="1"/>
  <c r="M321" i="1"/>
  <c r="L321" i="1"/>
  <c r="K321" i="1"/>
  <c r="J321" i="1"/>
  <c r="I321" i="1"/>
  <c r="O320" i="1"/>
  <c r="N320" i="1"/>
  <c r="M320" i="1"/>
  <c r="L320" i="1"/>
  <c r="K320" i="1"/>
  <c r="J320" i="1"/>
  <c r="I320" i="1"/>
  <c r="R319" i="1"/>
  <c r="Q319" i="1"/>
  <c r="P319" i="1"/>
  <c r="R318" i="1"/>
  <c r="Q318" i="1"/>
  <c r="P318" i="1"/>
  <c r="R317" i="1"/>
  <c r="Q317" i="1"/>
  <c r="P317" i="1"/>
  <c r="R316" i="1"/>
  <c r="Q316" i="1"/>
  <c r="P316" i="1"/>
  <c r="R315" i="1"/>
  <c r="Q315" i="1"/>
  <c r="P315" i="1"/>
  <c r="R314" i="1"/>
  <c r="Q314" i="1"/>
  <c r="P314" i="1"/>
  <c r="S301" i="1"/>
  <c r="N269" i="1"/>
  <c r="N355" i="1" s="1"/>
  <c r="M269" i="1"/>
  <c r="M355" i="1" s="1"/>
  <c r="L269" i="1"/>
  <c r="L355" i="1" s="1"/>
  <c r="K269" i="1"/>
  <c r="K355" i="1" s="1"/>
  <c r="J269" i="1"/>
  <c r="J355" i="1" s="1"/>
  <c r="N272" i="1"/>
  <c r="N358" i="1" s="1"/>
  <c r="M272" i="1"/>
  <c r="M358" i="1" s="1"/>
  <c r="L272" i="1"/>
  <c r="L358" i="1" s="1"/>
  <c r="K272" i="1"/>
  <c r="K358" i="1" s="1"/>
  <c r="J272" i="1"/>
  <c r="J358" i="1" s="1"/>
  <c r="N271" i="1"/>
  <c r="N357" i="1" s="1"/>
  <c r="M271" i="1"/>
  <c r="M357" i="1" s="1"/>
  <c r="L271" i="1"/>
  <c r="L357" i="1" s="1"/>
  <c r="K271" i="1"/>
  <c r="K357" i="1" s="1"/>
  <c r="J271" i="1"/>
  <c r="J357" i="1" s="1"/>
  <c r="S273" i="1"/>
  <c r="S270" i="1"/>
  <c r="S268" i="1"/>
  <c r="S267" i="1"/>
  <c r="S266" i="1"/>
  <c r="S265" i="1"/>
  <c r="S264" i="1"/>
  <c r="S263" i="1"/>
  <c r="S262" i="1"/>
  <c r="N251" i="1"/>
  <c r="M251" i="1"/>
  <c r="L251" i="1"/>
  <c r="K251" i="1"/>
  <c r="N250" i="1"/>
  <c r="M250" i="1"/>
  <c r="L250" i="1"/>
  <c r="K250" i="1"/>
  <c r="N252" i="1"/>
  <c r="M252" i="1"/>
  <c r="L252" i="1"/>
  <c r="K252" i="1"/>
  <c r="N255" i="1"/>
  <c r="M255" i="1"/>
  <c r="L255" i="1"/>
  <c r="K255" i="1"/>
  <c r="N254" i="1"/>
  <c r="M254" i="1"/>
  <c r="L254" i="1"/>
  <c r="K254" i="1"/>
  <c r="N253" i="1"/>
  <c r="M253" i="1"/>
  <c r="L253" i="1"/>
  <c r="K253" i="1"/>
  <c r="R245" i="1"/>
  <c r="Q245" i="1"/>
  <c r="P245" i="1"/>
  <c r="R244" i="1"/>
  <c r="Q244" i="1"/>
  <c r="P244" i="1"/>
  <c r="R246" i="1"/>
  <c r="Q246" i="1"/>
  <c r="P246" i="1"/>
  <c r="R249" i="1"/>
  <c r="Q249" i="1"/>
  <c r="P249" i="1"/>
  <c r="R248" i="1"/>
  <c r="Q248" i="1"/>
  <c r="P248" i="1"/>
  <c r="R247" i="1"/>
  <c r="Q247" i="1"/>
  <c r="P247" i="1"/>
  <c r="O239" i="1"/>
  <c r="O275" i="1" s="1"/>
  <c r="N239" i="1"/>
  <c r="M239" i="1"/>
  <c r="L239" i="1"/>
  <c r="K239" i="1"/>
  <c r="I275" i="1"/>
  <c r="O238" i="1"/>
  <c r="O274" i="1" s="1"/>
  <c r="N238" i="1"/>
  <c r="N274" i="1" s="1"/>
  <c r="M238" i="1"/>
  <c r="M274" i="1" s="1"/>
  <c r="L238" i="1"/>
  <c r="L274" i="1" s="1"/>
  <c r="K238" i="1"/>
  <c r="K274" i="1" s="1"/>
  <c r="J238" i="1"/>
  <c r="J274" i="1" s="1"/>
  <c r="I238" i="1"/>
  <c r="O240" i="1"/>
  <c r="O276" i="1" s="1"/>
  <c r="N240" i="1"/>
  <c r="N276" i="1" s="1"/>
  <c r="M240" i="1"/>
  <c r="M276" i="1" s="1"/>
  <c r="L240" i="1"/>
  <c r="L276" i="1" s="1"/>
  <c r="K240" i="1"/>
  <c r="K276" i="1" s="1"/>
  <c r="J240" i="1"/>
  <c r="J276" i="1" s="1"/>
  <c r="I240" i="1"/>
  <c r="I276" i="1" s="1"/>
  <c r="O243" i="1"/>
  <c r="N243" i="1"/>
  <c r="M243" i="1"/>
  <c r="L243" i="1"/>
  <c r="K243" i="1"/>
  <c r="J243" i="1"/>
  <c r="I243" i="1"/>
  <c r="O242" i="1"/>
  <c r="O278" i="1" s="1"/>
  <c r="N242" i="1"/>
  <c r="M242" i="1"/>
  <c r="L242" i="1"/>
  <c r="K242" i="1"/>
  <c r="J242" i="1"/>
  <c r="I242" i="1"/>
  <c r="I278" i="1" s="1"/>
  <c r="O241" i="1"/>
  <c r="N241" i="1"/>
  <c r="M241" i="1"/>
  <c r="L241" i="1"/>
  <c r="K241" i="1"/>
  <c r="J241" i="1"/>
  <c r="I241" i="1"/>
  <c r="S358" i="1" l="1"/>
  <c r="L337" i="1"/>
  <c r="J275" i="1"/>
  <c r="J315" i="1" s="1"/>
  <c r="M319" i="1"/>
  <c r="M339" i="1"/>
  <c r="N316" i="1"/>
  <c r="N336" i="1"/>
  <c r="O314" i="1"/>
  <c r="O334" i="1"/>
  <c r="L316" i="1"/>
  <c r="L336" i="1"/>
  <c r="M316" i="1"/>
  <c r="M336" i="1"/>
  <c r="N319" i="1"/>
  <c r="N339" i="1"/>
  <c r="O316" i="1"/>
  <c r="O336" i="1"/>
  <c r="I315" i="1"/>
  <c r="I335" i="1"/>
  <c r="I317" i="1"/>
  <c r="I337" i="1"/>
  <c r="L319" i="1"/>
  <c r="L339" i="1"/>
  <c r="O319" i="1"/>
  <c r="O339" i="1"/>
  <c r="I314" i="1"/>
  <c r="I334" i="1"/>
  <c r="M314" i="1"/>
  <c r="M334" i="1"/>
  <c r="N314" i="1"/>
  <c r="N334" i="1"/>
  <c r="O318" i="1"/>
  <c r="O338" i="1"/>
  <c r="I316" i="1"/>
  <c r="I336" i="1"/>
  <c r="J314" i="1"/>
  <c r="J334" i="1"/>
  <c r="K275" i="1"/>
  <c r="O315" i="1"/>
  <c r="O335" i="1"/>
  <c r="O317" i="1"/>
  <c r="O337" i="1"/>
  <c r="I319" i="1"/>
  <c r="I339" i="1"/>
  <c r="J316" i="1"/>
  <c r="J336" i="1"/>
  <c r="K314" i="1"/>
  <c r="K334" i="1"/>
  <c r="L275" i="1"/>
  <c r="K319" i="1"/>
  <c r="K339" i="1"/>
  <c r="I318" i="1"/>
  <c r="I338" i="1"/>
  <c r="J319" i="1"/>
  <c r="J339" i="1"/>
  <c r="K316" i="1"/>
  <c r="K336" i="1"/>
  <c r="L314" i="1"/>
  <c r="L334" i="1"/>
  <c r="S357" i="1"/>
  <c r="S355" i="1"/>
  <c r="M275" i="1"/>
  <c r="J278" i="1"/>
  <c r="S302" i="1"/>
  <c r="M278" i="1"/>
  <c r="S309" i="1"/>
  <c r="S307" i="1"/>
  <c r="P312" i="1"/>
  <c r="S269" i="1"/>
  <c r="S305" i="1"/>
  <c r="K278" i="1"/>
  <c r="S303" i="1"/>
  <c r="S306" i="1"/>
  <c r="N275" i="1"/>
  <c r="N335" i="1" s="1"/>
  <c r="R312" i="1"/>
  <c r="Q312" i="1"/>
  <c r="S304" i="1"/>
  <c r="S308" i="1"/>
  <c r="S310" i="1"/>
  <c r="S300" i="1"/>
  <c r="U255" i="1"/>
  <c r="L278" i="1"/>
  <c r="N278" i="1"/>
  <c r="S272" i="1"/>
  <c r="S271" i="1"/>
  <c r="L317" i="1" l="1"/>
  <c r="J335" i="1"/>
  <c r="S319" i="1"/>
  <c r="J317" i="1"/>
  <c r="J337" i="1"/>
  <c r="K335" i="1"/>
  <c r="K315" i="1"/>
  <c r="M317" i="1"/>
  <c r="M337" i="1"/>
  <c r="S339" i="1"/>
  <c r="S336" i="1"/>
  <c r="L318" i="1"/>
  <c r="L338" i="1"/>
  <c r="M318" i="1"/>
  <c r="M338" i="1"/>
  <c r="L315" i="1"/>
  <c r="L335" i="1"/>
  <c r="K318" i="1"/>
  <c r="K338" i="1"/>
  <c r="S334" i="1"/>
  <c r="I352" i="1"/>
  <c r="M315" i="1"/>
  <c r="M335" i="1"/>
  <c r="K317" i="1"/>
  <c r="K337" i="1"/>
  <c r="N318" i="1"/>
  <c r="N338" i="1"/>
  <c r="J318" i="1"/>
  <c r="J338" i="1"/>
  <c r="N317" i="1"/>
  <c r="N337" i="1"/>
  <c r="S311" i="1"/>
  <c r="N315" i="1"/>
  <c r="J352" i="1" l="1"/>
  <c r="S338" i="1"/>
  <c r="S337" i="1"/>
  <c r="S335" i="1"/>
  <c r="K287" i="1"/>
  <c r="O291" i="1"/>
  <c r="O290" i="1"/>
  <c r="O289" i="1"/>
  <c r="O288" i="1"/>
  <c r="O287" i="1"/>
  <c r="N287" i="1"/>
  <c r="M287" i="1"/>
  <c r="O286" i="1"/>
  <c r="R281" i="1"/>
  <c r="Q281" i="1"/>
  <c r="P281" i="1"/>
  <c r="S258" i="1"/>
  <c r="S257" i="1"/>
  <c r="N286" i="1"/>
  <c r="L286" i="1"/>
  <c r="K286" i="1"/>
  <c r="N290" i="1"/>
  <c r="M290" i="1"/>
  <c r="L290" i="1"/>
  <c r="K290" i="1"/>
  <c r="N288" i="1"/>
  <c r="M288" i="1"/>
  <c r="L288" i="1"/>
  <c r="R280" i="1"/>
  <c r="Q280" i="1"/>
  <c r="P280" i="1"/>
  <c r="R282" i="1"/>
  <c r="Q282" i="1"/>
  <c r="P282" i="1"/>
  <c r="S245" i="1"/>
  <c r="S239" i="1"/>
  <c r="S260" i="1"/>
  <c r="S259" i="1"/>
  <c r="P320" i="1" l="1"/>
  <c r="P340" i="1"/>
  <c r="M327" i="1"/>
  <c r="M347" i="1"/>
  <c r="L330" i="1"/>
  <c r="L350" i="1"/>
  <c r="P321" i="1"/>
  <c r="P341" i="1"/>
  <c r="N327" i="1"/>
  <c r="N347" i="1"/>
  <c r="O331" i="1"/>
  <c r="O351" i="1"/>
  <c r="M331" i="1"/>
  <c r="M351" i="1"/>
  <c r="O329" i="1"/>
  <c r="O349" i="1"/>
  <c r="R320" i="1"/>
  <c r="R340" i="1"/>
  <c r="O330" i="1"/>
  <c r="O350" i="1"/>
  <c r="L328" i="1"/>
  <c r="L348" i="1"/>
  <c r="M328" i="1"/>
  <c r="M348" i="1"/>
  <c r="M330" i="1"/>
  <c r="M350" i="1"/>
  <c r="Q321" i="1"/>
  <c r="Q341" i="1"/>
  <c r="O327" i="1"/>
  <c r="O347" i="1"/>
  <c r="K327" i="1"/>
  <c r="K347" i="1"/>
  <c r="N326" i="1"/>
  <c r="N346" i="1"/>
  <c r="N329" i="1"/>
  <c r="N349" i="1"/>
  <c r="O326" i="1"/>
  <c r="O346" i="1"/>
  <c r="K330" i="1"/>
  <c r="K350" i="1"/>
  <c r="P322" i="1"/>
  <c r="P342" i="1"/>
  <c r="Q322" i="1"/>
  <c r="Q342" i="1"/>
  <c r="N328" i="1"/>
  <c r="N348" i="1"/>
  <c r="N330" i="1"/>
  <c r="N350" i="1"/>
  <c r="R321" i="1"/>
  <c r="R341" i="1"/>
  <c r="O328" i="1"/>
  <c r="O348" i="1"/>
  <c r="K329" i="1"/>
  <c r="K349" i="1"/>
  <c r="R323" i="1"/>
  <c r="R343" i="1"/>
  <c r="Q320" i="1"/>
  <c r="Q340" i="1"/>
  <c r="R322" i="1"/>
  <c r="R342" i="1"/>
  <c r="K331" i="1"/>
  <c r="K351" i="1"/>
  <c r="K326" i="1"/>
  <c r="K346" i="1"/>
  <c r="P323" i="1"/>
  <c r="P343" i="1"/>
  <c r="L329" i="1"/>
  <c r="L349" i="1"/>
  <c r="N331" i="1"/>
  <c r="N351" i="1"/>
  <c r="Q325" i="1"/>
  <c r="Q345" i="1"/>
  <c r="L331" i="1"/>
  <c r="L351" i="1"/>
  <c r="L326" i="1"/>
  <c r="L346" i="1"/>
  <c r="Q323" i="1"/>
  <c r="Q343" i="1"/>
  <c r="M329" i="1"/>
  <c r="M349" i="1"/>
  <c r="S281" i="1"/>
  <c r="S275" i="1"/>
  <c r="S289" i="1"/>
  <c r="S276" i="1"/>
  <c r="S282" i="1"/>
  <c r="P284" i="1"/>
  <c r="M286" i="1"/>
  <c r="Q284" i="1"/>
  <c r="S246" i="1"/>
  <c r="R284" i="1"/>
  <c r="S240" i="1"/>
  <c r="S291" i="1"/>
  <c r="S280" i="1"/>
  <c r="S277" i="1"/>
  <c r="S283" i="1"/>
  <c r="S290" i="1"/>
  <c r="S261" i="1"/>
  <c r="S256" i="1"/>
  <c r="W32" i="1" l="1"/>
  <c r="X32" i="1" s="1"/>
  <c r="S323" i="1"/>
  <c r="S329" i="1"/>
  <c r="S322" i="1"/>
  <c r="S350" i="1"/>
  <c r="S349" i="1"/>
  <c r="R324" i="1"/>
  <c r="R344" i="1"/>
  <c r="S351" i="1"/>
  <c r="O352" i="1"/>
  <c r="S341" i="1"/>
  <c r="P325" i="1"/>
  <c r="P345" i="1"/>
  <c r="Q324" i="1"/>
  <c r="Q332" i="1" s="1"/>
  <c r="Q344" i="1"/>
  <c r="Q352" i="1" s="1"/>
  <c r="M326" i="1"/>
  <c r="S326" i="1" s="1"/>
  <c r="M346" i="1"/>
  <c r="N352" i="1"/>
  <c r="S340" i="1"/>
  <c r="P324" i="1"/>
  <c r="P344" i="1"/>
  <c r="S343" i="1"/>
  <c r="S342" i="1"/>
  <c r="R325" i="1"/>
  <c r="S325" i="1" s="1"/>
  <c r="R345" i="1"/>
  <c r="S331" i="1"/>
  <c r="S314" i="1"/>
  <c r="S315" i="1"/>
  <c r="S321" i="1"/>
  <c r="S297" i="1"/>
  <c r="S296" i="1"/>
  <c r="S295" i="1"/>
  <c r="S278" i="1"/>
  <c r="R292" i="1"/>
  <c r="Q292" i="1"/>
  <c r="S284" i="1"/>
  <c r="S285" i="1"/>
  <c r="P292" i="1"/>
  <c r="S286" i="1"/>
  <c r="J292" i="1"/>
  <c r="O292" i="1"/>
  <c r="I292" i="1"/>
  <c r="S279" i="1"/>
  <c r="N292" i="1"/>
  <c r="M292" i="1"/>
  <c r="S274" i="1"/>
  <c r="R332" i="1" l="1"/>
  <c r="R352" i="1"/>
  <c r="S344" i="1"/>
  <c r="S324" i="1"/>
  <c r="S346" i="1"/>
  <c r="M352" i="1"/>
  <c r="P352" i="1"/>
  <c r="S345" i="1"/>
  <c r="S320" i="1"/>
  <c r="P332" i="1"/>
  <c r="N312" i="1" l="1"/>
  <c r="J312" i="1"/>
  <c r="O312" i="1"/>
  <c r="M312" i="1"/>
  <c r="I312" i="1"/>
  <c r="J332" i="1" l="1"/>
  <c r="N332" i="1"/>
  <c r="M332" i="1"/>
  <c r="O332" i="1"/>
  <c r="I332" i="1"/>
  <c r="S254" i="1" l="1"/>
  <c r="S255" i="1"/>
  <c r="S253" i="1"/>
  <c r="S250" i="1"/>
  <c r="S249" i="1"/>
  <c r="S248" i="1"/>
  <c r="S247" i="1"/>
  <c r="S244" i="1"/>
  <c r="S241" i="1"/>
  <c r="S238" i="1"/>
  <c r="U235" i="1" l="1"/>
  <c r="P234" i="1"/>
  <c r="O234" i="1"/>
  <c r="P227" i="1"/>
  <c r="O227" i="1"/>
  <c r="P221" i="1"/>
  <c r="O221" i="1"/>
  <c r="P215" i="1"/>
  <c r="O215" i="1"/>
  <c r="P209" i="1"/>
  <c r="O209" i="1"/>
  <c r="P203" i="1"/>
  <c r="O203" i="1"/>
  <c r="P197" i="1"/>
  <c r="O197" i="1"/>
  <c r="P191" i="1"/>
  <c r="O191" i="1"/>
  <c r="S243" i="1" l="1"/>
  <c r="S242" i="1"/>
  <c r="J229" i="1" l="1"/>
  <c r="K229" i="1"/>
  <c r="L229" i="1"/>
  <c r="M229" i="1"/>
  <c r="J230" i="1"/>
  <c r="K230" i="1"/>
  <c r="L230" i="1"/>
  <c r="M230" i="1"/>
  <c r="J231" i="1"/>
  <c r="K231" i="1"/>
  <c r="L231" i="1"/>
  <c r="M231" i="1"/>
  <c r="J232" i="1"/>
  <c r="K232" i="1"/>
  <c r="L232" i="1"/>
  <c r="M232" i="1"/>
  <c r="I232" i="1"/>
  <c r="I231" i="1"/>
  <c r="I230" i="1"/>
  <c r="I229" i="1"/>
  <c r="R227" i="1"/>
  <c r="Q227" i="1"/>
  <c r="N227" i="1"/>
  <c r="M227" i="1"/>
  <c r="L227" i="1"/>
  <c r="K227" i="1"/>
  <c r="J227" i="1"/>
  <c r="I227" i="1"/>
  <c r="S225" i="1"/>
  <c r="S224" i="1"/>
  <c r="S223" i="1"/>
  <c r="S222" i="1"/>
  <c r="S227" i="1" l="1"/>
  <c r="R221" i="1"/>
  <c r="Q221" i="1"/>
  <c r="N221" i="1"/>
  <c r="M221" i="1"/>
  <c r="L221" i="1"/>
  <c r="K221" i="1"/>
  <c r="J221" i="1"/>
  <c r="I221" i="1"/>
  <c r="S219" i="1"/>
  <c r="S218" i="1"/>
  <c r="S217" i="1"/>
  <c r="S216" i="1"/>
  <c r="S221" i="1" l="1"/>
  <c r="S229" i="1"/>
  <c r="S232" i="1"/>
  <c r="S231" i="1"/>
  <c r="S230" i="1"/>
  <c r="K234" i="1"/>
  <c r="R234" i="1"/>
  <c r="Q234" i="1"/>
  <c r="N234" i="1"/>
  <c r="M234" i="1"/>
  <c r="L234" i="1"/>
  <c r="J234" i="1"/>
  <c r="I234" i="1" l="1"/>
  <c r="S234" i="1"/>
  <c r="R215" i="1" l="1"/>
  <c r="Q215" i="1"/>
  <c r="N215" i="1"/>
  <c r="M215" i="1"/>
  <c r="L215" i="1"/>
  <c r="K215" i="1"/>
  <c r="J215" i="1"/>
  <c r="I215" i="1"/>
  <c r="S213" i="1"/>
  <c r="S212" i="1"/>
  <c r="S211" i="1"/>
  <c r="S210" i="1"/>
  <c r="R209" i="1"/>
  <c r="Q209" i="1"/>
  <c r="N209" i="1"/>
  <c r="M209" i="1"/>
  <c r="L209" i="1"/>
  <c r="K209" i="1"/>
  <c r="J209" i="1"/>
  <c r="I209" i="1"/>
  <c r="S207" i="1"/>
  <c r="S206" i="1"/>
  <c r="S205" i="1"/>
  <c r="S204" i="1"/>
  <c r="R203" i="1"/>
  <c r="Q203" i="1"/>
  <c r="N203" i="1"/>
  <c r="M203" i="1"/>
  <c r="L203" i="1"/>
  <c r="K203" i="1"/>
  <c r="J203" i="1"/>
  <c r="I203" i="1"/>
  <c r="S201" i="1"/>
  <c r="S200" i="1"/>
  <c r="S199" i="1"/>
  <c r="S198" i="1"/>
  <c r="R197" i="1"/>
  <c r="Q197" i="1"/>
  <c r="N197" i="1"/>
  <c r="M197" i="1"/>
  <c r="L197" i="1"/>
  <c r="K197" i="1"/>
  <c r="J197" i="1"/>
  <c r="I197" i="1"/>
  <c r="S195" i="1"/>
  <c r="S194" i="1"/>
  <c r="S193" i="1"/>
  <c r="S192" i="1"/>
  <c r="R191" i="1"/>
  <c r="Q191" i="1"/>
  <c r="N191" i="1"/>
  <c r="M191" i="1"/>
  <c r="L191" i="1"/>
  <c r="K191" i="1"/>
  <c r="J191" i="1"/>
  <c r="I191" i="1"/>
  <c r="S189" i="1"/>
  <c r="S188" i="1"/>
  <c r="S187" i="1"/>
  <c r="S186" i="1"/>
  <c r="S215" i="1" l="1"/>
  <c r="S209" i="1"/>
  <c r="S203" i="1"/>
  <c r="S197" i="1"/>
  <c r="S191" i="1"/>
  <c r="S252" i="1"/>
  <c r="K288" i="1"/>
  <c r="K328" i="1" l="1"/>
  <c r="K348" i="1"/>
  <c r="S330" i="1"/>
  <c r="K292" i="1"/>
  <c r="S288" i="1"/>
  <c r="S348" i="1" l="1"/>
  <c r="K352" i="1"/>
  <c r="K312" i="1"/>
  <c r="S294" i="1"/>
  <c r="S251" i="1"/>
  <c r="L287" i="1"/>
  <c r="L347" i="1" s="1"/>
  <c r="L352" i="1" l="1"/>
  <c r="S352" i="1" s="1"/>
  <c r="S347" i="1"/>
  <c r="W31" i="1"/>
  <c r="X31" i="1" s="1"/>
  <c r="W5" i="1"/>
  <c r="X5" i="1" s="1"/>
  <c r="U291" i="1"/>
  <c r="L327" i="1"/>
  <c r="K332" i="1"/>
  <c r="L292" i="1"/>
  <c r="S287" i="1"/>
  <c r="S328" i="1" l="1"/>
  <c r="S292" i="1"/>
  <c r="S327" i="1"/>
  <c r="S299" i="1"/>
  <c r="S317" i="1"/>
  <c r="S316" i="1" l="1"/>
  <c r="L312" i="1"/>
  <c r="S298" i="1"/>
  <c r="U311" i="1"/>
  <c r="S312" i="1" l="1"/>
  <c r="S318" i="1" l="1"/>
  <c r="L332" i="1"/>
  <c r="U331" i="1"/>
  <c r="S332" i="1" l="1"/>
  <c r="U35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Anna</author>
  </authors>
  <commentList>
    <comment ref="I277" authorId="0" shapeId="0" xr:uid="{ED73F2F2-5055-4094-B3F6-ECA015928180}">
      <text>
        <r>
          <rPr>
            <b/>
            <sz val="9"/>
            <color indexed="81"/>
            <rFont val="Tahoma"/>
            <family val="2"/>
          </rPr>
          <t>Anna:</t>
        </r>
        <r>
          <rPr>
            <sz val="9"/>
            <color indexed="81"/>
            <rFont val="Tahoma"/>
            <family val="2"/>
          </rPr>
          <t xml:space="preserve">
1448 ttl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같고
</t>
        </r>
        <r>
          <rPr>
            <sz val="9"/>
            <color indexed="81"/>
            <rFont val="Tahoma"/>
            <family val="2"/>
          </rPr>
          <t xml:space="preserve">sbd </t>
        </r>
        <r>
          <rPr>
            <sz val="9"/>
            <color indexed="81"/>
            <rFont val="돋움"/>
            <family val="3"/>
            <charset val="129"/>
          </rPr>
          <t>다름</t>
        </r>
      </text>
    </comment>
  </commentList>
</comments>
</file>

<file path=xl/sharedStrings.xml><?xml version="1.0" encoding="utf-8"?>
<sst xmlns="http://schemas.openxmlformats.org/spreadsheetml/2006/main" count="623" uniqueCount="88">
  <si>
    <t>STYLE NO.</t>
    <phoneticPr fontId="2" type="noConversion"/>
  </si>
  <si>
    <t>SHELL</t>
    <phoneticPr fontId="4" type="noConversion"/>
  </si>
  <si>
    <t>PO#</t>
    <phoneticPr fontId="2" type="noConversion"/>
  </si>
  <si>
    <t>X-FTY</t>
    <phoneticPr fontId="2" type="noConversion"/>
  </si>
  <si>
    <t>L</t>
    <phoneticPr fontId="2" type="noConversion"/>
  </si>
  <si>
    <t>XL</t>
    <phoneticPr fontId="2" type="noConversion"/>
  </si>
  <si>
    <t>XXL</t>
    <phoneticPr fontId="2" type="noConversion"/>
  </si>
  <si>
    <t>TTL</t>
    <phoneticPr fontId="2" type="noConversion"/>
  </si>
  <si>
    <t>VSSL</t>
    <phoneticPr fontId="2" type="noConversion"/>
  </si>
  <si>
    <t>DESTINATION</t>
    <phoneticPr fontId="2" type="noConversion"/>
  </si>
  <si>
    <t>US</t>
    <phoneticPr fontId="2" type="noConversion"/>
  </si>
  <si>
    <t>DESIGN # AND SKETCH</t>
    <phoneticPr fontId="2" type="noConversion"/>
  </si>
  <si>
    <t>COMMIT#</t>
    <phoneticPr fontId="2" type="noConversion"/>
  </si>
  <si>
    <t>Type</t>
    <phoneticPr fontId="2" type="noConversion"/>
  </si>
  <si>
    <t>ARTIC GRAY</t>
    <phoneticPr fontId="2" type="noConversion"/>
  </si>
  <si>
    <t>TAN PEBBLE</t>
    <phoneticPr fontId="2" type="noConversion"/>
  </si>
  <si>
    <t>DEEP SEA NAVY</t>
    <phoneticPr fontId="2" type="noConversion"/>
  </si>
  <si>
    <t>BLACK</t>
    <phoneticPr fontId="2" type="noConversion"/>
  </si>
  <si>
    <t>EU</t>
    <phoneticPr fontId="2" type="noConversion"/>
  </si>
  <si>
    <t xml:space="preserve"> =&gt;</t>
    <phoneticPr fontId="2" type="noConversion"/>
  </si>
  <si>
    <t>Carton Size</t>
  </si>
  <si>
    <t>Blister with gusset</t>
  </si>
  <si>
    <t>23x17x11”</t>
  </si>
  <si>
    <t>23x17x31”</t>
    <phoneticPr fontId="2" type="noConversion"/>
  </si>
  <si>
    <t>23x17x5”</t>
  </si>
  <si>
    <t>23x17x25”</t>
    <phoneticPr fontId="2" type="noConversion"/>
  </si>
  <si>
    <t>17x12x5” </t>
  </si>
  <si>
    <t>17x11x20”</t>
    <phoneticPr fontId="2" type="noConversion"/>
  </si>
  <si>
    <t>Regular - KOHL'S</t>
    <phoneticPr fontId="2" type="noConversion"/>
  </si>
  <si>
    <t>TOTAL - KOHL'S ONLY</t>
    <phoneticPr fontId="2" type="noConversion"/>
  </si>
  <si>
    <t>NET COLOR COMMIT - EDWARD</t>
    <phoneticPr fontId="2" type="noConversion"/>
  </si>
  <si>
    <t>3. POLYBAG STICKER 5% 로스 - 하단 차트 참조</t>
    <phoneticPr fontId="2" type="noConversion"/>
  </si>
  <si>
    <t>SKU-BC LABEL - BASED ON STYLE# - 5% LOSS (NO KOHLS ORDER)</t>
    <phoneticPr fontId="2" type="noConversion"/>
  </si>
  <si>
    <t>5. C/O LABEL - 3% loss</t>
    <phoneticPr fontId="2" type="noConversion"/>
  </si>
  <si>
    <t>SP22</t>
    <phoneticPr fontId="2" type="noConversion"/>
  </si>
  <si>
    <t>XXS</t>
    <phoneticPr fontId="4" type="noConversion"/>
  </si>
  <si>
    <t>M</t>
    <phoneticPr fontId="2" type="noConversion"/>
  </si>
  <si>
    <t>XS</t>
    <phoneticPr fontId="4" type="noConversion"/>
  </si>
  <si>
    <t>S</t>
    <phoneticPr fontId="2" type="noConversion"/>
  </si>
  <si>
    <t xml:space="preserve"> CHECK LIST</t>
    <phoneticPr fontId="2" type="noConversion"/>
  </si>
  <si>
    <t>BALANCE BETWEEN CHECK LIST AND EDWARD</t>
    <phoneticPr fontId="2" type="noConversion"/>
  </si>
  <si>
    <t>TOTAL</t>
    <phoneticPr fontId="15" type="noConversion"/>
  </si>
  <si>
    <t>1. POLYBAG - PB 08LEB 10"W x 12"L - outside flap - 4 1/2 (NO KOHLS ORDER)</t>
    <phoneticPr fontId="2" type="noConversion"/>
  </si>
  <si>
    <t>PB 08LEB</t>
  </si>
  <si>
    <t xml:space="preserve">US </t>
    <phoneticPr fontId="2" type="noConversion"/>
  </si>
  <si>
    <t>AMAZON Regular 522213</t>
    <phoneticPr fontId="2" type="noConversion"/>
  </si>
  <si>
    <t>Regular TOTAL</t>
    <phoneticPr fontId="2" type="noConversion"/>
  </si>
  <si>
    <t>HUSKY TOTAL</t>
    <phoneticPr fontId="2" type="noConversion"/>
  </si>
  <si>
    <t>SLIM TOTAL</t>
    <phoneticPr fontId="2" type="noConversion"/>
  </si>
  <si>
    <t>Black Diagonal Tie Dye (5S0)</t>
  </si>
  <si>
    <t>Chicory Blue Stripe Floral</t>
  </si>
  <si>
    <t>Deep Sea Navy Tropic Palm (08S)</t>
  </si>
  <si>
    <t>Electric Blue Tropical</t>
  </si>
  <si>
    <t>Flame Diagonal Tie Dye (5R0)</t>
  </si>
  <si>
    <t>Turquoise Baltic Teal Tie Dye (5I0)</t>
  </si>
  <si>
    <t>BOYS ACTIVE SHORT</t>
    <phoneticPr fontId="2" type="noConversion"/>
  </si>
  <si>
    <t>Black Map Print (8V3)</t>
  </si>
  <si>
    <t>Deep Sea Navy Turquoise Geo (9F1)</t>
  </si>
  <si>
    <t>Electric Blue Multi Swirl (8V0)</t>
  </si>
  <si>
    <t>Papaya Orange Space Dye (3I0)</t>
  </si>
  <si>
    <t>Ultimate Gray Camo (5F0)</t>
  </si>
  <si>
    <t>Violet Rose Tie Dye Stripe (8Q0)</t>
  </si>
  <si>
    <t>Regular 528478</t>
    <phoneticPr fontId="2" type="noConversion"/>
  </si>
  <si>
    <t>HUSKY 528482</t>
    <phoneticPr fontId="2" type="noConversion"/>
  </si>
  <si>
    <t>SLIM 528484</t>
    <phoneticPr fontId="2" type="noConversion"/>
  </si>
  <si>
    <t>RETAIL Regular 522213</t>
    <phoneticPr fontId="2" type="noConversion"/>
  </si>
  <si>
    <t xml:space="preserve">BLISTER BAG 29 </t>
    <phoneticPr fontId="2" type="noConversion"/>
  </si>
  <si>
    <t>RETAIL ORDER - 5% PRICE TICKET / ATTRUBUTE HANG TAG</t>
    <phoneticPr fontId="2" type="noConversion"/>
  </si>
  <si>
    <t>2. prepack  -  87 PCS</t>
    <phoneticPr fontId="2" type="noConversion"/>
  </si>
  <si>
    <t>3. RETAIL  ORDER 5% 로스 - 하단 차트 참조</t>
    <phoneticPr fontId="2" type="noConversion"/>
  </si>
  <si>
    <t>8V3</t>
    <phoneticPr fontId="2" type="noConversion"/>
  </si>
  <si>
    <t>9F1</t>
    <phoneticPr fontId="2" type="noConversion"/>
  </si>
  <si>
    <t>8V0</t>
    <phoneticPr fontId="2" type="noConversion"/>
  </si>
  <si>
    <t>3I0</t>
    <phoneticPr fontId="2" type="noConversion"/>
  </si>
  <si>
    <t>5F0</t>
    <phoneticPr fontId="2" type="noConversion"/>
  </si>
  <si>
    <t>8Q0</t>
    <phoneticPr fontId="2" type="noConversion"/>
  </si>
  <si>
    <t xml:space="preserve">Black Map Print </t>
    <phoneticPr fontId="2" type="noConversion"/>
  </si>
  <si>
    <t xml:space="preserve">Deep Sea Navy Turquoise Geo </t>
    <phoneticPr fontId="2" type="noConversion"/>
  </si>
  <si>
    <t xml:space="preserve">Electric Blue Multi Swirl </t>
    <phoneticPr fontId="2" type="noConversion"/>
  </si>
  <si>
    <t xml:space="preserve">Papaya Orange Space Dye </t>
    <phoneticPr fontId="2" type="noConversion"/>
  </si>
  <si>
    <t xml:space="preserve">Ultimate Gray Camo </t>
    <phoneticPr fontId="2" type="noConversion"/>
  </si>
  <si>
    <t xml:space="preserve">Violet Rose Tie Dye Stripe </t>
    <phoneticPr fontId="2" type="noConversion"/>
  </si>
  <si>
    <t>-30</t>
    <phoneticPr fontId="2" type="noConversion"/>
  </si>
  <si>
    <t>4500458591-retail</t>
    <phoneticPr fontId="2" type="noConversion"/>
  </si>
  <si>
    <t>4500458592-retail</t>
    <phoneticPr fontId="2" type="noConversion"/>
  </si>
  <si>
    <t>맞음</t>
    <phoneticPr fontId="2" type="noConversion"/>
  </si>
  <si>
    <t>EU Regular 528478</t>
    <phoneticPr fontId="2" type="noConversion"/>
  </si>
  <si>
    <t>4500458560 - UK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</si>
</sst>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176" formatCode="0_);[Red]\(0\)"/>
    <numFmt numFmtId="177" formatCode="#,##0_);[Red]\(#,##0\)"/>
    <numFmt numFmtId="178" formatCode="m&quot;/&quot;d;@"/>
    <numFmt numFmtId="179" formatCode="\$#,##0.00"/>
    <numFmt numFmtId="180" formatCode="_ * #,##0_ ;_ * \-#,##0_ ;_ * &quot;-&quot;_ ;_ @_ "/>
    <numFmt numFmtId="181" formatCode="_ * #,##0.00_ ;_ * \-#,##0.00_ ;_ * &quot;-&quot;??_ ;_ @_ "/>
  </numFmts>
  <fonts count="34" x14ac:knownFonts="1">
    <font>
      <sz val="11"/>
      <name val="돋움"/>
      <family val="3"/>
      <charset val="129"/>
    </font>
    <font>
      <sz val="8"/>
      <name val="Arial"/>
      <family val="2"/>
    </font>
    <font>
      <sz val="8"/>
      <name val="돋움"/>
      <family val="3"/>
      <charset val="129"/>
    </font>
    <font>
      <b/>
      <sz val="8"/>
      <color rgb="FFFF0000"/>
      <name val="Arial"/>
      <family val="2"/>
    </font>
    <font>
      <sz val="8"/>
      <name val="바탕"/>
      <family val="1"/>
      <charset val="129"/>
    </font>
    <font>
      <sz val="8"/>
      <color rgb="FFFF0000"/>
      <name val="Arial"/>
      <family val="2"/>
    </font>
    <font>
      <sz val="8"/>
      <color indexed="10"/>
      <name val="Arial"/>
      <family val="2"/>
    </font>
    <font>
      <b/>
      <sz val="8"/>
      <name val="Arial"/>
      <family val="2"/>
    </font>
    <font>
      <sz val="11"/>
      <color rgb="FFFFFF00"/>
      <name val="돋움"/>
      <family val="3"/>
      <charset val="129"/>
    </font>
    <font>
      <sz val="8"/>
      <color theme="1"/>
      <name val="Arial"/>
      <family val="2"/>
    </font>
    <font>
      <sz val="11"/>
      <name val="돋움"/>
      <family val="3"/>
      <charset val="129"/>
    </font>
    <font>
      <sz val="11"/>
      <name val="맑은 고딕"/>
      <family val="3"/>
      <charset val="129"/>
    </font>
    <font>
      <sz val="11"/>
      <color rgb="FFFF0000"/>
      <name val="돋움"/>
      <family val="3"/>
      <charset val="129"/>
    </font>
    <font>
      <sz val="10"/>
      <color rgb="FFFF0000"/>
      <name val="돋움"/>
      <family val="3"/>
      <charset val="129"/>
    </font>
    <font>
      <b/>
      <sz val="10"/>
      <name val="맑은 고딕"/>
      <family val="3"/>
      <charset val="129"/>
    </font>
    <font>
      <sz val="8"/>
      <name val="바탕체"/>
      <family val="1"/>
      <charset val="129"/>
    </font>
    <font>
      <sz val="10"/>
      <color rgb="FFFF0000"/>
      <name val="맑은 고딕"/>
      <family val="3"/>
      <charset val="129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돋움"/>
      <family val="3"/>
      <charset val="129"/>
    </font>
    <font>
      <sz val="9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indexed="10"/>
      <name val="맑은 고딕"/>
      <family val="3"/>
      <charset val="129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color rgb="FFFF0000"/>
      <name val="Arial"/>
      <family val="2"/>
    </font>
    <font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0">
    <xf numFmtId="0" fontId="0" fillId="0" borderId="0">
      <alignment vertical="top"/>
    </xf>
    <xf numFmtId="0" fontId="10" fillId="0" borderId="0"/>
    <xf numFmtId="41" fontId="10" fillId="0" borderId="0" applyFont="0" applyFill="0" applyBorder="0" applyAlignment="0" applyProtection="0">
      <alignment vertical="center"/>
    </xf>
    <xf numFmtId="0" fontId="22" fillId="0" borderId="0"/>
    <xf numFmtId="9" fontId="22" fillId="0" borderId="0" applyFont="0" applyFill="0" applyBorder="0" applyAlignment="0" applyProtection="0"/>
    <xf numFmtId="180" fontId="22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80" fontId="22" fillId="0" borderId="0" applyFont="0" applyFill="0" applyBorder="0" applyAlignment="0" applyProtection="0"/>
    <xf numFmtId="181" fontId="22" fillId="0" borderId="0" applyFont="0" applyFill="0" applyBorder="0" applyAlignment="0" applyProtection="0"/>
  </cellStyleXfs>
  <cellXfs count="236">
    <xf numFmtId="0" fontId="0" fillId="0" borderId="0" xfId="0">
      <alignment vertical="top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176" fontId="1" fillId="2" borderId="1" xfId="0" applyNumberFormat="1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17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179" fontId="9" fillId="2" borderId="1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/>
    </xf>
    <xf numFmtId="179" fontId="1" fillId="2" borderId="2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176" fontId="1" fillId="4" borderId="2" xfId="0" applyNumberFormat="1" applyFont="1" applyFill="1" applyBorder="1" applyAlignment="1">
      <alignment horizontal="center" vertical="center"/>
    </xf>
    <xf numFmtId="177" fontId="5" fillId="2" borderId="1" xfId="0" applyNumberFormat="1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177" fontId="13" fillId="2" borderId="0" xfId="0" applyNumberFormat="1" applyFont="1" applyFill="1" applyAlignment="1">
      <alignment vertical="center"/>
    </xf>
    <xf numFmtId="9" fontId="16" fillId="0" borderId="0" xfId="1" applyNumberFormat="1" applyFont="1" applyAlignment="1">
      <alignment horizontal="left" vertical="center"/>
    </xf>
    <xf numFmtId="0" fontId="0" fillId="5" borderId="0" xfId="0" applyFill="1" applyAlignment="1">
      <alignment vertical="center"/>
    </xf>
    <xf numFmtId="177" fontId="0" fillId="2" borderId="0" xfId="0" applyNumberFormat="1" applyFill="1" applyAlignment="1">
      <alignment vertical="center"/>
    </xf>
    <xf numFmtId="0" fontId="17" fillId="6" borderId="7" xfId="0" applyFont="1" applyFill="1" applyBorder="1" applyAlignment="1">
      <alignment horizontal="center" vertical="center"/>
    </xf>
    <xf numFmtId="0" fontId="18" fillId="6" borderId="8" xfId="0" applyFont="1" applyFill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1" fontId="19" fillId="3" borderId="0" xfId="0" applyNumberFormat="1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vertical="center" wrapText="1"/>
    </xf>
    <xf numFmtId="177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179" fontId="1" fillId="4" borderId="1" xfId="0" applyNumberFormat="1" applyFont="1" applyFill="1" applyBorder="1" applyAlignment="1">
      <alignment horizontal="left" vertical="center"/>
    </xf>
    <xf numFmtId="178" fontId="7" fillId="4" borderId="1" xfId="0" applyNumberFormat="1" applyFont="1" applyFill="1" applyBorder="1" applyAlignment="1">
      <alignment horizontal="center" vertical="center"/>
    </xf>
    <xf numFmtId="176" fontId="1" fillId="4" borderId="1" xfId="0" applyNumberFormat="1" applyFont="1" applyFill="1" applyBorder="1" applyAlignment="1">
      <alignment horizontal="center" vertical="center"/>
    </xf>
    <xf numFmtId="178" fontId="7" fillId="4" borderId="2" xfId="0" applyNumberFormat="1" applyFont="1" applyFill="1" applyBorder="1" applyAlignment="1">
      <alignment horizontal="center" vertical="center"/>
    </xf>
    <xf numFmtId="177" fontId="1" fillId="7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horizontal="center" vertical="center"/>
    </xf>
    <xf numFmtId="179" fontId="1" fillId="7" borderId="1" xfId="0" applyNumberFormat="1" applyFont="1" applyFill="1" applyBorder="1" applyAlignment="1">
      <alignment horizontal="left" vertical="center"/>
    </xf>
    <xf numFmtId="178" fontId="7" fillId="7" borderId="1" xfId="0" applyNumberFormat="1" applyFont="1" applyFill="1" applyBorder="1" applyAlignment="1">
      <alignment horizontal="center" vertical="center"/>
    </xf>
    <xf numFmtId="176" fontId="1" fillId="7" borderId="1" xfId="0" applyNumberFormat="1" applyFont="1" applyFill="1" applyBorder="1" applyAlignment="1">
      <alignment horizontal="center" vertical="center"/>
    </xf>
    <xf numFmtId="41" fontId="14" fillId="0" borderId="0" xfId="2" applyFont="1" applyFill="1" applyBorder="1" applyAlignment="1">
      <alignment vertical="center"/>
    </xf>
    <xf numFmtId="0" fontId="20" fillId="4" borderId="2" xfId="0" applyFont="1" applyFill="1" applyBorder="1" applyAlignment="1">
      <alignment horizontal="center" vertical="center"/>
    </xf>
    <xf numFmtId="176" fontId="20" fillId="4" borderId="2" xfId="0" applyNumberFormat="1" applyFont="1" applyFill="1" applyBorder="1" applyAlignment="1">
      <alignment horizontal="center" vertical="center"/>
    </xf>
    <xf numFmtId="177" fontId="20" fillId="4" borderId="2" xfId="0" applyNumberFormat="1" applyFont="1" applyFill="1" applyBorder="1" applyAlignment="1">
      <alignment horizontal="center" vertical="center"/>
    </xf>
    <xf numFmtId="177" fontId="20" fillId="2" borderId="1" xfId="0" applyNumberFormat="1" applyFont="1" applyFill="1" applyBorder="1" applyAlignment="1">
      <alignment horizontal="center" vertical="center"/>
    </xf>
    <xf numFmtId="177" fontId="20" fillId="2" borderId="5" xfId="0" applyNumberFormat="1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178" fontId="20" fillId="2" borderId="1" xfId="0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20" fillId="2" borderId="5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178" fontId="20" fillId="2" borderId="2" xfId="0" applyNumberFormat="1" applyFont="1" applyFill="1" applyBorder="1" applyAlignment="1">
      <alignment horizontal="center" vertical="center"/>
    </xf>
    <xf numFmtId="177" fontId="20" fillId="2" borderId="2" xfId="0" applyNumberFormat="1" applyFont="1" applyFill="1" applyBorder="1" applyAlignment="1">
      <alignment horizontal="center" vertical="center"/>
    </xf>
    <xf numFmtId="0" fontId="20" fillId="2" borderId="4" xfId="0" applyFont="1" applyFill="1" applyBorder="1" applyAlignment="1">
      <alignment horizontal="center" vertical="center"/>
    </xf>
    <xf numFmtId="178" fontId="20" fillId="2" borderId="4" xfId="0" applyNumberFormat="1" applyFont="1" applyFill="1" applyBorder="1" applyAlignment="1">
      <alignment horizontal="center" vertical="center"/>
    </xf>
    <xf numFmtId="177" fontId="20" fillId="2" borderId="4" xfId="0" applyNumberFormat="1" applyFont="1" applyFill="1" applyBorder="1" applyAlignment="1">
      <alignment horizontal="center" vertical="center"/>
    </xf>
    <xf numFmtId="178" fontId="20" fillId="2" borderId="5" xfId="0" applyNumberFormat="1" applyFont="1" applyFill="1" applyBorder="1" applyAlignment="1">
      <alignment horizontal="center" vertical="center"/>
    </xf>
    <xf numFmtId="0" fontId="20" fillId="2" borderId="6" xfId="0" applyFont="1" applyFill="1" applyBorder="1" applyAlignment="1">
      <alignment horizontal="center" vertical="center"/>
    </xf>
    <xf numFmtId="178" fontId="20" fillId="2" borderId="6" xfId="0" applyNumberFormat="1" applyFont="1" applyFill="1" applyBorder="1" applyAlignment="1">
      <alignment horizontal="center" vertical="center"/>
    </xf>
    <xf numFmtId="177" fontId="20" fillId="2" borderId="6" xfId="0" applyNumberFormat="1" applyFont="1" applyFill="1" applyBorder="1" applyAlignment="1">
      <alignment horizontal="center" vertical="center"/>
    </xf>
    <xf numFmtId="178" fontId="20" fillId="0" borderId="2" xfId="0" applyNumberFormat="1" applyFont="1" applyFill="1" applyBorder="1" applyAlignment="1">
      <alignment horizontal="center" vertical="center"/>
    </xf>
    <xf numFmtId="177" fontId="20" fillId="0" borderId="2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20" fillId="0" borderId="0" xfId="0" applyFont="1" applyFill="1" applyAlignment="1">
      <alignment horizontal="center" vertical="center"/>
    </xf>
    <xf numFmtId="1" fontId="0" fillId="3" borderId="0" xfId="0" applyNumberFormat="1" applyFill="1" applyAlignment="1">
      <alignment vertical="center"/>
    </xf>
    <xf numFmtId="0" fontId="20" fillId="0" borderId="2" xfId="0" applyFont="1" applyFill="1" applyBorder="1" applyAlignment="1">
      <alignment horizontal="center" vertical="center"/>
    </xf>
    <xf numFmtId="0" fontId="20" fillId="0" borderId="3" xfId="0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/>
    </xf>
    <xf numFmtId="178" fontId="20" fillId="0" borderId="3" xfId="0" applyNumberFormat="1" applyFont="1" applyFill="1" applyBorder="1" applyAlignment="1">
      <alignment horizontal="center" vertical="center"/>
    </xf>
    <xf numFmtId="177" fontId="20" fillId="0" borderId="3" xfId="0" applyNumberFormat="1" applyFont="1" applyFill="1" applyBorder="1" applyAlignment="1">
      <alignment horizontal="center" vertical="center"/>
    </xf>
    <xf numFmtId="0" fontId="23" fillId="0" borderId="1" xfId="1" applyFont="1" applyFill="1" applyBorder="1" applyAlignment="1">
      <alignment horizontal="center" vertical="center"/>
    </xf>
    <xf numFmtId="0" fontId="20" fillId="3" borderId="5" xfId="0" applyFont="1" applyFill="1" applyBorder="1" applyAlignment="1">
      <alignment horizontal="center" vertical="center"/>
    </xf>
    <xf numFmtId="178" fontId="20" fillId="3" borderId="5" xfId="0" applyNumberFormat="1" applyFont="1" applyFill="1" applyBorder="1" applyAlignment="1">
      <alignment horizontal="center" vertical="center"/>
    </xf>
    <xf numFmtId="177" fontId="20" fillId="3" borderId="5" xfId="0" applyNumberFormat="1" applyFont="1" applyFill="1" applyBorder="1" applyAlignment="1">
      <alignment horizontal="center" vertical="center"/>
    </xf>
    <xf numFmtId="177" fontId="20" fillId="3" borderId="1" xfId="0" applyNumberFormat="1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178" fontId="20" fillId="3" borderId="1" xfId="0" applyNumberFormat="1" applyFont="1" applyFill="1" applyBorder="1" applyAlignment="1">
      <alignment horizontal="center" vertical="center"/>
    </xf>
    <xf numFmtId="0" fontId="20" fillId="3" borderId="6" xfId="0" applyFont="1" applyFill="1" applyBorder="1" applyAlignment="1">
      <alignment horizontal="center" vertical="center"/>
    </xf>
    <xf numFmtId="0" fontId="20" fillId="3" borderId="6" xfId="1" applyFont="1" applyFill="1" applyBorder="1" applyAlignment="1">
      <alignment horizontal="center" vertical="center"/>
    </xf>
    <xf numFmtId="178" fontId="20" fillId="3" borderId="6" xfId="0" applyNumberFormat="1" applyFont="1" applyFill="1" applyBorder="1" applyAlignment="1">
      <alignment horizontal="center" vertical="center"/>
    </xf>
    <xf numFmtId="177" fontId="20" fillId="3" borderId="6" xfId="0" applyNumberFormat="1" applyFont="1" applyFill="1" applyBorder="1" applyAlignment="1">
      <alignment horizontal="center" vertical="center"/>
    </xf>
    <xf numFmtId="0" fontId="20" fillId="3" borderId="4" xfId="0" applyFont="1" applyFill="1" applyBorder="1" applyAlignment="1">
      <alignment horizontal="center" vertical="center"/>
    </xf>
    <xf numFmtId="178" fontId="20" fillId="3" borderId="4" xfId="0" applyNumberFormat="1" applyFont="1" applyFill="1" applyBorder="1" applyAlignment="1">
      <alignment horizontal="center" vertical="center"/>
    </xf>
    <xf numFmtId="177" fontId="20" fillId="3" borderId="4" xfId="0" applyNumberFormat="1" applyFont="1" applyFill="1" applyBorder="1" applyAlignment="1">
      <alignment horizontal="center" vertical="center"/>
    </xf>
    <xf numFmtId="49" fontId="23" fillId="0" borderId="5" xfId="1" applyNumberFormat="1" applyFont="1" applyFill="1" applyBorder="1" applyAlignment="1">
      <alignment horizontal="center" vertical="center"/>
    </xf>
    <xf numFmtId="0" fontId="23" fillId="0" borderId="6" xfId="1" applyFont="1" applyFill="1" applyBorder="1" applyAlignment="1">
      <alignment horizontal="center" vertical="center"/>
    </xf>
    <xf numFmtId="179" fontId="20" fillId="0" borderId="3" xfId="0" applyNumberFormat="1" applyFont="1" applyFill="1" applyBorder="1" applyAlignment="1">
      <alignment horizontal="center" vertical="center"/>
    </xf>
    <xf numFmtId="178" fontId="20" fillId="0" borderId="5" xfId="0" applyNumberFormat="1" applyFont="1" applyFill="1" applyBorder="1" applyAlignment="1">
      <alignment horizontal="center" vertical="center"/>
    </xf>
    <xf numFmtId="177" fontId="20" fillId="0" borderId="5" xfId="0" applyNumberFormat="1" applyFont="1" applyFill="1" applyBorder="1" applyAlignment="1">
      <alignment horizontal="center" vertical="center"/>
    </xf>
    <xf numFmtId="178" fontId="20" fillId="0" borderId="6" xfId="0" applyNumberFormat="1" applyFont="1" applyFill="1" applyBorder="1" applyAlignment="1">
      <alignment horizontal="center" vertical="center"/>
    </xf>
    <xf numFmtId="177" fontId="20" fillId="0" borderId="6" xfId="0" applyNumberFormat="1" applyFont="1" applyFill="1" applyBorder="1" applyAlignment="1">
      <alignment horizontal="center" vertical="center"/>
    </xf>
    <xf numFmtId="178" fontId="20" fillId="0" borderId="4" xfId="0" applyNumberFormat="1" applyFont="1" applyFill="1" applyBorder="1" applyAlignment="1">
      <alignment horizontal="center" vertical="center"/>
    </xf>
    <xf numFmtId="177" fontId="20" fillId="0" borderId="4" xfId="0" applyNumberFormat="1" applyFont="1" applyFill="1" applyBorder="1" applyAlignment="1">
      <alignment horizontal="center" vertical="center"/>
    </xf>
    <xf numFmtId="178" fontId="20" fillId="0" borderId="1" xfId="0" applyNumberFormat="1" applyFont="1" applyFill="1" applyBorder="1" applyAlignment="1">
      <alignment horizontal="center" vertical="center"/>
    </xf>
    <xf numFmtId="177" fontId="20" fillId="0" borderId="1" xfId="0" applyNumberFormat="1" applyFont="1" applyFill="1" applyBorder="1" applyAlignment="1">
      <alignment horizontal="center" vertical="center"/>
    </xf>
    <xf numFmtId="0" fontId="20" fillId="0" borderId="14" xfId="0" applyFont="1" applyFill="1" applyBorder="1" applyAlignment="1">
      <alignment horizontal="center" vertical="center"/>
    </xf>
    <xf numFmtId="0" fontId="20" fillId="0" borderId="14" xfId="1" applyFont="1" applyFill="1" applyBorder="1" applyAlignment="1">
      <alignment horizontal="center" vertical="center"/>
    </xf>
    <xf numFmtId="178" fontId="20" fillId="0" borderId="14" xfId="0" applyNumberFormat="1" applyFont="1" applyFill="1" applyBorder="1" applyAlignment="1">
      <alignment horizontal="center" vertical="center"/>
    </xf>
    <xf numFmtId="177" fontId="20" fillId="0" borderId="14" xfId="0" applyNumberFormat="1" applyFont="1" applyFill="1" applyBorder="1" applyAlignment="1">
      <alignment horizontal="center" vertical="center"/>
    </xf>
    <xf numFmtId="0" fontId="20" fillId="0" borderId="1" xfId="1" applyFont="1" applyFill="1" applyBorder="1" applyAlignment="1">
      <alignment horizontal="center" vertical="center"/>
    </xf>
    <xf numFmtId="0" fontId="20" fillId="0" borderId="6" xfId="1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0" fillId="0" borderId="12" xfId="1" applyFont="1" applyFill="1" applyBorder="1" applyAlignment="1">
      <alignment horizontal="center" vertical="center"/>
    </xf>
    <xf numFmtId="178" fontId="20" fillId="0" borderId="12" xfId="0" applyNumberFormat="1" applyFont="1" applyFill="1" applyBorder="1" applyAlignment="1">
      <alignment horizontal="center" vertical="center"/>
    </xf>
    <xf numFmtId="177" fontId="20" fillId="0" borderId="12" xfId="0" applyNumberFormat="1" applyFont="1" applyFill="1" applyBorder="1" applyAlignment="1">
      <alignment horizontal="center" vertical="center"/>
    </xf>
    <xf numFmtId="177" fontId="20" fillId="2" borderId="3" xfId="0" applyNumberFormat="1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center"/>
    </xf>
    <xf numFmtId="178" fontId="20" fillId="2" borderId="3" xfId="0" applyNumberFormat="1" applyFont="1" applyFill="1" applyBorder="1" applyAlignment="1">
      <alignment horizontal="center" vertical="center"/>
    </xf>
    <xf numFmtId="0" fontId="20" fillId="2" borderId="3" xfId="0" applyFont="1" applyFill="1" applyBorder="1" applyAlignment="1">
      <alignment horizontal="center" vertical="center"/>
    </xf>
    <xf numFmtId="178" fontId="0" fillId="2" borderId="0" xfId="0" applyNumberFormat="1" applyFill="1" applyAlignment="1">
      <alignment vertical="center"/>
    </xf>
    <xf numFmtId="0" fontId="0" fillId="2" borderId="0" xfId="0" applyNumberFormat="1" applyFill="1" applyAlignment="1">
      <alignment vertical="center"/>
    </xf>
    <xf numFmtId="0" fontId="20" fillId="3" borderId="2" xfId="0" applyFont="1" applyFill="1" applyBorder="1" applyAlignment="1">
      <alignment horizontal="center" vertical="center"/>
    </xf>
    <xf numFmtId="178" fontId="20" fillId="3" borderId="2" xfId="0" applyNumberFormat="1" applyFont="1" applyFill="1" applyBorder="1" applyAlignment="1">
      <alignment horizontal="center" vertical="center"/>
    </xf>
    <xf numFmtId="177" fontId="20" fillId="3" borderId="2" xfId="0" applyNumberFormat="1" applyFont="1" applyFill="1" applyBorder="1" applyAlignment="1">
      <alignment horizontal="center" vertical="center"/>
    </xf>
    <xf numFmtId="0" fontId="0" fillId="2" borderId="0" xfId="0" applyFont="1" applyFill="1" applyAlignment="1">
      <alignment vertical="center"/>
    </xf>
    <xf numFmtId="177" fontId="20" fillId="3" borderId="12" xfId="0" applyNumberFormat="1" applyFont="1" applyFill="1" applyBorder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20" fillId="3" borderId="1" xfId="1" applyFont="1" applyFill="1" applyBorder="1" applyAlignment="1">
      <alignment horizontal="center" vertical="center"/>
    </xf>
    <xf numFmtId="49" fontId="14" fillId="0" borderId="1" xfId="1" applyNumberFormat="1" applyFont="1" applyFill="1" applyBorder="1" applyAlignment="1">
      <alignment horizontal="left" vertical="center"/>
    </xf>
    <xf numFmtId="0" fontId="14" fillId="0" borderId="1" xfId="1" applyFont="1" applyFill="1" applyBorder="1" applyAlignment="1">
      <alignment horizontal="left" vertical="center"/>
    </xf>
    <xf numFmtId="0" fontId="14" fillId="0" borderId="1" xfId="1" applyFont="1" applyFill="1" applyBorder="1" applyAlignment="1">
      <alignment horizontal="left" vertical="center"/>
    </xf>
    <xf numFmtId="0" fontId="14" fillId="0" borderId="1" xfId="1" applyFont="1" applyFill="1" applyBorder="1" applyAlignment="1">
      <alignment horizontal="left" vertical="center"/>
    </xf>
    <xf numFmtId="49" fontId="20" fillId="0" borderId="5" xfId="1" applyNumberFormat="1" applyFont="1" applyFill="1" applyBorder="1" applyAlignment="1">
      <alignment horizontal="center" vertical="center"/>
    </xf>
    <xf numFmtId="49" fontId="20" fillId="0" borderId="4" xfId="1" applyNumberFormat="1" applyFont="1" applyFill="1" applyBorder="1" applyAlignment="1">
      <alignment horizontal="center" vertical="center"/>
    </xf>
    <xf numFmtId="0" fontId="20" fillId="0" borderId="2" xfId="1" applyFont="1" applyFill="1" applyBorder="1" applyAlignment="1">
      <alignment horizontal="center" vertical="center"/>
    </xf>
    <xf numFmtId="49" fontId="20" fillId="3" borderId="5" xfId="1" applyNumberFormat="1" applyFont="1" applyFill="1" applyBorder="1" applyAlignment="1">
      <alignment horizontal="center" vertical="center"/>
    </xf>
    <xf numFmtId="49" fontId="20" fillId="3" borderId="4" xfId="1" applyNumberFormat="1" applyFont="1" applyFill="1" applyBorder="1" applyAlignment="1">
      <alignment horizontal="center" vertical="center"/>
    </xf>
    <xf numFmtId="0" fontId="20" fillId="3" borderId="2" xfId="1" applyFont="1" applyFill="1" applyBorder="1" applyAlignment="1">
      <alignment horizontal="center" vertical="center"/>
    </xf>
    <xf numFmtId="180" fontId="20" fillId="0" borderId="1" xfId="5" applyFont="1" applyFill="1" applyBorder="1" applyAlignment="1">
      <alignment horizontal="center" vertical="center"/>
    </xf>
    <xf numFmtId="49" fontId="20" fillId="0" borderId="1" xfId="1" applyNumberFormat="1" applyFont="1" applyFill="1" applyBorder="1" applyAlignment="1">
      <alignment horizontal="center" vertical="center"/>
    </xf>
    <xf numFmtId="180" fontId="20" fillId="0" borderId="2" xfId="5" applyFont="1" applyFill="1" applyBorder="1" applyAlignment="1">
      <alignment horizontal="center" vertical="center"/>
    </xf>
    <xf numFmtId="180" fontId="20" fillId="0" borderId="4" xfId="5" applyFont="1" applyFill="1" applyBorder="1" applyAlignment="1">
      <alignment horizontal="center" vertical="center"/>
    </xf>
    <xf numFmtId="0" fontId="20" fillId="3" borderId="12" xfId="0" applyFont="1" applyFill="1" applyBorder="1" applyAlignment="1">
      <alignment horizontal="center" vertical="center"/>
    </xf>
    <xf numFmtId="0" fontId="20" fillId="3" borderId="12" xfId="1" applyFont="1" applyFill="1" applyBorder="1" applyAlignment="1">
      <alignment horizontal="center" vertical="center"/>
    </xf>
    <xf numFmtId="178" fontId="20" fillId="3" borderId="12" xfId="0" applyNumberFormat="1" applyFont="1" applyFill="1" applyBorder="1" applyAlignment="1">
      <alignment horizontal="center" vertical="center"/>
    </xf>
    <xf numFmtId="0" fontId="20" fillId="0" borderId="5" xfId="1" applyFont="1" applyFill="1" applyBorder="1" applyAlignment="1">
      <alignment horizontal="center" vertical="center"/>
    </xf>
    <xf numFmtId="180" fontId="20" fillId="0" borderId="5" xfId="5" applyFont="1" applyFill="1" applyBorder="1" applyAlignment="1">
      <alignment horizontal="center" vertical="center"/>
    </xf>
    <xf numFmtId="180" fontId="20" fillId="0" borderId="6" xfId="5" applyFont="1" applyFill="1" applyBorder="1" applyAlignment="1">
      <alignment horizontal="center" vertical="center"/>
    </xf>
    <xf numFmtId="0" fontId="14" fillId="0" borderId="2" xfId="1" applyFont="1" applyFill="1" applyBorder="1" applyAlignment="1">
      <alignment horizontal="left" vertical="center"/>
    </xf>
    <xf numFmtId="49" fontId="14" fillId="0" borderId="4" xfId="1" applyNumberFormat="1" applyFont="1" applyFill="1" applyBorder="1" applyAlignment="1">
      <alignment horizontal="left" vertical="center"/>
    </xf>
    <xf numFmtId="49" fontId="14" fillId="0" borderId="5" xfId="1" applyNumberFormat="1" applyFont="1" applyFill="1" applyBorder="1" applyAlignment="1">
      <alignment horizontal="left" vertical="center"/>
    </xf>
    <xf numFmtId="0" fontId="14" fillId="0" borderId="6" xfId="1" applyFont="1" applyFill="1" applyBorder="1" applyAlignment="1">
      <alignment horizontal="left" vertical="center"/>
    </xf>
    <xf numFmtId="177" fontId="20" fillId="2" borderId="13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7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4" fillId="0" borderId="3" xfId="1" applyFont="1" applyFill="1" applyBorder="1" applyAlignment="1">
      <alignment horizontal="left" vertical="center"/>
    </xf>
    <xf numFmtId="0" fontId="23" fillId="0" borderId="3" xfId="1" applyFont="1" applyFill="1" applyBorder="1" applyAlignment="1">
      <alignment horizontal="center" vertical="center"/>
    </xf>
    <xf numFmtId="0" fontId="23" fillId="0" borderId="2" xfId="1" applyFont="1" applyFill="1" applyBorder="1" applyAlignment="1">
      <alignment horizontal="center" vertical="center"/>
    </xf>
    <xf numFmtId="176" fontId="1" fillId="2" borderId="2" xfId="0" applyNumberFormat="1" applyFont="1" applyFill="1" applyBorder="1" applyAlignment="1">
      <alignment horizontal="center" vertical="center"/>
    </xf>
    <xf numFmtId="49" fontId="24" fillId="0" borderId="1" xfId="1" applyNumberFormat="1" applyFont="1" applyFill="1" applyBorder="1" applyAlignment="1">
      <alignment horizontal="left" vertical="center"/>
    </xf>
    <xf numFmtId="0" fontId="24" fillId="0" borderId="1" xfId="1" applyFont="1" applyFill="1" applyBorder="1" applyAlignment="1">
      <alignment horizontal="left" vertical="center"/>
    </xf>
    <xf numFmtId="0" fontId="24" fillId="0" borderId="2" xfId="1" applyFont="1" applyFill="1" applyBorder="1" applyAlignment="1">
      <alignment horizontal="left" vertical="center"/>
    </xf>
    <xf numFmtId="0" fontId="24" fillId="2" borderId="1" xfId="0" applyFont="1" applyFill="1" applyBorder="1" applyAlignment="1">
      <alignment horizontal="left" vertical="center"/>
    </xf>
    <xf numFmtId="0" fontId="24" fillId="2" borderId="1" xfId="0" applyFont="1" applyFill="1" applyBorder="1" applyAlignment="1">
      <alignment horizontal="center" vertical="center" wrapText="1"/>
    </xf>
    <xf numFmtId="177" fontId="24" fillId="2" borderId="1" xfId="0" applyNumberFormat="1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vertical="center"/>
    </xf>
    <xf numFmtId="0" fontId="26" fillId="2" borderId="1" xfId="0" applyFont="1" applyFill="1" applyBorder="1" applyAlignment="1">
      <alignment horizontal="center" vertical="center"/>
    </xf>
    <xf numFmtId="179" fontId="24" fillId="2" borderId="1" xfId="0" applyNumberFormat="1" applyFont="1" applyFill="1" applyBorder="1" applyAlignment="1">
      <alignment horizontal="left" vertical="center"/>
    </xf>
    <xf numFmtId="178" fontId="25" fillId="2" borderId="1" xfId="0" applyNumberFormat="1" applyFont="1" applyFill="1" applyBorder="1" applyAlignment="1">
      <alignment horizontal="center" vertical="center"/>
    </xf>
    <xf numFmtId="0" fontId="27" fillId="3" borderId="1" xfId="0" applyFont="1" applyFill="1" applyBorder="1" applyAlignment="1">
      <alignment vertical="center"/>
    </xf>
    <xf numFmtId="178" fontId="28" fillId="3" borderId="1" xfId="0" applyNumberFormat="1" applyFont="1" applyFill="1" applyBorder="1" applyAlignment="1">
      <alignment horizontal="center" vertical="center"/>
    </xf>
    <xf numFmtId="177" fontId="27" fillId="3" borderId="1" xfId="0" applyNumberFormat="1" applyFont="1" applyFill="1" applyBorder="1" applyAlignment="1">
      <alignment horizontal="center" vertical="center"/>
    </xf>
    <xf numFmtId="177" fontId="27" fillId="0" borderId="1" xfId="0" applyNumberFormat="1" applyFont="1" applyFill="1" applyBorder="1" applyAlignment="1">
      <alignment horizontal="center" vertical="center"/>
    </xf>
    <xf numFmtId="177" fontId="27" fillId="2" borderId="1" xfId="0" applyNumberFormat="1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vertical="center"/>
    </xf>
    <xf numFmtId="0" fontId="27" fillId="3" borderId="3" xfId="0" applyFont="1" applyFill="1" applyBorder="1" applyAlignment="1">
      <alignment vertical="center"/>
    </xf>
    <xf numFmtId="178" fontId="28" fillId="2" borderId="3" xfId="0" applyNumberFormat="1" applyFont="1" applyFill="1" applyBorder="1" applyAlignment="1">
      <alignment vertical="center"/>
    </xf>
    <xf numFmtId="178" fontId="28" fillId="2" borderId="1" xfId="0" applyNumberFormat="1" applyFont="1" applyFill="1" applyBorder="1" applyAlignment="1">
      <alignment vertical="center"/>
    </xf>
    <xf numFmtId="0" fontId="24" fillId="2" borderId="2" xfId="0" applyFont="1" applyFill="1" applyBorder="1" applyAlignment="1">
      <alignment horizontal="center" vertical="center" wrapText="1"/>
    </xf>
    <xf numFmtId="0" fontId="24" fillId="2" borderId="4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177" fontId="29" fillId="7" borderId="1" xfId="0" applyNumberFormat="1" applyFont="1" applyFill="1" applyBorder="1" applyAlignment="1">
      <alignment horizontal="center" vertical="center"/>
    </xf>
    <xf numFmtId="177" fontId="24" fillId="8" borderId="1" xfId="0" applyNumberFormat="1" applyFont="1" applyFill="1" applyBorder="1" applyAlignment="1">
      <alignment horizontal="center" vertical="center"/>
    </xf>
    <xf numFmtId="177" fontId="27" fillId="8" borderId="1" xfId="0" applyNumberFormat="1" applyFont="1" applyFill="1" applyBorder="1" applyAlignment="1">
      <alignment horizontal="center" vertical="center"/>
    </xf>
    <xf numFmtId="177" fontId="30" fillId="8" borderId="1" xfId="0" applyNumberFormat="1" applyFont="1" applyFill="1" applyBorder="1" applyAlignment="1">
      <alignment horizontal="center" vertical="center"/>
    </xf>
    <xf numFmtId="177" fontId="29" fillId="8" borderId="1" xfId="0" applyNumberFormat="1" applyFont="1" applyFill="1" applyBorder="1" applyAlignment="1">
      <alignment horizontal="center" vertical="center"/>
    </xf>
    <xf numFmtId="0" fontId="12" fillId="2" borderId="0" xfId="0" quotePrefix="1" applyFont="1" applyFill="1" applyAlignment="1">
      <alignment vertical="center"/>
    </xf>
    <xf numFmtId="177" fontId="20" fillId="9" borderId="1" xfId="0" applyNumberFormat="1" applyFont="1" applyFill="1" applyBorder="1" applyAlignment="1">
      <alignment horizontal="center" vertical="center"/>
    </xf>
    <xf numFmtId="177" fontId="0" fillId="9" borderId="0" xfId="0" applyNumberFormat="1" applyFill="1" applyAlignment="1">
      <alignment vertical="center"/>
    </xf>
    <xf numFmtId="49" fontId="14" fillId="3" borderId="5" xfId="1" applyNumberFormat="1" applyFont="1" applyFill="1" applyBorder="1" applyAlignment="1">
      <alignment horizontal="left" vertical="center"/>
    </xf>
    <xf numFmtId="0" fontId="14" fillId="3" borderId="1" xfId="1" applyFont="1" applyFill="1" applyBorder="1" applyAlignment="1">
      <alignment horizontal="left" vertical="center"/>
    </xf>
    <xf numFmtId="0" fontId="14" fillId="3" borderId="6" xfId="1" applyFont="1" applyFill="1" applyBorder="1" applyAlignment="1">
      <alignment horizontal="left" vertical="center"/>
    </xf>
    <xf numFmtId="177" fontId="20" fillId="9" borderId="2" xfId="0" applyNumberFormat="1" applyFont="1" applyFill="1" applyBorder="1" applyAlignment="1">
      <alignment horizontal="center" vertical="center"/>
    </xf>
    <xf numFmtId="177" fontId="20" fillId="9" borderId="6" xfId="0" applyNumberFormat="1" applyFont="1" applyFill="1" applyBorder="1" applyAlignment="1">
      <alignment horizontal="center" vertical="center"/>
    </xf>
    <xf numFmtId="177" fontId="20" fillId="10" borderId="1" xfId="0" applyNumberFormat="1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0" fillId="0" borderId="6" xfId="0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center" vertical="center" wrapText="1"/>
    </xf>
    <xf numFmtId="0" fontId="21" fillId="3" borderId="0" xfId="0" applyFont="1" applyFill="1" applyAlignment="1">
      <alignment horizontal="center" vertical="center"/>
    </xf>
    <xf numFmtId="0" fontId="21" fillId="3" borderId="11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center" vertical="center" wrapText="1"/>
    </xf>
    <xf numFmtId="0" fontId="20" fillId="0" borderId="1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78" fontId="25" fillId="2" borderId="2" xfId="0" applyNumberFormat="1" applyFont="1" applyFill="1" applyBorder="1" applyAlignment="1">
      <alignment horizontal="center" vertical="center"/>
    </xf>
    <xf numFmtId="178" fontId="25" fillId="2" borderId="3" xfId="0" applyNumberFormat="1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 wrapText="1"/>
    </xf>
    <xf numFmtId="0" fontId="20" fillId="4" borderId="2" xfId="0" applyFont="1" applyFill="1" applyBorder="1" applyAlignment="1">
      <alignment horizontal="center" vertical="center"/>
    </xf>
    <xf numFmtId="0" fontId="20" fillId="4" borderId="3" xfId="0" applyFont="1" applyFill="1" applyBorder="1" applyAlignment="1">
      <alignment horizontal="center" vertical="center"/>
    </xf>
    <xf numFmtId="0" fontId="20" fillId="3" borderId="4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 wrapText="1"/>
    </xf>
    <xf numFmtId="0" fontId="20" fillId="3" borderId="5" xfId="0" applyFont="1" applyFill="1" applyBorder="1" applyAlignment="1">
      <alignment horizontal="center" vertical="center" wrapText="1"/>
    </xf>
    <xf numFmtId="0" fontId="20" fillId="3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178" fontId="28" fillId="2" borderId="2" xfId="0" applyNumberFormat="1" applyFont="1" applyFill="1" applyBorder="1" applyAlignment="1">
      <alignment horizontal="center" vertical="center"/>
    </xf>
    <xf numFmtId="178" fontId="28" fillId="2" borderId="3" xfId="0" applyNumberFormat="1" applyFont="1" applyFill="1" applyBorder="1" applyAlignment="1">
      <alignment horizontal="center" vertical="center"/>
    </xf>
    <xf numFmtId="178" fontId="28" fillId="2" borderId="4" xfId="0" applyNumberFormat="1" applyFont="1" applyFill="1" applyBorder="1" applyAlignment="1">
      <alignment horizontal="center" vertical="center"/>
    </xf>
    <xf numFmtId="178" fontId="7" fillId="4" borderId="2" xfId="0" applyNumberFormat="1" applyFont="1" applyFill="1" applyBorder="1" applyAlignment="1">
      <alignment horizontal="center" vertical="center"/>
    </xf>
    <xf numFmtId="178" fontId="7" fillId="4" borderId="3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178" fontId="28" fillId="2" borderId="1" xfId="0" applyNumberFormat="1" applyFont="1" applyFill="1" applyBorder="1" applyAlignment="1">
      <alignment horizontal="center" vertical="center"/>
    </xf>
  </cellXfs>
  <cellStyles count="10">
    <cellStyle name="백분율 2" xfId="4" xr:uid="{ADCF95FA-66ED-413D-BCAF-81FD3B27525A}"/>
    <cellStyle name="쉼표 [0]" xfId="2" builtinId="6"/>
    <cellStyle name="쉼표 [0] 2" xfId="6" xr:uid="{56FBC53A-F7D0-4CFC-8B8A-8CC4682D6E9F}"/>
    <cellStyle name="쉼표 [0] 2 2" xfId="7" xr:uid="{BEA42F0F-84BF-4C96-AEFE-4F40ADFF6140}"/>
    <cellStyle name="쉼표 [0] 3" xfId="5" xr:uid="{37F3AFA1-EF40-4C18-842C-738E06AFBF40}"/>
    <cellStyle name="콤마 [0]_112052 DCPO (uk추가)" xfId="8" xr:uid="{0B752D11-CA05-433C-BE52-3BFF77A06666}"/>
    <cellStyle name="콤마_112052 DCPO (uk추가)" xfId="9" xr:uid="{B8EF6D58-0667-451E-86AD-D340A0A681F1}"/>
    <cellStyle name="표준" xfId="0" builtinId="0"/>
    <cellStyle name="표준 2" xfId="1" xr:uid="{B7DA621F-6099-4A52-9F7A-D068A97DF60C}"/>
    <cellStyle name="표준 3" xfId="3" xr:uid="{9056CAF8-A4C6-4BD8-B715-74C3BBD14C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CCD25-F836-47B0-95B1-F2C1DB710510}">
  <sheetPr>
    <tabColor theme="0"/>
    <pageSetUpPr fitToPage="1"/>
  </sheetPr>
  <dimension ref="B1:AD359"/>
  <sheetViews>
    <sheetView tabSelected="1" view="pageBreakPreview" topLeftCell="A136" zoomScale="85" zoomScaleNormal="100" zoomScaleSheetLayoutView="85" workbookViewId="0">
      <selection activeCell="C144" sqref="C144:C161"/>
    </sheetView>
  </sheetViews>
  <sheetFormatPr defaultColWidth="8.88671875" defaultRowHeight="13.5" x14ac:dyDescent="0.15"/>
  <cols>
    <col min="1" max="1" width="3" style="2" customWidth="1"/>
    <col min="2" max="2" width="36.77734375" style="2" customWidth="1"/>
    <col min="3" max="3" width="20" style="2" customWidth="1"/>
    <col min="4" max="4" width="16.5546875" style="2" customWidth="1"/>
    <col min="5" max="5" width="11.109375" style="2" customWidth="1"/>
    <col min="6" max="6" width="29.21875" style="123" customWidth="1"/>
    <col min="7" max="7" width="9.33203125" style="123" customWidth="1"/>
    <col min="8" max="8" width="6.109375" style="2" customWidth="1"/>
    <col min="9" max="9" width="7.109375" style="2" bestFit="1" customWidth="1"/>
    <col min="10" max="18" width="7" style="2" customWidth="1"/>
    <col min="19" max="19" width="9" style="2" bestFit="1" customWidth="1"/>
    <col min="20" max="20" width="4" style="2" customWidth="1"/>
    <col min="21" max="21" width="9" style="2" bestFit="1" customWidth="1"/>
    <col min="22" max="22" width="15.21875" style="2" customWidth="1"/>
    <col min="23" max="24" width="11.5546875" style="2" bestFit="1" customWidth="1"/>
    <col min="25" max="25" width="11" style="2" customWidth="1"/>
    <col min="26" max="16384" width="8.88671875" style="2"/>
  </cols>
  <sheetData>
    <row r="1" spans="2:24" x14ac:dyDescent="0.15">
      <c r="B1" s="1" t="s">
        <v>12</v>
      </c>
      <c r="E1" s="1"/>
    </row>
    <row r="2" spans="2:24" ht="13.5" customHeight="1" x14ac:dyDescent="0.15">
      <c r="B2" s="3" t="s">
        <v>34</v>
      </c>
      <c r="E2" s="3" t="s">
        <v>34</v>
      </c>
    </row>
    <row r="3" spans="2:24" x14ac:dyDescent="0.15">
      <c r="B3" s="4" t="s">
        <v>11</v>
      </c>
      <c r="C3" s="5" t="s">
        <v>2</v>
      </c>
      <c r="D3" s="162" t="s">
        <v>13</v>
      </c>
      <c r="E3" s="4" t="s">
        <v>0</v>
      </c>
      <c r="F3" s="4" t="s">
        <v>1</v>
      </c>
      <c r="G3" s="4"/>
      <c r="H3" s="5" t="s">
        <v>3</v>
      </c>
      <c r="I3" s="48" t="s">
        <v>35</v>
      </c>
      <c r="J3" s="48" t="s">
        <v>37</v>
      </c>
      <c r="K3" s="48" t="s">
        <v>38</v>
      </c>
      <c r="L3" s="48" t="s">
        <v>36</v>
      </c>
      <c r="M3" s="48" t="s">
        <v>4</v>
      </c>
      <c r="N3" s="48" t="s">
        <v>5</v>
      </c>
      <c r="O3" s="48" t="s">
        <v>6</v>
      </c>
      <c r="P3" s="48" t="s">
        <v>4</v>
      </c>
      <c r="Q3" s="48" t="s">
        <v>5</v>
      </c>
      <c r="R3" s="48" t="s">
        <v>6</v>
      </c>
      <c r="S3" s="6" t="s">
        <v>7</v>
      </c>
      <c r="U3" s="23"/>
      <c r="V3" s="2" t="s">
        <v>42</v>
      </c>
    </row>
    <row r="4" spans="2:24" x14ac:dyDescent="0.15">
      <c r="B4" s="7" t="s">
        <v>55</v>
      </c>
      <c r="C4" s="224" t="s">
        <v>83</v>
      </c>
      <c r="D4" s="216" t="s">
        <v>62</v>
      </c>
      <c r="E4" s="166"/>
      <c r="F4" s="163" t="s">
        <v>76</v>
      </c>
      <c r="G4" s="167" t="s">
        <v>70</v>
      </c>
      <c r="H4" s="214">
        <v>44524</v>
      </c>
      <c r="I4" s="168"/>
      <c r="J4" s="168"/>
      <c r="K4" s="168"/>
      <c r="L4" s="168"/>
      <c r="M4" s="168"/>
      <c r="N4" s="168"/>
      <c r="O4" s="168"/>
      <c r="P4" s="168"/>
      <c r="Q4" s="168"/>
      <c r="R4" s="168"/>
      <c r="S4" s="168">
        <f>SUM(I4:R4)</f>
        <v>0</v>
      </c>
      <c r="U4" s="23"/>
      <c r="V4" s="24"/>
      <c r="W4" s="24"/>
      <c r="X4" s="29"/>
    </row>
    <row r="5" spans="2:24" x14ac:dyDescent="0.15">
      <c r="B5" s="14"/>
      <c r="C5" s="225"/>
      <c r="D5" s="216"/>
      <c r="E5" s="166"/>
      <c r="F5" s="164" t="s">
        <v>77</v>
      </c>
      <c r="G5" s="169" t="s">
        <v>71</v>
      </c>
      <c r="H5" s="215"/>
      <c r="I5" s="168"/>
      <c r="J5" s="188">
        <v>29</v>
      </c>
      <c r="K5" s="188">
        <v>29</v>
      </c>
      <c r="L5" s="188">
        <v>58</v>
      </c>
      <c r="M5" s="188">
        <v>58</v>
      </c>
      <c r="N5" s="188">
        <v>29</v>
      </c>
      <c r="O5" s="168"/>
      <c r="P5" s="168"/>
      <c r="Q5" s="168"/>
      <c r="R5" s="168"/>
      <c r="S5" s="168">
        <f t="shared" ref="S5:S21" si="0">SUM(I5:R5)</f>
        <v>203</v>
      </c>
      <c r="U5" s="23"/>
      <c r="V5" s="2" t="s">
        <v>43</v>
      </c>
      <c r="W5" s="24">
        <f>SUM(S238:S273)</f>
        <v>34058</v>
      </c>
      <c r="X5" s="29">
        <f>W5*1.03</f>
        <v>35079.74</v>
      </c>
    </row>
    <row r="6" spans="2:24" x14ac:dyDescent="0.15">
      <c r="B6" s="9"/>
      <c r="C6" s="225"/>
      <c r="D6" s="216"/>
      <c r="E6" s="166"/>
      <c r="F6" s="164" t="s">
        <v>78</v>
      </c>
      <c r="G6" s="169" t="s">
        <v>72</v>
      </c>
      <c r="H6" s="215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>
        <f t="shared" si="0"/>
        <v>0</v>
      </c>
      <c r="U6" s="23"/>
    </row>
    <row r="7" spans="2:24" x14ac:dyDescent="0.15">
      <c r="B7" s="16"/>
      <c r="C7" s="225"/>
      <c r="D7" s="216"/>
      <c r="E7" s="166"/>
      <c r="F7" s="164" t="s">
        <v>79</v>
      </c>
      <c r="G7" s="169" t="s">
        <v>73</v>
      </c>
      <c r="H7" s="215"/>
      <c r="I7" s="168"/>
      <c r="J7" s="188">
        <v>29</v>
      </c>
      <c r="K7" s="188">
        <v>29</v>
      </c>
      <c r="L7" s="188">
        <v>58</v>
      </c>
      <c r="M7" s="188">
        <v>58</v>
      </c>
      <c r="N7" s="188">
        <v>29</v>
      </c>
      <c r="O7" s="168"/>
      <c r="P7" s="168"/>
      <c r="Q7" s="168"/>
      <c r="R7" s="168"/>
      <c r="S7" s="168">
        <f t="shared" si="0"/>
        <v>203</v>
      </c>
      <c r="U7" s="23"/>
    </row>
    <row r="8" spans="2:24" x14ac:dyDescent="0.15">
      <c r="B8" s="16"/>
      <c r="C8" s="225"/>
      <c r="D8" s="216"/>
      <c r="E8" s="166"/>
      <c r="F8" s="164" t="s">
        <v>80</v>
      </c>
      <c r="G8" s="169" t="s">
        <v>74</v>
      </c>
      <c r="H8" s="215"/>
      <c r="I8" s="168"/>
      <c r="J8" s="188">
        <v>29</v>
      </c>
      <c r="K8" s="188">
        <v>29</v>
      </c>
      <c r="L8" s="188">
        <v>58</v>
      </c>
      <c r="M8" s="188">
        <v>58</v>
      </c>
      <c r="N8" s="188">
        <v>29</v>
      </c>
      <c r="O8" s="168"/>
      <c r="P8" s="168"/>
      <c r="Q8" s="168"/>
      <c r="R8" s="168"/>
      <c r="S8" s="168">
        <f t="shared" si="0"/>
        <v>203</v>
      </c>
      <c r="U8" s="23"/>
    </row>
    <row r="9" spans="2:24" x14ac:dyDescent="0.15">
      <c r="B9" s="16"/>
      <c r="C9" s="225"/>
      <c r="D9" s="216"/>
      <c r="E9" s="166"/>
      <c r="F9" s="165" t="s">
        <v>81</v>
      </c>
      <c r="G9" s="169" t="s">
        <v>75</v>
      </c>
      <c r="H9" s="215"/>
      <c r="I9" s="168"/>
      <c r="J9" s="168"/>
      <c r="K9" s="168"/>
      <c r="L9" s="168"/>
      <c r="M9" s="168"/>
      <c r="N9" s="168"/>
      <c r="O9" s="168"/>
      <c r="P9" s="168"/>
      <c r="Q9" s="168"/>
      <c r="R9" s="168"/>
      <c r="S9" s="168">
        <f t="shared" si="0"/>
        <v>0</v>
      </c>
      <c r="U9" s="23"/>
    </row>
    <row r="10" spans="2:24" x14ac:dyDescent="0.15">
      <c r="B10" s="16"/>
      <c r="C10" s="225"/>
      <c r="D10" s="216" t="s">
        <v>63</v>
      </c>
      <c r="E10" s="166"/>
      <c r="F10" s="163" t="s">
        <v>76</v>
      </c>
      <c r="G10" s="167" t="s">
        <v>70</v>
      </c>
      <c r="H10" s="215"/>
      <c r="I10" s="168"/>
      <c r="J10" s="168"/>
      <c r="K10" s="168"/>
      <c r="L10" s="168"/>
      <c r="M10" s="168"/>
      <c r="N10" s="168"/>
      <c r="O10" s="168"/>
      <c r="P10" s="168"/>
      <c r="Q10" s="168"/>
      <c r="R10" s="168"/>
      <c r="S10" s="168">
        <f t="shared" si="0"/>
        <v>0</v>
      </c>
      <c r="U10" s="23"/>
    </row>
    <row r="11" spans="2:24" x14ac:dyDescent="0.15">
      <c r="B11" s="16"/>
      <c r="C11" s="225"/>
      <c r="D11" s="216"/>
      <c r="E11" s="166"/>
      <c r="F11" s="164" t="s">
        <v>77</v>
      </c>
      <c r="G11" s="169" t="s">
        <v>71</v>
      </c>
      <c r="H11" s="215"/>
      <c r="I11" s="168"/>
      <c r="J11" s="168"/>
      <c r="K11" s="168"/>
      <c r="L11" s="168"/>
      <c r="M11" s="168"/>
      <c r="N11" s="168"/>
      <c r="O11" s="168"/>
      <c r="P11" s="168"/>
      <c r="Q11" s="168"/>
      <c r="R11" s="168"/>
      <c r="S11" s="168">
        <f t="shared" si="0"/>
        <v>0</v>
      </c>
      <c r="U11" s="23"/>
    </row>
    <row r="12" spans="2:24" x14ac:dyDescent="0.15">
      <c r="B12" s="16"/>
      <c r="C12" s="225"/>
      <c r="D12" s="216"/>
      <c r="E12" s="166"/>
      <c r="F12" s="164" t="s">
        <v>78</v>
      </c>
      <c r="G12" s="169" t="s">
        <v>72</v>
      </c>
      <c r="H12" s="215"/>
      <c r="I12" s="168"/>
      <c r="J12" s="168"/>
      <c r="K12" s="168"/>
      <c r="L12" s="168"/>
      <c r="M12" s="168"/>
      <c r="N12" s="168"/>
      <c r="O12" s="168"/>
      <c r="P12" s="168"/>
      <c r="Q12" s="168"/>
      <c r="R12" s="168"/>
      <c r="S12" s="168">
        <f t="shared" si="0"/>
        <v>0</v>
      </c>
      <c r="U12" s="23"/>
    </row>
    <row r="13" spans="2:24" x14ac:dyDescent="0.15">
      <c r="B13" s="16"/>
      <c r="C13" s="225"/>
      <c r="D13" s="216"/>
      <c r="E13" s="166"/>
      <c r="F13" s="164" t="s">
        <v>79</v>
      </c>
      <c r="G13" s="169" t="s">
        <v>73</v>
      </c>
      <c r="H13" s="215"/>
      <c r="I13" s="168"/>
      <c r="J13" s="168"/>
      <c r="K13" s="168"/>
      <c r="L13" s="168"/>
      <c r="M13" s="168"/>
      <c r="N13" s="168"/>
      <c r="O13" s="168"/>
      <c r="P13" s="168"/>
      <c r="Q13" s="168"/>
      <c r="R13" s="168"/>
      <c r="S13" s="168">
        <f t="shared" si="0"/>
        <v>0</v>
      </c>
      <c r="U13" s="23"/>
      <c r="V13" s="152"/>
      <c r="W13" s="152"/>
      <c r="X13" s="152"/>
    </row>
    <row r="14" spans="2:24" ht="15" x14ac:dyDescent="0.15">
      <c r="B14" s="16"/>
      <c r="C14" s="225"/>
      <c r="D14" s="216"/>
      <c r="E14" s="166"/>
      <c r="F14" s="164" t="s">
        <v>80</v>
      </c>
      <c r="G14" s="169" t="s">
        <v>74</v>
      </c>
      <c r="H14" s="215"/>
      <c r="I14" s="168"/>
      <c r="J14" s="168"/>
      <c r="K14" s="168"/>
      <c r="L14" s="168"/>
      <c r="M14" s="168"/>
      <c r="N14" s="168"/>
      <c r="O14" s="168"/>
      <c r="P14" s="168"/>
      <c r="Q14" s="168"/>
      <c r="R14" s="168"/>
      <c r="S14" s="168">
        <f t="shared" si="0"/>
        <v>0</v>
      </c>
      <c r="U14" s="23"/>
      <c r="V14" s="153"/>
      <c r="W14" s="154"/>
      <c r="X14" s="152"/>
    </row>
    <row r="15" spans="2:24" ht="15" x14ac:dyDescent="0.15">
      <c r="B15" s="16"/>
      <c r="C15" s="225"/>
      <c r="D15" s="216"/>
      <c r="E15" s="166"/>
      <c r="F15" s="165" t="s">
        <v>81</v>
      </c>
      <c r="G15" s="169" t="s">
        <v>75</v>
      </c>
      <c r="H15" s="215"/>
      <c r="I15" s="168"/>
      <c r="J15" s="168"/>
      <c r="K15" s="168"/>
      <c r="L15" s="168"/>
      <c r="M15" s="168"/>
      <c r="N15" s="168"/>
      <c r="O15" s="168"/>
      <c r="P15" s="168"/>
      <c r="Q15" s="168"/>
      <c r="R15" s="168"/>
      <c r="S15" s="168">
        <f t="shared" si="0"/>
        <v>0</v>
      </c>
      <c r="U15" s="23"/>
      <c r="V15" s="153"/>
      <c r="W15" s="154"/>
      <c r="X15" s="152"/>
    </row>
    <row r="16" spans="2:24" ht="15" x14ac:dyDescent="0.15">
      <c r="B16" s="16"/>
      <c r="C16" s="225"/>
      <c r="D16" s="216" t="s">
        <v>64</v>
      </c>
      <c r="E16" s="166"/>
      <c r="F16" s="163" t="s">
        <v>76</v>
      </c>
      <c r="G16" s="167" t="s">
        <v>70</v>
      </c>
      <c r="H16" s="215"/>
      <c r="I16" s="168"/>
      <c r="J16" s="168"/>
      <c r="K16" s="168"/>
      <c r="L16" s="168"/>
      <c r="M16" s="168"/>
      <c r="N16" s="168"/>
      <c r="O16" s="168"/>
      <c r="P16" s="168"/>
      <c r="Q16" s="168"/>
      <c r="R16" s="168"/>
      <c r="S16" s="168">
        <f t="shared" si="0"/>
        <v>0</v>
      </c>
      <c r="U16" s="23"/>
      <c r="V16" s="153"/>
      <c r="W16" s="154"/>
      <c r="X16" s="152"/>
    </row>
    <row r="17" spans="2:24" ht="15" x14ac:dyDescent="0.15">
      <c r="B17" s="16"/>
      <c r="C17" s="225"/>
      <c r="D17" s="216"/>
      <c r="E17" s="166"/>
      <c r="F17" s="164" t="s">
        <v>77</v>
      </c>
      <c r="G17" s="169" t="s">
        <v>71</v>
      </c>
      <c r="H17" s="215"/>
      <c r="I17" s="168"/>
      <c r="J17" s="168"/>
      <c r="K17" s="168"/>
      <c r="L17" s="168"/>
      <c r="M17" s="168"/>
      <c r="N17" s="168"/>
      <c r="O17" s="168"/>
      <c r="P17" s="168"/>
      <c r="Q17" s="168"/>
      <c r="R17" s="168"/>
      <c r="S17" s="168">
        <f t="shared" si="0"/>
        <v>0</v>
      </c>
      <c r="U17" s="23"/>
      <c r="V17" s="153"/>
      <c r="W17" s="154"/>
      <c r="X17" s="152"/>
    </row>
    <row r="18" spans="2:24" ht="15" x14ac:dyDescent="0.15">
      <c r="B18" s="16"/>
      <c r="C18" s="225"/>
      <c r="D18" s="216"/>
      <c r="E18" s="166"/>
      <c r="F18" s="164" t="s">
        <v>78</v>
      </c>
      <c r="G18" s="169" t="s">
        <v>72</v>
      </c>
      <c r="H18" s="215"/>
      <c r="I18" s="168"/>
      <c r="J18" s="168"/>
      <c r="K18" s="168"/>
      <c r="L18" s="168"/>
      <c r="M18" s="168"/>
      <c r="N18" s="168"/>
      <c r="O18" s="168"/>
      <c r="P18" s="168"/>
      <c r="Q18" s="168"/>
      <c r="R18" s="168"/>
      <c r="S18" s="168">
        <f t="shared" si="0"/>
        <v>0</v>
      </c>
      <c r="U18" s="23"/>
      <c r="V18" s="153"/>
      <c r="W18" s="153"/>
      <c r="X18" s="152"/>
    </row>
    <row r="19" spans="2:24" ht="14.25" thickBot="1" x14ac:dyDescent="0.2">
      <c r="B19" s="16"/>
      <c r="C19" s="225"/>
      <c r="D19" s="216"/>
      <c r="E19" s="166"/>
      <c r="F19" s="164" t="s">
        <v>79</v>
      </c>
      <c r="G19" s="169" t="s">
        <v>73</v>
      </c>
      <c r="H19" s="215"/>
      <c r="I19" s="168"/>
      <c r="J19" s="168"/>
      <c r="K19" s="168"/>
      <c r="L19" s="168"/>
      <c r="M19" s="168"/>
      <c r="N19" s="168"/>
      <c r="O19" s="168"/>
      <c r="P19" s="168"/>
      <c r="Q19" s="168"/>
      <c r="R19" s="168"/>
      <c r="S19" s="168">
        <f t="shared" si="0"/>
        <v>0</v>
      </c>
      <c r="U19" s="23"/>
      <c r="V19" s="2" t="s">
        <v>68</v>
      </c>
    </row>
    <row r="20" spans="2:24" ht="15.75" thickBot="1" x14ac:dyDescent="0.2">
      <c r="B20" s="16"/>
      <c r="C20" s="225"/>
      <c r="D20" s="216"/>
      <c r="E20" s="166"/>
      <c r="F20" s="164" t="s">
        <v>80</v>
      </c>
      <c r="G20" s="169" t="s">
        <v>74</v>
      </c>
      <c r="H20" s="215"/>
      <c r="I20" s="168"/>
      <c r="J20" s="168"/>
      <c r="K20" s="168"/>
      <c r="L20" s="168"/>
      <c r="M20" s="168"/>
      <c r="N20" s="168"/>
      <c r="O20" s="168"/>
      <c r="P20" s="168"/>
      <c r="Q20" s="168"/>
      <c r="R20" s="168"/>
      <c r="S20" s="168">
        <f t="shared" si="0"/>
        <v>0</v>
      </c>
      <c r="U20" s="23"/>
      <c r="V20" s="25" t="s">
        <v>20</v>
      </c>
      <c r="W20" s="26" t="s">
        <v>21</v>
      </c>
    </row>
    <row r="21" spans="2:24" ht="15.75" thickBot="1" x14ac:dyDescent="0.2">
      <c r="B21" s="16"/>
      <c r="C21" s="226"/>
      <c r="D21" s="216"/>
      <c r="E21" s="166"/>
      <c r="F21" s="165" t="s">
        <v>81</v>
      </c>
      <c r="G21" s="169" t="s">
        <v>75</v>
      </c>
      <c r="H21" s="215"/>
      <c r="I21" s="168"/>
      <c r="J21" s="168"/>
      <c r="K21" s="168"/>
      <c r="L21" s="168"/>
      <c r="M21" s="168"/>
      <c r="N21" s="168"/>
      <c r="O21" s="168"/>
      <c r="P21" s="168"/>
      <c r="Q21" s="168"/>
      <c r="R21" s="168"/>
      <c r="S21" s="168">
        <f t="shared" si="0"/>
        <v>0</v>
      </c>
      <c r="U21" s="23"/>
      <c r="V21" s="27" t="s">
        <v>22</v>
      </c>
      <c r="W21" s="28" t="s">
        <v>23</v>
      </c>
    </row>
    <row r="22" spans="2:24" ht="15.75" thickBot="1" x14ac:dyDescent="0.2">
      <c r="B22" s="15"/>
      <c r="C22" s="8"/>
      <c r="D22" s="171"/>
      <c r="E22" s="172"/>
      <c r="F22" s="170"/>
      <c r="G22" s="170"/>
      <c r="H22" s="173"/>
      <c r="I22" s="168"/>
      <c r="J22" s="168"/>
      <c r="K22" s="168"/>
      <c r="L22" s="168"/>
      <c r="M22" s="168"/>
      <c r="N22" s="168"/>
      <c r="O22" s="168"/>
      <c r="P22" s="168"/>
      <c r="Q22" s="168"/>
      <c r="R22" s="168"/>
      <c r="S22" s="168"/>
      <c r="U22" s="23"/>
      <c r="V22" s="27" t="s">
        <v>24</v>
      </c>
      <c r="W22" s="28" t="s">
        <v>25</v>
      </c>
    </row>
    <row r="23" spans="2:24" ht="15.75" thickBot="1" x14ac:dyDescent="0.2">
      <c r="B23" s="15"/>
      <c r="C23" s="13"/>
      <c r="D23" s="13"/>
      <c r="E23" s="12"/>
      <c r="F23" s="174"/>
      <c r="G23" s="174"/>
      <c r="H23" s="175"/>
      <c r="I23" s="176">
        <f>SUM(I4:I21)</f>
        <v>0</v>
      </c>
      <c r="J23" s="176">
        <f>SUM(J4:J21)</f>
        <v>87</v>
      </c>
      <c r="K23" s="176">
        <f>SUM(K4:K21)</f>
        <v>87</v>
      </c>
      <c r="L23" s="176">
        <f>SUM(L4:L21)</f>
        <v>174</v>
      </c>
      <c r="M23" s="176">
        <f t="shared" ref="M23:R23" si="1">SUM(M4:M21)</f>
        <v>174</v>
      </c>
      <c r="N23" s="176">
        <f t="shared" si="1"/>
        <v>87</v>
      </c>
      <c r="O23" s="176">
        <f t="shared" si="1"/>
        <v>0</v>
      </c>
      <c r="P23" s="176">
        <f t="shared" si="1"/>
        <v>0</v>
      </c>
      <c r="Q23" s="176">
        <f t="shared" si="1"/>
        <v>0</v>
      </c>
      <c r="R23" s="176">
        <f t="shared" si="1"/>
        <v>0</v>
      </c>
      <c r="S23" s="176"/>
      <c r="U23" s="23"/>
      <c r="V23" s="27" t="s">
        <v>26</v>
      </c>
      <c r="W23" s="28" t="s">
        <v>27</v>
      </c>
    </row>
    <row r="24" spans="2:24" x14ac:dyDescent="0.15">
      <c r="B24" s="15"/>
      <c r="C24" s="224" t="s">
        <v>84</v>
      </c>
      <c r="D24" s="202" t="s">
        <v>62</v>
      </c>
      <c r="E24" s="10"/>
      <c r="F24" s="163" t="s">
        <v>76</v>
      </c>
      <c r="G24" s="167" t="s">
        <v>70</v>
      </c>
      <c r="H24" s="227">
        <v>44552</v>
      </c>
      <c r="I24" s="177"/>
      <c r="J24" s="177"/>
      <c r="K24" s="177"/>
      <c r="L24" s="177"/>
      <c r="M24" s="177"/>
      <c r="N24" s="178"/>
      <c r="O24" s="178"/>
      <c r="P24" s="178"/>
      <c r="Q24" s="178"/>
      <c r="R24" s="178"/>
      <c r="S24" s="178">
        <f>SUM(I24:R24)</f>
        <v>0</v>
      </c>
      <c r="U24" s="23"/>
    </row>
    <row r="25" spans="2:24" x14ac:dyDescent="0.15">
      <c r="B25" s="15"/>
      <c r="C25" s="225"/>
      <c r="D25" s="202"/>
      <c r="E25" s="10"/>
      <c r="F25" s="164" t="s">
        <v>77</v>
      </c>
      <c r="G25" s="169" t="s">
        <v>71</v>
      </c>
      <c r="H25" s="228"/>
      <c r="I25" s="177"/>
      <c r="J25" s="177">
        <v>72</v>
      </c>
      <c r="K25" s="177">
        <v>96</v>
      </c>
      <c r="L25" s="177">
        <v>108</v>
      </c>
      <c r="M25" s="177">
        <v>132</v>
      </c>
      <c r="N25" s="178">
        <v>72</v>
      </c>
      <c r="O25" s="178"/>
      <c r="P25" s="178"/>
      <c r="Q25" s="178"/>
      <c r="R25" s="178"/>
      <c r="S25" s="178">
        <f t="shared" ref="S25:S41" si="2">SUM(I25:R25)</f>
        <v>480</v>
      </c>
      <c r="U25" s="23"/>
    </row>
    <row r="26" spans="2:24" x14ac:dyDescent="0.15">
      <c r="B26" s="15"/>
      <c r="C26" s="225"/>
      <c r="D26" s="202"/>
      <c r="E26" s="10"/>
      <c r="F26" s="164" t="s">
        <v>78</v>
      </c>
      <c r="G26" s="169" t="s">
        <v>72</v>
      </c>
      <c r="H26" s="228"/>
      <c r="I26" s="177"/>
      <c r="J26" s="177"/>
      <c r="K26" s="177"/>
      <c r="L26" s="177"/>
      <c r="M26" s="177"/>
      <c r="N26" s="178"/>
      <c r="O26" s="178"/>
      <c r="P26" s="178"/>
      <c r="Q26" s="178"/>
      <c r="R26" s="178"/>
      <c r="S26" s="178">
        <f t="shared" si="2"/>
        <v>0</v>
      </c>
      <c r="U26" s="23"/>
      <c r="V26" s="2" t="s">
        <v>31</v>
      </c>
    </row>
    <row r="27" spans="2:24" x14ac:dyDescent="0.15">
      <c r="B27" s="15"/>
      <c r="C27" s="225"/>
      <c r="D27" s="202"/>
      <c r="E27" s="10"/>
      <c r="F27" s="164" t="s">
        <v>79</v>
      </c>
      <c r="G27" s="169" t="s">
        <v>73</v>
      </c>
      <c r="H27" s="228"/>
      <c r="I27" s="177"/>
      <c r="J27" s="177">
        <v>12</v>
      </c>
      <c r="K27" s="177">
        <v>24</v>
      </c>
      <c r="L27" s="177">
        <v>24</v>
      </c>
      <c r="M27" s="177">
        <v>36</v>
      </c>
      <c r="N27" s="178">
        <v>12</v>
      </c>
      <c r="O27" s="178"/>
      <c r="P27" s="178"/>
      <c r="Q27" s="178"/>
      <c r="R27" s="178"/>
      <c r="S27" s="178">
        <f t="shared" si="2"/>
        <v>108</v>
      </c>
      <c r="U27" s="23"/>
      <c r="V27" s="30" t="s">
        <v>69</v>
      </c>
    </row>
    <row r="28" spans="2:24" x14ac:dyDescent="0.15">
      <c r="B28" s="15"/>
      <c r="C28" s="225"/>
      <c r="D28" s="202"/>
      <c r="E28" s="10"/>
      <c r="F28" s="164" t="s">
        <v>80</v>
      </c>
      <c r="G28" s="169" t="s">
        <v>74</v>
      </c>
      <c r="H28" s="228"/>
      <c r="I28" s="177"/>
      <c r="J28" s="177">
        <v>36</v>
      </c>
      <c r="K28" s="177">
        <v>48</v>
      </c>
      <c r="L28" s="177">
        <v>60</v>
      </c>
      <c r="M28" s="177">
        <v>72</v>
      </c>
      <c r="N28" s="178">
        <v>36</v>
      </c>
      <c r="O28" s="178"/>
      <c r="P28" s="178"/>
      <c r="Q28" s="178"/>
      <c r="R28" s="178"/>
      <c r="S28" s="178">
        <f t="shared" si="2"/>
        <v>252</v>
      </c>
      <c r="U28" s="23"/>
    </row>
    <row r="29" spans="2:24" x14ac:dyDescent="0.15">
      <c r="B29" s="15"/>
      <c r="C29" s="225"/>
      <c r="D29" s="202"/>
      <c r="E29" s="10"/>
      <c r="F29" s="165" t="s">
        <v>81</v>
      </c>
      <c r="G29" s="169" t="s">
        <v>75</v>
      </c>
      <c r="H29" s="228"/>
      <c r="I29" s="177"/>
      <c r="J29" s="177"/>
      <c r="K29" s="177"/>
      <c r="L29" s="177"/>
      <c r="M29" s="177"/>
      <c r="N29" s="178"/>
      <c r="O29" s="178"/>
      <c r="P29" s="178"/>
      <c r="Q29" s="178"/>
      <c r="R29" s="178"/>
      <c r="S29" s="178">
        <f t="shared" si="2"/>
        <v>0</v>
      </c>
      <c r="U29" s="23"/>
    </row>
    <row r="30" spans="2:24" x14ac:dyDescent="0.15">
      <c r="B30" s="15"/>
      <c r="C30" s="225"/>
      <c r="D30" s="202" t="s">
        <v>63</v>
      </c>
      <c r="E30" s="10"/>
      <c r="F30" s="163" t="s">
        <v>76</v>
      </c>
      <c r="G30" s="167" t="s">
        <v>70</v>
      </c>
      <c r="H30" s="228"/>
      <c r="I30" s="177"/>
      <c r="J30" s="177"/>
      <c r="K30" s="177"/>
      <c r="L30" s="177"/>
      <c r="M30" s="177"/>
      <c r="N30" s="178"/>
      <c r="O30" s="178"/>
      <c r="P30" s="178"/>
      <c r="Q30" s="178"/>
      <c r="R30" s="178"/>
      <c r="S30" s="178">
        <f t="shared" si="2"/>
        <v>0</v>
      </c>
      <c r="V30" s="2" t="s">
        <v>33</v>
      </c>
    </row>
    <row r="31" spans="2:24" x14ac:dyDescent="0.15">
      <c r="B31" s="15"/>
      <c r="C31" s="225"/>
      <c r="D31" s="202"/>
      <c r="E31" s="10"/>
      <c r="F31" s="164" t="s">
        <v>77</v>
      </c>
      <c r="G31" s="169" t="s">
        <v>71</v>
      </c>
      <c r="H31" s="228"/>
      <c r="I31" s="177"/>
      <c r="J31" s="177"/>
      <c r="K31" s="177"/>
      <c r="L31" s="177"/>
      <c r="M31" s="177"/>
      <c r="N31" s="178"/>
      <c r="O31" s="178"/>
      <c r="P31" s="178"/>
      <c r="Q31" s="178"/>
      <c r="R31" s="178"/>
      <c r="S31" s="178">
        <f t="shared" si="2"/>
        <v>0</v>
      </c>
      <c r="V31" s="2" t="s">
        <v>44</v>
      </c>
      <c r="W31" s="24">
        <f>SUM(S238:S255)+SUM(S262:S273)</f>
        <v>32799</v>
      </c>
      <c r="X31" s="70">
        <f>W31*1.03</f>
        <v>33782.97</v>
      </c>
    </row>
    <row r="32" spans="2:24" x14ac:dyDescent="0.15">
      <c r="B32" s="15"/>
      <c r="C32" s="225"/>
      <c r="D32" s="202"/>
      <c r="E32" s="10"/>
      <c r="F32" s="164" t="s">
        <v>78</v>
      </c>
      <c r="G32" s="169" t="s">
        <v>72</v>
      </c>
      <c r="H32" s="228"/>
      <c r="I32" s="177"/>
      <c r="J32" s="177"/>
      <c r="K32" s="177"/>
      <c r="L32" s="177"/>
      <c r="M32" s="177"/>
      <c r="N32" s="178"/>
      <c r="O32" s="178"/>
      <c r="P32" s="178"/>
      <c r="Q32" s="178"/>
      <c r="R32" s="178"/>
      <c r="S32" s="178">
        <f t="shared" si="2"/>
        <v>0</v>
      </c>
      <c r="V32" s="2" t="s">
        <v>18</v>
      </c>
      <c r="W32" s="24">
        <f>SUM(S256:S261)</f>
        <v>1259</v>
      </c>
      <c r="X32" s="70">
        <f>W32*1.03</f>
        <v>1296.77</v>
      </c>
    </row>
    <row r="33" spans="2:25" x14ac:dyDescent="0.15">
      <c r="B33" s="15"/>
      <c r="C33" s="225"/>
      <c r="D33" s="202"/>
      <c r="E33" s="10"/>
      <c r="F33" s="164" t="s">
        <v>79</v>
      </c>
      <c r="G33" s="169" t="s">
        <v>73</v>
      </c>
      <c r="H33" s="228"/>
      <c r="I33" s="177"/>
      <c r="J33" s="177"/>
      <c r="K33" s="177"/>
      <c r="L33" s="177"/>
      <c r="M33" s="177"/>
      <c r="N33" s="178"/>
      <c r="O33" s="178"/>
      <c r="P33" s="178"/>
      <c r="Q33" s="178"/>
      <c r="R33" s="178"/>
      <c r="S33" s="178">
        <f t="shared" si="2"/>
        <v>0</v>
      </c>
      <c r="W33" s="24"/>
      <c r="X33" s="70"/>
    </row>
    <row r="34" spans="2:25" x14ac:dyDescent="0.15">
      <c r="B34" s="15"/>
      <c r="C34" s="225"/>
      <c r="D34" s="202"/>
      <c r="E34" s="10"/>
      <c r="F34" s="164" t="s">
        <v>80</v>
      </c>
      <c r="G34" s="169" t="s">
        <v>74</v>
      </c>
      <c r="H34" s="228"/>
      <c r="I34" s="177"/>
      <c r="J34" s="177"/>
      <c r="K34" s="177"/>
      <c r="L34" s="177"/>
      <c r="M34" s="177"/>
      <c r="N34" s="178"/>
      <c r="O34" s="178"/>
      <c r="P34" s="178"/>
      <c r="Q34" s="178"/>
      <c r="R34" s="178"/>
      <c r="S34" s="178">
        <f t="shared" si="2"/>
        <v>0</v>
      </c>
      <c r="W34" s="24"/>
      <c r="X34" s="70"/>
    </row>
    <row r="35" spans="2:25" x14ac:dyDescent="0.15">
      <c r="B35" s="15"/>
      <c r="C35" s="225"/>
      <c r="D35" s="202"/>
      <c r="E35" s="10"/>
      <c r="F35" s="165" t="s">
        <v>81</v>
      </c>
      <c r="G35" s="169" t="s">
        <v>75</v>
      </c>
      <c r="H35" s="228"/>
      <c r="I35" s="177"/>
      <c r="J35" s="177"/>
      <c r="K35" s="177"/>
      <c r="L35" s="177"/>
      <c r="M35" s="177"/>
      <c r="N35" s="178"/>
      <c r="O35" s="178"/>
      <c r="P35" s="178"/>
      <c r="Q35" s="178"/>
      <c r="R35" s="178"/>
      <c r="S35" s="178">
        <f t="shared" si="2"/>
        <v>0</v>
      </c>
    </row>
    <row r="36" spans="2:25" x14ac:dyDescent="0.15">
      <c r="B36" s="15"/>
      <c r="C36" s="225"/>
      <c r="D36" s="202" t="s">
        <v>64</v>
      </c>
      <c r="E36" s="10"/>
      <c r="F36" s="163" t="s">
        <v>76</v>
      </c>
      <c r="G36" s="167" t="s">
        <v>70</v>
      </c>
      <c r="H36" s="228"/>
      <c r="I36" s="177"/>
      <c r="J36" s="177"/>
      <c r="K36" s="177"/>
      <c r="L36" s="177"/>
      <c r="M36" s="177"/>
      <c r="N36" s="178"/>
      <c r="O36" s="178"/>
      <c r="P36" s="178"/>
      <c r="Q36" s="178"/>
      <c r="R36" s="178"/>
      <c r="S36" s="178">
        <f t="shared" si="2"/>
        <v>0</v>
      </c>
    </row>
    <row r="37" spans="2:25" x14ac:dyDescent="0.15">
      <c r="B37" s="15"/>
      <c r="C37" s="225"/>
      <c r="D37" s="202"/>
      <c r="E37" s="10"/>
      <c r="F37" s="164" t="s">
        <v>77</v>
      </c>
      <c r="G37" s="169" t="s">
        <v>71</v>
      </c>
      <c r="H37" s="228"/>
      <c r="I37" s="178"/>
      <c r="J37" s="178"/>
      <c r="K37" s="178"/>
      <c r="L37" s="178"/>
      <c r="M37" s="178"/>
      <c r="N37" s="178"/>
      <c r="O37" s="178"/>
      <c r="P37" s="178"/>
      <c r="Q37" s="178"/>
      <c r="R37" s="178"/>
      <c r="S37" s="178">
        <f t="shared" si="2"/>
        <v>0</v>
      </c>
    </row>
    <row r="38" spans="2:25" x14ac:dyDescent="0.15">
      <c r="B38" s="15"/>
      <c r="C38" s="225"/>
      <c r="D38" s="202"/>
      <c r="E38" s="10"/>
      <c r="F38" s="164" t="s">
        <v>78</v>
      </c>
      <c r="G38" s="169" t="s">
        <v>72</v>
      </c>
      <c r="H38" s="228"/>
      <c r="I38" s="178"/>
      <c r="J38" s="178"/>
      <c r="K38" s="178"/>
      <c r="L38" s="178"/>
      <c r="M38" s="178"/>
      <c r="N38" s="178"/>
      <c r="O38" s="178"/>
      <c r="P38" s="178"/>
      <c r="Q38" s="178"/>
      <c r="R38" s="178"/>
      <c r="S38" s="178">
        <f t="shared" si="2"/>
        <v>0</v>
      </c>
    </row>
    <row r="39" spans="2:25" x14ac:dyDescent="0.15">
      <c r="B39" s="15"/>
      <c r="C39" s="225"/>
      <c r="D39" s="202"/>
      <c r="E39" s="10"/>
      <c r="F39" s="164" t="s">
        <v>79</v>
      </c>
      <c r="G39" s="169" t="s">
        <v>73</v>
      </c>
      <c r="H39" s="228"/>
      <c r="I39" s="178"/>
      <c r="J39" s="178"/>
      <c r="K39" s="178"/>
      <c r="L39" s="178"/>
      <c r="M39" s="178"/>
      <c r="N39" s="178"/>
      <c r="O39" s="178"/>
      <c r="P39" s="178"/>
      <c r="Q39" s="178"/>
      <c r="R39" s="178"/>
      <c r="S39" s="178">
        <f t="shared" si="2"/>
        <v>0</v>
      </c>
    </row>
    <row r="40" spans="2:25" x14ac:dyDescent="0.15">
      <c r="B40" s="15"/>
      <c r="C40" s="225"/>
      <c r="D40" s="202"/>
      <c r="E40" s="10"/>
      <c r="F40" s="164" t="s">
        <v>80</v>
      </c>
      <c r="G40" s="169" t="s">
        <v>74</v>
      </c>
      <c r="H40" s="228"/>
      <c r="I40" s="178"/>
      <c r="J40" s="178"/>
      <c r="K40" s="178"/>
      <c r="L40" s="178"/>
      <c r="M40" s="178"/>
      <c r="N40" s="178"/>
      <c r="O40" s="178"/>
      <c r="P40" s="178"/>
      <c r="Q40" s="178"/>
      <c r="R40" s="178"/>
      <c r="S40" s="178">
        <f t="shared" si="2"/>
        <v>0</v>
      </c>
    </row>
    <row r="41" spans="2:25" x14ac:dyDescent="0.15">
      <c r="B41" s="15"/>
      <c r="C41" s="226"/>
      <c r="D41" s="202"/>
      <c r="E41" s="10"/>
      <c r="F41" s="165" t="s">
        <v>81</v>
      </c>
      <c r="G41" s="169" t="s">
        <v>75</v>
      </c>
      <c r="H41" s="228"/>
      <c r="I41" s="178"/>
      <c r="J41" s="178"/>
      <c r="K41" s="178"/>
      <c r="L41" s="178"/>
      <c r="M41" s="178"/>
      <c r="N41" s="178"/>
      <c r="O41" s="178"/>
      <c r="P41" s="178"/>
      <c r="Q41" s="178"/>
      <c r="R41" s="178"/>
      <c r="S41" s="178">
        <f t="shared" si="2"/>
        <v>0</v>
      </c>
    </row>
    <row r="42" spans="2:25" s="11" customFormat="1" x14ac:dyDescent="0.15">
      <c r="B42" s="15"/>
      <c r="C42" s="8"/>
      <c r="D42" s="8"/>
      <c r="E42" s="9"/>
      <c r="F42" s="179"/>
      <c r="G42" s="179"/>
      <c r="H42" s="182"/>
      <c r="I42" s="178"/>
      <c r="J42" s="178"/>
      <c r="K42" s="178"/>
      <c r="L42" s="178"/>
      <c r="M42" s="178"/>
      <c r="N42" s="178"/>
      <c r="O42" s="178"/>
      <c r="P42" s="178"/>
      <c r="Q42" s="178"/>
      <c r="R42" s="178"/>
      <c r="S42" s="178"/>
      <c r="T42" s="2"/>
      <c r="U42" s="2"/>
      <c r="Y42" s="2"/>
    </row>
    <row r="43" spans="2:25" x14ac:dyDescent="0.15">
      <c r="B43" s="17"/>
      <c r="C43" s="13"/>
      <c r="D43" s="13"/>
      <c r="E43" s="12"/>
      <c r="F43" s="174"/>
      <c r="G43" s="180"/>
      <c r="H43" s="182"/>
      <c r="I43" s="176">
        <f t="shared" ref="I43:N43" si="3">SUM(I24:I41)</f>
        <v>0</v>
      </c>
      <c r="J43" s="176">
        <f t="shared" si="3"/>
        <v>120</v>
      </c>
      <c r="K43" s="176">
        <f t="shared" si="3"/>
        <v>168</v>
      </c>
      <c r="L43" s="176">
        <f t="shared" si="3"/>
        <v>192</v>
      </c>
      <c r="M43" s="176">
        <f t="shared" si="3"/>
        <v>240</v>
      </c>
      <c r="N43" s="176">
        <f t="shared" si="3"/>
        <v>120</v>
      </c>
      <c r="O43" s="176">
        <f t="shared" ref="O43:R43" si="4">SUM(O24:O41)</f>
        <v>0</v>
      </c>
      <c r="P43" s="176">
        <f t="shared" si="4"/>
        <v>0</v>
      </c>
      <c r="Q43" s="176">
        <f t="shared" si="4"/>
        <v>0</v>
      </c>
      <c r="R43" s="176">
        <f t="shared" si="4"/>
        <v>0</v>
      </c>
      <c r="S43" s="176"/>
    </row>
    <row r="44" spans="2:25" x14ac:dyDescent="0.15">
      <c r="B44" s="15"/>
      <c r="C44" s="232">
        <v>4500458555</v>
      </c>
      <c r="D44" s="202" t="s">
        <v>62</v>
      </c>
      <c r="E44" s="10"/>
      <c r="F44" s="163" t="s">
        <v>76</v>
      </c>
      <c r="G44" s="183" t="s">
        <v>70</v>
      </c>
      <c r="H44" s="227">
        <v>44524</v>
      </c>
      <c r="I44" s="189">
        <v>10</v>
      </c>
      <c r="J44" s="189">
        <v>31</v>
      </c>
      <c r="K44" s="189">
        <v>90</v>
      </c>
      <c r="L44" s="189">
        <v>157</v>
      </c>
      <c r="M44" s="189">
        <v>300</v>
      </c>
      <c r="N44" s="189">
        <v>260</v>
      </c>
      <c r="O44" s="189">
        <v>76</v>
      </c>
      <c r="P44" s="178"/>
      <c r="Q44" s="178"/>
      <c r="R44" s="178"/>
      <c r="S44" s="178">
        <f>SUM(I44:R44)</f>
        <v>924</v>
      </c>
    </row>
    <row r="45" spans="2:25" x14ac:dyDescent="0.15">
      <c r="B45" s="15"/>
      <c r="C45" s="233"/>
      <c r="D45" s="202"/>
      <c r="E45" s="10"/>
      <c r="F45" s="164" t="s">
        <v>77</v>
      </c>
      <c r="G45" s="169" t="s">
        <v>71</v>
      </c>
      <c r="H45" s="228"/>
      <c r="I45" s="189">
        <v>18</v>
      </c>
      <c r="J45" s="189">
        <v>53</v>
      </c>
      <c r="K45" s="189">
        <v>89</v>
      </c>
      <c r="L45" s="189">
        <v>129</v>
      </c>
      <c r="M45" s="189">
        <v>185</v>
      </c>
      <c r="N45" s="189">
        <v>122</v>
      </c>
      <c r="O45" s="189">
        <v>38</v>
      </c>
      <c r="P45" s="178"/>
      <c r="Q45" s="178"/>
      <c r="R45" s="178"/>
      <c r="S45" s="178">
        <f t="shared" ref="S45:S61" si="5">SUM(I45:R45)</f>
        <v>634</v>
      </c>
    </row>
    <row r="46" spans="2:25" x14ac:dyDescent="0.15">
      <c r="B46" s="15"/>
      <c r="C46" s="233"/>
      <c r="D46" s="202"/>
      <c r="E46" s="10"/>
      <c r="F46" s="164" t="s">
        <v>78</v>
      </c>
      <c r="G46" s="169" t="s">
        <v>72</v>
      </c>
      <c r="H46" s="228"/>
      <c r="I46" s="189">
        <v>33</v>
      </c>
      <c r="J46" s="189">
        <v>126</v>
      </c>
      <c r="K46" s="189">
        <v>224</v>
      </c>
      <c r="L46" s="190">
        <v>340</v>
      </c>
      <c r="M46" s="189">
        <v>567</v>
      </c>
      <c r="N46" s="189">
        <v>485</v>
      </c>
      <c r="O46" s="189">
        <v>172</v>
      </c>
      <c r="P46" s="178"/>
      <c r="Q46" s="178"/>
      <c r="R46" s="178"/>
      <c r="S46" s="178">
        <f t="shared" si="5"/>
        <v>1947</v>
      </c>
    </row>
    <row r="47" spans="2:25" x14ac:dyDescent="0.15">
      <c r="B47" s="15"/>
      <c r="C47" s="233"/>
      <c r="D47" s="202"/>
      <c r="E47" s="10"/>
      <c r="F47" s="164" t="s">
        <v>79</v>
      </c>
      <c r="G47" s="169" t="s">
        <v>73</v>
      </c>
      <c r="H47" s="228"/>
      <c r="I47" s="189">
        <v>23</v>
      </c>
      <c r="J47" s="189">
        <v>139</v>
      </c>
      <c r="K47" s="189">
        <v>227</v>
      </c>
      <c r="L47" s="189">
        <v>270</v>
      </c>
      <c r="M47" s="189">
        <v>455</v>
      </c>
      <c r="N47" s="189">
        <v>315</v>
      </c>
      <c r="O47" s="189">
        <v>93</v>
      </c>
      <c r="P47" s="178"/>
      <c r="Q47" s="178"/>
      <c r="R47" s="178"/>
      <c r="S47" s="178">
        <f t="shared" si="5"/>
        <v>1522</v>
      </c>
    </row>
    <row r="48" spans="2:25" x14ac:dyDescent="0.15">
      <c r="B48" s="15"/>
      <c r="C48" s="233"/>
      <c r="D48" s="202"/>
      <c r="E48" s="10"/>
      <c r="F48" s="164" t="s">
        <v>80</v>
      </c>
      <c r="G48" s="169" t="s">
        <v>74</v>
      </c>
      <c r="H48" s="228"/>
      <c r="I48" s="189">
        <v>13</v>
      </c>
      <c r="J48" s="189">
        <v>43</v>
      </c>
      <c r="K48" s="189">
        <v>126</v>
      </c>
      <c r="L48" s="189">
        <v>218</v>
      </c>
      <c r="M48" s="189">
        <v>417</v>
      </c>
      <c r="N48" s="189">
        <v>361</v>
      </c>
      <c r="O48" s="189">
        <v>105</v>
      </c>
      <c r="P48" s="178"/>
      <c r="Q48" s="178"/>
      <c r="R48" s="178"/>
      <c r="S48" s="178">
        <f t="shared" si="5"/>
        <v>1283</v>
      </c>
    </row>
    <row r="49" spans="2:25" x14ac:dyDescent="0.15">
      <c r="B49" s="15"/>
      <c r="C49" s="233"/>
      <c r="D49" s="202"/>
      <c r="E49" s="10"/>
      <c r="F49" s="165" t="s">
        <v>81</v>
      </c>
      <c r="G49" s="169" t="s">
        <v>75</v>
      </c>
      <c r="H49" s="228"/>
      <c r="I49" s="178"/>
      <c r="J49" s="178"/>
      <c r="K49" s="178"/>
      <c r="L49" s="178"/>
      <c r="M49" s="178"/>
      <c r="N49" s="178"/>
      <c r="O49" s="178"/>
      <c r="P49" s="178"/>
      <c r="Q49" s="178"/>
      <c r="R49" s="178"/>
      <c r="S49" s="178">
        <f t="shared" si="5"/>
        <v>0</v>
      </c>
    </row>
    <row r="50" spans="2:25" x14ac:dyDescent="0.15">
      <c r="B50" s="15"/>
      <c r="C50" s="233"/>
      <c r="D50" s="202" t="s">
        <v>63</v>
      </c>
      <c r="E50" s="10"/>
      <c r="F50" s="163" t="s">
        <v>76</v>
      </c>
      <c r="G50" s="167" t="s">
        <v>70</v>
      </c>
      <c r="H50" s="228"/>
      <c r="I50" s="177"/>
      <c r="J50" s="177"/>
      <c r="K50" s="177"/>
      <c r="L50" s="177"/>
      <c r="M50" s="177"/>
      <c r="N50" s="178"/>
      <c r="O50" s="178"/>
      <c r="P50" s="189">
        <v>67</v>
      </c>
      <c r="Q50" s="189">
        <v>123</v>
      </c>
      <c r="R50" s="189">
        <v>78</v>
      </c>
      <c r="S50" s="178">
        <f t="shared" si="5"/>
        <v>268</v>
      </c>
    </row>
    <row r="51" spans="2:25" x14ac:dyDescent="0.15">
      <c r="B51" s="15"/>
      <c r="C51" s="233"/>
      <c r="D51" s="202"/>
      <c r="E51" s="10"/>
      <c r="F51" s="164" t="s">
        <v>77</v>
      </c>
      <c r="G51" s="169" t="s">
        <v>71</v>
      </c>
      <c r="H51" s="228"/>
      <c r="I51" s="178"/>
      <c r="J51" s="178"/>
      <c r="K51" s="178"/>
      <c r="L51" s="178"/>
      <c r="M51" s="178"/>
      <c r="N51" s="178"/>
      <c r="O51" s="178"/>
      <c r="P51" s="189">
        <v>77</v>
      </c>
      <c r="Q51" s="189">
        <v>107</v>
      </c>
      <c r="R51" s="189">
        <v>64</v>
      </c>
      <c r="S51" s="178">
        <f t="shared" si="5"/>
        <v>248</v>
      </c>
    </row>
    <row r="52" spans="2:25" x14ac:dyDescent="0.15">
      <c r="B52" s="15"/>
      <c r="C52" s="233"/>
      <c r="D52" s="202"/>
      <c r="E52" s="10"/>
      <c r="F52" s="164" t="s">
        <v>78</v>
      </c>
      <c r="G52" s="169" t="s">
        <v>72</v>
      </c>
      <c r="H52" s="228"/>
      <c r="I52" s="178"/>
      <c r="J52" s="178"/>
      <c r="K52" s="178"/>
      <c r="L52" s="178"/>
      <c r="M52" s="178"/>
      <c r="N52" s="178"/>
      <c r="O52" s="178"/>
      <c r="P52" s="189">
        <v>147</v>
      </c>
      <c r="Q52" s="189">
        <v>248</v>
      </c>
      <c r="R52" s="189">
        <v>169</v>
      </c>
      <c r="S52" s="178">
        <f t="shared" si="5"/>
        <v>564</v>
      </c>
    </row>
    <row r="53" spans="2:25" x14ac:dyDescent="0.15">
      <c r="B53" s="15"/>
      <c r="C53" s="233"/>
      <c r="D53" s="202"/>
      <c r="E53" s="10"/>
      <c r="F53" s="164" t="s">
        <v>79</v>
      </c>
      <c r="G53" s="169" t="s">
        <v>73</v>
      </c>
      <c r="H53" s="228"/>
      <c r="I53" s="178"/>
      <c r="J53" s="178"/>
      <c r="K53" s="178"/>
      <c r="L53" s="178"/>
      <c r="M53" s="178"/>
      <c r="N53" s="178"/>
      <c r="O53" s="178"/>
      <c r="P53" s="189">
        <v>143</v>
      </c>
      <c r="Q53" s="189">
        <v>173</v>
      </c>
      <c r="R53" s="189">
        <v>119</v>
      </c>
      <c r="S53" s="178">
        <f t="shared" si="5"/>
        <v>435</v>
      </c>
    </row>
    <row r="54" spans="2:25" x14ac:dyDescent="0.15">
      <c r="B54" s="15"/>
      <c r="C54" s="233"/>
      <c r="D54" s="202"/>
      <c r="E54" s="10"/>
      <c r="F54" s="164" t="s">
        <v>80</v>
      </c>
      <c r="G54" s="169" t="s">
        <v>74</v>
      </c>
      <c r="H54" s="228"/>
      <c r="I54" s="178"/>
      <c r="J54" s="178"/>
      <c r="K54" s="178"/>
      <c r="L54" s="178"/>
      <c r="M54" s="178"/>
      <c r="N54" s="178"/>
      <c r="O54" s="178"/>
      <c r="P54" s="189">
        <v>93</v>
      </c>
      <c r="Q54" s="189">
        <v>171</v>
      </c>
      <c r="R54" s="189">
        <v>108</v>
      </c>
      <c r="S54" s="178">
        <f t="shared" si="5"/>
        <v>372</v>
      </c>
      <c r="U54" s="2" t="s">
        <v>85</v>
      </c>
    </row>
    <row r="55" spans="2:25" x14ac:dyDescent="0.15">
      <c r="B55" s="15"/>
      <c r="C55" s="233"/>
      <c r="D55" s="202"/>
      <c r="E55" s="10"/>
      <c r="F55" s="165" t="s">
        <v>81</v>
      </c>
      <c r="G55" s="169" t="s">
        <v>75</v>
      </c>
      <c r="H55" s="228"/>
      <c r="I55" s="178"/>
      <c r="J55" s="178"/>
      <c r="K55" s="178"/>
      <c r="L55" s="178"/>
      <c r="M55" s="178"/>
      <c r="N55" s="178"/>
      <c r="O55" s="178"/>
      <c r="P55" s="178"/>
      <c r="Q55" s="178"/>
      <c r="R55" s="178"/>
      <c r="S55" s="178">
        <f t="shared" si="5"/>
        <v>0</v>
      </c>
    </row>
    <row r="56" spans="2:25" x14ac:dyDescent="0.15">
      <c r="B56" s="15"/>
      <c r="C56" s="233"/>
      <c r="D56" s="202" t="s">
        <v>64</v>
      </c>
      <c r="E56" s="10"/>
      <c r="F56" s="163" t="s">
        <v>76</v>
      </c>
      <c r="G56" s="167" t="s">
        <v>70</v>
      </c>
      <c r="H56" s="228"/>
      <c r="I56" s="177"/>
      <c r="J56" s="177"/>
      <c r="K56" s="189">
        <v>22</v>
      </c>
      <c r="L56" s="189">
        <v>34</v>
      </c>
      <c r="M56" s="189">
        <v>57</v>
      </c>
      <c r="N56" s="189">
        <v>34</v>
      </c>
      <c r="O56" s="178"/>
      <c r="P56" s="178"/>
      <c r="Q56" s="178"/>
      <c r="R56" s="178"/>
      <c r="S56" s="178">
        <f t="shared" si="5"/>
        <v>147</v>
      </c>
    </row>
    <row r="57" spans="2:25" x14ac:dyDescent="0.15">
      <c r="B57" s="15"/>
      <c r="C57" s="233"/>
      <c r="D57" s="202"/>
      <c r="E57" s="10"/>
      <c r="F57" s="164" t="s">
        <v>77</v>
      </c>
      <c r="G57" s="169" t="s">
        <v>71</v>
      </c>
      <c r="H57" s="228"/>
      <c r="I57" s="178"/>
      <c r="J57" s="178"/>
      <c r="K57" s="189">
        <v>26</v>
      </c>
      <c r="L57" s="189">
        <v>29</v>
      </c>
      <c r="M57" s="189">
        <v>37</v>
      </c>
      <c r="N57" s="189">
        <v>16</v>
      </c>
      <c r="O57" s="178"/>
      <c r="P57" s="178"/>
      <c r="Q57" s="178"/>
      <c r="R57" s="178"/>
      <c r="S57" s="178">
        <f t="shared" si="5"/>
        <v>108</v>
      </c>
    </row>
    <row r="58" spans="2:25" x14ac:dyDescent="0.15">
      <c r="B58" s="15"/>
      <c r="C58" s="233"/>
      <c r="D58" s="202"/>
      <c r="E58" s="10"/>
      <c r="F58" s="164" t="s">
        <v>78</v>
      </c>
      <c r="G58" s="169" t="s">
        <v>72</v>
      </c>
      <c r="H58" s="228"/>
      <c r="I58" s="178"/>
      <c r="J58" s="178"/>
      <c r="K58" s="189">
        <v>53</v>
      </c>
      <c r="L58" s="189">
        <v>74</v>
      </c>
      <c r="M58" s="189">
        <v>108</v>
      </c>
      <c r="N58" s="189">
        <v>74</v>
      </c>
      <c r="O58" s="178"/>
      <c r="P58" s="178"/>
      <c r="Q58" s="178"/>
      <c r="R58" s="178"/>
      <c r="S58" s="178">
        <f t="shared" si="5"/>
        <v>309</v>
      </c>
    </row>
    <row r="59" spans="2:25" x14ac:dyDescent="0.15">
      <c r="B59" s="15"/>
      <c r="C59" s="233"/>
      <c r="D59" s="202"/>
      <c r="E59" s="10"/>
      <c r="F59" s="164" t="s">
        <v>79</v>
      </c>
      <c r="G59" s="169" t="s">
        <v>73</v>
      </c>
      <c r="H59" s="228"/>
      <c r="I59" s="178"/>
      <c r="J59" s="178"/>
      <c r="K59" s="189">
        <v>36</v>
      </c>
      <c r="L59" s="189">
        <v>51</v>
      </c>
      <c r="M59" s="189">
        <v>87</v>
      </c>
      <c r="N59" s="189">
        <v>44</v>
      </c>
      <c r="O59" s="178"/>
      <c r="P59" s="178"/>
      <c r="Q59" s="178"/>
      <c r="R59" s="178"/>
      <c r="S59" s="178">
        <f t="shared" si="5"/>
        <v>218</v>
      </c>
    </row>
    <row r="60" spans="2:25" x14ac:dyDescent="0.15">
      <c r="B60" s="15"/>
      <c r="C60" s="233"/>
      <c r="D60" s="202"/>
      <c r="E60" s="10"/>
      <c r="F60" s="164" t="s">
        <v>80</v>
      </c>
      <c r="G60" s="169" t="s">
        <v>74</v>
      </c>
      <c r="H60" s="228"/>
      <c r="I60" s="178"/>
      <c r="J60" s="178"/>
      <c r="K60" s="189">
        <v>31</v>
      </c>
      <c r="L60" s="189">
        <v>47</v>
      </c>
      <c r="M60" s="189">
        <v>80</v>
      </c>
      <c r="N60" s="189">
        <v>47</v>
      </c>
      <c r="O60" s="178"/>
      <c r="P60" s="178"/>
      <c r="Q60" s="178"/>
      <c r="R60" s="178"/>
      <c r="S60" s="178">
        <f t="shared" si="5"/>
        <v>205</v>
      </c>
    </row>
    <row r="61" spans="2:25" x14ac:dyDescent="0.15">
      <c r="B61" s="15"/>
      <c r="C61" s="234"/>
      <c r="D61" s="202"/>
      <c r="E61" s="10"/>
      <c r="F61" s="165" t="s">
        <v>81</v>
      </c>
      <c r="G61" s="169" t="s">
        <v>75</v>
      </c>
      <c r="H61" s="229"/>
      <c r="I61" s="178"/>
      <c r="J61" s="178"/>
      <c r="K61" s="178"/>
      <c r="L61" s="178"/>
      <c r="M61" s="178"/>
      <c r="N61" s="178"/>
      <c r="O61" s="178"/>
      <c r="P61" s="178"/>
      <c r="Q61" s="178"/>
      <c r="R61" s="178"/>
      <c r="S61" s="178">
        <f t="shared" si="5"/>
        <v>0</v>
      </c>
    </row>
    <row r="62" spans="2:25" s="11" customFormat="1" x14ac:dyDescent="0.15">
      <c r="B62" s="15"/>
      <c r="C62" s="8"/>
      <c r="D62" s="8"/>
      <c r="E62" s="9"/>
      <c r="F62" s="179"/>
      <c r="G62" s="179"/>
      <c r="H62" s="182"/>
      <c r="I62" s="178"/>
      <c r="J62" s="178"/>
      <c r="K62" s="178"/>
      <c r="L62" s="178"/>
      <c r="M62" s="178"/>
      <c r="N62" s="178"/>
      <c r="O62" s="178"/>
      <c r="P62" s="178"/>
      <c r="Q62" s="178"/>
      <c r="R62" s="178"/>
      <c r="S62" s="178"/>
      <c r="T62" s="2"/>
      <c r="U62" s="2"/>
      <c r="Y62" s="2"/>
    </row>
    <row r="63" spans="2:25" x14ac:dyDescent="0.15">
      <c r="B63" s="17"/>
      <c r="C63" s="13"/>
      <c r="D63" s="13"/>
      <c r="E63" s="12"/>
      <c r="F63" s="174"/>
      <c r="G63" s="180"/>
      <c r="H63" s="181"/>
      <c r="I63" s="176">
        <f t="shared" ref="I63:R63" si="6">SUM(I44:I61)</f>
        <v>97</v>
      </c>
      <c r="J63" s="176">
        <f t="shared" si="6"/>
        <v>392</v>
      </c>
      <c r="K63" s="176">
        <f t="shared" si="6"/>
        <v>924</v>
      </c>
      <c r="L63" s="176">
        <f t="shared" si="6"/>
        <v>1349</v>
      </c>
      <c r="M63" s="176">
        <f t="shared" si="6"/>
        <v>2293</v>
      </c>
      <c r="N63" s="176">
        <f t="shared" si="6"/>
        <v>1758</v>
      </c>
      <c r="O63" s="176">
        <f t="shared" si="6"/>
        <v>484</v>
      </c>
      <c r="P63" s="176">
        <f t="shared" si="6"/>
        <v>527</v>
      </c>
      <c r="Q63" s="176">
        <f t="shared" si="6"/>
        <v>822</v>
      </c>
      <c r="R63" s="176">
        <f t="shared" si="6"/>
        <v>538</v>
      </c>
      <c r="S63" s="176"/>
    </row>
    <row r="64" spans="2:25" x14ac:dyDescent="0.15">
      <c r="B64" s="15"/>
      <c r="C64" s="224">
        <v>4500458557</v>
      </c>
      <c r="D64" s="202" t="s">
        <v>62</v>
      </c>
      <c r="E64" s="10"/>
      <c r="F64" s="163" t="s">
        <v>76</v>
      </c>
      <c r="G64" s="167" t="s">
        <v>70</v>
      </c>
      <c r="H64" s="227">
        <v>44552</v>
      </c>
      <c r="I64" s="189">
        <v>14</v>
      </c>
      <c r="J64" s="189">
        <v>46</v>
      </c>
      <c r="K64" s="189">
        <v>136</v>
      </c>
      <c r="L64" s="189">
        <v>236</v>
      </c>
      <c r="M64" s="189">
        <v>450</v>
      </c>
      <c r="N64" s="189">
        <v>390</v>
      </c>
      <c r="O64" s="189">
        <v>114</v>
      </c>
      <c r="P64" s="178"/>
      <c r="Q64" s="178"/>
      <c r="R64" s="178"/>
      <c r="S64" s="178">
        <f>SUM(I64:R64)</f>
        <v>1386</v>
      </c>
    </row>
    <row r="65" spans="2:19" x14ac:dyDescent="0.15">
      <c r="B65" s="15"/>
      <c r="C65" s="225"/>
      <c r="D65" s="202"/>
      <c r="E65" s="10"/>
      <c r="F65" s="164" t="s">
        <v>77</v>
      </c>
      <c r="G65" s="169" t="s">
        <v>71</v>
      </c>
      <c r="H65" s="228"/>
      <c r="I65" s="189">
        <v>28</v>
      </c>
      <c r="J65" s="189">
        <v>80</v>
      </c>
      <c r="K65" s="189">
        <v>133</v>
      </c>
      <c r="L65" s="189">
        <v>193</v>
      </c>
      <c r="M65" s="189">
        <v>277</v>
      </c>
      <c r="N65" s="189">
        <v>184</v>
      </c>
      <c r="O65" s="189">
        <v>57</v>
      </c>
      <c r="P65" s="178"/>
      <c r="Q65" s="178"/>
      <c r="R65" s="178"/>
      <c r="S65" s="178">
        <f t="shared" ref="S65:S81" si="7">SUM(I65:R65)</f>
        <v>952</v>
      </c>
    </row>
    <row r="66" spans="2:19" x14ac:dyDescent="0.15">
      <c r="B66" s="15"/>
      <c r="C66" s="225"/>
      <c r="D66" s="202"/>
      <c r="E66" s="10"/>
      <c r="F66" s="164" t="s">
        <v>78</v>
      </c>
      <c r="G66" s="169" t="s">
        <v>72</v>
      </c>
      <c r="H66" s="228"/>
      <c r="I66" s="189">
        <v>49</v>
      </c>
      <c r="J66" s="189">
        <v>189</v>
      </c>
      <c r="K66" s="189">
        <v>335</v>
      </c>
      <c r="L66" s="189">
        <v>510</v>
      </c>
      <c r="M66" s="189">
        <v>850</v>
      </c>
      <c r="N66" s="189">
        <v>727</v>
      </c>
      <c r="O66" s="189">
        <v>257</v>
      </c>
      <c r="P66" s="178"/>
      <c r="Q66" s="178"/>
      <c r="R66" s="178"/>
      <c r="S66" s="178">
        <f t="shared" si="7"/>
        <v>2917</v>
      </c>
    </row>
    <row r="67" spans="2:19" x14ac:dyDescent="0.15">
      <c r="B67" s="15"/>
      <c r="C67" s="225"/>
      <c r="D67" s="202"/>
      <c r="E67" s="10"/>
      <c r="F67" s="164" t="s">
        <v>79</v>
      </c>
      <c r="G67" s="169" t="s">
        <v>73</v>
      </c>
      <c r="H67" s="228"/>
      <c r="I67" s="189">
        <v>33</v>
      </c>
      <c r="J67" s="189">
        <v>210</v>
      </c>
      <c r="K67" s="189">
        <v>340</v>
      </c>
      <c r="L67" s="189">
        <v>405</v>
      </c>
      <c r="M67" s="189">
        <v>685</v>
      </c>
      <c r="N67" s="189">
        <v>475</v>
      </c>
      <c r="O67" s="189">
        <v>139</v>
      </c>
      <c r="P67" s="178"/>
      <c r="Q67" s="178"/>
      <c r="R67" s="178"/>
      <c r="S67" s="178">
        <f t="shared" si="7"/>
        <v>2287</v>
      </c>
    </row>
    <row r="68" spans="2:19" x14ac:dyDescent="0.15">
      <c r="B68" s="15"/>
      <c r="C68" s="225"/>
      <c r="D68" s="202"/>
      <c r="E68" s="10"/>
      <c r="F68" s="164" t="s">
        <v>80</v>
      </c>
      <c r="G68" s="169" t="s">
        <v>74</v>
      </c>
      <c r="H68" s="228"/>
      <c r="I68" s="189">
        <v>19</v>
      </c>
      <c r="J68" s="189">
        <v>64</v>
      </c>
      <c r="K68" s="189">
        <v>188</v>
      </c>
      <c r="L68" s="189">
        <v>327</v>
      </c>
      <c r="M68" s="189">
        <v>626</v>
      </c>
      <c r="N68" s="189">
        <v>542</v>
      </c>
      <c r="O68" s="189">
        <v>158</v>
      </c>
      <c r="P68" s="178"/>
      <c r="Q68" s="178"/>
      <c r="R68" s="178"/>
      <c r="S68" s="178">
        <f t="shared" si="7"/>
        <v>1924</v>
      </c>
    </row>
    <row r="69" spans="2:19" x14ac:dyDescent="0.15">
      <c r="B69" s="15"/>
      <c r="C69" s="225"/>
      <c r="D69" s="202"/>
      <c r="E69" s="10"/>
      <c r="F69" s="165" t="s">
        <v>81</v>
      </c>
      <c r="G69" s="169" t="s">
        <v>75</v>
      </c>
      <c r="H69" s="228"/>
      <c r="I69" s="178"/>
      <c r="J69" s="178"/>
      <c r="K69" s="178"/>
      <c r="L69" s="178"/>
      <c r="M69" s="178"/>
      <c r="N69" s="178"/>
      <c r="O69" s="178"/>
      <c r="P69" s="178"/>
      <c r="Q69" s="178"/>
      <c r="R69" s="178"/>
      <c r="S69" s="178">
        <f t="shared" si="7"/>
        <v>0</v>
      </c>
    </row>
    <row r="70" spans="2:19" x14ac:dyDescent="0.15">
      <c r="B70" s="15"/>
      <c r="C70" s="225"/>
      <c r="D70" s="202" t="s">
        <v>63</v>
      </c>
      <c r="E70" s="10"/>
      <c r="F70" s="163" t="s">
        <v>76</v>
      </c>
      <c r="G70" s="167" t="s">
        <v>70</v>
      </c>
      <c r="H70" s="228"/>
      <c r="I70" s="177"/>
      <c r="J70" s="177"/>
      <c r="K70" s="177"/>
      <c r="L70" s="177"/>
      <c r="M70" s="177"/>
      <c r="N70" s="178"/>
      <c r="O70" s="178"/>
      <c r="P70" s="189">
        <v>100</v>
      </c>
      <c r="Q70" s="189">
        <v>184</v>
      </c>
      <c r="R70" s="189">
        <v>116</v>
      </c>
      <c r="S70" s="178">
        <f t="shared" si="7"/>
        <v>400</v>
      </c>
    </row>
    <row r="71" spans="2:19" x14ac:dyDescent="0.15">
      <c r="B71" s="15"/>
      <c r="C71" s="225"/>
      <c r="D71" s="202"/>
      <c r="E71" s="10"/>
      <c r="F71" s="164" t="s">
        <v>77</v>
      </c>
      <c r="G71" s="169" t="s">
        <v>71</v>
      </c>
      <c r="H71" s="228"/>
      <c r="I71" s="178"/>
      <c r="J71" s="178"/>
      <c r="K71" s="178"/>
      <c r="L71" s="178"/>
      <c r="M71" s="178"/>
      <c r="N71" s="178"/>
      <c r="O71" s="178"/>
      <c r="P71" s="189">
        <v>115</v>
      </c>
      <c r="Q71" s="189">
        <v>160</v>
      </c>
      <c r="R71" s="189">
        <v>97</v>
      </c>
      <c r="S71" s="178">
        <f t="shared" si="7"/>
        <v>372</v>
      </c>
    </row>
    <row r="72" spans="2:19" x14ac:dyDescent="0.15">
      <c r="B72" s="15"/>
      <c r="C72" s="225"/>
      <c r="D72" s="202"/>
      <c r="E72" s="10"/>
      <c r="F72" s="164" t="s">
        <v>78</v>
      </c>
      <c r="G72" s="169" t="s">
        <v>72</v>
      </c>
      <c r="H72" s="228"/>
      <c r="I72" s="178"/>
      <c r="J72" s="178"/>
      <c r="K72" s="178"/>
      <c r="L72" s="178"/>
      <c r="M72" s="178"/>
      <c r="N72" s="178"/>
      <c r="O72" s="178"/>
      <c r="P72" s="189">
        <v>220</v>
      </c>
      <c r="Q72" s="189">
        <v>372</v>
      </c>
      <c r="R72" s="189">
        <v>254</v>
      </c>
      <c r="S72" s="178">
        <f t="shared" si="7"/>
        <v>846</v>
      </c>
    </row>
    <row r="73" spans="2:19" x14ac:dyDescent="0.15">
      <c r="B73" s="15"/>
      <c r="C73" s="225"/>
      <c r="D73" s="202"/>
      <c r="E73" s="10"/>
      <c r="F73" s="164" t="s">
        <v>79</v>
      </c>
      <c r="G73" s="169" t="s">
        <v>73</v>
      </c>
      <c r="H73" s="228"/>
      <c r="I73" s="178"/>
      <c r="J73" s="178"/>
      <c r="K73" s="178"/>
      <c r="L73" s="178"/>
      <c r="M73" s="178"/>
      <c r="N73" s="178"/>
      <c r="O73" s="178"/>
      <c r="P73" s="189">
        <v>215</v>
      </c>
      <c r="Q73" s="189">
        <v>260</v>
      </c>
      <c r="R73" s="189">
        <v>175</v>
      </c>
      <c r="S73" s="178">
        <f t="shared" si="7"/>
        <v>650</v>
      </c>
    </row>
    <row r="74" spans="2:19" x14ac:dyDescent="0.15">
      <c r="B74" s="15"/>
      <c r="C74" s="225"/>
      <c r="D74" s="202"/>
      <c r="E74" s="10"/>
      <c r="F74" s="164" t="s">
        <v>80</v>
      </c>
      <c r="G74" s="169" t="s">
        <v>74</v>
      </c>
      <c r="H74" s="228"/>
      <c r="I74" s="178"/>
      <c r="J74" s="178"/>
      <c r="K74" s="178"/>
      <c r="L74" s="178"/>
      <c r="M74" s="178"/>
      <c r="N74" s="178"/>
      <c r="O74" s="178"/>
      <c r="P74" s="189">
        <v>140</v>
      </c>
      <c r="Q74" s="189">
        <v>257</v>
      </c>
      <c r="R74" s="189">
        <v>162</v>
      </c>
      <c r="S74" s="178">
        <f t="shared" si="7"/>
        <v>559</v>
      </c>
    </row>
    <row r="75" spans="2:19" x14ac:dyDescent="0.15">
      <c r="B75" s="15"/>
      <c r="C75" s="225"/>
      <c r="D75" s="202"/>
      <c r="E75" s="10"/>
      <c r="F75" s="165" t="s">
        <v>81</v>
      </c>
      <c r="G75" s="169" t="s">
        <v>75</v>
      </c>
      <c r="H75" s="228"/>
      <c r="I75" s="178"/>
      <c r="J75" s="178"/>
      <c r="K75" s="178"/>
      <c r="L75" s="178"/>
      <c r="M75" s="178"/>
      <c r="N75" s="178"/>
      <c r="O75" s="178"/>
      <c r="P75" s="178"/>
      <c r="Q75" s="178"/>
      <c r="R75" s="178"/>
      <c r="S75" s="178">
        <f t="shared" si="7"/>
        <v>0</v>
      </c>
    </row>
    <row r="76" spans="2:19" x14ac:dyDescent="0.15">
      <c r="B76" s="15"/>
      <c r="C76" s="225"/>
      <c r="D76" s="202" t="s">
        <v>64</v>
      </c>
      <c r="E76" s="10"/>
      <c r="F76" s="163" t="s">
        <v>76</v>
      </c>
      <c r="G76" s="167" t="s">
        <v>70</v>
      </c>
      <c r="H76" s="228"/>
      <c r="I76" s="177"/>
      <c r="J76" s="177"/>
      <c r="K76" s="189">
        <v>33</v>
      </c>
      <c r="L76" s="189">
        <v>51</v>
      </c>
      <c r="M76" s="189">
        <v>86</v>
      </c>
      <c r="N76" s="189">
        <v>51</v>
      </c>
      <c r="O76" s="178"/>
      <c r="P76" s="178"/>
      <c r="Q76" s="178"/>
      <c r="R76" s="178"/>
      <c r="S76" s="178">
        <f t="shared" si="7"/>
        <v>221</v>
      </c>
    </row>
    <row r="77" spans="2:19" x14ac:dyDescent="0.15">
      <c r="B77" s="15"/>
      <c r="C77" s="225"/>
      <c r="D77" s="202"/>
      <c r="E77" s="10"/>
      <c r="F77" s="164" t="s">
        <v>77</v>
      </c>
      <c r="G77" s="169" t="s">
        <v>71</v>
      </c>
      <c r="H77" s="228"/>
      <c r="I77" s="178"/>
      <c r="J77" s="178"/>
      <c r="K77" s="189">
        <v>39</v>
      </c>
      <c r="L77" s="189">
        <v>44</v>
      </c>
      <c r="M77" s="189">
        <v>56</v>
      </c>
      <c r="N77" s="189">
        <v>25</v>
      </c>
      <c r="O77" s="178"/>
      <c r="P77" s="178"/>
      <c r="Q77" s="178"/>
      <c r="R77" s="178"/>
      <c r="S77" s="178">
        <f t="shared" si="7"/>
        <v>164</v>
      </c>
    </row>
    <row r="78" spans="2:19" x14ac:dyDescent="0.15">
      <c r="B78" s="15"/>
      <c r="C78" s="225"/>
      <c r="D78" s="202"/>
      <c r="E78" s="10"/>
      <c r="F78" s="164" t="s">
        <v>78</v>
      </c>
      <c r="G78" s="169" t="s">
        <v>72</v>
      </c>
      <c r="H78" s="228"/>
      <c r="I78" s="178"/>
      <c r="J78" s="178"/>
      <c r="K78" s="189">
        <v>79</v>
      </c>
      <c r="L78" s="189">
        <v>112</v>
      </c>
      <c r="M78" s="189">
        <v>163</v>
      </c>
      <c r="N78" s="189">
        <v>112</v>
      </c>
      <c r="O78" s="178"/>
      <c r="P78" s="178"/>
      <c r="Q78" s="178"/>
      <c r="R78" s="178"/>
      <c r="S78" s="178">
        <f t="shared" si="7"/>
        <v>466</v>
      </c>
    </row>
    <row r="79" spans="2:19" x14ac:dyDescent="0.15">
      <c r="B79" s="15"/>
      <c r="C79" s="225"/>
      <c r="D79" s="202"/>
      <c r="E79" s="10"/>
      <c r="F79" s="164" t="s">
        <v>79</v>
      </c>
      <c r="G79" s="169" t="s">
        <v>73</v>
      </c>
      <c r="H79" s="228"/>
      <c r="I79" s="178"/>
      <c r="J79" s="178"/>
      <c r="K79" s="189">
        <v>55</v>
      </c>
      <c r="L79" s="189">
        <v>75</v>
      </c>
      <c r="M79" s="189">
        <v>130</v>
      </c>
      <c r="N79" s="189">
        <v>65</v>
      </c>
      <c r="O79" s="178"/>
      <c r="P79" s="178"/>
      <c r="Q79" s="178"/>
      <c r="R79" s="178"/>
      <c r="S79" s="178">
        <f t="shared" si="7"/>
        <v>325</v>
      </c>
    </row>
    <row r="80" spans="2:19" x14ac:dyDescent="0.15">
      <c r="B80" s="15"/>
      <c r="C80" s="225"/>
      <c r="D80" s="202"/>
      <c r="E80" s="10"/>
      <c r="F80" s="164" t="s">
        <v>80</v>
      </c>
      <c r="G80" s="169" t="s">
        <v>74</v>
      </c>
      <c r="H80" s="228"/>
      <c r="I80" s="178"/>
      <c r="J80" s="178"/>
      <c r="K80" s="189">
        <v>46</v>
      </c>
      <c r="L80" s="189">
        <v>71</v>
      </c>
      <c r="M80" s="189">
        <v>120</v>
      </c>
      <c r="N80" s="189">
        <v>71</v>
      </c>
      <c r="O80" s="178"/>
      <c r="P80" s="178"/>
      <c r="Q80" s="178"/>
      <c r="R80" s="178"/>
      <c r="S80" s="178">
        <f t="shared" si="7"/>
        <v>308</v>
      </c>
    </row>
    <row r="81" spans="2:25" x14ac:dyDescent="0.15">
      <c r="B81" s="15"/>
      <c r="C81" s="226"/>
      <c r="D81" s="202"/>
      <c r="E81" s="10"/>
      <c r="F81" s="165" t="s">
        <v>81</v>
      </c>
      <c r="G81" s="169" t="s">
        <v>75</v>
      </c>
      <c r="H81" s="229"/>
      <c r="I81" s="178"/>
      <c r="J81" s="178"/>
      <c r="K81" s="178"/>
      <c r="L81" s="178"/>
      <c r="M81" s="178"/>
      <c r="N81" s="178"/>
      <c r="O81" s="178"/>
      <c r="P81" s="178"/>
      <c r="Q81" s="178"/>
      <c r="R81" s="178"/>
      <c r="S81" s="178">
        <f t="shared" si="7"/>
        <v>0</v>
      </c>
    </row>
    <row r="82" spans="2:25" s="11" customFormat="1" x14ac:dyDescent="0.15">
      <c r="B82" s="15"/>
      <c r="C82" s="8"/>
      <c r="D82" s="8"/>
      <c r="E82" s="9"/>
      <c r="F82" s="179"/>
      <c r="G82" s="179"/>
      <c r="H82" s="182"/>
      <c r="I82" s="178"/>
      <c r="J82" s="178"/>
      <c r="K82" s="178"/>
      <c r="L82" s="178"/>
      <c r="M82" s="178"/>
      <c r="N82" s="178"/>
      <c r="O82" s="178"/>
      <c r="P82" s="178"/>
      <c r="Q82" s="178"/>
      <c r="R82" s="178"/>
      <c r="S82" s="178"/>
      <c r="T82" s="2"/>
      <c r="U82" s="2"/>
      <c r="Y82" s="2"/>
    </row>
    <row r="83" spans="2:25" x14ac:dyDescent="0.15">
      <c r="B83" s="17"/>
      <c r="C83" s="13"/>
      <c r="D83" s="13"/>
      <c r="E83" s="12"/>
      <c r="F83" s="174"/>
      <c r="G83" s="174"/>
      <c r="H83" s="182"/>
      <c r="I83" s="176">
        <f t="shared" ref="I83:R83" si="8">SUM(I64:I82)</f>
        <v>143</v>
      </c>
      <c r="J83" s="176">
        <f t="shared" si="8"/>
        <v>589</v>
      </c>
      <c r="K83" s="176">
        <f t="shared" si="8"/>
        <v>1384</v>
      </c>
      <c r="L83" s="176">
        <f t="shared" si="8"/>
        <v>2024</v>
      </c>
      <c r="M83" s="176">
        <f t="shared" si="8"/>
        <v>3443</v>
      </c>
      <c r="N83" s="176">
        <f t="shared" si="8"/>
        <v>2642</v>
      </c>
      <c r="O83" s="176">
        <f t="shared" si="8"/>
        <v>725</v>
      </c>
      <c r="P83" s="176">
        <f t="shared" si="8"/>
        <v>790</v>
      </c>
      <c r="Q83" s="176">
        <f t="shared" si="8"/>
        <v>1233</v>
      </c>
      <c r="R83" s="176">
        <f t="shared" si="8"/>
        <v>804</v>
      </c>
      <c r="S83" s="176"/>
    </row>
    <row r="84" spans="2:25" x14ac:dyDescent="0.15">
      <c r="B84" s="15"/>
      <c r="C84" s="224">
        <v>4500458558</v>
      </c>
      <c r="D84" s="202" t="s">
        <v>62</v>
      </c>
      <c r="E84" s="10"/>
      <c r="F84" s="163" t="s">
        <v>76</v>
      </c>
      <c r="G84" s="167" t="s">
        <v>70</v>
      </c>
      <c r="H84" s="235">
        <v>44215</v>
      </c>
      <c r="I84" s="189">
        <v>10</v>
      </c>
      <c r="J84" s="189">
        <v>15</v>
      </c>
      <c r="K84" s="189">
        <v>45</v>
      </c>
      <c r="L84" s="189">
        <v>78</v>
      </c>
      <c r="M84" s="189">
        <v>150</v>
      </c>
      <c r="N84" s="189">
        <v>130</v>
      </c>
      <c r="O84" s="189">
        <v>38</v>
      </c>
      <c r="P84" s="178"/>
      <c r="Q84" s="178"/>
      <c r="R84" s="178"/>
      <c r="S84" s="178">
        <f>SUM(I84:R84)</f>
        <v>466</v>
      </c>
    </row>
    <row r="85" spans="2:25" x14ac:dyDescent="0.15">
      <c r="B85" s="15"/>
      <c r="C85" s="225"/>
      <c r="D85" s="202"/>
      <c r="E85" s="10"/>
      <c r="F85" s="164" t="s">
        <v>77</v>
      </c>
      <c r="G85" s="169" t="s">
        <v>71</v>
      </c>
      <c r="H85" s="235"/>
      <c r="I85" s="189">
        <v>10</v>
      </c>
      <c r="J85" s="189">
        <v>27</v>
      </c>
      <c r="K85" s="189">
        <v>44</v>
      </c>
      <c r="L85" s="189">
        <v>64</v>
      </c>
      <c r="M85" s="189">
        <v>92</v>
      </c>
      <c r="N85" s="189">
        <v>61</v>
      </c>
      <c r="O85" s="189">
        <v>19</v>
      </c>
      <c r="P85" s="178"/>
      <c r="Q85" s="178"/>
      <c r="R85" s="178"/>
      <c r="S85" s="178">
        <f t="shared" ref="S85:S101" si="9">SUM(I85:R85)</f>
        <v>317</v>
      </c>
    </row>
    <row r="86" spans="2:25" x14ac:dyDescent="0.15">
      <c r="B86" s="15"/>
      <c r="C86" s="225"/>
      <c r="D86" s="202"/>
      <c r="E86" s="10"/>
      <c r="F86" s="164" t="s">
        <v>78</v>
      </c>
      <c r="G86" s="169" t="s">
        <v>72</v>
      </c>
      <c r="H86" s="235"/>
      <c r="I86" s="189">
        <v>16</v>
      </c>
      <c r="J86" s="189">
        <v>63</v>
      </c>
      <c r="K86" s="189">
        <v>112</v>
      </c>
      <c r="L86" s="189">
        <v>170</v>
      </c>
      <c r="M86" s="189">
        <v>283</v>
      </c>
      <c r="N86" s="189">
        <v>242</v>
      </c>
      <c r="O86" s="189">
        <v>86</v>
      </c>
      <c r="P86" s="178"/>
      <c r="Q86" s="178"/>
      <c r="R86" s="178"/>
      <c r="S86" s="178">
        <f t="shared" si="9"/>
        <v>972</v>
      </c>
    </row>
    <row r="87" spans="2:25" x14ac:dyDescent="0.15">
      <c r="B87" s="15"/>
      <c r="C87" s="225"/>
      <c r="D87" s="202"/>
      <c r="E87" s="10"/>
      <c r="F87" s="164" t="s">
        <v>79</v>
      </c>
      <c r="G87" s="169" t="s">
        <v>73</v>
      </c>
      <c r="H87" s="235"/>
      <c r="I87" s="189">
        <v>15</v>
      </c>
      <c r="J87" s="189">
        <v>68</v>
      </c>
      <c r="K87" s="189">
        <v>115</v>
      </c>
      <c r="L87" s="189">
        <v>135</v>
      </c>
      <c r="M87" s="189">
        <v>227</v>
      </c>
      <c r="N87" s="189">
        <v>156</v>
      </c>
      <c r="O87" s="189">
        <v>45</v>
      </c>
      <c r="P87" s="178"/>
      <c r="Q87" s="178"/>
      <c r="R87" s="178"/>
      <c r="S87" s="178">
        <f t="shared" si="9"/>
        <v>761</v>
      </c>
    </row>
    <row r="88" spans="2:25" x14ac:dyDescent="0.15">
      <c r="B88" s="15"/>
      <c r="C88" s="225"/>
      <c r="D88" s="202"/>
      <c r="E88" s="10"/>
      <c r="F88" s="164" t="s">
        <v>80</v>
      </c>
      <c r="G88" s="169" t="s">
        <v>74</v>
      </c>
      <c r="H88" s="235"/>
      <c r="I88" s="189">
        <v>10</v>
      </c>
      <c r="J88" s="189">
        <v>21</v>
      </c>
      <c r="K88" s="189">
        <v>63</v>
      </c>
      <c r="L88" s="189">
        <v>109</v>
      </c>
      <c r="M88" s="189">
        <v>209</v>
      </c>
      <c r="N88" s="189">
        <v>181</v>
      </c>
      <c r="O88" s="189">
        <v>53</v>
      </c>
      <c r="P88" s="178"/>
      <c r="Q88" s="178"/>
      <c r="R88" s="178"/>
      <c r="S88" s="178">
        <f t="shared" si="9"/>
        <v>646</v>
      </c>
    </row>
    <row r="89" spans="2:25" x14ac:dyDescent="0.15">
      <c r="B89" s="15"/>
      <c r="C89" s="225"/>
      <c r="D89" s="202"/>
      <c r="E89" s="10"/>
      <c r="F89" s="165" t="s">
        <v>81</v>
      </c>
      <c r="G89" s="169" t="s">
        <v>75</v>
      </c>
      <c r="H89" s="235"/>
      <c r="I89" s="178"/>
      <c r="J89" s="178"/>
      <c r="K89" s="178"/>
      <c r="L89" s="178"/>
      <c r="M89" s="178"/>
      <c r="N89" s="178"/>
      <c r="O89" s="178"/>
      <c r="P89" s="178"/>
      <c r="Q89" s="178"/>
      <c r="R89" s="178"/>
      <c r="S89" s="178">
        <f t="shared" si="9"/>
        <v>0</v>
      </c>
    </row>
    <row r="90" spans="2:25" x14ac:dyDescent="0.15">
      <c r="B90" s="15"/>
      <c r="C90" s="225"/>
      <c r="D90" s="202" t="s">
        <v>63</v>
      </c>
      <c r="E90" s="10"/>
      <c r="F90" s="163" t="s">
        <v>76</v>
      </c>
      <c r="G90" s="167" t="s">
        <v>70</v>
      </c>
      <c r="H90" s="235"/>
      <c r="I90" s="177"/>
      <c r="J90" s="177"/>
      <c r="K90" s="177"/>
      <c r="L90" s="177"/>
      <c r="M90" s="177"/>
      <c r="N90" s="178"/>
      <c r="O90" s="178"/>
      <c r="P90" s="189">
        <v>33</v>
      </c>
      <c r="Q90" s="189">
        <v>62</v>
      </c>
      <c r="R90" s="189">
        <v>39</v>
      </c>
      <c r="S90" s="178">
        <f>SUM(I90:R90)</f>
        <v>134</v>
      </c>
    </row>
    <row r="91" spans="2:25" x14ac:dyDescent="0.15">
      <c r="B91" s="15"/>
      <c r="C91" s="225"/>
      <c r="D91" s="202"/>
      <c r="E91" s="10"/>
      <c r="F91" s="164" t="s">
        <v>77</v>
      </c>
      <c r="G91" s="169" t="s">
        <v>71</v>
      </c>
      <c r="H91" s="235"/>
      <c r="I91" s="178"/>
      <c r="J91" s="178"/>
      <c r="K91" s="178"/>
      <c r="L91" s="178"/>
      <c r="M91" s="178"/>
      <c r="N91" s="178"/>
      <c r="O91" s="178"/>
      <c r="P91" s="189">
        <v>38</v>
      </c>
      <c r="Q91" s="189">
        <v>53</v>
      </c>
      <c r="R91" s="189">
        <v>32</v>
      </c>
      <c r="S91" s="178">
        <f t="shared" si="9"/>
        <v>123</v>
      </c>
    </row>
    <row r="92" spans="2:25" x14ac:dyDescent="0.15">
      <c r="B92" s="15"/>
      <c r="C92" s="225"/>
      <c r="D92" s="202"/>
      <c r="E92" s="10"/>
      <c r="F92" s="164" t="s">
        <v>78</v>
      </c>
      <c r="G92" s="169" t="s">
        <v>72</v>
      </c>
      <c r="H92" s="235"/>
      <c r="I92" s="178"/>
      <c r="J92" s="178"/>
      <c r="K92" s="178"/>
      <c r="L92" s="178"/>
      <c r="M92" s="178"/>
      <c r="N92" s="178"/>
      <c r="O92" s="178"/>
      <c r="P92" s="189">
        <v>73</v>
      </c>
      <c r="Q92" s="189">
        <v>124</v>
      </c>
      <c r="R92" s="189">
        <v>85</v>
      </c>
      <c r="S92" s="178">
        <f t="shared" si="9"/>
        <v>282</v>
      </c>
    </row>
    <row r="93" spans="2:25" x14ac:dyDescent="0.15">
      <c r="B93" s="15"/>
      <c r="C93" s="225"/>
      <c r="D93" s="202"/>
      <c r="E93" s="10"/>
      <c r="F93" s="164" t="s">
        <v>79</v>
      </c>
      <c r="G93" s="169" t="s">
        <v>73</v>
      </c>
      <c r="H93" s="235"/>
      <c r="I93" s="178"/>
      <c r="J93" s="178"/>
      <c r="K93" s="178"/>
      <c r="L93" s="178"/>
      <c r="M93" s="178"/>
      <c r="N93" s="178"/>
      <c r="O93" s="178"/>
      <c r="P93" s="189">
        <v>72</v>
      </c>
      <c r="Q93" s="189">
        <v>86</v>
      </c>
      <c r="R93" s="189">
        <v>59</v>
      </c>
      <c r="S93" s="178">
        <f t="shared" si="9"/>
        <v>217</v>
      </c>
    </row>
    <row r="94" spans="2:25" x14ac:dyDescent="0.15">
      <c r="B94" s="15"/>
      <c r="C94" s="225"/>
      <c r="D94" s="202"/>
      <c r="E94" s="10"/>
      <c r="F94" s="164" t="s">
        <v>80</v>
      </c>
      <c r="G94" s="169" t="s">
        <v>74</v>
      </c>
      <c r="H94" s="235"/>
      <c r="I94" s="178"/>
      <c r="J94" s="178"/>
      <c r="K94" s="178"/>
      <c r="L94" s="178"/>
      <c r="M94" s="178"/>
      <c r="N94" s="178"/>
      <c r="O94" s="178"/>
      <c r="P94" s="189">
        <v>47</v>
      </c>
      <c r="Q94" s="189">
        <v>86</v>
      </c>
      <c r="R94" s="189">
        <v>54</v>
      </c>
      <c r="S94" s="178">
        <f t="shared" si="9"/>
        <v>187</v>
      </c>
    </row>
    <row r="95" spans="2:25" x14ac:dyDescent="0.15">
      <c r="B95" s="15"/>
      <c r="C95" s="225"/>
      <c r="D95" s="202"/>
      <c r="E95" s="10"/>
      <c r="F95" s="165" t="s">
        <v>81</v>
      </c>
      <c r="G95" s="169" t="s">
        <v>75</v>
      </c>
      <c r="H95" s="235"/>
      <c r="I95" s="178"/>
      <c r="J95" s="178"/>
      <c r="K95" s="178"/>
      <c r="L95" s="178"/>
      <c r="M95" s="178"/>
      <c r="N95" s="178"/>
      <c r="O95" s="178"/>
      <c r="P95" s="178"/>
      <c r="Q95" s="178"/>
      <c r="R95" s="178"/>
      <c r="S95" s="178">
        <f t="shared" si="9"/>
        <v>0</v>
      </c>
    </row>
    <row r="96" spans="2:25" x14ac:dyDescent="0.15">
      <c r="B96" s="15"/>
      <c r="C96" s="225"/>
      <c r="D96" s="202" t="s">
        <v>64</v>
      </c>
      <c r="E96" s="10"/>
      <c r="F96" s="163" t="s">
        <v>76</v>
      </c>
      <c r="G96" s="167" t="s">
        <v>70</v>
      </c>
      <c r="H96" s="235"/>
      <c r="I96" s="177"/>
      <c r="J96" s="177"/>
      <c r="K96" s="189">
        <v>11</v>
      </c>
      <c r="L96" s="189">
        <v>17</v>
      </c>
      <c r="M96" s="189">
        <v>29</v>
      </c>
      <c r="N96" s="189">
        <v>17</v>
      </c>
      <c r="O96" s="178"/>
      <c r="P96" s="186"/>
      <c r="Q96" s="186"/>
      <c r="R96" s="186"/>
      <c r="S96" s="178">
        <f t="shared" si="9"/>
        <v>74</v>
      </c>
    </row>
    <row r="97" spans="2:25" x14ac:dyDescent="0.15">
      <c r="B97" s="15"/>
      <c r="C97" s="225"/>
      <c r="D97" s="202"/>
      <c r="E97" s="10"/>
      <c r="F97" s="164" t="s">
        <v>77</v>
      </c>
      <c r="G97" s="169" t="s">
        <v>71</v>
      </c>
      <c r="H97" s="235"/>
      <c r="I97" s="178"/>
      <c r="J97" s="178"/>
      <c r="K97" s="189">
        <v>13</v>
      </c>
      <c r="L97" s="189">
        <v>15</v>
      </c>
      <c r="M97" s="189">
        <v>19</v>
      </c>
      <c r="N97" s="189">
        <v>10</v>
      </c>
      <c r="O97" s="178"/>
      <c r="P97" s="178"/>
      <c r="Q97" s="178"/>
      <c r="R97" s="178"/>
      <c r="S97" s="178">
        <f t="shared" si="9"/>
        <v>57</v>
      </c>
    </row>
    <row r="98" spans="2:25" x14ac:dyDescent="0.15">
      <c r="B98" s="15"/>
      <c r="C98" s="225"/>
      <c r="D98" s="202"/>
      <c r="E98" s="10"/>
      <c r="F98" s="164" t="s">
        <v>78</v>
      </c>
      <c r="G98" s="169" t="s">
        <v>72</v>
      </c>
      <c r="H98" s="235"/>
      <c r="I98" s="178"/>
      <c r="J98" s="178"/>
      <c r="K98" s="189">
        <v>26</v>
      </c>
      <c r="L98" s="189">
        <v>37</v>
      </c>
      <c r="M98" s="189">
        <v>54</v>
      </c>
      <c r="N98" s="189">
        <v>37</v>
      </c>
      <c r="O98" s="178"/>
      <c r="P98" s="178"/>
      <c r="Q98" s="178"/>
      <c r="R98" s="178"/>
      <c r="S98" s="178">
        <f t="shared" si="9"/>
        <v>154</v>
      </c>
    </row>
    <row r="99" spans="2:25" x14ac:dyDescent="0.15">
      <c r="B99" s="15"/>
      <c r="C99" s="225"/>
      <c r="D99" s="202"/>
      <c r="E99" s="10"/>
      <c r="F99" s="164" t="s">
        <v>79</v>
      </c>
      <c r="G99" s="169" t="s">
        <v>73</v>
      </c>
      <c r="H99" s="235"/>
      <c r="I99" s="178"/>
      <c r="J99" s="178"/>
      <c r="K99" s="189">
        <v>18</v>
      </c>
      <c r="L99" s="189">
        <v>25</v>
      </c>
      <c r="M99" s="189">
        <v>44</v>
      </c>
      <c r="N99" s="189">
        <v>22</v>
      </c>
      <c r="O99" s="178"/>
      <c r="P99" s="178"/>
      <c r="Q99" s="178"/>
      <c r="R99" s="178"/>
      <c r="S99" s="178">
        <f t="shared" si="9"/>
        <v>109</v>
      </c>
    </row>
    <row r="100" spans="2:25" x14ac:dyDescent="0.15">
      <c r="B100" s="15"/>
      <c r="C100" s="225"/>
      <c r="D100" s="202"/>
      <c r="E100" s="10"/>
      <c r="F100" s="164" t="s">
        <v>80</v>
      </c>
      <c r="G100" s="169" t="s">
        <v>74</v>
      </c>
      <c r="H100" s="235"/>
      <c r="I100" s="178"/>
      <c r="J100" s="178"/>
      <c r="K100" s="189">
        <v>15</v>
      </c>
      <c r="L100" s="189">
        <v>23</v>
      </c>
      <c r="M100" s="189">
        <v>40</v>
      </c>
      <c r="N100" s="189">
        <v>23</v>
      </c>
      <c r="O100" s="178"/>
      <c r="P100" s="178"/>
      <c r="Q100" s="178"/>
      <c r="R100" s="178"/>
      <c r="S100" s="178">
        <f t="shared" si="9"/>
        <v>101</v>
      </c>
    </row>
    <row r="101" spans="2:25" x14ac:dyDescent="0.15">
      <c r="B101" s="15"/>
      <c r="C101" s="226"/>
      <c r="D101" s="202"/>
      <c r="E101" s="10"/>
      <c r="F101" s="165" t="s">
        <v>81</v>
      </c>
      <c r="G101" s="169" t="s">
        <v>75</v>
      </c>
      <c r="H101" s="235"/>
      <c r="I101" s="178"/>
      <c r="J101" s="178"/>
      <c r="K101" s="178"/>
      <c r="L101" s="178"/>
      <c r="M101" s="178"/>
      <c r="N101" s="178"/>
      <c r="O101" s="178"/>
      <c r="P101" s="178"/>
      <c r="Q101" s="178"/>
      <c r="R101" s="178"/>
      <c r="S101" s="178">
        <f t="shared" si="9"/>
        <v>0</v>
      </c>
    </row>
    <row r="102" spans="2:25" s="11" customFormat="1" x14ac:dyDescent="0.15">
      <c r="B102" s="15"/>
      <c r="C102" s="8"/>
      <c r="D102" s="8"/>
      <c r="E102" s="9"/>
      <c r="F102" s="179"/>
      <c r="G102" s="179"/>
      <c r="H102" s="182"/>
      <c r="I102" s="178"/>
      <c r="J102" s="178"/>
      <c r="K102" s="178"/>
      <c r="L102" s="178"/>
      <c r="M102" s="178"/>
      <c r="N102" s="178"/>
      <c r="O102" s="178"/>
      <c r="P102" s="178"/>
      <c r="Q102" s="178"/>
      <c r="R102" s="178"/>
      <c r="S102" s="178"/>
      <c r="T102" s="2"/>
      <c r="U102" s="2"/>
      <c r="Y102" s="2"/>
    </row>
    <row r="103" spans="2:25" x14ac:dyDescent="0.15">
      <c r="B103" s="17"/>
      <c r="C103" s="13"/>
      <c r="D103" s="13"/>
      <c r="E103" s="12"/>
      <c r="F103" s="174"/>
      <c r="G103" s="174"/>
      <c r="H103" s="182"/>
      <c r="I103" s="176">
        <f t="shared" ref="I103:R103" si="10">SUM(I84:I101)</f>
        <v>61</v>
      </c>
      <c r="J103" s="176">
        <f t="shared" si="10"/>
        <v>194</v>
      </c>
      <c r="K103" s="176">
        <f t="shared" si="10"/>
        <v>462</v>
      </c>
      <c r="L103" s="176">
        <f t="shared" si="10"/>
        <v>673</v>
      </c>
      <c r="M103" s="176">
        <f t="shared" si="10"/>
        <v>1147</v>
      </c>
      <c r="N103" s="176">
        <f t="shared" si="10"/>
        <v>879</v>
      </c>
      <c r="O103" s="176">
        <f t="shared" si="10"/>
        <v>241</v>
      </c>
      <c r="P103" s="176">
        <f t="shared" si="10"/>
        <v>263</v>
      </c>
      <c r="Q103" s="176">
        <f t="shared" si="10"/>
        <v>411</v>
      </c>
      <c r="R103" s="176">
        <f t="shared" si="10"/>
        <v>269</v>
      </c>
      <c r="S103" s="176"/>
    </row>
    <row r="104" spans="2:25" x14ac:dyDescent="0.15">
      <c r="B104" s="15"/>
      <c r="C104" s="224" t="s">
        <v>87</v>
      </c>
      <c r="D104" s="202" t="s">
        <v>62</v>
      </c>
      <c r="E104" s="10"/>
      <c r="F104" s="163" t="s">
        <v>76</v>
      </c>
      <c r="G104" s="167" t="s">
        <v>70</v>
      </c>
      <c r="H104" s="235">
        <v>44556</v>
      </c>
      <c r="I104" s="177"/>
      <c r="J104" s="177"/>
      <c r="K104" s="177"/>
      <c r="L104" s="177"/>
      <c r="M104" s="177"/>
      <c r="N104" s="178"/>
      <c r="O104" s="178"/>
      <c r="P104" s="178"/>
      <c r="Q104" s="178"/>
      <c r="R104" s="178"/>
      <c r="S104" s="178">
        <f>SUM(I104:R104)</f>
        <v>0</v>
      </c>
    </row>
    <row r="105" spans="2:25" x14ac:dyDescent="0.15">
      <c r="B105" s="15"/>
      <c r="C105" s="225"/>
      <c r="D105" s="202"/>
      <c r="E105" s="10"/>
      <c r="F105" s="164" t="s">
        <v>77</v>
      </c>
      <c r="G105" s="169" t="s">
        <v>71</v>
      </c>
      <c r="H105" s="235"/>
      <c r="I105" s="189">
        <v>10</v>
      </c>
      <c r="J105" s="189">
        <v>13</v>
      </c>
      <c r="K105" s="189">
        <v>15</v>
      </c>
      <c r="L105" s="189">
        <v>55</v>
      </c>
      <c r="M105" s="189">
        <v>142</v>
      </c>
      <c r="N105" s="189">
        <v>143</v>
      </c>
      <c r="O105" s="178"/>
      <c r="P105" s="178"/>
      <c r="Q105" s="178"/>
      <c r="R105" s="178"/>
      <c r="S105" s="178">
        <f t="shared" ref="S105:S121" si="11">SUM(I105:R105)</f>
        <v>378</v>
      </c>
    </row>
    <row r="106" spans="2:25" x14ac:dyDescent="0.15">
      <c r="B106" s="15"/>
      <c r="C106" s="225"/>
      <c r="D106" s="202"/>
      <c r="E106" s="10"/>
      <c r="F106" s="164" t="s">
        <v>78</v>
      </c>
      <c r="G106" s="169" t="s">
        <v>72</v>
      </c>
      <c r="H106" s="235"/>
      <c r="I106" s="178"/>
      <c r="J106" s="178"/>
      <c r="K106" s="178"/>
      <c r="L106" s="178"/>
      <c r="M106" s="178"/>
      <c r="N106" s="178"/>
      <c r="O106" s="178"/>
      <c r="P106" s="178"/>
      <c r="Q106" s="178"/>
      <c r="R106" s="178"/>
      <c r="S106" s="178">
        <f t="shared" si="11"/>
        <v>0</v>
      </c>
    </row>
    <row r="107" spans="2:25" x14ac:dyDescent="0.15">
      <c r="B107" s="15"/>
      <c r="C107" s="225"/>
      <c r="D107" s="202"/>
      <c r="E107" s="10"/>
      <c r="F107" s="164" t="s">
        <v>79</v>
      </c>
      <c r="G107" s="169" t="s">
        <v>73</v>
      </c>
      <c r="H107" s="235"/>
      <c r="I107" s="189">
        <v>10</v>
      </c>
      <c r="J107" s="189">
        <v>10</v>
      </c>
      <c r="K107" s="189">
        <v>10</v>
      </c>
      <c r="L107" s="189">
        <v>37</v>
      </c>
      <c r="M107" s="189">
        <v>95</v>
      </c>
      <c r="N107" s="189">
        <v>95</v>
      </c>
      <c r="O107" s="178"/>
      <c r="P107" s="178"/>
      <c r="Q107" s="178"/>
      <c r="R107" s="178"/>
      <c r="S107" s="178">
        <f t="shared" si="11"/>
        <v>257</v>
      </c>
    </row>
    <row r="108" spans="2:25" x14ac:dyDescent="0.15">
      <c r="B108" s="15"/>
      <c r="C108" s="225"/>
      <c r="D108" s="202"/>
      <c r="E108" s="10"/>
      <c r="F108" s="164" t="s">
        <v>80</v>
      </c>
      <c r="G108" s="169" t="s">
        <v>74</v>
      </c>
      <c r="H108" s="235"/>
      <c r="I108" s="189">
        <v>11</v>
      </c>
      <c r="J108" s="189">
        <v>22</v>
      </c>
      <c r="K108" s="189">
        <v>25</v>
      </c>
      <c r="L108" s="189">
        <v>91</v>
      </c>
      <c r="M108" s="189">
        <v>237</v>
      </c>
      <c r="N108" s="189">
        <v>238</v>
      </c>
      <c r="O108" s="178"/>
      <c r="P108" s="178"/>
      <c r="Q108" s="178"/>
      <c r="R108" s="178"/>
      <c r="S108" s="178">
        <f t="shared" si="11"/>
        <v>624</v>
      </c>
    </row>
    <row r="109" spans="2:25" x14ac:dyDescent="0.15">
      <c r="B109" s="15"/>
      <c r="C109" s="225"/>
      <c r="D109" s="202"/>
      <c r="E109" s="10"/>
      <c r="F109" s="165" t="s">
        <v>81</v>
      </c>
      <c r="G109" s="169" t="s">
        <v>75</v>
      </c>
      <c r="H109" s="235"/>
      <c r="I109" s="178"/>
      <c r="J109" s="178"/>
      <c r="K109" s="178"/>
      <c r="L109" s="178"/>
      <c r="M109" s="178"/>
      <c r="N109" s="178"/>
      <c r="O109" s="178"/>
      <c r="P109" s="178"/>
      <c r="Q109" s="178"/>
      <c r="R109" s="178"/>
      <c r="S109" s="178">
        <f t="shared" si="11"/>
        <v>0</v>
      </c>
    </row>
    <row r="110" spans="2:25" x14ac:dyDescent="0.15">
      <c r="B110" s="15"/>
      <c r="C110" s="225"/>
      <c r="D110" s="202" t="s">
        <v>63</v>
      </c>
      <c r="E110" s="10"/>
      <c r="F110" s="163" t="s">
        <v>76</v>
      </c>
      <c r="G110" s="167" t="s">
        <v>70</v>
      </c>
      <c r="H110" s="235"/>
      <c r="I110" s="177"/>
      <c r="J110" s="177"/>
      <c r="K110" s="177"/>
      <c r="L110" s="177"/>
      <c r="M110" s="177"/>
      <c r="N110" s="178"/>
      <c r="O110" s="178"/>
      <c r="P110" s="178"/>
      <c r="Q110" s="178"/>
      <c r="R110" s="178"/>
      <c r="S110" s="178">
        <f t="shared" si="11"/>
        <v>0</v>
      </c>
    </row>
    <row r="111" spans="2:25" x14ac:dyDescent="0.15">
      <c r="B111" s="15"/>
      <c r="C111" s="225"/>
      <c r="D111" s="202"/>
      <c r="E111" s="10"/>
      <c r="F111" s="164" t="s">
        <v>77</v>
      </c>
      <c r="G111" s="169" t="s">
        <v>71</v>
      </c>
      <c r="H111" s="235"/>
      <c r="I111" s="178"/>
      <c r="J111" s="178"/>
      <c r="K111" s="178"/>
      <c r="L111" s="178"/>
      <c r="M111" s="178"/>
      <c r="N111" s="178"/>
      <c r="O111" s="178"/>
      <c r="P111" s="178"/>
      <c r="Q111" s="178"/>
      <c r="R111" s="178"/>
      <c r="S111" s="178">
        <f t="shared" si="11"/>
        <v>0</v>
      </c>
    </row>
    <row r="112" spans="2:25" x14ac:dyDescent="0.15">
      <c r="B112" s="15"/>
      <c r="C112" s="225"/>
      <c r="D112" s="202"/>
      <c r="E112" s="10"/>
      <c r="F112" s="164" t="s">
        <v>78</v>
      </c>
      <c r="G112" s="169" t="s">
        <v>72</v>
      </c>
      <c r="H112" s="235"/>
      <c r="I112" s="178"/>
      <c r="J112" s="178"/>
      <c r="K112" s="178"/>
      <c r="L112" s="178"/>
      <c r="M112" s="178"/>
      <c r="N112" s="178"/>
      <c r="O112" s="178"/>
      <c r="P112" s="178"/>
      <c r="Q112" s="178"/>
      <c r="R112" s="178"/>
      <c r="S112" s="178">
        <f t="shared" si="11"/>
        <v>0</v>
      </c>
    </row>
    <row r="113" spans="2:25" x14ac:dyDescent="0.15">
      <c r="B113" s="15"/>
      <c r="C113" s="225"/>
      <c r="D113" s="202"/>
      <c r="E113" s="10"/>
      <c r="F113" s="164" t="s">
        <v>79</v>
      </c>
      <c r="G113" s="169" t="s">
        <v>73</v>
      </c>
      <c r="H113" s="235"/>
      <c r="I113" s="178"/>
      <c r="J113" s="178"/>
      <c r="K113" s="178"/>
      <c r="L113" s="178"/>
      <c r="M113" s="178"/>
      <c r="N113" s="178"/>
      <c r="O113" s="178"/>
      <c r="P113" s="178"/>
      <c r="Q113" s="178"/>
      <c r="R113" s="178"/>
      <c r="S113" s="178">
        <f t="shared" si="11"/>
        <v>0</v>
      </c>
    </row>
    <row r="114" spans="2:25" x14ac:dyDescent="0.15">
      <c r="B114" s="15"/>
      <c r="C114" s="225"/>
      <c r="D114" s="202"/>
      <c r="E114" s="10"/>
      <c r="F114" s="164" t="s">
        <v>80</v>
      </c>
      <c r="G114" s="169" t="s">
        <v>74</v>
      </c>
      <c r="H114" s="235"/>
      <c r="I114" s="178"/>
      <c r="J114" s="178"/>
      <c r="K114" s="178"/>
      <c r="L114" s="178"/>
      <c r="M114" s="178"/>
      <c r="N114" s="178"/>
      <c r="O114" s="178"/>
      <c r="P114" s="178"/>
      <c r="Q114" s="178"/>
      <c r="R114" s="178"/>
      <c r="S114" s="178">
        <f t="shared" si="11"/>
        <v>0</v>
      </c>
    </row>
    <row r="115" spans="2:25" x14ac:dyDescent="0.15">
      <c r="B115" s="15"/>
      <c r="C115" s="225"/>
      <c r="D115" s="202"/>
      <c r="E115" s="10"/>
      <c r="F115" s="165" t="s">
        <v>81</v>
      </c>
      <c r="G115" s="169" t="s">
        <v>75</v>
      </c>
      <c r="H115" s="235"/>
      <c r="I115" s="178"/>
      <c r="J115" s="178"/>
      <c r="K115" s="178"/>
      <c r="L115" s="178"/>
      <c r="M115" s="178"/>
      <c r="N115" s="178"/>
      <c r="O115" s="178"/>
      <c r="P115" s="178"/>
      <c r="Q115" s="178"/>
      <c r="R115" s="178"/>
      <c r="S115" s="178">
        <f t="shared" si="11"/>
        <v>0</v>
      </c>
    </row>
    <row r="116" spans="2:25" x14ac:dyDescent="0.15">
      <c r="B116" s="15"/>
      <c r="C116" s="225"/>
      <c r="D116" s="202" t="s">
        <v>64</v>
      </c>
      <c r="E116" s="10"/>
      <c r="F116" s="163" t="s">
        <v>76</v>
      </c>
      <c r="G116" s="167" t="s">
        <v>70</v>
      </c>
      <c r="H116" s="235"/>
      <c r="I116" s="177"/>
      <c r="J116" s="177"/>
      <c r="K116" s="177"/>
      <c r="L116" s="177"/>
      <c r="M116" s="177"/>
      <c r="N116" s="178"/>
      <c r="O116" s="178"/>
      <c r="P116" s="178"/>
      <c r="Q116" s="178"/>
      <c r="R116" s="178"/>
      <c r="S116" s="178">
        <f t="shared" si="11"/>
        <v>0</v>
      </c>
    </row>
    <row r="117" spans="2:25" x14ac:dyDescent="0.15">
      <c r="B117" s="15"/>
      <c r="C117" s="225"/>
      <c r="D117" s="202"/>
      <c r="E117" s="10"/>
      <c r="F117" s="164" t="s">
        <v>77</v>
      </c>
      <c r="G117" s="169" t="s">
        <v>71</v>
      </c>
      <c r="H117" s="235"/>
      <c r="I117" s="178"/>
      <c r="J117" s="178"/>
      <c r="K117" s="178"/>
      <c r="L117" s="178"/>
      <c r="M117" s="178"/>
      <c r="N117" s="178"/>
      <c r="O117" s="178"/>
      <c r="P117" s="178"/>
      <c r="Q117" s="178"/>
      <c r="R117" s="178"/>
      <c r="S117" s="178">
        <f t="shared" si="11"/>
        <v>0</v>
      </c>
    </row>
    <row r="118" spans="2:25" x14ac:dyDescent="0.15">
      <c r="B118" s="15"/>
      <c r="C118" s="225"/>
      <c r="D118" s="202"/>
      <c r="E118" s="10"/>
      <c r="F118" s="164" t="s">
        <v>78</v>
      </c>
      <c r="G118" s="169" t="s">
        <v>72</v>
      </c>
      <c r="H118" s="235"/>
      <c r="I118" s="178"/>
      <c r="J118" s="178"/>
      <c r="K118" s="178"/>
      <c r="L118" s="178"/>
      <c r="M118" s="178"/>
      <c r="N118" s="178"/>
      <c r="O118" s="178"/>
      <c r="P118" s="178"/>
      <c r="Q118" s="178"/>
      <c r="R118" s="178"/>
      <c r="S118" s="178">
        <f t="shared" si="11"/>
        <v>0</v>
      </c>
    </row>
    <row r="119" spans="2:25" x14ac:dyDescent="0.15">
      <c r="B119" s="15"/>
      <c r="C119" s="225"/>
      <c r="D119" s="202"/>
      <c r="E119" s="10"/>
      <c r="F119" s="164" t="s">
        <v>79</v>
      </c>
      <c r="G119" s="169" t="s">
        <v>73</v>
      </c>
      <c r="H119" s="235"/>
      <c r="I119" s="178"/>
      <c r="J119" s="178"/>
      <c r="K119" s="178"/>
      <c r="L119" s="178"/>
      <c r="M119" s="178"/>
      <c r="N119" s="178"/>
      <c r="O119" s="178"/>
      <c r="P119" s="178"/>
      <c r="Q119" s="178"/>
      <c r="R119" s="178"/>
      <c r="S119" s="178">
        <f t="shared" si="11"/>
        <v>0</v>
      </c>
    </row>
    <row r="120" spans="2:25" x14ac:dyDescent="0.15">
      <c r="B120" s="15"/>
      <c r="C120" s="225"/>
      <c r="D120" s="202"/>
      <c r="E120" s="10"/>
      <c r="F120" s="164" t="s">
        <v>80</v>
      </c>
      <c r="G120" s="169" t="s">
        <v>74</v>
      </c>
      <c r="H120" s="235"/>
      <c r="I120" s="178"/>
      <c r="J120" s="178"/>
      <c r="K120" s="178"/>
      <c r="L120" s="178"/>
      <c r="M120" s="178"/>
      <c r="N120" s="178"/>
      <c r="O120" s="178"/>
      <c r="P120" s="178"/>
      <c r="Q120" s="178"/>
      <c r="R120" s="178"/>
      <c r="S120" s="178">
        <f t="shared" si="11"/>
        <v>0</v>
      </c>
    </row>
    <row r="121" spans="2:25" x14ac:dyDescent="0.15">
      <c r="B121" s="15"/>
      <c r="C121" s="226"/>
      <c r="D121" s="202"/>
      <c r="E121" s="10"/>
      <c r="F121" s="165" t="s">
        <v>81</v>
      </c>
      <c r="G121" s="169" t="s">
        <v>75</v>
      </c>
      <c r="H121" s="235"/>
      <c r="I121" s="178"/>
      <c r="J121" s="178"/>
      <c r="K121" s="178"/>
      <c r="L121" s="178"/>
      <c r="M121" s="178"/>
      <c r="N121" s="178"/>
      <c r="O121" s="178"/>
      <c r="P121" s="178"/>
      <c r="Q121" s="178"/>
      <c r="R121" s="178"/>
      <c r="S121" s="178">
        <f t="shared" si="11"/>
        <v>0</v>
      </c>
    </row>
    <row r="122" spans="2:25" s="11" customFormat="1" x14ac:dyDescent="0.15">
      <c r="B122" s="15"/>
      <c r="C122" s="8"/>
      <c r="D122" s="8"/>
      <c r="E122" s="9"/>
      <c r="F122" s="179"/>
      <c r="G122" s="179"/>
      <c r="H122" s="182"/>
      <c r="I122" s="178"/>
      <c r="J122" s="178"/>
      <c r="K122" s="178"/>
      <c r="L122" s="178"/>
      <c r="M122" s="178"/>
      <c r="N122" s="178"/>
      <c r="O122" s="178"/>
      <c r="P122" s="178"/>
      <c r="Q122" s="178"/>
      <c r="R122" s="178"/>
      <c r="S122" s="178"/>
      <c r="T122" s="2"/>
      <c r="U122" s="2"/>
      <c r="Y122" s="2"/>
    </row>
    <row r="123" spans="2:25" x14ac:dyDescent="0.15">
      <c r="B123" s="17"/>
      <c r="C123" s="13"/>
      <c r="D123" s="13"/>
      <c r="E123" s="12"/>
      <c r="F123" s="174"/>
      <c r="G123" s="174"/>
      <c r="H123" s="182"/>
      <c r="I123" s="176">
        <f>SUM(I104:I121)</f>
        <v>31</v>
      </c>
      <c r="J123" s="176">
        <f t="shared" ref="J123:R123" si="12">SUM(J104:J121)</f>
        <v>45</v>
      </c>
      <c r="K123" s="176">
        <f t="shared" si="12"/>
        <v>50</v>
      </c>
      <c r="L123" s="176">
        <f t="shared" si="12"/>
        <v>183</v>
      </c>
      <c r="M123" s="176">
        <f t="shared" si="12"/>
        <v>474</v>
      </c>
      <c r="N123" s="176">
        <f t="shared" si="12"/>
        <v>476</v>
      </c>
      <c r="O123" s="176">
        <f t="shared" si="12"/>
        <v>0</v>
      </c>
      <c r="P123" s="176">
        <f t="shared" si="12"/>
        <v>0</v>
      </c>
      <c r="Q123" s="176">
        <f t="shared" si="12"/>
        <v>0</v>
      </c>
      <c r="R123" s="176">
        <f t="shared" si="12"/>
        <v>0</v>
      </c>
      <c r="S123" s="176"/>
    </row>
    <row r="124" spans="2:25" x14ac:dyDescent="0.15">
      <c r="B124" s="15"/>
      <c r="C124" s="224">
        <v>4500458561</v>
      </c>
      <c r="D124" s="202" t="s">
        <v>62</v>
      </c>
      <c r="E124" s="10"/>
      <c r="F124" s="163" t="s">
        <v>76</v>
      </c>
      <c r="G124" s="167" t="s">
        <v>70</v>
      </c>
      <c r="H124" s="235">
        <v>44503</v>
      </c>
      <c r="I124" s="177"/>
      <c r="J124" s="177"/>
      <c r="K124" s="177"/>
      <c r="L124" s="177"/>
      <c r="M124" s="177"/>
      <c r="N124" s="178"/>
      <c r="O124" s="178"/>
      <c r="P124" s="178"/>
      <c r="Q124" s="178"/>
      <c r="R124" s="178"/>
      <c r="S124" s="178">
        <f>SUM(I124:R124)</f>
        <v>0</v>
      </c>
    </row>
    <row r="125" spans="2:25" x14ac:dyDescent="0.15">
      <c r="B125" s="15"/>
      <c r="C125" s="225"/>
      <c r="D125" s="202"/>
      <c r="E125" s="10"/>
      <c r="F125" s="164" t="s">
        <v>77</v>
      </c>
      <c r="G125" s="169" t="s">
        <v>71</v>
      </c>
      <c r="H125" s="235"/>
      <c r="I125" s="189">
        <v>3</v>
      </c>
      <c r="J125" s="189">
        <v>12</v>
      </c>
      <c r="K125" s="189">
        <v>21</v>
      </c>
      <c r="L125" s="189">
        <v>32</v>
      </c>
      <c r="M125" s="189">
        <v>54</v>
      </c>
      <c r="N125" s="189">
        <v>46</v>
      </c>
      <c r="O125" s="189">
        <v>16</v>
      </c>
      <c r="P125" s="178"/>
      <c r="Q125" s="178"/>
      <c r="R125" s="178"/>
      <c r="S125" s="178">
        <f t="shared" ref="S125:S141" si="13">SUM(I125:R125)</f>
        <v>184</v>
      </c>
    </row>
    <row r="126" spans="2:25" x14ac:dyDescent="0.15">
      <c r="B126" s="15"/>
      <c r="C126" s="225"/>
      <c r="D126" s="202"/>
      <c r="E126" s="10"/>
      <c r="F126" s="164" t="s">
        <v>78</v>
      </c>
      <c r="G126" s="169" t="s">
        <v>72</v>
      </c>
      <c r="H126" s="235"/>
      <c r="I126" s="189">
        <v>4</v>
      </c>
      <c r="J126" s="189">
        <v>17</v>
      </c>
      <c r="K126" s="189">
        <v>30</v>
      </c>
      <c r="L126" s="189">
        <v>45</v>
      </c>
      <c r="M126" s="189">
        <v>76</v>
      </c>
      <c r="N126" s="189">
        <v>65</v>
      </c>
      <c r="O126" s="189">
        <v>23</v>
      </c>
      <c r="P126" s="178"/>
      <c r="Q126" s="178"/>
      <c r="R126" s="178"/>
      <c r="S126" s="178">
        <f t="shared" si="13"/>
        <v>260</v>
      </c>
    </row>
    <row r="127" spans="2:25" x14ac:dyDescent="0.15">
      <c r="B127" s="15"/>
      <c r="C127" s="225"/>
      <c r="D127" s="202"/>
      <c r="E127" s="10"/>
      <c r="F127" s="164" t="s">
        <v>79</v>
      </c>
      <c r="G127" s="169" t="s">
        <v>73</v>
      </c>
      <c r="H127" s="235"/>
      <c r="I127" s="189">
        <v>2</v>
      </c>
      <c r="J127" s="189">
        <v>6</v>
      </c>
      <c r="K127" s="189">
        <v>11</v>
      </c>
      <c r="L127" s="189">
        <v>17</v>
      </c>
      <c r="M127" s="189">
        <v>28</v>
      </c>
      <c r="N127" s="189">
        <v>24</v>
      </c>
      <c r="O127" s="189">
        <v>9</v>
      </c>
      <c r="P127" s="178"/>
      <c r="Q127" s="178"/>
      <c r="R127" s="178"/>
      <c r="S127" s="178">
        <f t="shared" si="13"/>
        <v>97</v>
      </c>
    </row>
    <row r="128" spans="2:25" x14ac:dyDescent="0.15">
      <c r="B128" s="15"/>
      <c r="C128" s="225"/>
      <c r="D128" s="202"/>
      <c r="E128" s="10"/>
      <c r="F128" s="164" t="s">
        <v>80</v>
      </c>
      <c r="G128" s="169" t="s">
        <v>74</v>
      </c>
      <c r="H128" s="235"/>
      <c r="I128" s="189">
        <v>2</v>
      </c>
      <c r="J128" s="189">
        <v>8</v>
      </c>
      <c r="K128" s="189">
        <v>15</v>
      </c>
      <c r="L128" s="189">
        <v>23</v>
      </c>
      <c r="M128" s="189">
        <v>38</v>
      </c>
      <c r="N128" s="189">
        <v>32</v>
      </c>
      <c r="O128" s="189">
        <v>11</v>
      </c>
      <c r="P128" s="178"/>
      <c r="Q128" s="178"/>
      <c r="R128" s="178"/>
      <c r="S128" s="178">
        <f t="shared" si="13"/>
        <v>129</v>
      </c>
    </row>
    <row r="129" spans="2:25" x14ac:dyDescent="0.15">
      <c r="B129" s="15"/>
      <c r="C129" s="225"/>
      <c r="D129" s="202"/>
      <c r="E129" s="10"/>
      <c r="F129" s="165" t="s">
        <v>81</v>
      </c>
      <c r="G129" s="169" t="s">
        <v>75</v>
      </c>
      <c r="H129" s="235"/>
      <c r="I129" s="178"/>
      <c r="J129" s="178"/>
      <c r="K129" s="178"/>
      <c r="L129" s="178"/>
      <c r="M129" s="178"/>
      <c r="N129" s="178"/>
      <c r="O129" s="178"/>
      <c r="P129" s="178"/>
      <c r="Q129" s="178"/>
      <c r="R129" s="178"/>
      <c r="S129" s="178">
        <f t="shared" si="13"/>
        <v>0</v>
      </c>
    </row>
    <row r="130" spans="2:25" x14ac:dyDescent="0.15">
      <c r="B130" s="15"/>
      <c r="C130" s="225"/>
      <c r="D130" s="202" t="s">
        <v>63</v>
      </c>
      <c r="E130" s="10"/>
      <c r="F130" s="163" t="s">
        <v>76</v>
      </c>
      <c r="G130" s="167" t="s">
        <v>70</v>
      </c>
      <c r="H130" s="235"/>
      <c r="I130" s="177"/>
      <c r="J130" s="177"/>
      <c r="K130" s="177"/>
      <c r="L130" s="177"/>
      <c r="M130" s="177"/>
      <c r="N130" s="178"/>
      <c r="O130" s="178"/>
      <c r="P130" s="178"/>
      <c r="Q130" s="178"/>
      <c r="R130" s="178"/>
      <c r="S130" s="178">
        <f t="shared" si="13"/>
        <v>0</v>
      </c>
    </row>
    <row r="131" spans="2:25" x14ac:dyDescent="0.15">
      <c r="B131" s="15"/>
      <c r="C131" s="225"/>
      <c r="D131" s="202"/>
      <c r="E131" s="10"/>
      <c r="F131" s="164" t="s">
        <v>77</v>
      </c>
      <c r="G131" s="169" t="s">
        <v>71</v>
      </c>
      <c r="H131" s="235"/>
      <c r="I131" s="178"/>
      <c r="J131" s="178"/>
      <c r="K131" s="178"/>
      <c r="L131" s="178"/>
      <c r="M131" s="178"/>
      <c r="N131" s="178"/>
      <c r="O131" s="178"/>
      <c r="P131" s="178"/>
      <c r="Q131" s="178"/>
      <c r="R131" s="178"/>
      <c r="S131" s="178">
        <f t="shared" si="13"/>
        <v>0</v>
      </c>
    </row>
    <row r="132" spans="2:25" x14ac:dyDescent="0.15">
      <c r="B132" s="15"/>
      <c r="C132" s="225"/>
      <c r="D132" s="202"/>
      <c r="E132" s="10"/>
      <c r="F132" s="164" t="s">
        <v>78</v>
      </c>
      <c r="G132" s="169" t="s">
        <v>72</v>
      </c>
      <c r="H132" s="235"/>
      <c r="I132" s="178"/>
      <c r="J132" s="178"/>
      <c r="K132" s="178"/>
      <c r="L132" s="178"/>
      <c r="M132" s="178"/>
      <c r="N132" s="178"/>
      <c r="O132" s="178"/>
      <c r="P132" s="178"/>
      <c r="Q132" s="178"/>
      <c r="R132" s="178"/>
      <c r="S132" s="178">
        <f t="shared" si="13"/>
        <v>0</v>
      </c>
    </row>
    <row r="133" spans="2:25" x14ac:dyDescent="0.15">
      <c r="B133" s="15"/>
      <c r="C133" s="225"/>
      <c r="D133" s="202"/>
      <c r="E133" s="10"/>
      <c r="F133" s="164" t="s">
        <v>79</v>
      </c>
      <c r="G133" s="169" t="s">
        <v>73</v>
      </c>
      <c r="H133" s="235"/>
      <c r="I133" s="178"/>
      <c r="J133" s="178"/>
      <c r="K133" s="178"/>
      <c r="L133" s="178"/>
      <c r="M133" s="178"/>
      <c r="N133" s="178"/>
      <c r="O133" s="178"/>
      <c r="P133" s="178"/>
      <c r="Q133" s="178"/>
      <c r="R133" s="178"/>
      <c r="S133" s="178">
        <f t="shared" si="13"/>
        <v>0</v>
      </c>
    </row>
    <row r="134" spans="2:25" x14ac:dyDescent="0.15">
      <c r="B134" s="15"/>
      <c r="C134" s="225"/>
      <c r="D134" s="202"/>
      <c r="E134" s="10"/>
      <c r="F134" s="164" t="s">
        <v>80</v>
      </c>
      <c r="G134" s="169" t="s">
        <v>74</v>
      </c>
      <c r="H134" s="235"/>
      <c r="I134" s="178"/>
      <c r="J134" s="178"/>
      <c r="K134" s="178"/>
      <c r="L134" s="178"/>
      <c r="M134" s="178"/>
      <c r="N134" s="178"/>
      <c r="O134" s="178"/>
      <c r="P134" s="178"/>
      <c r="Q134" s="178"/>
      <c r="R134" s="178"/>
      <c r="S134" s="178">
        <f t="shared" si="13"/>
        <v>0</v>
      </c>
    </row>
    <row r="135" spans="2:25" x14ac:dyDescent="0.15">
      <c r="B135" s="15"/>
      <c r="C135" s="225"/>
      <c r="D135" s="202"/>
      <c r="E135" s="10"/>
      <c r="F135" s="165" t="s">
        <v>81</v>
      </c>
      <c r="G135" s="169" t="s">
        <v>75</v>
      </c>
      <c r="H135" s="235"/>
      <c r="I135" s="178"/>
      <c r="J135" s="178"/>
      <c r="K135" s="178"/>
      <c r="L135" s="178"/>
      <c r="M135" s="178"/>
      <c r="N135" s="178"/>
      <c r="O135" s="178"/>
      <c r="P135" s="178"/>
      <c r="Q135" s="178"/>
      <c r="R135" s="178"/>
      <c r="S135" s="178">
        <f t="shared" si="13"/>
        <v>0</v>
      </c>
    </row>
    <row r="136" spans="2:25" x14ac:dyDescent="0.15">
      <c r="B136" s="15"/>
      <c r="C136" s="225"/>
      <c r="D136" s="202" t="s">
        <v>64</v>
      </c>
      <c r="E136" s="10"/>
      <c r="F136" s="163" t="s">
        <v>76</v>
      </c>
      <c r="G136" s="167" t="s">
        <v>70</v>
      </c>
      <c r="H136" s="235"/>
      <c r="I136" s="177"/>
      <c r="J136" s="177"/>
      <c r="K136" s="177"/>
      <c r="L136" s="177"/>
      <c r="M136" s="177"/>
      <c r="N136" s="178"/>
      <c r="O136" s="178"/>
      <c r="P136" s="178"/>
      <c r="Q136" s="178"/>
      <c r="R136" s="178"/>
      <c r="S136" s="178">
        <f t="shared" si="13"/>
        <v>0</v>
      </c>
    </row>
    <row r="137" spans="2:25" x14ac:dyDescent="0.15">
      <c r="B137" s="15"/>
      <c r="C137" s="225"/>
      <c r="D137" s="202"/>
      <c r="E137" s="10"/>
      <c r="F137" s="164" t="s">
        <v>77</v>
      </c>
      <c r="G137" s="169" t="s">
        <v>71</v>
      </c>
      <c r="H137" s="235"/>
      <c r="I137" s="178"/>
      <c r="J137" s="178"/>
      <c r="K137" s="178"/>
      <c r="L137" s="178"/>
      <c r="M137" s="178"/>
      <c r="N137" s="178"/>
      <c r="O137" s="178"/>
      <c r="P137" s="178"/>
      <c r="Q137" s="178"/>
      <c r="R137" s="178"/>
      <c r="S137" s="178">
        <f t="shared" si="13"/>
        <v>0</v>
      </c>
    </row>
    <row r="138" spans="2:25" x14ac:dyDescent="0.15">
      <c r="B138" s="15"/>
      <c r="C138" s="225"/>
      <c r="D138" s="202"/>
      <c r="E138" s="10"/>
      <c r="F138" s="164" t="s">
        <v>78</v>
      </c>
      <c r="G138" s="169" t="s">
        <v>72</v>
      </c>
      <c r="H138" s="235"/>
      <c r="I138" s="178"/>
      <c r="J138" s="178"/>
      <c r="K138" s="178"/>
      <c r="L138" s="178"/>
      <c r="M138" s="178"/>
      <c r="N138" s="178"/>
      <c r="O138" s="178"/>
      <c r="P138" s="178"/>
      <c r="Q138" s="178"/>
      <c r="R138" s="178"/>
      <c r="S138" s="178">
        <f t="shared" si="13"/>
        <v>0</v>
      </c>
    </row>
    <row r="139" spans="2:25" x14ac:dyDescent="0.15">
      <c r="B139" s="15"/>
      <c r="C139" s="225"/>
      <c r="D139" s="202"/>
      <c r="E139" s="10"/>
      <c r="F139" s="164" t="s">
        <v>79</v>
      </c>
      <c r="G139" s="169" t="s">
        <v>73</v>
      </c>
      <c r="H139" s="235"/>
      <c r="I139" s="178"/>
      <c r="J139" s="178"/>
      <c r="K139" s="178"/>
      <c r="L139" s="178"/>
      <c r="M139" s="178"/>
      <c r="N139" s="178"/>
      <c r="O139" s="178"/>
      <c r="P139" s="178"/>
      <c r="Q139" s="178"/>
      <c r="R139" s="178"/>
      <c r="S139" s="178">
        <f t="shared" si="13"/>
        <v>0</v>
      </c>
    </row>
    <row r="140" spans="2:25" x14ac:dyDescent="0.15">
      <c r="B140" s="15"/>
      <c r="C140" s="225"/>
      <c r="D140" s="202"/>
      <c r="E140" s="10"/>
      <c r="F140" s="164" t="s">
        <v>80</v>
      </c>
      <c r="G140" s="169" t="s">
        <v>74</v>
      </c>
      <c r="H140" s="235"/>
      <c r="I140" s="178"/>
      <c r="J140" s="178"/>
      <c r="K140" s="178"/>
      <c r="L140" s="178"/>
      <c r="M140" s="178"/>
      <c r="N140" s="178"/>
      <c r="O140" s="178"/>
      <c r="P140" s="178"/>
      <c r="Q140" s="178"/>
      <c r="R140" s="178"/>
      <c r="S140" s="178">
        <f t="shared" si="13"/>
        <v>0</v>
      </c>
    </row>
    <row r="141" spans="2:25" x14ac:dyDescent="0.15">
      <c r="B141" s="15"/>
      <c r="C141" s="226"/>
      <c r="D141" s="202"/>
      <c r="E141" s="10"/>
      <c r="F141" s="165" t="s">
        <v>81</v>
      </c>
      <c r="G141" s="169" t="s">
        <v>75</v>
      </c>
      <c r="H141" s="235"/>
      <c r="I141" s="178"/>
      <c r="J141" s="178"/>
      <c r="K141" s="178"/>
      <c r="L141" s="178"/>
      <c r="M141" s="178"/>
      <c r="N141" s="178"/>
      <c r="O141" s="178"/>
      <c r="P141" s="178"/>
      <c r="Q141" s="178"/>
      <c r="R141" s="178"/>
      <c r="S141" s="178">
        <f t="shared" si="13"/>
        <v>0</v>
      </c>
    </row>
    <row r="142" spans="2:25" s="11" customFormat="1" x14ac:dyDescent="0.15">
      <c r="B142" s="15"/>
      <c r="C142" s="8"/>
      <c r="D142" s="8"/>
      <c r="E142" s="9"/>
      <c r="F142" s="179"/>
      <c r="G142" s="179"/>
      <c r="H142" s="182"/>
      <c r="I142" s="178"/>
      <c r="J142" s="178"/>
      <c r="K142" s="178"/>
      <c r="L142" s="178"/>
      <c r="M142" s="178"/>
      <c r="N142" s="178"/>
      <c r="O142" s="178"/>
      <c r="P142" s="178"/>
      <c r="Q142" s="178"/>
      <c r="R142" s="178"/>
      <c r="S142" s="178"/>
      <c r="T142" s="2"/>
      <c r="U142" s="2"/>
      <c r="Y142" s="2"/>
    </row>
    <row r="143" spans="2:25" x14ac:dyDescent="0.15">
      <c r="B143" s="17"/>
      <c r="C143" s="13"/>
      <c r="D143" s="13"/>
      <c r="E143" s="12"/>
      <c r="F143" s="174"/>
      <c r="G143" s="174"/>
      <c r="H143" s="182"/>
      <c r="I143" s="176">
        <f>SUM(I124:I141)</f>
        <v>11</v>
      </c>
      <c r="J143" s="176">
        <f t="shared" ref="J143:R143" si="14">SUM(J124:J141)</f>
        <v>43</v>
      </c>
      <c r="K143" s="176">
        <f t="shared" si="14"/>
        <v>77</v>
      </c>
      <c r="L143" s="176">
        <f t="shared" si="14"/>
        <v>117</v>
      </c>
      <c r="M143" s="176">
        <f t="shared" si="14"/>
        <v>196</v>
      </c>
      <c r="N143" s="176">
        <f t="shared" si="14"/>
        <v>167</v>
      </c>
      <c r="O143" s="176">
        <f t="shared" si="14"/>
        <v>59</v>
      </c>
      <c r="P143" s="176">
        <f t="shared" si="14"/>
        <v>0</v>
      </c>
      <c r="Q143" s="176">
        <f t="shared" si="14"/>
        <v>0</v>
      </c>
      <c r="R143" s="176">
        <f t="shared" si="14"/>
        <v>0</v>
      </c>
      <c r="S143" s="176"/>
    </row>
    <row r="144" spans="2:25" x14ac:dyDescent="0.15">
      <c r="B144" s="15"/>
      <c r="C144" s="224">
        <v>4500458554</v>
      </c>
      <c r="D144" s="202" t="s">
        <v>62</v>
      </c>
      <c r="E144" s="10"/>
      <c r="F144" s="163" t="s">
        <v>76</v>
      </c>
      <c r="G144" s="167" t="s">
        <v>70</v>
      </c>
      <c r="H144" s="227">
        <v>44503</v>
      </c>
      <c r="I144" s="189">
        <v>10</v>
      </c>
      <c r="J144" s="189">
        <v>10</v>
      </c>
      <c r="K144" s="189">
        <v>30</v>
      </c>
      <c r="L144" s="189">
        <v>52</v>
      </c>
      <c r="M144" s="189">
        <v>100</v>
      </c>
      <c r="N144" s="189">
        <v>87</v>
      </c>
      <c r="O144" s="189">
        <v>25</v>
      </c>
      <c r="P144" s="178"/>
      <c r="Q144" s="178"/>
      <c r="R144" s="178"/>
      <c r="S144" s="178">
        <f>SUM(I144:R144)</f>
        <v>314</v>
      </c>
    </row>
    <row r="145" spans="2:19" x14ac:dyDescent="0.15">
      <c r="B145" s="15"/>
      <c r="C145" s="225"/>
      <c r="D145" s="202"/>
      <c r="E145" s="10"/>
      <c r="F145" s="164" t="s">
        <v>77</v>
      </c>
      <c r="G145" s="184" t="s">
        <v>71</v>
      </c>
      <c r="H145" s="228"/>
      <c r="I145" s="189">
        <v>10</v>
      </c>
      <c r="J145" s="189">
        <v>18</v>
      </c>
      <c r="K145" s="189">
        <v>30</v>
      </c>
      <c r="L145" s="189">
        <v>43</v>
      </c>
      <c r="M145" s="189">
        <v>61</v>
      </c>
      <c r="N145" s="189">
        <v>41</v>
      </c>
      <c r="O145" s="189">
        <v>13</v>
      </c>
      <c r="P145" s="178"/>
      <c r="Q145" s="178"/>
      <c r="R145" s="178"/>
      <c r="S145" s="178">
        <f t="shared" ref="S145:S161" si="15">SUM(I145:R145)</f>
        <v>216</v>
      </c>
    </row>
    <row r="146" spans="2:19" x14ac:dyDescent="0.15">
      <c r="B146" s="15"/>
      <c r="C146" s="225"/>
      <c r="D146" s="202"/>
      <c r="E146" s="10"/>
      <c r="F146" s="164" t="s">
        <v>78</v>
      </c>
      <c r="G146" s="169" t="s">
        <v>72</v>
      </c>
      <c r="H146" s="228"/>
      <c r="I146" s="189">
        <v>11</v>
      </c>
      <c r="J146" s="189">
        <v>42</v>
      </c>
      <c r="K146" s="189">
        <v>75</v>
      </c>
      <c r="L146" s="189">
        <v>113</v>
      </c>
      <c r="M146" s="189">
        <v>189</v>
      </c>
      <c r="N146" s="189">
        <v>162</v>
      </c>
      <c r="O146" s="189">
        <v>57</v>
      </c>
      <c r="P146" s="178"/>
      <c r="Q146" s="178"/>
      <c r="R146" s="178"/>
      <c r="S146" s="178">
        <f t="shared" si="15"/>
        <v>649</v>
      </c>
    </row>
    <row r="147" spans="2:19" x14ac:dyDescent="0.15">
      <c r="B147" s="15"/>
      <c r="C147" s="225"/>
      <c r="D147" s="202"/>
      <c r="E147" s="10"/>
      <c r="F147" s="164" t="s">
        <v>79</v>
      </c>
      <c r="G147" s="169" t="s">
        <v>73</v>
      </c>
      <c r="H147" s="228"/>
      <c r="I147" s="189">
        <v>15</v>
      </c>
      <c r="J147" s="189">
        <v>45</v>
      </c>
      <c r="K147" s="189">
        <v>75</v>
      </c>
      <c r="L147" s="189">
        <v>90</v>
      </c>
      <c r="M147" s="189">
        <v>148</v>
      </c>
      <c r="N147" s="189">
        <v>103</v>
      </c>
      <c r="O147" s="189">
        <v>31</v>
      </c>
      <c r="P147" s="178"/>
      <c r="Q147" s="178"/>
      <c r="R147" s="178"/>
      <c r="S147" s="178">
        <f t="shared" si="15"/>
        <v>507</v>
      </c>
    </row>
    <row r="148" spans="2:19" x14ac:dyDescent="0.15">
      <c r="B148" s="15"/>
      <c r="C148" s="225"/>
      <c r="D148" s="202"/>
      <c r="E148" s="10"/>
      <c r="F148" s="164" t="s">
        <v>80</v>
      </c>
      <c r="G148" s="169" t="s">
        <v>74</v>
      </c>
      <c r="H148" s="228"/>
      <c r="I148" s="189">
        <v>10</v>
      </c>
      <c r="J148" s="189">
        <v>14</v>
      </c>
      <c r="K148" s="189">
        <v>42</v>
      </c>
      <c r="L148" s="189">
        <v>73</v>
      </c>
      <c r="M148" s="189">
        <v>139</v>
      </c>
      <c r="N148" s="189">
        <v>121</v>
      </c>
      <c r="O148" s="189">
        <v>35</v>
      </c>
      <c r="P148" s="178"/>
      <c r="Q148" s="178"/>
      <c r="R148" s="178"/>
      <c r="S148" s="178">
        <f t="shared" si="15"/>
        <v>434</v>
      </c>
    </row>
    <row r="149" spans="2:19" x14ac:dyDescent="0.15">
      <c r="B149" s="15"/>
      <c r="C149" s="225"/>
      <c r="D149" s="202"/>
      <c r="E149" s="10"/>
      <c r="F149" s="165" t="s">
        <v>81</v>
      </c>
      <c r="G149" s="169" t="s">
        <v>75</v>
      </c>
      <c r="H149" s="228"/>
      <c r="I149" s="178"/>
      <c r="J149" s="178"/>
      <c r="K149" s="178"/>
      <c r="L149" s="178"/>
      <c r="M149" s="178"/>
      <c r="N149" s="178"/>
      <c r="O149" s="178"/>
      <c r="P149" s="178"/>
      <c r="Q149" s="178"/>
      <c r="R149" s="178"/>
      <c r="S149" s="178">
        <f t="shared" si="15"/>
        <v>0</v>
      </c>
    </row>
    <row r="150" spans="2:19" x14ac:dyDescent="0.15">
      <c r="B150" s="15"/>
      <c r="C150" s="225"/>
      <c r="D150" s="202" t="s">
        <v>63</v>
      </c>
      <c r="E150" s="10"/>
      <c r="F150" s="163" t="s">
        <v>76</v>
      </c>
      <c r="G150" s="167" t="s">
        <v>70</v>
      </c>
      <c r="H150" s="228"/>
      <c r="I150" s="177"/>
      <c r="J150" s="177"/>
      <c r="K150" s="177"/>
      <c r="L150" s="177"/>
      <c r="M150" s="177"/>
      <c r="N150" s="178"/>
      <c r="O150" s="178"/>
      <c r="P150" s="189">
        <v>22</v>
      </c>
      <c r="Q150" s="189">
        <v>41</v>
      </c>
      <c r="R150" s="189">
        <v>26</v>
      </c>
      <c r="S150" s="178">
        <f t="shared" si="15"/>
        <v>89</v>
      </c>
    </row>
    <row r="151" spans="2:19" x14ac:dyDescent="0.15">
      <c r="B151" s="15"/>
      <c r="C151" s="225"/>
      <c r="D151" s="202"/>
      <c r="E151" s="10"/>
      <c r="F151" s="164" t="s">
        <v>77</v>
      </c>
      <c r="G151" s="169" t="s">
        <v>71</v>
      </c>
      <c r="H151" s="228"/>
      <c r="I151" s="178"/>
      <c r="J151" s="178"/>
      <c r="K151" s="178"/>
      <c r="L151" s="178"/>
      <c r="M151" s="178"/>
      <c r="N151" s="178"/>
      <c r="O151" s="178"/>
      <c r="P151" s="189">
        <v>26</v>
      </c>
      <c r="Q151" s="189">
        <v>36</v>
      </c>
      <c r="R151" s="189">
        <v>22</v>
      </c>
      <c r="S151" s="178">
        <f t="shared" si="15"/>
        <v>84</v>
      </c>
    </row>
    <row r="152" spans="2:19" x14ac:dyDescent="0.15">
      <c r="B152" s="15"/>
      <c r="C152" s="225"/>
      <c r="D152" s="202"/>
      <c r="E152" s="10"/>
      <c r="F152" s="164" t="s">
        <v>78</v>
      </c>
      <c r="G152" s="169" t="s">
        <v>72</v>
      </c>
      <c r="H152" s="228"/>
      <c r="I152" s="178"/>
      <c r="J152" s="178"/>
      <c r="K152" s="178"/>
      <c r="L152" s="178"/>
      <c r="M152" s="178"/>
      <c r="N152" s="178"/>
      <c r="O152" s="178"/>
      <c r="P152" s="189">
        <v>49</v>
      </c>
      <c r="Q152" s="189">
        <v>83</v>
      </c>
      <c r="R152" s="189">
        <v>56</v>
      </c>
      <c r="S152" s="178">
        <f t="shared" si="15"/>
        <v>188</v>
      </c>
    </row>
    <row r="153" spans="2:19" x14ac:dyDescent="0.15">
      <c r="B153" s="15"/>
      <c r="C153" s="225"/>
      <c r="D153" s="202"/>
      <c r="E153" s="10"/>
      <c r="F153" s="164" t="s">
        <v>79</v>
      </c>
      <c r="G153" s="169" t="s">
        <v>73</v>
      </c>
      <c r="H153" s="228"/>
      <c r="I153" s="178"/>
      <c r="J153" s="178"/>
      <c r="K153" s="178"/>
      <c r="L153" s="178"/>
      <c r="M153" s="178"/>
      <c r="N153" s="178"/>
      <c r="O153" s="178"/>
      <c r="P153" s="189">
        <v>47</v>
      </c>
      <c r="Q153" s="189">
        <v>58</v>
      </c>
      <c r="R153" s="189">
        <v>40</v>
      </c>
      <c r="S153" s="178">
        <f t="shared" si="15"/>
        <v>145</v>
      </c>
    </row>
    <row r="154" spans="2:19" x14ac:dyDescent="0.15">
      <c r="B154" s="15"/>
      <c r="C154" s="225"/>
      <c r="D154" s="202"/>
      <c r="E154" s="10"/>
      <c r="F154" s="164" t="s">
        <v>80</v>
      </c>
      <c r="G154" s="169" t="s">
        <v>74</v>
      </c>
      <c r="H154" s="228"/>
      <c r="I154" s="178"/>
      <c r="J154" s="178"/>
      <c r="K154" s="178"/>
      <c r="L154" s="178"/>
      <c r="M154" s="178"/>
      <c r="N154" s="178"/>
      <c r="O154" s="178"/>
      <c r="P154" s="189">
        <v>31</v>
      </c>
      <c r="Q154" s="189">
        <v>57</v>
      </c>
      <c r="R154" s="189">
        <v>36</v>
      </c>
      <c r="S154" s="178">
        <f t="shared" si="15"/>
        <v>124</v>
      </c>
    </row>
    <row r="155" spans="2:19" x14ac:dyDescent="0.15">
      <c r="B155" s="15"/>
      <c r="C155" s="225"/>
      <c r="D155" s="202"/>
      <c r="E155" s="10"/>
      <c r="F155" s="165" t="s">
        <v>81</v>
      </c>
      <c r="G155" s="169" t="s">
        <v>75</v>
      </c>
      <c r="H155" s="228"/>
      <c r="I155" s="178"/>
      <c r="J155" s="178"/>
      <c r="K155" s="178"/>
      <c r="L155" s="178"/>
      <c r="M155" s="178"/>
      <c r="N155" s="178"/>
      <c r="O155" s="178"/>
      <c r="P155" s="178"/>
      <c r="Q155" s="178"/>
      <c r="R155" s="178"/>
      <c r="S155" s="178">
        <f t="shared" si="15"/>
        <v>0</v>
      </c>
    </row>
    <row r="156" spans="2:19" x14ac:dyDescent="0.15">
      <c r="B156" s="15"/>
      <c r="C156" s="225"/>
      <c r="D156" s="202" t="s">
        <v>64</v>
      </c>
      <c r="E156" s="10"/>
      <c r="F156" s="163" t="s">
        <v>76</v>
      </c>
      <c r="G156" s="167" t="s">
        <v>70</v>
      </c>
      <c r="H156" s="228"/>
      <c r="I156" s="177"/>
      <c r="J156" s="177"/>
      <c r="K156" s="189">
        <v>10</v>
      </c>
      <c r="L156" s="189">
        <v>11</v>
      </c>
      <c r="M156" s="189">
        <v>19</v>
      </c>
      <c r="N156" s="189">
        <v>11</v>
      </c>
      <c r="O156" s="178"/>
      <c r="P156" s="178"/>
      <c r="Q156" s="178"/>
      <c r="R156" s="178"/>
      <c r="S156" s="178">
        <f t="shared" si="15"/>
        <v>51</v>
      </c>
    </row>
    <row r="157" spans="2:19" x14ac:dyDescent="0.15">
      <c r="B157" s="15"/>
      <c r="C157" s="225"/>
      <c r="D157" s="202"/>
      <c r="E157" s="10"/>
      <c r="F157" s="164" t="s">
        <v>77</v>
      </c>
      <c r="G157" s="169" t="s">
        <v>71</v>
      </c>
      <c r="H157" s="228"/>
      <c r="I157" s="178"/>
      <c r="J157" s="178"/>
      <c r="K157" s="189">
        <v>10</v>
      </c>
      <c r="L157" s="189">
        <v>10</v>
      </c>
      <c r="M157" s="189">
        <v>12</v>
      </c>
      <c r="N157" s="189">
        <v>10</v>
      </c>
      <c r="O157" s="178"/>
      <c r="P157" s="178"/>
      <c r="Q157" s="178"/>
      <c r="R157" s="178"/>
      <c r="S157" s="178">
        <f t="shared" si="15"/>
        <v>42</v>
      </c>
    </row>
    <row r="158" spans="2:19" x14ac:dyDescent="0.15">
      <c r="B158" s="15"/>
      <c r="C158" s="225"/>
      <c r="D158" s="202"/>
      <c r="E158" s="10"/>
      <c r="F158" s="164" t="s">
        <v>78</v>
      </c>
      <c r="G158" s="169" t="s">
        <v>72</v>
      </c>
      <c r="H158" s="228"/>
      <c r="I158" s="178"/>
      <c r="J158" s="178"/>
      <c r="K158" s="189">
        <v>18</v>
      </c>
      <c r="L158" s="189">
        <v>25</v>
      </c>
      <c r="M158" s="189">
        <v>36</v>
      </c>
      <c r="N158" s="189">
        <v>25</v>
      </c>
      <c r="O158" s="178"/>
      <c r="P158" s="178"/>
      <c r="Q158" s="178"/>
      <c r="R158" s="178"/>
      <c r="S158" s="178">
        <f t="shared" si="15"/>
        <v>104</v>
      </c>
    </row>
    <row r="159" spans="2:19" x14ac:dyDescent="0.15">
      <c r="B159" s="15"/>
      <c r="C159" s="225"/>
      <c r="D159" s="202"/>
      <c r="E159" s="10"/>
      <c r="F159" s="164" t="s">
        <v>79</v>
      </c>
      <c r="G159" s="169" t="s">
        <v>73</v>
      </c>
      <c r="H159" s="228"/>
      <c r="I159" s="178"/>
      <c r="J159" s="178"/>
      <c r="K159" s="189">
        <v>14</v>
      </c>
      <c r="L159" s="189">
        <v>18</v>
      </c>
      <c r="M159" s="189">
        <v>27</v>
      </c>
      <c r="N159" s="189">
        <v>14</v>
      </c>
      <c r="O159" s="178"/>
      <c r="P159" s="178"/>
      <c r="Q159" s="178"/>
      <c r="R159" s="178"/>
      <c r="S159" s="178">
        <f t="shared" si="15"/>
        <v>73</v>
      </c>
    </row>
    <row r="160" spans="2:19" x14ac:dyDescent="0.15">
      <c r="B160" s="15"/>
      <c r="C160" s="225"/>
      <c r="D160" s="202"/>
      <c r="E160" s="10"/>
      <c r="F160" s="164" t="s">
        <v>80</v>
      </c>
      <c r="G160" s="169" t="s">
        <v>74</v>
      </c>
      <c r="H160" s="228"/>
      <c r="I160" s="178"/>
      <c r="J160" s="178"/>
      <c r="K160" s="189">
        <v>10</v>
      </c>
      <c r="L160" s="189">
        <v>16</v>
      </c>
      <c r="M160" s="189">
        <v>27</v>
      </c>
      <c r="N160" s="189">
        <v>16</v>
      </c>
      <c r="O160" s="178"/>
      <c r="P160" s="178"/>
      <c r="Q160" s="178"/>
      <c r="R160" s="178"/>
      <c r="S160" s="178">
        <f t="shared" si="15"/>
        <v>69</v>
      </c>
    </row>
    <row r="161" spans="2:25" x14ac:dyDescent="0.15">
      <c r="B161" s="15"/>
      <c r="C161" s="226"/>
      <c r="D161" s="202"/>
      <c r="E161" s="10"/>
      <c r="F161" s="165" t="s">
        <v>81</v>
      </c>
      <c r="G161" s="185" t="s">
        <v>75</v>
      </c>
      <c r="H161" s="229"/>
      <c r="I161" s="178"/>
      <c r="J161" s="178"/>
      <c r="K161" s="178"/>
      <c r="L161" s="178"/>
      <c r="M161" s="178"/>
      <c r="N161" s="178"/>
      <c r="O161" s="178"/>
      <c r="P161" s="178"/>
      <c r="Q161" s="178"/>
      <c r="R161" s="178"/>
      <c r="S161" s="178">
        <f t="shared" si="15"/>
        <v>0</v>
      </c>
    </row>
    <row r="162" spans="2:25" s="11" customFormat="1" x14ac:dyDescent="0.15">
      <c r="B162" s="15"/>
      <c r="C162" s="8"/>
      <c r="D162" s="8"/>
      <c r="E162" s="9"/>
      <c r="F162" s="179"/>
      <c r="G162" s="179"/>
      <c r="H162" s="182"/>
      <c r="I162" s="178"/>
      <c r="J162" s="178"/>
      <c r="K162" s="178"/>
      <c r="L162" s="178"/>
      <c r="M162" s="178"/>
      <c r="N162" s="178"/>
      <c r="O162" s="178"/>
      <c r="P162" s="178"/>
      <c r="Q162" s="178"/>
      <c r="R162" s="178"/>
      <c r="S162" s="178"/>
      <c r="T162" s="2"/>
      <c r="U162" s="2"/>
      <c r="Y162" s="2"/>
    </row>
    <row r="163" spans="2:25" x14ac:dyDescent="0.15">
      <c r="B163" s="17"/>
      <c r="C163" s="13"/>
      <c r="D163" s="13"/>
      <c r="E163" s="12"/>
      <c r="F163" s="174"/>
      <c r="G163" s="174"/>
      <c r="H163" s="182"/>
      <c r="I163" s="176">
        <f>SUM(I144:I161)</f>
        <v>56</v>
      </c>
      <c r="J163" s="176">
        <f t="shared" ref="J163:R163" si="16">SUM(J144:J161)</f>
        <v>129</v>
      </c>
      <c r="K163" s="176">
        <f t="shared" si="16"/>
        <v>314</v>
      </c>
      <c r="L163" s="176">
        <f t="shared" si="16"/>
        <v>451</v>
      </c>
      <c r="M163" s="176">
        <f t="shared" si="16"/>
        <v>758</v>
      </c>
      <c r="N163" s="176">
        <f t="shared" si="16"/>
        <v>590</v>
      </c>
      <c r="O163" s="176">
        <f t="shared" si="16"/>
        <v>161</v>
      </c>
      <c r="P163" s="176">
        <f t="shared" si="16"/>
        <v>175</v>
      </c>
      <c r="Q163" s="176">
        <f t="shared" si="16"/>
        <v>275</v>
      </c>
      <c r="R163" s="176">
        <f t="shared" si="16"/>
        <v>180</v>
      </c>
      <c r="S163" s="176"/>
    </row>
    <row r="164" spans="2:25" x14ac:dyDescent="0.15">
      <c r="B164" s="15"/>
      <c r="C164" s="224" t="s">
        <v>7</v>
      </c>
      <c r="D164" s="205" t="s">
        <v>62</v>
      </c>
      <c r="E164" s="10"/>
      <c r="F164" s="163" t="s">
        <v>76</v>
      </c>
      <c r="G164" s="167" t="s">
        <v>70</v>
      </c>
      <c r="H164" s="227"/>
      <c r="I164" s="177">
        <f>SUM(I4,I24,I44,I64,I84,I104,I124,I144)</f>
        <v>44</v>
      </c>
      <c r="J164" s="177">
        <f t="shared" ref="J164:S164" si="17">SUM(J4,J24,J44,J64,J84,J104,J124,J144)</f>
        <v>102</v>
      </c>
      <c r="K164" s="177">
        <f t="shared" si="17"/>
        <v>301</v>
      </c>
      <c r="L164" s="177">
        <f t="shared" si="17"/>
        <v>523</v>
      </c>
      <c r="M164" s="177">
        <f t="shared" si="17"/>
        <v>1000</v>
      </c>
      <c r="N164" s="177">
        <f t="shared" si="17"/>
        <v>867</v>
      </c>
      <c r="O164" s="177">
        <f t="shared" si="17"/>
        <v>253</v>
      </c>
      <c r="P164" s="177">
        <f t="shared" si="17"/>
        <v>0</v>
      </c>
      <c r="Q164" s="177">
        <f t="shared" si="17"/>
        <v>0</v>
      </c>
      <c r="R164" s="177">
        <f t="shared" si="17"/>
        <v>0</v>
      </c>
      <c r="S164" s="177">
        <f t="shared" si="17"/>
        <v>3090</v>
      </c>
    </row>
    <row r="165" spans="2:25" x14ac:dyDescent="0.15">
      <c r="B165" s="15"/>
      <c r="C165" s="225"/>
      <c r="D165" s="209"/>
      <c r="E165" s="10"/>
      <c r="F165" s="164" t="s">
        <v>77</v>
      </c>
      <c r="G165" s="184" t="s">
        <v>71</v>
      </c>
      <c r="H165" s="228"/>
      <c r="I165" s="178">
        <f>SUM(I5,I25,I45,I65,I85,I105,I125,I145)</f>
        <v>79</v>
      </c>
      <c r="J165" s="178">
        <f t="shared" ref="J165:R165" si="18">SUM(J5,J25,J45,J65,J85,J105,J125,J145)</f>
        <v>304</v>
      </c>
      <c r="K165" s="178">
        <f t="shared" si="18"/>
        <v>457</v>
      </c>
      <c r="L165" s="178">
        <f t="shared" si="18"/>
        <v>682</v>
      </c>
      <c r="M165" s="178">
        <f t="shared" si="18"/>
        <v>1001</v>
      </c>
      <c r="N165" s="178">
        <f t="shared" si="18"/>
        <v>698</v>
      </c>
      <c r="O165" s="178">
        <f t="shared" si="18"/>
        <v>143</v>
      </c>
      <c r="P165" s="178">
        <f t="shared" si="18"/>
        <v>0</v>
      </c>
      <c r="Q165" s="178">
        <f t="shared" si="18"/>
        <v>0</v>
      </c>
      <c r="R165" s="178">
        <f t="shared" si="18"/>
        <v>0</v>
      </c>
      <c r="S165" s="178">
        <f t="shared" ref="S165:S181" si="19">SUM(I165:R165)</f>
        <v>3364</v>
      </c>
    </row>
    <row r="166" spans="2:25" x14ac:dyDescent="0.15">
      <c r="B166" s="15"/>
      <c r="C166" s="225"/>
      <c r="D166" s="209"/>
      <c r="E166" s="10"/>
      <c r="F166" s="164" t="s">
        <v>78</v>
      </c>
      <c r="G166" s="169" t="s">
        <v>72</v>
      </c>
      <c r="H166" s="228"/>
      <c r="I166" s="178">
        <f>SUM(I6,I26,I46,I66,I86,I106,I126,I146)</f>
        <v>113</v>
      </c>
      <c r="J166" s="178">
        <f t="shared" ref="J166:R166" si="20">SUM(J6,J26,J46,J66,J86,J106,J126,J146)</f>
        <v>437</v>
      </c>
      <c r="K166" s="178">
        <f t="shared" si="20"/>
        <v>776</v>
      </c>
      <c r="L166" s="178">
        <f t="shared" si="20"/>
        <v>1178</v>
      </c>
      <c r="M166" s="178">
        <f t="shared" si="20"/>
        <v>1965</v>
      </c>
      <c r="N166" s="178">
        <f t="shared" si="20"/>
        <v>1681</v>
      </c>
      <c r="O166" s="178">
        <f t="shared" si="20"/>
        <v>595</v>
      </c>
      <c r="P166" s="178">
        <f t="shared" si="20"/>
        <v>0</v>
      </c>
      <c r="Q166" s="178">
        <f t="shared" si="20"/>
        <v>0</v>
      </c>
      <c r="R166" s="178">
        <f t="shared" si="20"/>
        <v>0</v>
      </c>
      <c r="S166" s="178">
        <f t="shared" si="19"/>
        <v>6745</v>
      </c>
    </row>
    <row r="167" spans="2:25" x14ac:dyDescent="0.15">
      <c r="B167" s="15"/>
      <c r="C167" s="225"/>
      <c r="D167" s="209"/>
      <c r="E167" s="10"/>
      <c r="F167" s="164" t="s">
        <v>79</v>
      </c>
      <c r="G167" s="169" t="s">
        <v>73</v>
      </c>
      <c r="H167" s="228"/>
      <c r="I167" s="178">
        <f>SUM(I7,I27,I47,I67,I87,I107,I127,I147)</f>
        <v>98</v>
      </c>
      <c r="J167" s="178">
        <f t="shared" ref="J167:R167" si="21">SUM(J7,J27,J47,J67,J87,J107,J127,J147)</f>
        <v>519</v>
      </c>
      <c r="K167" s="178">
        <f t="shared" si="21"/>
        <v>831</v>
      </c>
      <c r="L167" s="178">
        <f t="shared" si="21"/>
        <v>1036</v>
      </c>
      <c r="M167" s="178">
        <f t="shared" si="21"/>
        <v>1732</v>
      </c>
      <c r="N167" s="178">
        <f t="shared" si="21"/>
        <v>1209</v>
      </c>
      <c r="O167" s="178">
        <f t="shared" si="21"/>
        <v>317</v>
      </c>
      <c r="P167" s="178">
        <f t="shared" si="21"/>
        <v>0</v>
      </c>
      <c r="Q167" s="178">
        <f t="shared" si="21"/>
        <v>0</v>
      </c>
      <c r="R167" s="178">
        <f t="shared" si="21"/>
        <v>0</v>
      </c>
      <c r="S167" s="178">
        <f t="shared" si="19"/>
        <v>5742</v>
      </c>
    </row>
    <row r="168" spans="2:25" x14ac:dyDescent="0.15">
      <c r="B168" s="15"/>
      <c r="C168" s="225"/>
      <c r="D168" s="209"/>
      <c r="E168" s="10"/>
      <c r="F168" s="164" t="s">
        <v>80</v>
      </c>
      <c r="G168" s="169" t="s">
        <v>74</v>
      </c>
      <c r="H168" s="228"/>
      <c r="I168" s="178"/>
      <c r="J168" s="178"/>
      <c r="K168" s="178"/>
      <c r="L168" s="178"/>
      <c r="M168" s="178"/>
      <c r="N168" s="178"/>
      <c r="O168" s="178"/>
      <c r="P168" s="178"/>
      <c r="Q168" s="178"/>
      <c r="R168" s="178"/>
      <c r="S168" s="178">
        <f t="shared" si="19"/>
        <v>0</v>
      </c>
    </row>
    <row r="169" spans="2:25" x14ac:dyDescent="0.15">
      <c r="B169" s="15"/>
      <c r="C169" s="225"/>
      <c r="D169" s="204"/>
      <c r="E169" s="10"/>
      <c r="F169" s="165" t="s">
        <v>81</v>
      </c>
      <c r="G169" s="169" t="s">
        <v>75</v>
      </c>
      <c r="H169" s="228"/>
      <c r="I169" s="178"/>
      <c r="J169" s="178"/>
      <c r="K169" s="178"/>
      <c r="L169" s="178"/>
      <c r="M169" s="178"/>
      <c r="N169" s="178"/>
      <c r="O169" s="178"/>
      <c r="P169" s="178"/>
      <c r="Q169" s="178"/>
      <c r="R169" s="178"/>
      <c r="S169" s="178">
        <f t="shared" si="19"/>
        <v>0</v>
      </c>
    </row>
    <row r="170" spans="2:25" x14ac:dyDescent="0.15">
      <c r="B170" s="15"/>
      <c r="C170" s="225"/>
      <c r="D170" s="205" t="s">
        <v>63</v>
      </c>
      <c r="E170" s="10"/>
      <c r="F170" s="163" t="s">
        <v>76</v>
      </c>
      <c r="G170" s="167" t="s">
        <v>70</v>
      </c>
      <c r="H170" s="228"/>
      <c r="I170" s="177"/>
      <c r="J170" s="177"/>
      <c r="K170" s="177"/>
      <c r="L170" s="177"/>
      <c r="M170" s="177"/>
      <c r="N170" s="178"/>
      <c r="O170" s="178"/>
      <c r="P170" s="178"/>
      <c r="Q170" s="178"/>
      <c r="R170" s="178"/>
      <c r="S170" s="178">
        <f t="shared" si="19"/>
        <v>0</v>
      </c>
    </row>
    <row r="171" spans="2:25" x14ac:dyDescent="0.15">
      <c r="B171" s="15"/>
      <c r="C171" s="225"/>
      <c r="D171" s="209"/>
      <c r="E171" s="10"/>
      <c r="F171" s="164" t="s">
        <v>77</v>
      </c>
      <c r="G171" s="169" t="s">
        <v>71</v>
      </c>
      <c r="H171" s="228"/>
      <c r="I171" s="178"/>
      <c r="J171" s="178"/>
      <c r="K171" s="178"/>
      <c r="L171" s="178"/>
      <c r="M171" s="178"/>
      <c r="N171" s="178"/>
      <c r="O171" s="178"/>
      <c r="P171" s="178"/>
      <c r="Q171" s="178"/>
      <c r="R171" s="178"/>
      <c r="S171" s="178">
        <f t="shared" si="19"/>
        <v>0</v>
      </c>
    </row>
    <row r="172" spans="2:25" x14ac:dyDescent="0.15">
      <c r="B172" s="15"/>
      <c r="C172" s="225"/>
      <c r="D172" s="209"/>
      <c r="E172" s="10"/>
      <c r="F172" s="164" t="s">
        <v>78</v>
      </c>
      <c r="G172" s="169" t="s">
        <v>72</v>
      </c>
      <c r="H172" s="228"/>
      <c r="I172" s="178"/>
      <c r="J172" s="178"/>
      <c r="K172" s="178"/>
      <c r="L172" s="178"/>
      <c r="M172" s="178"/>
      <c r="N172" s="178"/>
      <c r="O172" s="178"/>
      <c r="P172" s="178"/>
      <c r="Q172" s="178"/>
      <c r="R172" s="178"/>
      <c r="S172" s="178">
        <f t="shared" si="19"/>
        <v>0</v>
      </c>
    </row>
    <row r="173" spans="2:25" x14ac:dyDescent="0.15">
      <c r="B173" s="15"/>
      <c r="C173" s="225"/>
      <c r="D173" s="209"/>
      <c r="E173" s="10"/>
      <c r="F173" s="164" t="s">
        <v>79</v>
      </c>
      <c r="G173" s="169" t="s">
        <v>73</v>
      </c>
      <c r="H173" s="228"/>
      <c r="I173" s="178"/>
      <c r="J173" s="178"/>
      <c r="K173" s="178"/>
      <c r="L173" s="178"/>
      <c r="M173" s="178"/>
      <c r="N173" s="178"/>
      <c r="O173" s="178"/>
      <c r="P173" s="178"/>
      <c r="Q173" s="178"/>
      <c r="R173" s="178"/>
      <c r="S173" s="178">
        <f t="shared" si="19"/>
        <v>0</v>
      </c>
    </row>
    <row r="174" spans="2:25" x14ac:dyDescent="0.15">
      <c r="B174" s="15"/>
      <c r="C174" s="225"/>
      <c r="D174" s="209"/>
      <c r="E174" s="10"/>
      <c r="F174" s="164" t="s">
        <v>80</v>
      </c>
      <c r="G174" s="169" t="s">
        <v>74</v>
      </c>
      <c r="H174" s="228"/>
      <c r="I174" s="178"/>
      <c r="J174" s="178"/>
      <c r="K174" s="178"/>
      <c r="L174" s="178"/>
      <c r="M174" s="178"/>
      <c r="N174" s="178"/>
      <c r="O174" s="178"/>
      <c r="P174" s="178"/>
      <c r="Q174" s="178"/>
      <c r="R174" s="178"/>
      <c r="S174" s="178">
        <f t="shared" si="19"/>
        <v>0</v>
      </c>
    </row>
    <row r="175" spans="2:25" x14ac:dyDescent="0.15">
      <c r="B175" s="15"/>
      <c r="C175" s="225"/>
      <c r="D175" s="204"/>
      <c r="E175" s="10"/>
      <c r="F175" s="165" t="s">
        <v>81</v>
      </c>
      <c r="G175" s="169" t="s">
        <v>75</v>
      </c>
      <c r="H175" s="228"/>
      <c r="I175" s="178"/>
      <c r="J175" s="178"/>
      <c r="K175" s="178"/>
      <c r="L175" s="178"/>
      <c r="M175" s="178"/>
      <c r="N175" s="178"/>
      <c r="O175" s="178"/>
      <c r="P175" s="178"/>
      <c r="Q175" s="178"/>
      <c r="R175" s="178"/>
      <c r="S175" s="178">
        <f t="shared" si="19"/>
        <v>0</v>
      </c>
    </row>
    <row r="176" spans="2:25" x14ac:dyDescent="0.15">
      <c r="B176" s="15"/>
      <c r="C176" s="225"/>
      <c r="D176" s="205" t="s">
        <v>64</v>
      </c>
      <c r="E176" s="10"/>
      <c r="F176" s="163" t="s">
        <v>76</v>
      </c>
      <c r="G176" s="167" t="s">
        <v>70</v>
      </c>
      <c r="H176" s="228"/>
      <c r="I176" s="177"/>
      <c r="J176" s="177"/>
      <c r="K176" s="177"/>
      <c r="L176" s="177"/>
      <c r="M176" s="177"/>
      <c r="N176" s="178"/>
      <c r="O176" s="178"/>
      <c r="P176" s="178"/>
      <c r="Q176" s="178"/>
      <c r="R176" s="178"/>
      <c r="S176" s="178">
        <f t="shared" si="19"/>
        <v>0</v>
      </c>
    </row>
    <row r="177" spans="2:25" x14ac:dyDescent="0.15">
      <c r="B177" s="15"/>
      <c r="C177" s="225"/>
      <c r="D177" s="209"/>
      <c r="E177" s="10"/>
      <c r="F177" s="164" t="s">
        <v>77</v>
      </c>
      <c r="G177" s="169" t="s">
        <v>71</v>
      </c>
      <c r="H177" s="228"/>
      <c r="I177" s="178"/>
      <c r="J177" s="178"/>
      <c r="K177" s="178"/>
      <c r="L177" s="178"/>
      <c r="M177" s="178"/>
      <c r="N177" s="178"/>
      <c r="O177" s="178"/>
      <c r="P177" s="178"/>
      <c r="Q177" s="178"/>
      <c r="R177" s="178"/>
      <c r="S177" s="178">
        <f t="shared" si="19"/>
        <v>0</v>
      </c>
    </row>
    <row r="178" spans="2:25" x14ac:dyDescent="0.15">
      <c r="B178" s="15"/>
      <c r="C178" s="225"/>
      <c r="D178" s="209"/>
      <c r="E178" s="10"/>
      <c r="F178" s="164" t="s">
        <v>78</v>
      </c>
      <c r="G178" s="169" t="s">
        <v>72</v>
      </c>
      <c r="H178" s="228"/>
      <c r="I178" s="178"/>
      <c r="J178" s="178"/>
      <c r="K178" s="178"/>
      <c r="L178" s="178"/>
      <c r="M178" s="178"/>
      <c r="N178" s="178"/>
      <c r="O178" s="178"/>
      <c r="P178" s="178"/>
      <c r="Q178" s="178"/>
      <c r="R178" s="178"/>
      <c r="S178" s="178">
        <f t="shared" si="19"/>
        <v>0</v>
      </c>
    </row>
    <row r="179" spans="2:25" x14ac:dyDescent="0.15">
      <c r="B179" s="15"/>
      <c r="C179" s="225"/>
      <c r="D179" s="209"/>
      <c r="E179" s="10"/>
      <c r="F179" s="164" t="s">
        <v>79</v>
      </c>
      <c r="G179" s="169" t="s">
        <v>73</v>
      </c>
      <c r="H179" s="228"/>
      <c r="I179" s="178"/>
      <c r="J179" s="178"/>
      <c r="K179" s="178"/>
      <c r="L179" s="178"/>
      <c r="M179" s="178"/>
      <c r="N179" s="178"/>
      <c r="O179" s="178"/>
      <c r="P179" s="178"/>
      <c r="Q179" s="178"/>
      <c r="R179" s="178"/>
      <c r="S179" s="178">
        <f t="shared" si="19"/>
        <v>0</v>
      </c>
    </row>
    <row r="180" spans="2:25" x14ac:dyDescent="0.15">
      <c r="B180" s="15"/>
      <c r="C180" s="225"/>
      <c r="D180" s="209"/>
      <c r="E180" s="10"/>
      <c r="F180" s="164" t="s">
        <v>80</v>
      </c>
      <c r="G180" s="169" t="s">
        <v>74</v>
      </c>
      <c r="H180" s="228"/>
      <c r="I180" s="178"/>
      <c r="J180" s="178"/>
      <c r="K180" s="178"/>
      <c r="L180" s="178"/>
      <c r="M180" s="178"/>
      <c r="N180" s="178"/>
      <c r="O180" s="178"/>
      <c r="P180" s="178"/>
      <c r="Q180" s="178"/>
      <c r="R180" s="178"/>
      <c r="S180" s="178">
        <f t="shared" si="19"/>
        <v>0</v>
      </c>
    </row>
    <row r="181" spans="2:25" x14ac:dyDescent="0.15">
      <c r="B181" s="15"/>
      <c r="C181" s="226"/>
      <c r="D181" s="204"/>
      <c r="E181" s="10"/>
      <c r="F181" s="165" t="s">
        <v>81</v>
      </c>
      <c r="G181" s="185" t="s">
        <v>75</v>
      </c>
      <c r="H181" s="229"/>
      <c r="I181" s="178"/>
      <c r="J181" s="178"/>
      <c r="K181" s="178"/>
      <c r="L181" s="178"/>
      <c r="M181" s="178"/>
      <c r="N181" s="178"/>
      <c r="O181" s="178"/>
      <c r="P181" s="178"/>
      <c r="Q181" s="178"/>
      <c r="R181" s="178"/>
      <c r="S181" s="178">
        <f t="shared" si="19"/>
        <v>0</v>
      </c>
    </row>
    <row r="182" spans="2:25" s="11" customFormat="1" x14ac:dyDescent="0.15">
      <c r="B182" s="15"/>
      <c r="C182" s="8"/>
      <c r="D182" s="8"/>
      <c r="E182" s="9"/>
      <c r="F182" s="179"/>
      <c r="G182" s="179"/>
      <c r="H182" s="182"/>
      <c r="I182" s="178"/>
      <c r="J182" s="178"/>
      <c r="K182" s="178"/>
      <c r="L182" s="178"/>
      <c r="M182" s="178"/>
      <c r="N182" s="178"/>
      <c r="O182" s="178"/>
      <c r="P182" s="178"/>
      <c r="Q182" s="178"/>
      <c r="R182" s="178"/>
      <c r="S182" s="178"/>
      <c r="T182" s="2"/>
      <c r="U182" s="2"/>
      <c r="Y182" s="2"/>
    </row>
    <row r="183" spans="2:25" x14ac:dyDescent="0.15">
      <c r="B183" s="17"/>
      <c r="C183" s="13"/>
      <c r="D183" s="13"/>
      <c r="E183" s="12"/>
      <c r="F183" s="174"/>
      <c r="G183" s="174"/>
      <c r="H183" s="182"/>
      <c r="I183" s="176">
        <f>SUM(I164:I181)</f>
        <v>334</v>
      </c>
      <c r="J183" s="176">
        <f t="shared" ref="J183:R183" si="22">SUM(J164:J181)</f>
        <v>1362</v>
      </c>
      <c r="K183" s="176">
        <f t="shared" si="22"/>
        <v>2365</v>
      </c>
      <c r="L183" s="176">
        <f t="shared" si="22"/>
        <v>3419</v>
      </c>
      <c r="M183" s="176">
        <f t="shared" si="22"/>
        <v>5698</v>
      </c>
      <c r="N183" s="176">
        <f t="shared" si="22"/>
        <v>4455</v>
      </c>
      <c r="O183" s="176">
        <f t="shared" si="22"/>
        <v>1308</v>
      </c>
      <c r="P183" s="176">
        <f t="shared" si="22"/>
        <v>0</v>
      </c>
      <c r="Q183" s="176">
        <f t="shared" si="22"/>
        <v>0</v>
      </c>
      <c r="R183" s="176">
        <f t="shared" si="22"/>
        <v>0</v>
      </c>
      <c r="S183" s="176"/>
    </row>
    <row r="184" spans="2:25" s="11" customFormat="1" x14ac:dyDescent="0.15">
      <c r="B184" s="15"/>
      <c r="C184" s="42"/>
      <c r="D184" s="42"/>
      <c r="E184" s="43"/>
      <c r="F184" s="41"/>
      <c r="G184" s="41"/>
      <c r="H184" s="44"/>
      <c r="I184" s="187">
        <f>SUM(I183,I163,I143,I123,I103,I83,I63,I43,I23)</f>
        <v>733</v>
      </c>
      <c r="J184" s="187">
        <f>SUM(J183,J163,J143,J123,J103,J83,J63,J43,J23)</f>
        <v>2961</v>
      </c>
      <c r="K184" s="187">
        <f>SUM(K183,K163,K143,K123,K103,K83,K63,K43,K23)</f>
        <v>5831</v>
      </c>
      <c r="L184" s="187">
        <f t="shared" ref="L184:R184" si="23">SUM(L183,L163,L143,L123,L103,L83,L63,L43,L23)</f>
        <v>8582</v>
      </c>
      <c r="M184" s="187">
        <f t="shared" si="23"/>
        <v>14423</v>
      </c>
      <c r="N184" s="187">
        <f t="shared" si="23"/>
        <v>11174</v>
      </c>
      <c r="O184" s="191">
        <f t="shared" si="23"/>
        <v>2978</v>
      </c>
      <c r="P184" s="187">
        <f t="shared" si="23"/>
        <v>1755</v>
      </c>
      <c r="Q184" s="187">
        <f t="shared" si="23"/>
        <v>2741</v>
      </c>
      <c r="R184" s="187">
        <f t="shared" si="23"/>
        <v>1791</v>
      </c>
      <c r="S184" s="40">
        <f>SUM(I184:R184)</f>
        <v>52969</v>
      </c>
      <c r="T184" s="2"/>
      <c r="U184" s="192" t="s">
        <v>82</v>
      </c>
      <c r="V184" s="2"/>
      <c r="W184" s="2"/>
      <c r="X184" s="2"/>
      <c r="Y184" s="2"/>
    </row>
    <row r="185" spans="2:25" x14ac:dyDescent="0.15">
      <c r="B185" s="17"/>
      <c r="C185" s="45"/>
      <c r="D185" s="45"/>
      <c r="E185" s="41"/>
      <c r="F185" s="41"/>
      <c r="G185" s="41"/>
      <c r="H185" s="44"/>
      <c r="I185" s="40"/>
      <c r="J185" s="40"/>
      <c r="K185" s="40"/>
      <c r="L185" s="40"/>
      <c r="M185" s="40"/>
      <c r="N185" s="40"/>
      <c r="O185" s="40"/>
      <c r="P185" s="40"/>
      <c r="Q185" s="40"/>
      <c r="R185" s="40">
        <v>13484</v>
      </c>
      <c r="S185" s="40"/>
    </row>
    <row r="186" spans="2:25" hidden="1" x14ac:dyDescent="0.15">
      <c r="B186" s="15"/>
      <c r="C186" s="211">
        <v>66801</v>
      </c>
      <c r="D186" s="213" t="s">
        <v>28</v>
      </c>
      <c r="E186" s="31">
        <v>517199</v>
      </c>
      <c r="F186" s="32" t="s">
        <v>14</v>
      </c>
      <c r="G186" s="155"/>
      <c r="H186" s="230">
        <v>44175</v>
      </c>
      <c r="I186" s="33"/>
      <c r="J186" s="33">
        <v>120</v>
      </c>
      <c r="K186" s="33">
        <v>120</v>
      </c>
      <c r="L186" s="33">
        <v>60</v>
      </c>
      <c r="M186" s="33">
        <v>60</v>
      </c>
      <c r="N186" s="33"/>
      <c r="O186" s="33"/>
      <c r="P186" s="33"/>
      <c r="Q186" s="33"/>
      <c r="R186" s="33"/>
      <c r="S186" s="33">
        <f>SUM(I186:R186)</f>
        <v>360</v>
      </c>
      <c r="U186" s="23"/>
    </row>
    <row r="187" spans="2:25" hidden="1" x14ac:dyDescent="0.15">
      <c r="B187" s="15"/>
      <c r="C187" s="212"/>
      <c r="D187" s="213"/>
      <c r="E187" s="31">
        <v>517199</v>
      </c>
      <c r="F187" s="32" t="s">
        <v>17</v>
      </c>
      <c r="G187" s="156"/>
      <c r="H187" s="231"/>
      <c r="I187" s="33"/>
      <c r="J187" s="33">
        <v>104</v>
      </c>
      <c r="K187" s="33">
        <v>104</v>
      </c>
      <c r="L187" s="33">
        <v>52</v>
      </c>
      <c r="M187" s="33">
        <v>52</v>
      </c>
      <c r="N187" s="33"/>
      <c r="O187" s="33"/>
      <c r="P187" s="33"/>
      <c r="Q187" s="33"/>
      <c r="R187" s="33"/>
      <c r="S187" s="33">
        <f t="shared" ref="S187:S189" si="24">SUM(I187:R187)</f>
        <v>312</v>
      </c>
      <c r="U187" s="23"/>
    </row>
    <row r="188" spans="2:25" hidden="1" x14ac:dyDescent="0.15">
      <c r="B188" s="15"/>
      <c r="C188" s="212"/>
      <c r="D188" s="213"/>
      <c r="E188" s="31">
        <v>517199</v>
      </c>
      <c r="F188" s="34" t="s">
        <v>15</v>
      </c>
      <c r="G188" s="157"/>
      <c r="H188" s="231"/>
      <c r="I188" s="33"/>
      <c r="J188" s="33">
        <v>216</v>
      </c>
      <c r="K188" s="33">
        <v>216</v>
      </c>
      <c r="L188" s="33">
        <v>108</v>
      </c>
      <c r="M188" s="33">
        <v>108</v>
      </c>
      <c r="N188" s="33"/>
      <c r="O188" s="33"/>
      <c r="P188" s="33"/>
      <c r="Q188" s="33"/>
      <c r="R188" s="33"/>
      <c r="S188" s="33">
        <f t="shared" si="24"/>
        <v>648</v>
      </c>
      <c r="U188" s="23"/>
    </row>
    <row r="189" spans="2:25" hidden="1" x14ac:dyDescent="0.15">
      <c r="B189" s="15"/>
      <c r="C189" s="212"/>
      <c r="D189" s="213"/>
      <c r="E189" s="31">
        <v>517199</v>
      </c>
      <c r="F189" s="34" t="s">
        <v>16</v>
      </c>
      <c r="G189" s="157"/>
      <c r="H189" s="231"/>
      <c r="I189" s="33"/>
      <c r="J189" s="33">
        <v>92</v>
      </c>
      <c r="K189" s="33">
        <v>92</v>
      </c>
      <c r="L189" s="33">
        <v>46</v>
      </c>
      <c r="M189" s="33">
        <v>46</v>
      </c>
      <c r="N189" s="33"/>
      <c r="O189" s="33"/>
      <c r="P189" s="33"/>
      <c r="Q189" s="33"/>
      <c r="R189" s="33"/>
      <c r="S189" s="33">
        <f t="shared" si="24"/>
        <v>276</v>
      </c>
      <c r="U189" s="23"/>
      <c r="V189" s="30"/>
    </row>
    <row r="190" spans="2:25" s="11" customFormat="1" hidden="1" x14ac:dyDescent="0.15">
      <c r="B190" s="15"/>
      <c r="C190" s="35"/>
      <c r="D190" s="35"/>
      <c r="E190" s="36"/>
      <c r="F190" s="34"/>
      <c r="G190" s="34"/>
      <c r="H190" s="37" t="s">
        <v>8</v>
      </c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2"/>
      <c r="U190" s="2"/>
      <c r="V190" s="2"/>
      <c r="W190" s="2"/>
      <c r="X190" s="2"/>
      <c r="Y190" s="2"/>
    </row>
    <row r="191" spans="2:25" hidden="1" x14ac:dyDescent="0.15">
      <c r="B191" s="17"/>
      <c r="C191" s="38" t="s">
        <v>9</v>
      </c>
      <c r="D191" s="38"/>
      <c r="E191" s="34" t="s">
        <v>7</v>
      </c>
      <c r="F191" s="34"/>
      <c r="G191" s="34"/>
      <c r="H191" s="37" t="s">
        <v>10</v>
      </c>
      <c r="I191" s="33">
        <f t="shared" ref="I191:S191" si="25">SUM(I186:I190)</f>
        <v>0</v>
      </c>
      <c r="J191" s="33">
        <f t="shared" si="25"/>
        <v>532</v>
      </c>
      <c r="K191" s="33">
        <f t="shared" si="25"/>
        <v>532</v>
      </c>
      <c r="L191" s="33">
        <f t="shared" si="25"/>
        <v>266</v>
      </c>
      <c r="M191" s="33">
        <f t="shared" si="25"/>
        <v>266</v>
      </c>
      <c r="N191" s="33">
        <f t="shared" si="25"/>
        <v>0</v>
      </c>
      <c r="O191" s="33">
        <f t="shared" ref="O191:P191" si="26">SUM(O186:O190)</f>
        <v>0</v>
      </c>
      <c r="P191" s="33">
        <f t="shared" si="26"/>
        <v>0</v>
      </c>
      <c r="Q191" s="33">
        <f t="shared" si="25"/>
        <v>0</v>
      </c>
      <c r="R191" s="33">
        <f t="shared" si="25"/>
        <v>0</v>
      </c>
      <c r="S191" s="33">
        <f t="shared" si="25"/>
        <v>1596</v>
      </c>
    </row>
    <row r="192" spans="2:25" hidden="1" x14ac:dyDescent="0.15">
      <c r="B192" s="15"/>
      <c r="C192" s="211">
        <v>66806</v>
      </c>
      <c r="D192" s="213" t="s">
        <v>28</v>
      </c>
      <c r="E192" s="31">
        <v>517199</v>
      </c>
      <c r="F192" s="32" t="s">
        <v>14</v>
      </c>
      <c r="G192" s="155"/>
      <c r="H192" s="230">
        <v>44175</v>
      </c>
      <c r="I192" s="33"/>
      <c r="J192" s="33">
        <v>52</v>
      </c>
      <c r="K192" s="33">
        <v>52</v>
      </c>
      <c r="L192" s="33">
        <v>26</v>
      </c>
      <c r="M192" s="33">
        <v>26</v>
      </c>
      <c r="N192" s="33"/>
      <c r="O192" s="33"/>
      <c r="P192" s="33"/>
      <c r="Q192" s="33"/>
      <c r="R192" s="33"/>
      <c r="S192" s="33">
        <f>SUM(I192:R192)</f>
        <v>156</v>
      </c>
      <c r="U192" s="23"/>
    </row>
    <row r="193" spans="2:25" hidden="1" x14ac:dyDescent="0.15">
      <c r="B193" s="15"/>
      <c r="C193" s="212"/>
      <c r="D193" s="213"/>
      <c r="E193" s="31">
        <v>517199</v>
      </c>
      <c r="F193" s="32" t="s">
        <v>17</v>
      </c>
      <c r="G193" s="156"/>
      <c r="H193" s="231"/>
      <c r="I193" s="33"/>
      <c r="J193" s="33">
        <v>46</v>
      </c>
      <c r="K193" s="33">
        <v>46</v>
      </c>
      <c r="L193" s="33">
        <v>23</v>
      </c>
      <c r="M193" s="33">
        <v>23</v>
      </c>
      <c r="N193" s="33"/>
      <c r="O193" s="33"/>
      <c r="P193" s="33"/>
      <c r="Q193" s="33"/>
      <c r="R193" s="33"/>
      <c r="S193" s="33">
        <f t="shared" ref="S193:S195" si="27">SUM(I193:R193)</f>
        <v>138</v>
      </c>
      <c r="U193" s="23"/>
    </row>
    <row r="194" spans="2:25" hidden="1" x14ac:dyDescent="0.15">
      <c r="B194" s="15"/>
      <c r="C194" s="212"/>
      <c r="D194" s="213"/>
      <c r="E194" s="31">
        <v>517199</v>
      </c>
      <c r="F194" s="34" t="s">
        <v>15</v>
      </c>
      <c r="G194" s="157"/>
      <c r="H194" s="231"/>
      <c r="I194" s="33"/>
      <c r="J194" s="33">
        <v>94</v>
      </c>
      <c r="K194" s="33">
        <v>94</v>
      </c>
      <c r="L194" s="33">
        <v>47</v>
      </c>
      <c r="M194" s="33">
        <v>47</v>
      </c>
      <c r="N194" s="33"/>
      <c r="O194" s="33"/>
      <c r="P194" s="33"/>
      <c r="Q194" s="33"/>
      <c r="R194" s="33"/>
      <c r="S194" s="33">
        <f t="shared" si="27"/>
        <v>282</v>
      </c>
      <c r="U194" s="23"/>
    </row>
    <row r="195" spans="2:25" hidden="1" x14ac:dyDescent="0.15">
      <c r="B195" s="15"/>
      <c r="C195" s="212"/>
      <c r="D195" s="213"/>
      <c r="E195" s="31">
        <v>517199</v>
      </c>
      <c r="F195" s="34" t="s">
        <v>16</v>
      </c>
      <c r="G195" s="157"/>
      <c r="H195" s="231"/>
      <c r="I195" s="33"/>
      <c r="J195" s="33">
        <v>40</v>
      </c>
      <c r="K195" s="33">
        <v>40</v>
      </c>
      <c r="L195" s="33">
        <v>20</v>
      </c>
      <c r="M195" s="33">
        <v>20</v>
      </c>
      <c r="N195" s="33"/>
      <c r="O195" s="33"/>
      <c r="P195" s="33"/>
      <c r="Q195" s="33"/>
      <c r="R195" s="33"/>
      <c r="S195" s="33">
        <f t="shared" si="27"/>
        <v>120</v>
      </c>
      <c r="U195" s="23"/>
      <c r="V195" s="30"/>
    </row>
    <row r="196" spans="2:25" s="11" customFormat="1" hidden="1" x14ac:dyDescent="0.15">
      <c r="B196" s="15"/>
      <c r="C196" s="35"/>
      <c r="D196" s="35"/>
      <c r="E196" s="36"/>
      <c r="F196" s="34"/>
      <c r="G196" s="34"/>
      <c r="H196" s="37" t="s">
        <v>8</v>
      </c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2"/>
      <c r="U196" s="2"/>
      <c r="V196" s="2"/>
      <c r="W196" s="2"/>
      <c r="X196" s="2"/>
      <c r="Y196" s="2"/>
    </row>
    <row r="197" spans="2:25" hidden="1" x14ac:dyDescent="0.15">
      <c r="B197" s="17"/>
      <c r="C197" s="38" t="s">
        <v>9</v>
      </c>
      <c r="D197" s="38"/>
      <c r="E197" s="34" t="s">
        <v>7</v>
      </c>
      <c r="F197" s="34"/>
      <c r="G197" s="34"/>
      <c r="H197" s="37" t="s">
        <v>10</v>
      </c>
      <c r="I197" s="33">
        <f t="shared" ref="I197:S197" si="28">SUM(I192:I196)</f>
        <v>0</v>
      </c>
      <c r="J197" s="33">
        <f t="shared" si="28"/>
        <v>232</v>
      </c>
      <c r="K197" s="33">
        <f t="shared" si="28"/>
        <v>232</v>
      </c>
      <c r="L197" s="33">
        <f t="shared" si="28"/>
        <v>116</v>
      </c>
      <c r="M197" s="33">
        <f t="shared" si="28"/>
        <v>116</v>
      </c>
      <c r="N197" s="33">
        <f t="shared" si="28"/>
        <v>0</v>
      </c>
      <c r="O197" s="33">
        <f t="shared" ref="O197:P197" si="29">SUM(O192:O196)</f>
        <v>0</v>
      </c>
      <c r="P197" s="33">
        <f t="shared" si="29"/>
        <v>0</v>
      </c>
      <c r="Q197" s="33">
        <f t="shared" si="28"/>
        <v>0</v>
      </c>
      <c r="R197" s="33">
        <f t="shared" si="28"/>
        <v>0</v>
      </c>
      <c r="S197" s="33">
        <f t="shared" si="28"/>
        <v>696</v>
      </c>
    </row>
    <row r="198" spans="2:25" hidden="1" x14ac:dyDescent="0.15">
      <c r="B198" s="15"/>
      <c r="C198" s="211">
        <v>66807</v>
      </c>
      <c r="D198" s="213" t="s">
        <v>28</v>
      </c>
      <c r="E198" s="31">
        <v>517199</v>
      </c>
      <c r="F198" s="32" t="s">
        <v>14</v>
      </c>
      <c r="G198" s="155"/>
      <c r="H198" s="230">
        <v>44175</v>
      </c>
      <c r="I198" s="33"/>
      <c r="J198" s="33">
        <v>52</v>
      </c>
      <c r="K198" s="33">
        <v>52</v>
      </c>
      <c r="L198" s="33">
        <v>26</v>
      </c>
      <c r="M198" s="33">
        <v>26</v>
      </c>
      <c r="N198" s="33"/>
      <c r="O198" s="33"/>
      <c r="P198" s="33"/>
      <c r="Q198" s="33"/>
      <c r="R198" s="33"/>
      <c r="S198" s="33">
        <f>SUM(I198:R198)</f>
        <v>156</v>
      </c>
      <c r="U198" s="23"/>
    </row>
    <row r="199" spans="2:25" hidden="1" x14ac:dyDescent="0.15">
      <c r="B199" s="15"/>
      <c r="C199" s="212"/>
      <c r="D199" s="213"/>
      <c r="E199" s="31">
        <v>517199</v>
      </c>
      <c r="F199" s="32" t="s">
        <v>17</v>
      </c>
      <c r="G199" s="156"/>
      <c r="H199" s="231"/>
      <c r="I199" s="33"/>
      <c r="J199" s="33">
        <v>46</v>
      </c>
      <c r="K199" s="33">
        <v>46</v>
      </c>
      <c r="L199" s="33">
        <v>23</v>
      </c>
      <c r="M199" s="33">
        <v>23</v>
      </c>
      <c r="N199" s="33"/>
      <c r="O199" s="33"/>
      <c r="P199" s="33"/>
      <c r="Q199" s="33"/>
      <c r="R199" s="33"/>
      <c r="S199" s="33">
        <f t="shared" ref="S199:S201" si="30">SUM(I199:R199)</f>
        <v>138</v>
      </c>
      <c r="U199" s="23"/>
    </row>
    <row r="200" spans="2:25" hidden="1" x14ac:dyDescent="0.15">
      <c r="B200" s="15"/>
      <c r="C200" s="212"/>
      <c r="D200" s="213"/>
      <c r="E200" s="31">
        <v>517199</v>
      </c>
      <c r="F200" s="34" t="s">
        <v>15</v>
      </c>
      <c r="G200" s="157"/>
      <c r="H200" s="231"/>
      <c r="I200" s="33"/>
      <c r="J200" s="33">
        <v>94</v>
      </c>
      <c r="K200" s="33">
        <v>94</v>
      </c>
      <c r="L200" s="33">
        <v>47</v>
      </c>
      <c r="M200" s="33">
        <v>47</v>
      </c>
      <c r="N200" s="33"/>
      <c r="O200" s="33"/>
      <c r="P200" s="33"/>
      <c r="Q200" s="33"/>
      <c r="R200" s="33"/>
      <c r="S200" s="33">
        <f t="shared" si="30"/>
        <v>282</v>
      </c>
      <c r="U200" s="23"/>
    </row>
    <row r="201" spans="2:25" hidden="1" x14ac:dyDescent="0.15">
      <c r="B201" s="15"/>
      <c r="C201" s="212"/>
      <c r="D201" s="213"/>
      <c r="E201" s="31">
        <v>517199</v>
      </c>
      <c r="F201" s="34" t="s">
        <v>16</v>
      </c>
      <c r="G201" s="157"/>
      <c r="H201" s="231"/>
      <c r="I201" s="33"/>
      <c r="J201" s="33">
        <v>40</v>
      </c>
      <c r="K201" s="33">
        <v>40</v>
      </c>
      <c r="L201" s="33">
        <v>20</v>
      </c>
      <c r="M201" s="33">
        <v>20</v>
      </c>
      <c r="N201" s="33"/>
      <c r="O201" s="33"/>
      <c r="P201" s="33"/>
      <c r="Q201" s="33"/>
      <c r="R201" s="33"/>
      <c r="S201" s="33">
        <f t="shared" si="30"/>
        <v>120</v>
      </c>
      <c r="U201" s="23"/>
      <c r="V201" s="30"/>
    </row>
    <row r="202" spans="2:25" s="11" customFormat="1" hidden="1" x14ac:dyDescent="0.15">
      <c r="B202" s="15"/>
      <c r="C202" s="35"/>
      <c r="D202" s="35"/>
      <c r="E202" s="36"/>
      <c r="F202" s="34"/>
      <c r="G202" s="34"/>
      <c r="H202" s="37" t="s">
        <v>8</v>
      </c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2"/>
      <c r="U202" s="2"/>
      <c r="V202" s="2"/>
      <c r="W202" s="2"/>
      <c r="X202" s="2"/>
      <c r="Y202" s="2"/>
    </row>
    <row r="203" spans="2:25" hidden="1" x14ac:dyDescent="0.15">
      <c r="B203" s="17"/>
      <c r="C203" s="38" t="s">
        <v>9</v>
      </c>
      <c r="D203" s="38"/>
      <c r="E203" s="34" t="s">
        <v>7</v>
      </c>
      <c r="F203" s="34"/>
      <c r="G203" s="34"/>
      <c r="H203" s="37" t="s">
        <v>10</v>
      </c>
      <c r="I203" s="33">
        <f t="shared" ref="I203:S203" si="31">SUM(I198:I202)</f>
        <v>0</v>
      </c>
      <c r="J203" s="33">
        <f t="shared" si="31"/>
        <v>232</v>
      </c>
      <c r="K203" s="33">
        <f t="shared" si="31"/>
        <v>232</v>
      </c>
      <c r="L203" s="33">
        <f t="shared" si="31"/>
        <v>116</v>
      </c>
      <c r="M203" s="33">
        <f t="shared" si="31"/>
        <v>116</v>
      </c>
      <c r="N203" s="33">
        <f t="shared" si="31"/>
        <v>0</v>
      </c>
      <c r="O203" s="33">
        <f t="shared" ref="O203:P203" si="32">SUM(O198:O202)</f>
        <v>0</v>
      </c>
      <c r="P203" s="33">
        <f t="shared" si="32"/>
        <v>0</v>
      </c>
      <c r="Q203" s="33">
        <f t="shared" si="31"/>
        <v>0</v>
      </c>
      <c r="R203" s="33">
        <f t="shared" si="31"/>
        <v>0</v>
      </c>
      <c r="S203" s="33">
        <f t="shared" si="31"/>
        <v>696</v>
      </c>
    </row>
    <row r="204" spans="2:25" hidden="1" x14ac:dyDescent="0.15">
      <c r="B204" s="15"/>
      <c r="C204" s="211">
        <v>66847</v>
      </c>
      <c r="D204" s="213" t="s">
        <v>28</v>
      </c>
      <c r="E204" s="31">
        <v>517199</v>
      </c>
      <c r="F204" s="32" t="s">
        <v>14</v>
      </c>
      <c r="G204" s="155"/>
      <c r="H204" s="230">
        <v>44175</v>
      </c>
      <c r="I204" s="33">
        <v>100</v>
      </c>
      <c r="J204" s="33">
        <v>200</v>
      </c>
      <c r="K204" s="33">
        <v>200</v>
      </c>
      <c r="L204" s="33">
        <v>200</v>
      </c>
      <c r="M204" s="33">
        <v>100</v>
      </c>
      <c r="N204" s="33"/>
      <c r="O204" s="33"/>
      <c r="P204" s="33"/>
      <c r="Q204" s="33"/>
      <c r="R204" s="33"/>
      <c r="S204" s="33">
        <f>SUM(I204:R204)</f>
        <v>800</v>
      </c>
      <c r="U204" s="23"/>
    </row>
    <row r="205" spans="2:25" hidden="1" x14ac:dyDescent="0.15">
      <c r="B205" s="15"/>
      <c r="C205" s="212"/>
      <c r="D205" s="213"/>
      <c r="E205" s="31">
        <v>517199</v>
      </c>
      <c r="F205" s="32" t="s">
        <v>17</v>
      </c>
      <c r="G205" s="156"/>
      <c r="H205" s="231"/>
      <c r="I205" s="33">
        <v>100</v>
      </c>
      <c r="J205" s="33">
        <v>200</v>
      </c>
      <c r="K205" s="33">
        <v>200</v>
      </c>
      <c r="L205" s="33">
        <v>200</v>
      </c>
      <c r="M205" s="33">
        <v>100</v>
      </c>
      <c r="N205" s="33"/>
      <c r="O205" s="33"/>
      <c r="P205" s="33"/>
      <c r="Q205" s="33"/>
      <c r="R205" s="33"/>
      <c r="S205" s="33">
        <f t="shared" ref="S205:S207" si="33">SUM(I205:R205)</f>
        <v>800</v>
      </c>
      <c r="U205" s="23"/>
    </row>
    <row r="206" spans="2:25" hidden="1" x14ac:dyDescent="0.15">
      <c r="B206" s="15"/>
      <c r="C206" s="212"/>
      <c r="D206" s="213"/>
      <c r="E206" s="31">
        <v>517199</v>
      </c>
      <c r="F206" s="34" t="s">
        <v>15</v>
      </c>
      <c r="G206" s="157"/>
      <c r="H206" s="231"/>
      <c r="I206" s="33">
        <v>100</v>
      </c>
      <c r="J206" s="33">
        <v>200</v>
      </c>
      <c r="K206" s="33">
        <v>200</v>
      </c>
      <c r="L206" s="33">
        <v>200</v>
      </c>
      <c r="M206" s="33">
        <v>100</v>
      </c>
      <c r="N206" s="33"/>
      <c r="O206" s="33"/>
      <c r="P206" s="33"/>
      <c r="Q206" s="33"/>
      <c r="R206" s="33"/>
      <c r="S206" s="33">
        <f t="shared" si="33"/>
        <v>800</v>
      </c>
      <c r="U206" s="23"/>
    </row>
    <row r="207" spans="2:25" hidden="1" x14ac:dyDescent="0.15">
      <c r="B207" s="15"/>
      <c r="C207" s="212"/>
      <c r="D207" s="213"/>
      <c r="E207" s="31">
        <v>517199</v>
      </c>
      <c r="F207" s="34" t="s">
        <v>16</v>
      </c>
      <c r="G207" s="157"/>
      <c r="H207" s="231"/>
      <c r="I207" s="33">
        <v>100</v>
      </c>
      <c r="J207" s="33">
        <v>200</v>
      </c>
      <c r="K207" s="33">
        <v>200</v>
      </c>
      <c r="L207" s="33">
        <v>200</v>
      </c>
      <c r="M207" s="33">
        <v>100</v>
      </c>
      <c r="N207" s="33"/>
      <c r="O207" s="33"/>
      <c r="P207" s="33"/>
      <c r="Q207" s="33"/>
      <c r="R207" s="33"/>
      <c r="S207" s="33">
        <f t="shared" si="33"/>
        <v>800</v>
      </c>
      <c r="U207" s="23"/>
      <c r="V207" s="30"/>
    </row>
    <row r="208" spans="2:25" s="11" customFormat="1" hidden="1" x14ac:dyDescent="0.15">
      <c r="B208" s="15"/>
      <c r="C208" s="35"/>
      <c r="D208" s="35"/>
      <c r="E208" s="36"/>
      <c r="F208" s="34"/>
      <c r="G208" s="34"/>
      <c r="H208" s="37" t="s">
        <v>8</v>
      </c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2"/>
      <c r="U208" s="2"/>
      <c r="V208" s="2"/>
      <c r="W208" s="2"/>
      <c r="X208" s="2"/>
      <c r="Y208" s="2"/>
    </row>
    <row r="209" spans="2:25" hidden="1" x14ac:dyDescent="0.15">
      <c r="B209" s="17"/>
      <c r="C209" s="38" t="s">
        <v>9</v>
      </c>
      <c r="D209" s="38"/>
      <c r="E209" s="34" t="s">
        <v>7</v>
      </c>
      <c r="F209" s="34"/>
      <c r="G209" s="34"/>
      <c r="H209" s="37" t="s">
        <v>10</v>
      </c>
      <c r="I209" s="33">
        <f t="shared" ref="I209:S209" si="34">SUM(I204:I208)</f>
        <v>400</v>
      </c>
      <c r="J209" s="33">
        <f t="shared" si="34"/>
        <v>800</v>
      </c>
      <c r="K209" s="33">
        <f t="shared" si="34"/>
        <v>800</v>
      </c>
      <c r="L209" s="33">
        <f t="shared" si="34"/>
        <v>800</v>
      </c>
      <c r="M209" s="33">
        <f t="shared" si="34"/>
        <v>400</v>
      </c>
      <c r="N209" s="33">
        <f t="shared" si="34"/>
        <v>0</v>
      </c>
      <c r="O209" s="33">
        <f t="shared" ref="O209:P209" si="35">SUM(O204:O208)</f>
        <v>0</v>
      </c>
      <c r="P209" s="33">
        <f t="shared" si="35"/>
        <v>0</v>
      </c>
      <c r="Q209" s="33">
        <f t="shared" si="34"/>
        <v>0</v>
      </c>
      <c r="R209" s="33">
        <f t="shared" si="34"/>
        <v>0</v>
      </c>
      <c r="S209" s="33">
        <f t="shared" si="34"/>
        <v>3200</v>
      </c>
    </row>
    <row r="210" spans="2:25" hidden="1" x14ac:dyDescent="0.15">
      <c r="B210" s="15"/>
      <c r="C210" s="211">
        <v>66844</v>
      </c>
      <c r="D210" s="213" t="s">
        <v>28</v>
      </c>
      <c r="E210" s="31">
        <v>517199</v>
      </c>
      <c r="F210" s="32" t="s">
        <v>14</v>
      </c>
      <c r="G210" s="155"/>
      <c r="H210" s="230">
        <v>44175</v>
      </c>
      <c r="I210" s="33">
        <v>50</v>
      </c>
      <c r="J210" s="33">
        <v>100</v>
      </c>
      <c r="K210" s="33">
        <v>100</v>
      </c>
      <c r="L210" s="33">
        <v>100</v>
      </c>
      <c r="M210" s="33">
        <v>50</v>
      </c>
      <c r="N210" s="33"/>
      <c r="O210" s="33"/>
      <c r="P210" s="33"/>
      <c r="Q210" s="33"/>
      <c r="R210" s="33"/>
      <c r="S210" s="33">
        <f>SUM(I210:R210)</f>
        <v>400</v>
      </c>
      <c r="U210" s="23"/>
    </row>
    <row r="211" spans="2:25" hidden="1" x14ac:dyDescent="0.15">
      <c r="B211" s="15"/>
      <c r="C211" s="212"/>
      <c r="D211" s="213"/>
      <c r="E211" s="31">
        <v>517199</v>
      </c>
      <c r="F211" s="32" t="s">
        <v>17</v>
      </c>
      <c r="G211" s="156"/>
      <c r="H211" s="231"/>
      <c r="I211" s="33">
        <v>50</v>
      </c>
      <c r="J211" s="33">
        <v>100</v>
      </c>
      <c r="K211" s="33">
        <v>100</v>
      </c>
      <c r="L211" s="33">
        <v>100</v>
      </c>
      <c r="M211" s="33">
        <v>50</v>
      </c>
      <c r="N211" s="33"/>
      <c r="O211" s="33"/>
      <c r="P211" s="33"/>
      <c r="Q211" s="33"/>
      <c r="R211" s="33"/>
      <c r="S211" s="33">
        <f t="shared" ref="S211:S213" si="36">SUM(I211:R211)</f>
        <v>400</v>
      </c>
      <c r="U211" s="23"/>
    </row>
    <row r="212" spans="2:25" hidden="1" x14ac:dyDescent="0.15">
      <c r="B212" s="15"/>
      <c r="C212" s="212"/>
      <c r="D212" s="213"/>
      <c r="E212" s="31">
        <v>517199</v>
      </c>
      <c r="F212" s="34" t="s">
        <v>15</v>
      </c>
      <c r="G212" s="157"/>
      <c r="H212" s="231"/>
      <c r="I212" s="33">
        <v>50</v>
      </c>
      <c r="J212" s="33">
        <v>100</v>
      </c>
      <c r="K212" s="33">
        <v>100</v>
      </c>
      <c r="L212" s="33">
        <v>100</v>
      </c>
      <c r="M212" s="33">
        <v>50</v>
      </c>
      <c r="N212" s="33"/>
      <c r="O212" s="33"/>
      <c r="P212" s="33"/>
      <c r="Q212" s="33"/>
      <c r="R212" s="33"/>
      <c r="S212" s="33">
        <f t="shared" si="36"/>
        <v>400</v>
      </c>
      <c r="U212" s="23"/>
    </row>
    <row r="213" spans="2:25" hidden="1" x14ac:dyDescent="0.15">
      <c r="B213" s="15"/>
      <c r="C213" s="212"/>
      <c r="D213" s="213"/>
      <c r="E213" s="31">
        <v>517199</v>
      </c>
      <c r="F213" s="34" t="s">
        <v>16</v>
      </c>
      <c r="G213" s="157"/>
      <c r="H213" s="231"/>
      <c r="I213" s="33">
        <v>50</v>
      </c>
      <c r="J213" s="33">
        <v>100</v>
      </c>
      <c r="K213" s="33">
        <v>100</v>
      </c>
      <c r="L213" s="33">
        <v>100</v>
      </c>
      <c r="M213" s="33">
        <v>50</v>
      </c>
      <c r="N213" s="33"/>
      <c r="O213" s="33"/>
      <c r="P213" s="33"/>
      <c r="Q213" s="33"/>
      <c r="R213" s="33"/>
      <c r="S213" s="33">
        <f t="shared" si="36"/>
        <v>400</v>
      </c>
      <c r="U213" s="23"/>
      <c r="V213" s="30"/>
    </row>
    <row r="214" spans="2:25" s="11" customFormat="1" hidden="1" x14ac:dyDescent="0.15">
      <c r="B214" s="15"/>
      <c r="C214" s="35"/>
      <c r="D214" s="35"/>
      <c r="E214" s="36"/>
      <c r="F214" s="34"/>
      <c r="G214" s="34"/>
      <c r="H214" s="37" t="s">
        <v>8</v>
      </c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2"/>
      <c r="U214" s="2"/>
      <c r="V214" s="2"/>
      <c r="W214" s="2"/>
      <c r="X214" s="2"/>
      <c r="Y214" s="2"/>
    </row>
    <row r="215" spans="2:25" hidden="1" x14ac:dyDescent="0.15">
      <c r="B215" s="17"/>
      <c r="C215" s="38" t="s">
        <v>9</v>
      </c>
      <c r="D215" s="38"/>
      <c r="E215" s="34" t="s">
        <v>7</v>
      </c>
      <c r="F215" s="34"/>
      <c r="G215" s="34"/>
      <c r="H215" s="37" t="s">
        <v>10</v>
      </c>
      <c r="I215" s="33">
        <f t="shared" ref="I215:S215" si="37">SUM(I210:I214)</f>
        <v>200</v>
      </c>
      <c r="J215" s="33">
        <f t="shared" si="37"/>
        <v>400</v>
      </c>
      <c r="K215" s="33">
        <f t="shared" si="37"/>
        <v>400</v>
      </c>
      <c r="L215" s="33">
        <f t="shared" si="37"/>
        <v>400</v>
      </c>
      <c r="M215" s="33">
        <f t="shared" si="37"/>
        <v>200</v>
      </c>
      <c r="N215" s="33">
        <f t="shared" si="37"/>
        <v>0</v>
      </c>
      <c r="O215" s="33">
        <f t="shared" ref="O215:P215" si="38">SUM(O210:O214)</f>
        <v>0</v>
      </c>
      <c r="P215" s="33">
        <f t="shared" si="38"/>
        <v>0</v>
      </c>
      <c r="Q215" s="33">
        <f t="shared" si="37"/>
        <v>0</v>
      </c>
      <c r="R215" s="33">
        <f t="shared" si="37"/>
        <v>0</v>
      </c>
      <c r="S215" s="33">
        <f t="shared" si="37"/>
        <v>1600</v>
      </c>
    </row>
    <row r="216" spans="2:25" hidden="1" x14ac:dyDescent="0.15">
      <c r="B216" s="15"/>
      <c r="C216" s="211">
        <v>66726</v>
      </c>
      <c r="D216" s="213" t="s">
        <v>28</v>
      </c>
      <c r="E216" s="31">
        <v>517199</v>
      </c>
      <c r="F216" s="32" t="s">
        <v>14</v>
      </c>
      <c r="G216" s="155"/>
      <c r="H216" s="230">
        <v>44175</v>
      </c>
      <c r="I216" s="33">
        <v>12</v>
      </c>
      <c r="J216" s="33">
        <v>36</v>
      </c>
      <c r="K216" s="33">
        <v>60</v>
      </c>
      <c r="L216" s="33">
        <v>30</v>
      </c>
      <c r="M216" s="33">
        <v>18</v>
      </c>
      <c r="N216" s="33"/>
      <c r="O216" s="33"/>
      <c r="P216" s="33"/>
      <c r="Q216" s="33"/>
      <c r="R216" s="33"/>
      <c r="S216" s="33">
        <f>SUM(I216:R216)</f>
        <v>156</v>
      </c>
      <c r="U216" s="23"/>
    </row>
    <row r="217" spans="2:25" hidden="1" x14ac:dyDescent="0.15">
      <c r="B217" s="15"/>
      <c r="C217" s="212"/>
      <c r="D217" s="213"/>
      <c r="E217" s="31">
        <v>517199</v>
      </c>
      <c r="F217" s="32" t="s">
        <v>17</v>
      </c>
      <c r="G217" s="156"/>
      <c r="H217" s="231"/>
      <c r="I217" s="33">
        <v>6</v>
      </c>
      <c r="J217" s="33">
        <v>36</v>
      </c>
      <c r="K217" s="33">
        <v>48</v>
      </c>
      <c r="L217" s="33">
        <v>30</v>
      </c>
      <c r="M217" s="33">
        <v>18</v>
      </c>
      <c r="N217" s="33"/>
      <c r="O217" s="33"/>
      <c r="P217" s="33"/>
      <c r="Q217" s="33"/>
      <c r="R217" s="33"/>
      <c r="S217" s="33">
        <f t="shared" ref="S217:S219" si="39">SUM(I217:R217)</f>
        <v>138</v>
      </c>
      <c r="U217" s="23"/>
    </row>
    <row r="218" spans="2:25" hidden="1" x14ac:dyDescent="0.15">
      <c r="B218" s="15"/>
      <c r="C218" s="212"/>
      <c r="D218" s="213"/>
      <c r="E218" s="31">
        <v>517199</v>
      </c>
      <c r="F218" s="34" t="s">
        <v>15</v>
      </c>
      <c r="G218" s="157"/>
      <c r="H218" s="231"/>
      <c r="I218" s="33">
        <v>18</v>
      </c>
      <c r="J218" s="33">
        <v>66</v>
      </c>
      <c r="K218" s="33">
        <v>102</v>
      </c>
      <c r="L218" s="33">
        <v>60</v>
      </c>
      <c r="M218" s="33">
        <v>36</v>
      </c>
      <c r="N218" s="33"/>
      <c r="O218" s="33"/>
      <c r="P218" s="33"/>
      <c r="Q218" s="33"/>
      <c r="R218" s="33"/>
      <c r="S218" s="33">
        <f t="shared" si="39"/>
        <v>282</v>
      </c>
      <c r="U218" s="23"/>
    </row>
    <row r="219" spans="2:25" hidden="1" x14ac:dyDescent="0.15">
      <c r="B219" s="15"/>
      <c r="C219" s="212"/>
      <c r="D219" s="213"/>
      <c r="E219" s="31">
        <v>517199</v>
      </c>
      <c r="F219" s="34" t="s">
        <v>16</v>
      </c>
      <c r="G219" s="157"/>
      <c r="H219" s="231"/>
      <c r="I219" s="33">
        <v>6</v>
      </c>
      <c r="J219" s="33">
        <v>30</v>
      </c>
      <c r="K219" s="33">
        <v>42</v>
      </c>
      <c r="L219" s="33">
        <v>18</v>
      </c>
      <c r="M219" s="33">
        <v>24</v>
      </c>
      <c r="N219" s="33"/>
      <c r="O219" s="33"/>
      <c r="P219" s="33"/>
      <c r="Q219" s="33"/>
      <c r="R219" s="33"/>
      <c r="S219" s="33">
        <f t="shared" si="39"/>
        <v>120</v>
      </c>
      <c r="U219" s="23"/>
      <c r="V219" s="30"/>
    </row>
    <row r="220" spans="2:25" s="11" customFormat="1" hidden="1" x14ac:dyDescent="0.15">
      <c r="B220" s="15"/>
      <c r="C220" s="35"/>
      <c r="D220" s="35"/>
      <c r="E220" s="36"/>
      <c r="F220" s="34"/>
      <c r="G220" s="34"/>
      <c r="H220" s="37" t="s">
        <v>8</v>
      </c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2"/>
      <c r="U220" s="2"/>
      <c r="V220" s="2"/>
      <c r="W220" s="2"/>
      <c r="X220" s="2"/>
      <c r="Y220" s="2"/>
    </row>
    <row r="221" spans="2:25" hidden="1" x14ac:dyDescent="0.15">
      <c r="B221" s="17"/>
      <c r="C221" s="38" t="s">
        <v>9</v>
      </c>
      <c r="D221" s="38"/>
      <c r="E221" s="34" t="s">
        <v>7</v>
      </c>
      <c r="F221" s="34"/>
      <c r="G221" s="34"/>
      <c r="H221" s="37" t="s">
        <v>10</v>
      </c>
      <c r="I221" s="33">
        <f t="shared" ref="I221" si="40">SUM(I216:I220)</f>
        <v>42</v>
      </c>
      <c r="J221" s="33">
        <f t="shared" ref="J221" si="41">SUM(J216:J220)</f>
        <v>168</v>
      </c>
      <c r="K221" s="33">
        <f t="shared" ref="K221" si="42">SUM(K216:K220)</f>
        <v>252</v>
      </c>
      <c r="L221" s="33">
        <f t="shared" ref="L221" si="43">SUM(L216:L220)</f>
        <v>138</v>
      </c>
      <c r="M221" s="33">
        <f t="shared" ref="M221" si="44">SUM(M216:M220)</f>
        <v>96</v>
      </c>
      <c r="N221" s="33">
        <f t="shared" ref="N221" si="45">SUM(N216:N220)</f>
        <v>0</v>
      </c>
      <c r="O221" s="33">
        <f t="shared" ref="O221:Q221" si="46">SUM(O216:O220)</f>
        <v>0</v>
      </c>
      <c r="P221" s="33">
        <f t="shared" ref="P221:R221" si="47">SUM(P216:P220)</f>
        <v>0</v>
      </c>
      <c r="Q221" s="33">
        <f t="shared" si="46"/>
        <v>0</v>
      </c>
      <c r="R221" s="33">
        <f t="shared" si="47"/>
        <v>0</v>
      </c>
      <c r="S221" s="33">
        <f t="shared" ref="S221" si="48">SUM(S216:S220)</f>
        <v>696</v>
      </c>
    </row>
    <row r="222" spans="2:25" ht="13.9" hidden="1" customHeight="1" x14ac:dyDescent="0.15">
      <c r="B222" s="17"/>
      <c r="C222" s="211">
        <v>66724</v>
      </c>
      <c r="D222" s="213" t="s">
        <v>28</v>
      </c>
      <c r="E222" s="31">
        <v>517199</v>
      </c>
      <c r="F222" s="32" t="s">
        <v>14</v>
      </c>
      <c r="G222" s="155"/>
      <c r="H222" s="230">
        <v>44175</v>
      </c>
      <c r="I222" s="33">
        <v>18</v>
      </c>
      <c r="J222" s="33">
        <v>66</v>
      </c>
      <c r="K222" s="33">
        <v>102</v>
      </c>
      <c r="L222" s="33">
        <v>54</v>
      </c>
      <c r="M222" s="33">
        <v>30</v>
      </c>
      <c r="N222" s="33"/>
      <c r="O222" s="33"/>
      <c r="P222" s="33"/>
      <c r="Q222" s="33"/>
      <c r="R222" s="33"/>
      <c r="S222" s="33">
        <f>SUM(I222:R222)</f>
        <v>270</v>
      </c>
    </row>
    <row r="223" spans="2:25" hidden="1" x14ac:dyDescent="0.15">
      <c r="B223" s="15"/>
      <c r="C223" s="212"/>
      <c r="D223" s="213"/>
      <c r="E223" s="31">
        <v>517199</v>
      </c>
      <c r="F223" s="32" t="s">
        <v>17</v>
      </c>
      <c r="G223" s="156"/>
      <c r="H223" s="231"/>
      <c r="I223" s="33">
        <v>18</v>
      </c>
      <c r="J223" s="33">
        <v>54</v>
      </c>
      <c r="K223" s="33">
        <v>84</v>
      </c>
      <c r="L223" s="33">
        <v>48</v>
      </c>
      <c r="M223" s="33">
        <v>30</v>
      </c>
      <c r="N223" s="33"/>
      <c r="O223" s="33"/>
      <c r="P223" s="33"/>
      <c r="Q223" s="33"/>
      <c r="R223" s="33"/>
      <c r="S223" s="33">
        <f t="shared" ref="S223:S225" si="49">SUM(I223:R223)</f>
        <v>234</v>
      </c>
      <c r="U223" s="23"/>
    </row>
    <row r="224" spans="2:25" hidden="1" x14ac:dyDescent="0.15">
      <c r="B224" s="15"/>
      <c r="C224" s="212"/>
      <c r="D224" s="213"/>
      <c r="E224" s="31">
        <v>517199</v>
      </c>
      <c r="F224" s="34" t="s">
        <v>15</v>
      </c>
      <c r="G224" s="157"/>
      <c r="H224" s="231"/>
      <c r="I224" s="33">
        <v>30</v>
      </c>
      <c r="J224" s="33">
        <v>114</v>
      </c>
      <c r="K224" s="33">
        <v>180</v>
      </c>
      <c r="L224" s="33">
        <v>102</v>
      </c>
      <c r="M224" s="33">
        <v>60</v>
      </c>
      <c r="N224" s="33"/>
      <c r="O224" s="33"/>
      <c r="P224" s="33"/>
      <c r="Q224" s="33"/>
      <c r="R224" s="33"/>
      <c r="S224" s="33">
        <f t="shared" si="49"/>
        <v>486</v>
      </c>
      <c r="U224" s="23"/>
    </row>
    <row r="225" spans="2:25" hidden="1" x14ac:dyDescent="0.15">
      <c r="B225" s="15"/>
      <c r="C225" s="212"/>
      <c r="D225" s="213"/>
      <c r="E225" s="31">
        <v>517199</v>
      </c>
      <c r="F225" s="34" t="s">
        <v>16</v>
      </c>
      <c r="G225" s="157"/>
      <c r="H225" s="231"/>
      <c r="I225" s="33">
        <v>12</v>
      </c>
      <c r="J225" s="33">
        <v>48</v>
      </c>
      <c r="K225" s="33">
        <v>78</v>
      </c>
      <c r="L225" s="33">
        <v>42</v>
      </c>
      <c r="M225" s="33">
        <v>30</v>
      </c>
      <c r="N225" s="33"/>
      <c r="O225" s="33"/>
      <c r="P225" s="33"/>
      <c r="Q225" s="33"/>
      <c r="R225" s="33"/>
      <c r="S225" s="33">
        <f t="shared" si="49"/>
        <v>210</v>
      </c>
      <c r="U225" s="23"/>
    </row>
    <row r="226" spans="2:25" hidden="1" x14ac:dyDescent="0.15">
      <c r="B226" s="15"/>
      <c r="C226" s="35"/>
      <c r="D226" s="35"/>
      <c r="E226" s="36"/>
      <c r="F226" s="34"/>
      <c r="G226" s="34"/>
      <c r="H226" s="37" t="s">
        <v>8</v>
      </c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U226" s="23"/>
      <c r="V226" s="30"/>
    </row>
    <row r="227" spans="2:25" s="11" customFormat="1" hidden="1" x14ac:dyDescent="0.15">
      <c r="B227" s="15"/>
      <c r="C227" s="38" t="s">
        <v>9</v>
      </c>
      <c r="D227" s="38"/>
      <c r="E227" s="34" t="s">
        <v>7</v>
      </c>
      <c r="F227" s="34"/>
      <c r="G227" s="34"/>
      <c r="H227" s="37" t="s">
        <v>10</v>
      </c>
      <c r="I227" s="33">
        <f t="shared" ref="I227:S227" si="50">SUM(I222:I226)</f>
        <v>78</v>
      </c>
      <c r="J227" s="33">
        <f t="shared" si="50"/>
        <v>282</v>
      </c>
      <c r="K227" s="33">
        <f t="shared" si="50"/>
        <v>444</v>
      </c>
      <c r="L227" s="33">
        <f t="shared" si="50"/>
        <v>246</v>
      </c>
      <c r="M227" s="33">
        <f t="shared" si="50"/>
        <v>150</v>
      </c>
      <c r="N227" s="33">
        <f t="shared" si="50"/>
        <v>0</v>
      </c>
      <c r="O227" s="33">
        <f t="shared" ref="O227:P227" si="51">SUM(O222:O226)</f>
        <v>0</v>
      </c>
      <c r="P227" s="33">
        <f t="shared" si="51"/>
        <v>0</v>
      </c>
      <c r="Q227" s="33">
        <f t="shared" si="50"/>
        <v>0</v>
      </c>
      <c r="R227" s="33">
        <f t="shared" si="50"/>
        <v>0</v>
      </c>
      <c r="S227" s="33">
        <f t="shared" si="50"/>
        <v>1200</v>
      </c>
      <c r="T227" s="2"/>
      <c r="U227" s="2"/>
      <c r="V227" s="2"/>
      <c r="W227" s="2"/>
      <c r="X227" s="2"/>
      <c r="Y227" s="2"/>
    </row>
    <row r="228" spans="2:25" hidden="1" x14ac:dyDescent="0.15">
      <c r="B228" s="17"/>
      <c r="C228" s="18" t="s">
        <v>29</v>
      </c>
      <c r="D228" s="38"/>
      <c r="E228" s="34"/>
      <c r="F228" s="34"/>
      <c r="G228" s="158"/>
      <c r="H228" s="39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</row>
    <row r="229" spans="2:25" hidden="1" x14ac:dyDescent="0.15">
      <c r="C229" s="211"/>
      <c r="D229" s="213"/>
      <c r="E229" s="31">
        <v>517199</v>
      </c>
      <c r="F229" s="32" t="s">
        <v>14</v>
      </c>
      <c r="G229" s="155"/>
      <c r="H229" s="230">
        <v>44175</v>
      </c>
      <c r="I229" s="33">
        <f>I210+I204+I198+I192+I186+I216+I222</f>
        <v>180</v>
      </c>
      <c r="J229" s="33">
        <f t="shared" ref="J229:M229" si="52">J210+J204+J198+J192+J186+J216+J222</f>
        <v>626</v>
      </c>
      <c r="K229" s="33">
        <f t="shared" si="52"/>
        <v>686</v>
      </c>
      <c r="L229" s="33">
        <f t="shared" si="52"/>
        <v>496</v>
      </c>
      <c r="M229" s="33">
        <f t="shared" si="52"/>
        <v>310</v>
      </c>
      <c r="N229" s="33"/>
      <c r="O229" s="33"/>
      <c r="P229" s="33"/>
      <c r="Q229" s="33"/>
      <c r="R229" s="33"/>
      <c r="S229" s="33">
        <f>SUM(I229:R229)</f>
        <v>2298</v>
      </c>
    </row>
    <row r="230" spans="2:25" hidden="1" x14ac:dyDescent="0.15">
      <c r="C230" s="212"/>
      <c r="D230" s="213"/>
      <c r="E230" s="31">
        <v>517199</v>
      </c>
      <c r="F230" s="32" t="s">
        <v>17</v>
      </c>
      <c r="G230" s="156"/>
      <c r="H230" s="231"/>
      <c r="I230" s="33">
        <f t="shared" ref="I230:M232" si="53">I211+I205+I199+I193+I187+I217+I223</f>
        <v>174</v>
      </c>
      <c r="J230" s="33">
        <f t="shared" si="53"/>
        <v>586</v>
      </c>
      <c r="K230" s="33">
        <f t="shared" si="53"/>
        <v>628</v>
      </c>
      <c r="L230" s="33">
        <f t="shared" si="53"/>
        <v>476</v>
      </c>
      <c r="M230" s="33">
        <f t="shared" si="53"/>
        <v>296</v>
      </c>
      <c r="N230" s="33"/>
      <c r="O230" s="33"/>
      <c r="P230" s="33"/>
      <c r="Q230" s="33"/>
      <c r="R230" s="33"/>
      <c r="S230" s="33">
        <f>SUM(I230:R230)</f>
        <v>2160</v>
      </c>
    </row>
    <row r="231" spans="2:25" hidden="1" x14ac:dyDescent="0.15">
      <c r="C231" s="212"/>
      <c r="D231" s="213"/>
      <c r="E231" s="31">
        <v>517199</v>
      </c>
      <c r="F231" s="34" t="s">
        <v>15</v>
      </c>
      <c r="G231" s="157"/>
      <c r="H231" s="231"/>
      <c r="I231" s="33">
        <f t="shared" si="53"/>
        <v>198</v>
      </c>
      <c r="J231" s="33">
        <f t="shared" si="53"/>
        <v>884</v>
      </c>
      <c r="K231" s="33">
        <f t="shared" si="53"/>
        <v>986</v>
      </c>
      <c r="L231" s="33">
        <f t="shared" si="53"/>
        <v>664</v>
      </c>
      <c r="M231" s="33">
        <f t="shared" si="53"/>
        <v>448</v>
      </c>
      <c r="N231" s="33"/>
      <c r="O231" s="33"/>
      <c r="P231" s="33"/>
      <c r="Q231" s="33"/>
      <c r="R231" s="33"/>
      <c r="S231" s="33">
        <f>SUM(I231:R231)</f>
        <v>3180</v>
      </c>
    </row>
    <row r="232" spans="2:25" hidden="1" x14ac:dyDescent="0.15">
      <c r="C232" s="212"/>
      <c r="D232" s="213"/>
      <c r="E232" s="31">
        <v>517199</v>
      </c>
      <c r="F232" s="34" t="s">
        <v>16</v>
      </c>
      <c r="G232" s="157"/>
      <c r="H232" s="231"/>
      <c r="I232" s="33">
        <f t="shared" si="53"/>
        <v>168</v>
      </c>
      <c r="J232" s="33">
        <f t="shared" si="53"/>
        <v>550</v>
      </c>
      <c r="K232" s="33">
        <f t="shared" si="53"/>
        <v>592</v>
      </c>
      <c r="L232" s="33">
        <f t="shared" si="53"/>
        <v>446</v>
      </c>
      <c r="M232" s="33">
        <f t="shared" si="53"/>
        <v>290</v>
      </c>
      <c r="N232" s="33"/>
      <c r="O232" s="33"/>
      <c r="P232" s="33"/>
      <c r="Q232" s="33"/>
      <c r="R232" s="33"/>
      <c r="S232" s="33">
        <f>SUM(I232:R232)</f>
        <v>2046</v>
      </c>
    </row>
    <row r="233" spans="2:25" hidden="1" x14ac:dyDescent="0.15">
      <c r="C233" s="35"/>
      <c r="D233" s="35"/>
      <c r="E233" s="36"/>
      <c r="F233" s="34"/>
      <c r="G233" s="34"/>
      <c r="H233" s="37" t="s">
        <v>8</v>
      </c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U233" s="18"/>
      <c r="V233" s="18"/>
      <c r="W233" s="18"/>
      <c r="X233" s="18"/>
      <c r="Y233" s="18"/>
    </row>
    <row r="234" spans="2:25" hidden="1" x14ac:dyDescent="0.15">
      <c r="C234" s="38" t="s">
        <v>9</v>
      </c>
      <c r="D234" s="38"/>
      <c r="E234" s="34" t="s">
        <v>7</v>
      </c>
      <c r="F234" s="34"/>
      <c r="G234" s="34"/>
      <c r="H234" s="37" t="s">
        <v>10</v>
      </c>
      <c r="I234" s="33">
        <f t="shared" ref="I234:S234" si="54">SUM(I229:I233)</f>
        <v>720</v>
      </c>
      <c r="J234" s="33">
        <f t="shared" si="54"/>
        <v>2646</v>
      </c>
      <c r="K234" s="33">
        <f t="shared" si="54"/>
        <v>2892</v>
      </c>
      <c r="L234" s="33">
        <f t="shared" si="54"/>
        <v>2082</v>
      </c>
      <c r="M234" s="33">
        <f t="shared" si="54"/>
        <v>1344</v>
      </c>
      <c r="N234" s="33">
        <f t="shared" si="54"/>
        <v>0</v>
      </c>
      <c r="O234" s="33">
        <f t="shared" ref="O234:P234" si="55">SUM(O229:O233)</f>
        <v>0</v>
      </c>
      <c r="P234" s="33">
        <f t="shared" si="55"/>
        <v>0</v>
      </c>
      <c r="Q234" s="33">
        <f t="shared" si="54"/>
        <v>0</v>
      </c>
      <c r="R234" s="33">
        <f t="shared" si="54"/>
        <v>0</v>
      </c>
      <c r="S234" s="33">
        <f t="shared" si="54"/>
        <v>9684</v>
      </c>
      <c r="T234" s="20" t="s">
        <v>19</v>
      </c>
      <c r="U234" s="19"/>
      <c r="V234" s="19"/>
      <c r="W234" s="19"/>
      <c r="X234" s="19"/>
      <c r="Y234" s="19"/>
    </row>
    <row r="235" spans="2:25" x14ac:dyDescent="0.15">
      <c r="N235" s="2">
        <v>3112</v>
      </c>
      <c r="O235" s="2">
        <v>9183</v>
      </c>
      <c r="P235" s="2">
        <v>13778</v>
      </c>
      <c r="Q235" s="2">
        <v>4607</v>
      </c>
      <c r="R235" s="2">
        <v>1259</v>
      </c>
      <c r="S235" s="2">
        <v>670</v>
      </c>
      <c r="U235" s="21">
        <f>SUM(M235:T235)</f>
        <v>32609</v>
      </c>
      <c r="V235" s="21"/>
      <c r="W235" s="21"/>
      <c r="X235" s="21"/>
      <c r="Y235" s="21"/>
    </row>
    <row r="236" spans="2:25" ht="16.5" x14ac:dyDescent="0.15">
      <c r="C236" s="68" t="s">
        <v>30</v>
      </c>
    </row>
    <row r="237" spans="2:25" ht="21" customHeight="1" thickBot="1" x14ac:dyDescent="0.2">
      <c r="C237" s="54"/>
      <c r="D237" s="47"/>
      <c r="E237" s="47"/>
      <c r="F237" s="47"/>
      <c r="G237" s="115"/>
      <c r="H237" s="47"/>
      <c r="I237" s="48" t="s">
        <v>35</v>
      </c>
      <c r="J237" s="48" t="s">
        <v>37</v>
      </c>
      <c r="K237" s="48" t="s">
        <v>38</v>
      </c>
      <c r="L237" s="48" t="s">
        <v>36</v>
      </c>
      <c r="M237" s="48" t="s">
        <v>4</v>
      </c>
      <c r="N237" s="48" t="s">
        <v>5</v>
      </c>
      <c r="O237" s="48" t="s">
        <v>6</v>
      </c>
      <c r="P237" s="48" t="s">
        <v>4</v>
      </c>
      <c r="Q237" s="48" t="s">
        <v>5</v>
      </c>
      <c r="R237" s="48" t="s">
        <v>6</v>
      </c>
      <c r="S237" s="49" t="s">
        <v>7</v>
      </c>
    </row>
    <row r="238" spans="2:25" ht="13.5" customHeight="1" x14ac:dyDescent="0.15">
      <c r="C238" s="217"/>
      <c r="D238" s="208" t="s">
        <v>62</v>
      </c>
      <c r="E238" s="55"/>
      <c r="F238" s="127" t="s">
        <v>56</v>
      </c>
      <c r="G238" s="148"/>
      <c r="H238" s="62"/>
      <c r="I238" s="51">
        <f>10+10+14+10</f>
        <v>44</v>
      </c>
      <c r="J238" s="51">
        <f>10+31+46+15</f>
        <v>102</v>
      </c>
      <c r="K238" s="51">
        <f>30+90+136+45</f>
        <v>301</v>
      </c>
      <c r="L238" s="51">
        <f>52+157+236+78</f>
        <v>523</v>
      </c>
      <c r="M238" s="51">
        <f>100+300+450+150</f>
        <v>1000</v>
      </c>
      <c r="N238" s="51">
        <f>87+260+390+130</f>
        <v>867</v>
      </c>
      <c r="O238" s="51">
        <f>25+76+114+38</f>
        <v>253</v>
      </c>
      <c r="P238" s="51"/>
      <c r="Q238" s="51"/>
      <c r="R238" s="51"/>
      <c r="S238" s="51">
        <f t="shared" ref="S238:S244" si="56">SUM(I238:R238)</f>
        <v>3090</v>
      </c>
    </row>
    <row r="239" spans="2:25" ht="13.5" customHeight="1" x14ac:dyDescent="0.15">
      <c r="C239" s="218"/>
      <c r="D239" s="209"/>
      <c r="E239" s="117"/>
      <c r="F239" s="128" t="s">
        <v>57</v>
      </c>
      <c r="G239" s="159"/>
      <c r="H239" s="116"/>
      <c r="I239" s="114">
        <v>66</v>
      </c>
      <c r="J239" s="114">
        <f>18+53+80+27</f>
        <v>178</v>
      </c>
      <c r="K239" s="114">
        <f>30+89+133+44</f>
        <v>296</v>
      </c>
      <c r="L239" s="114">
        <f>43+129+193+64</f>
        <v>429</v>
      </c>
      <c r="M239" s="114">
        <f>61+185+277+92</f>
        <v>615</v>
      </c>
      <c r="N239" s="114">
        <f>41+122+184+61</f>
        <v>408</v>
      </c>
      <c r="O239" s="114">
        <f>13+38+57+19</f>
        <v>127</v>
      </c>
      <c r="P239" s="114"/>
      <c r="Q239" s="114"/>
      <c r="R239" s="114"/>
      <c r="S239" s="50">
        <f t="shared" si="56"/>
        <v>2119</v>
      </c>
    </row>
    <row r="240" spans="2:25" ht="13.5" customHeight="1" x14ac:dyDescent="0.15">
      <c r="C240" s="218"/>
      <c r="D240" s="209"/>
      <c r="E240" s="52"/>
      <c r="F240" s="128" t="s">
        <v>58</v>
      </c>
      <c r="G240" s="130"/>
      <c r="H240" s="53"/>
      <c r="I240" s="50">
        <f>11+33+49+16</f>
        <v>109</v>
      </c>
      <c r="J240" s="50">
        <f>42+126+189+63</f>
        <v>420</v>
      </c>
      <c r="K240" s="50">
        <f>75+224+335+112</f>
        <v>746</v>
      </c>
      <c r="L240" s="50">
        <f>113+340+510+170</f>
        <v>1133</v>
      </c>
      <c r="M240" s="50">
        <f>189+567+850+283</f>
        <v>1889</v>
      </c>
      <c r="N240" s="50">
        <f>162+485+727+242</f>
        <v>1616</v>
      </c>
      <c r="O240" s="50">
        <f>57+172+257+86</f>
        <v>572</v>
      </c>
      <c r="P240" s="50"/>
      <c r="Q240" s="50"/>
      <c r="R240" s="50"/>
      <c r="S240" s="50">
        <f t="shared" si="56"/>
        <v>6485</v>
      </c>
    </row>
    <row r="241" spans="3:21" x14ac:dyDescent="0.15">
      <c r="C241" s="218"/>
      <c r="D241" s="209"/>
      <c r="E241" s="56"/>
      <c r="F241" s="128" t="s">
        <v>59</v>
      </c>
      <c r="G241" s="147"/>
      <c r="H241" s="57"/>
      <c r="I241" s="58">
        <f>10+14+21+10</f>
        <v>55</v>
      </c>
      <c r="J241" s="58">
        <f>29+88+133+44</f>
        <v>294</v>
      </c>
      <c r="K241" s="58">
        <f>48+144+216+72</f>
        <v>480</v>
      </c>
      <c r="L241" s="58">
        <f>57+171+257+86</f>
        <v>571</v>
      </c>
      <c r="M241" s="58">
        <f>96+289+434+145</f>
        <v>964</v>
      </c>
      <c r="N241" s="58">
        <f>67+200+300+100</f>
        <v>667</v>
      </c>
      <c r="O241" s="58">
        <f>20+59+88+29</f>
        <v>196</v>
      </c>
      <c r="P241" s="58"/>
      <c r="Q241" s="58"/>
      <c r="R241" s="58"/>
      <c r="S241" s="58">
        <f t="shared" si="56"/>
        <v>3227</v>
      </c>
    </row>
    <row r="242" spans="3:21" ht="13.5" customHeight="1" x14ac:dyDescent="0.15">
      <c r="C242" s="218"/>
      <c r="D242" s="209"/>
      <c r="E242" s="52"/>
      <c r="F242" s="128" t="s">
        <v>60</v>
      </c>
      <c r="G242" s="130"/>
      <c r="H242" s="53"/>
      <c r="I242" s="58">
        <f>10+13+19+10</f>
        <v>52</v>
      </c>
      <c r="J242" s="58">
        <f>14+43+64+21</f>
        <v>142</v>
      </c>
      <c r="K242" s="58">
        <f>42+126+188+63</f>
        <v>419</v>
      </c>
      <c r="L242" s="58">
        <f>73+218+327+109</f>
        <v>727</v>
      </c>
      <c r="M242" s="58">
        <f>139+417+626+209</f>
        <v>1391</v>
      </c>
      <c r="N242" s="58">
        <f>121+361+542+181</f>
        <v>1205</v>
      </c>
      <c r="O242" s="58">
        <f>35+105+158+53</f>
        <v>351</v>
      </c>
      <c r="P242" s="50"/>
      <c r="Q242" s="50"/>
      <c r="R242" s="50"/>
      <c r="S242" s="50">
        <f t="shared" si="56"/>
        <v>4287</v>
      </c>
    </row>
    <row r="243" spans="3:21" ht="14.25" thickBot="1" x14ac:dyDescent="0.2">
      <c r="C243" s="218"/>
      <c r="D243" s="209"/>
      <c r="E243" s="56"/>
      <c r="F243" s="147" t="s">
        <v>61</v>
      </c>
      <c r="G243" s="147"/>
      <c r="H243" s="57"/>
      <c r="I243" s="58">
        <f>10+16+24+10</f>
        <v>60</v>
      </c>
      <c r="J243" s="58">
        <f>16+47+70+23</f>
        <v>156</v>
      </c>
      <c r="K243" s="58">
        <f>26+78+117+39</f>
        <v>260</v>
      </c>
      <c r="L243" s="58">
        <f>38+113+169+56</f>
        <v>376</v>
      </c>
      <c r="M243" s="58">
        <f>54+162+243+81</f>
        <v>540</v>
      </c>
      <c r="N243" s="58">
        <f>36+107+161+53</f>
        <v>357</v>
      </c>
      <c r="O243" s="58">
        <f>11+34+50+17</f>
        <v>112</v>
      </c>
      <c r="P243" s="58"/>
      <c r="Q243" s="58"/>
      <c r="R243" s="58"/>
      <c r="S243" s="58">
        <f t="shared" si="56"/>
        <v>1861</v>
      </c>
    </row>
    <row r="244" spans="3:21" ht="13.5" customHeight="1" x14ac:dyDescent="0.15">
      <c r="C244" s="218"/>
      <c r="D244" s="208" t="s">
        <v>63</v>
      </c>
      <c r="E244" s="55"/>
      <c r="F244" s="149" t="s">
        <v>56</v>
      </c>
      <c r="G244" s="149"/>
      <c r="H244" s="62"/>
      <c r="I244" s="51"/>
      <c r="J244" s="51"/>
      <c r="K244" s="51"/>
      <c r="L244" s="51"/>
      <c r="M244" s="51"/>
      <c r="N244" s="51"/>
      <c r="O244" s="51"/>
      <c r="P244" s="51">
        <f>22+67+100+33</f>
        <v>222</v>
      </c>
      <c r="Q244" s="51">
        <f>41+123+184+62</f>
        <v>410</v>
      </c>
      <c r="R244" s="51">
        <f>26+78+116+39</f>
        <v>259</v>
      </c>
      <c r="S244" s="51">
        <f t="shared" si="56"/>
        <v>891</v>
      </c>
    </row>
    <row r="245" spans="3:21" ht="13.5" customHeight="1" x14ac:dyDescent="0.15">
      <c r="C245" s="218"/>
      <c r="D245" s="209"/>
      <c r="E245" s="117"/>
      <c r="F245" s="130" t="s">
        <v>57</v>
      </c>
      <c r="G245" s="159"/>
      <c r="H245" s="116"/>
      <c r="I245" s="114"/>
      <c r="J245" s="114"/>
      <c r="K245" s="114"/>
      <c r="L245" s="114"/>
      <c r="M245" s="114"/>
      <c r="N245" s="114"/>
      <c r="O245" s="114"/>
      <c r="P245" s="114">
        <f>26+77+115+38</f>
        <v>256</v>
      </c>
      <c r="Q245" s="114">
        <f>36+107+160+53</f>
        <v>356</v>
      </c>
      <c r="R245" s="114">
        <f>22+64+97+32</f>
        <v>215</v>
      </c>
      <c r="S245" s="58">
        <f t="shared" ref="S245:S246" si="57">SUM(I245:R245)</f>
        <v>827</v>
      </c>
    </row>
    <row r="246" spans="3:21" ht="13.5" customHeight="1" x14ac:dyDescent="0.15">
      <c r="C246" s="218"/>
      <c r="D246" s="209"/>
      <c r="E246" s="52"/>
      <c r="F246" s="130" t="s">
        <v>58</v>
      </c>
      <c r="G246" s="130"/>
      <c r="H246" s="53"/>
      <c r="I246" s="50"/>
      <c r="J246" s="50"/>
      <c r="K246" s="50"/>
      <c r="L246" s="50"/>
      <c r="M246" s="50"/>
      <c r="N246" s="50"/>
      <c r="O246" s="50"/>
      <c r="P246" s="50">
        <f>49+147+220+73</f>
        <v>489</v>
      </c>
      <c r="Q246" s="50">
        <f>83+248+372+124</f>
        <v>827</v>
      </c>
      <c r="R246" s="50">
        <f>56+169+254+85</f>
        <v>564</v>
      </c>
      <c r="S246" s="58">
        <f t="shared" si="57"/>
        <v>1880</v>
      </c>
    </row>
    <row r="247" spans="3:21" x14ac:dyDescent="0.15">
      <c r="C247" s="218"/>
      <c r="D247" s="209"/>
      <c r="E247" s="56"/>
      <c r="F247" s="130" t="s">
        <v>59</v>
      </c>
      <c r="G247" s="147"/>
      <c r="H247" s="57"/>
      <c r="I247" s="58"/>
      <c r="J247" s="58"/>
      <c r="K247" s="58"/>
      <c r="L247" s="58"/>
      <c r="M247" s="58"/>
      <c r="N247" s="58"/>
      <c r="O247" s="58"/>
      <c r="P247" s="58">
        <f>30+91+137+46</f>
        <v>304</v>
      </c>
      <c r="Q247" s="58">
        <f>37+110+166+55</f>
        <v>368</v>
      </c>
      <c r="R247" s="58">
        <f>25+75+112+37</f>
        <v>249</v>
      </c>
      <c r="S247" s="58">
        <f>SUM(I247:R247)</f>
        <v>921</v>
      </c>
    </row>
    <row r="248" spans="3:21" ht="13.5" customHeight="1" x14ac:dyDescent="0.15">
      <c r="C248" s="218"/>
      <c r="D248" s="209"/>
      <c r="E248" s="52"/>
      <c r="F248" s="130" t="s">
        <v>60</v>
      </c>
      <c r="G248" s="130"/>
      <c r="H248" s="53"/>
      <c r="I248" s="50"/>
      <c r="J248" s="50"/>
      <c r="K248" s="50"/>
      <c r="L248" s="50"/>
      <c r="M248" s="50"/>
      <c r="N248" s="50"/>
      <c r="O248" s="50"/>
      <c r="P248" s="50">
        <f>31+93+140+47</f>
        <v>311</v>
      </c>
      <c r="Q248" s="50">
        <f>57+171+257+86</f>
        <v>571</v>
      </c>
      <c r="R248" s="50">
        <f>36+108+162+54</f>
        <v>360</v>
      </c>
      <c r="S248" s="50">
        <f>SUM(I248:R248)</f>
        <v>1242</v>
      </c>
    </row>
    <row r="249" spans="3:21" ht="14.25" thickBot="1" x14ac:dyDescent="0.2">
      <c r="C249" s="218"/>
      <c r="D249" s="210"/>
      <c r="E249" s="63"/>
      <c r="F249" s="150" t="s">
        <v>61</v>
      </c>
      <c r="G249" s="150"/>
      <c r="H249" s="64"/>
      <c r="I249" s="65"/>
      <c r="J249" s="65"/>
      <c r="K249" s="65"/>
      <c r="L249" s="65"/>
      <c r="M249" s="65"/>
      <c r="N249" s="65"/>
      <c r="O249" s="65"/>
      <c r="P249" s="65">
        <f>15+44+66+22</f>
        <v>147</v>
      </c>
      <c r="Q249" s="65">
        <f>21+62+94+31</f>
        <v>208</v>
      </c>
      <c r="R249" s="65">
        <f>12+37+55+18</f>
        <v>122</v>
      </c>
      <c r="S249" s="65">
        <f>SUM(I249:R249)</f>
        <v>477</v>
      </c>
    </row>
    <row r="250" spans="3:21" ht="13.5" customHeight="1" x14ac:dyDescent="0.15">
      <c r="C250" s="218"/>
      <c r="D250" s="209" t="s">
        <v>64</v>
      </c>
      <c r="E250" s="59"/>
      <c r="F250" s="148" t="s">
        <v>56</v>
      </c>
      <c r="G250" s="148"/>
      <c r="H250" s="60"/>
      <c r="I250" s="61"/>
      <c r="J250" s="61"/>
      <c r="K250" s="61">
        <f>10+22+33+11</f>
        <v>76</v>
      </c>
      <c r="L250" s="61">
        <f>11+34+51+17</f>
        <v>113</v>
      </c>
      <c r="M250" s="61">
        <f>19+57+86+29</f>
        <v>191</v>
      </c>
      <c r="N250" s="61">
        <f>11+34+51+17</f>
        <v>113</v>
      </c>
      <c r="O250" s="61"/>
      <c r="P250" s="61"/>
      <c r="Q250" s="61"/>
      <c r="R250" s="61"/>
      <c r="S250" s="61">
        <f>SUM(I250:R250)</f>
        <v>493</v>
      </c>
    </row>
    <row r="251" spans="3:21" ht="13.5" customHeight="1" x14ac:dyDescent="0.15">
      <c r="C251" s="218"/>
      <c r="D251" s="209"/>
      <c r="E251" s="117"/>
      <c r="F251" s="129" t="s">
        <v>57</v>
      </c>
      <c r="G251" s="159"/>
      <c r="H251" s="116"/>
      <c r="I251" s="114"/>
      <c r="J251" s="114"/>
      <c r="K251" s="114">
        <f>10+26+39+13</f>
        <v>88</v>
      </c>
      <c r="L251" s="114">
        <f>10+29+44+15</f>
        <v>98</v>
      </c>
      <c r="M251" s="114">
        <f>12+37+56+19</f>
        <v>124</v>
      </c>
      <c r="N251" s="114">
        <f>10+16+25+10</f>
        <v>61</v>
      </c>
      <c r="O251" s="114"/>
      <c r="P251" s="114"/>
      <c r="Q251" s="114"/>
      <c r="R251" s="114"/>
      <c r="S251" s="58">
        <f t="shared" ref="S251:S252" si="58">SUM(I251:R251)</f>
        <v>371</v>
      </c>
    </row>
    <row r="252" spans="3:21" ht="13.5" customHeight="1" x14ac:dyDescent="0.15">
      <c r="C252" s="218"/>
      <c r="D252" s="209"/>
      <c r="E252" s="52"/>
      <c r="F252" s="129" t="s">
        <v>58</v>
      </c>
      <c r="G252" s="130"/>
      <c r="H252" s="53"/>
      <c r="I252" s="50"/>
      <c r="J252" s="50"/>
      <c r="K252" s="50">
        <f>18+53+79+26</f>
        <v>176</v>
      </c>
      <c r="L252" s="50">
        <f>25+74+112+37</f>
        <v>248</v>
      </c>
      <c r="M252" s="50">
        <f>36+108+163+54</f>
        <v>361</v>
      </c>
      <c r="N252" s="50">
        <f>25+74+112+37</f>
        <v>248</v>
      </c>
      <c r="O252" s="50"/>
      <c r="P252" s="50"/>
      <c r="Q252" s="50"/>
      <c r="R252" s="50"/>
      <c r="S252" s="58">
        <f t="shared" si="58"/>
        <v>1033</v>
      </c>
    </row>
    <row r="253" spans="3:21" x14ac:dyDescent="0.15">
      <c r="C253" s="218"/>
      <c r="D253" s="209"/>
      <c r="E253" s="56"/>
      <c r="F253" s="129" t="s">
        <v>59</v>
      </c>
      <c r="G253" s="147"/>
      <c r="H253" s="57"/>
      <c r="I253" s="58"/>
      <c r="J253" s="58"/>
      <c r="K253" s="58">
        <f>10+23+35+12</f>
        <v>80</v>
      </c>
      <c r="L253" s="58">
        <f>11+32+48+16</f>
        <v>107</v>
      </c>
      <c r="M253" s="58">
        <f>18+55+83+28</f>
        <v>184</v>
      </c>
      <c r="N253" s="58">
        <f>10+28+41+14</f>
        <v>93</v>
      </c>
      <c r="O253" s="58"/>
      <c r="P253" s="58"/>
      <c r="Q253" s="58"/>
      <c r="R253" s="58"/>
      <c r="S253" s="58">
        <f>SUM(I253:R253)</f>
        <v>464</v>
      </c>
    </row>
    <row r="254" spans="3:21" ht="13.5" customHeight="1" x14ac:dyDescent="0.15">
      <c r="C254" s="218"/>
      <c r="D254" s="209"/>
      <c r="E254" s="52"/>
      <c r="F254" s="129" t="s">
        <v>60</v>
      </c>
      <c r="G254" s="130"/>
      <c r="H254" s="53"/>
      <c r="I254" s="50"/>
      <c r="J254" s="50"/>
      <c r="K254" s="50">
        <f>10+31+46+15</f>
        <v>102</v>
      </c>
      <c r="L254" s="50">
        <f>16+47+71+23</f>
        <v>157</v>
      </c>
      <c r="M254" s="50">
        <f>27+80+120+40</f>
        <v>267</v>
      </c>
      <c r="N254" s="50">
        <f>16+47+71+23</f>
        <v>157</v>
      </c>
      <c r="O254" s="50"/>
      <c r="P254" s="50"/>
      <c r="Q254" s="50"/>
      <c r="R254" s="50"/>
      <c r="S254" s="50">
        <f>SUM(I254:R254)</f>
        <v>683</v>
      </c>
    </row>
    <row r="255" spans="3:21" ht="14.25" thickBot="1" x14ac:dyDescent="0.2">
      <c r="C255" s="218"/>
      <c r="D255" s="209"/>
      <c r="E255" s="56"/>
      <c r="F255" s="147" t="s">
        <v>61</v>
      </c>
      <c r="G255" s="147"/>
      <c r="H255" s="57"/>
      <c r="I255" s="58"/>
      <c r="J255" s="58"/>
      <c r="K255" s="58">
        <f>10+23+34+11</f>
        <v>78</v>
      </c>
      <c r="L255" s="58">
        <f>10+26+39+13</f>
        <v>88</v>
      </c>
      <c r="M255" s="58">
        <f>11+31+47+16</f>
        <v>105</v>
      </c>
      <c r="N255" s="58">
        <f>10+15+23+10</f>
        <v>58</v>
      </c>
      <c r="O255" s="58"/>
      <c r="P255" s="58"/>
      <c r="Q255" s="58"/>
      <c r="R255" s="58"/>
      <c r="S255" s="58">
        <f>SUM(I255:R255)</f>
        <v>329</v>
      </c>
      <c r="U255" s="118">
        <f>SUM(H238:R273)</f>
        <v>34058</v>
      </c>
    </row>
    <row r="256" spans="3:21" ht="15" customHeight="1" x14ac:dyDescent="0.15">
      <c r="C256" s="218"/>
      <c r="D256" s="208" t="s">
        <v>86</v>
      </c>
      <c r="E256" s="55"/>
      <c r="F256" s="149" t="s">
        <v>56</v>
      </c>
      <c r="G256" s="149"/>
      <c r="H256" s="62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>
        <f>SUM(I256:R256)</f>
        <v>0</v>
      </c>
    </row>
    <row r="257" spans="3:21" ht="15" customHeight="1" x14ac:dyDescent="0.15">
      <c r="C257" s="218"/>
      <c r="D257" s="209"/>
      <c r="E257" s="117"/>
      <c r="F257" s="130" t="s">
        <v>57</v>
      </c>
      <c r="G257" s="159"/>
      <c r="H257" s="116"/>
      <c r="I257" s="114">
        <v>10</v>
      </c>
      <c r="J257" s="114">
        <v>13</v>
      </c>
      <c r="K257" s="114">
        <v>15</v>
      </c>
      <c r="L257" s="114">
        <v>55</v>
      </c>
      <c r="M257" s="114">
        <v>142</v>
      </c>
      <c r="N257" s="114">
        <v>143</v>
      </c>
      <c r="O257" s="114"/>
      <c r="P257" s="114"/>
      <c r="Q257" s="114"/>
      <c r="R257" s="114"/>
      <c r="S257" s="58">
        <f t="shared" ref="S257:S258" si="59">SUM(I257:R257)</f>
        <v>378</v>
      </c>
    </row>
    <row r="258" spans="3:21" ht="15" customHeight="1" x14ac:dyDescent="0.15">
      <c r="C258" s="218"/>
      <c r="D258" s="209"/>
      <c r="E258" s="52"/>
      <c r="F258" s="130" t="s">
        <v>58</v>
      </c>
      <c r="G258" s="130"/>
      <c r="H258" s="53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8">
        <f t="shared" si="59"/>
        <v>0</v>
      </c>
    </row>
    <row r="259" spans="3:21" x14ac:dyDescent="0.15">
      <c r="C259" s="218"/>
      <c r="D259" s="209"/>
      <c r="E259" s="56"/>
      <c r="F259" s="130" t="s">
        <v>59</v>
      </c>
      <c r="G259" s="147"/>
      <c r="H259" s="57"/>
      <c r="I259" s="58">
        <v>10</v>
      </c>
      <c r="J259" s="58">
        <v>10</v>
      </c>
      <c r="K259" s="58">
        <v>10</v>
      </c>
      <c r="L259" s="58">
        <v>37</v>
      </c>
      <c r="M259" s="58">
        <v>95</v>
      </c>
      <c r="N259" s="58">
        <v>95</v>
      </c>
      <c r="O259" s="58">
        <v>0</v>
      </c>
      <c r="P259" s="58"/>
      <c r="Q259" s="58"/>
      <c r="R259" s="58"/>
      <c r="S259" s="58">
        <f>SUM(I259:R259)</f>
        <v>257</v>
      </c>
    </row>
    <row r="260" spans="3:21" ht="13.5" customHeight="1" x14ac:dyDescent="0.15">
      <c r="C260" s="218"/>
      <c r="D260" s="209"/>
      <c r="E260" s="52"/>
      <c r="F260" s="130" t="s">
        <v>60</v>
      </c>
      <c r="G260" s="130"/>
      <c r="H260" s="53"/>
      <c r="I260" s="50">
        <v>11</v>
      </c>
      <c r="J260" s="50">
        <v>22</v>
      </c>
      <c r="K260" s="50">
        <v>25</v>
      </c>
      <c r="L260" s="50">
        <v>91</v>
      </c>
      <c r="M260" s="50">
        <v>237</v>
      </c>
      <c r="N260" s="50">
        <v>238</v>
      </c>
      <c r="O260" s="50">
        <v>0</v>
      </c>
      <c r="P260" s="50"/>
      <c r="Q260" s="50"/>
      <c r="R260" s="50"/>
      <c r="S260" s="50">
        <f>SUM(I260:R260)</f>
        <v>624</v>
      </c>
    </row>
    <row r="261" spans="3:21" ht="14.25" thickBot="1" x14ac:dyDescent="0.2">
      <c r="C261" s="218"/>
      <c r="D261" s="210"/>
      <c r="E261" s="63"/>
      <c r="F261" s="150" t="s">
        <v>61</v>
      </c>
      <c r="G261" s="150"/>
      <c r="H261" s="64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>
        <f>SUM(I261:R261)</f>
        <v>0</v>
      </c>
    </row>
    <row r="262" spans="3:21" ht="15" customHeight="1" x14ac:dyDescent="0.15">
      <c r="C262" s="218"/>
      <c r="D262" s="209" t="s">
        <v>45</v>
      </c>
      <c r="E262" s="59"/>
      <c r="F262" s="148" t="s">
        <v>56</v>
      </c>
      <c r="G262" s="148"/>
      <c r="H262" s="60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>
        <f>SUM(I262:R262)</f>
        <v>0</v>
      </c>
    </row>
    <row r="263" spans="3:21" ht="15" customHeight="1" x14ac:dyDescent="0.15">
      <c r="C263" s="218"/>
      <c r="D263" s="209"/>
      <c r="E263" s="117"/>
      <c r="F263" s="129" t="s">
        <v>57</v>
      </c>
      <c r="G263" s="159"/>
      <c r="H263" s="116"/>
      <c r="I263" s="114">
        <v>3</v>
      </c>
      <c r="J263" s="114">
        <v>12</v>
      </c>
      <c r="K263" s="114">
        <v>21</v>
      </c>
      <c r="L263" s="114">
        <v>32</v>
      </c>
      <c r="M263" s="114">
        <v>54</v>
      </c>
      <c r="N263" s="114">
        <v>46</v>
      </c>
      <c r="O263" s="114">
        <v>16</v>
      </c>
      <c r="P263" s="114"/>
      <c r="Q263" s="114"/>
      <c r="R263" s="114"/>
      <c r="S263" s="58">
        <f t="shared" ref="S263:S264" si="60">SUM(I263:R263)</f>
        <v>184</v>
      </c>
    </row>
    <row r="264" spans="3:21" ht="15" customHeight="1" x14ac:dyDescent="0.15">
      <c r="C264" s="218"/>
      <c r="D264" s="209"/>
      <c r="E264" s="52"/>
      <c r="F264" s="129" t="s">
        <v>58</v>
      </c>
      <c r="G264" s="130"/>
      <c r="H264" s="53"/>
      <c r="I264" s="50">
        <v>4</v>
      </c>
      <c r="J264" s="50">
        <v>17</v>
      </c>
      <c r="K264" s="50">
        <v>30</v>
      </c>
      <c r="L264" s="50">
        <v>45</v>
      </c>
      <c r="M264" s="50">
        <v>76</v>
      </c>
      <c r="N264" s="50">
        <v>65</v>
      </c>
      <c r="O264" s="50">
        <v>23</v>
      </c>
      <c r="P264" s="50"/>
      <c r="Q264" s="50"/>
      <c r="R264" s="50"/>
      <c r="S264" s="58">
        <f t="shared" si="60"/>
        <v>260</v>
      </c>
    </row>
    <row r="265" spans="3:21" x14ac:dyDescent="0.15">
      <c r="C265" s="218"/>
      <c r="D265" s="209"/>
      <c r="E265" s="56"/>
      <c r="F265" s="129" t="s">
        <v>59</v>
      </c>
      <c r="G265" s="147"/>
      <c r="H265" s="57"/>
      <c r="I265" s="58">
        <v>2</v>
      </c>
      <c r="J265" s="58">
        <v>6</v>
      </c>
      <c r="K265" s="58">
        <v>11</v>
      </c>
      <c r="L265" s="58">
        <v>17</v>
      </c>
      <c r="M265" s="58">
        <v>28</v>
      </c>
      <c r="N265" s="58">
        <v>24</v>
      </c>
      <c r="O265" s="58">
        <v>9</v>
      </c>
      <c r="P265" s="58"/>
      <c r="Q265" s="58"/>
      <c r="R265" s="58"/>
      <c r="S265" s="58">
        <f>SUM(I265:R265)</f>
        <v>97</v>
      </c>
    </row>
    <row r="266" spans="3:21" ht="13.5" customHeight="1" x14ac:dyDescent="0.15">
      <c r="C266" s="218"/>
      <c r="D266" s="209"/>
      <c r="E266" s="52"/>
      <c r="F266" s="129" t="s">
        <v>60</v>
      </c>
      <c r="G266" s="130"/>
      <c r="H266" s="53"/>
      <c r="I266" s="50">
        <v>2</v>
      </c>
      <c r="J266" s="50">
        <v>8</v>
      </c>
      <c r="K266" s="50">
        <v>15</v>
      </c>
      <c r="L266" s="50">
        <v>23</v>
      </c>
      <c r="M266" s="50">
        <v>38</v>
      </c>
      <c r="N266" s="50">
        <v>32</v>
      </c>
      <c r="O266" s="50">
        <v>11</v>
      </c>
      <c r="P266" s="50"/>
      <c r="Q266" s="50"/>
      <c r="R266" s="50"/>
      <c r="S266" s="50">
        <f>SUM(I266:R266)</f>
        <v>129</v>
      </c>
    </row>
    <row r="267" spans="3:21" ht="14.25" thickBot="1" x14ac:dyDescent="0.2">
      <c r="C267" s="218"/>
      <c r="D267" s="209"/>
      <c r="E267" s="56"/>
      <c r="F267" s="147" t="s">
        <v>61</v>
      </c>
      <c r="G267" s="147"/>
      <c r="H267" s="57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>
        <f>SUM(I267:R267)</f>
        <v>0</v>
      </c>
    </row>
    <row r="268" spans="3:21" ht="15" customHeight="1" x14ac:dyDescent="0.15">
      <c r="C268" s="218"/>
      <c r="D268" s="208" t="s">
        <v>65</v>
      </c>
      <c r="E268" s="55"/>
      <c r="F268" s="149" t="s">
        <v>56</v>
      </c>
      <c r="G268" s="149"/>
      <c r="H268" s="62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>
        <f>SUM(I268:R268)</f>
        <v>0</v>
      </c>
    </row>
    <row r="269" spans="3:21" ht="15" customHeight="1" x14ac:dyDescent="0.15">
      <c r="C269" s="218"/>
      <c r="D269" s="209"/>
      <c r="E269" s="117"/>
      <c r="F269" s="130" t="s">
        <v>57</v>
      </c>
      <c r="G269" s="159"/>
      <c r="H269" s="116"/>
      <c r="I269" s="114"/>
      <c r="J269" s="58">
        <f>29+72</f>
        <v>101</v>
      </c>
      <c r="K269" s="58">
        <f>29+96</f>
        <v>125</v>
      </c>
      <c r="L269" s="58">
        <f>58+108</f>
        <v>166</v>
      </c>
      <c r="M269" s="58">
        <f>58+132</f>
        <v>190</v>
      </c>
      <c r="N269" s="58">
        <f>29+72</f>
        <v>101</v>
      </c>
      <c r="O269" s="114"/>
      <c r="P269" s="114"/>
      <c r="Q269" s="114"/>
      <c r="R269" s="114"/>
      <c r="S269" s="58">
        <f t="shared" ref="S269:S270" si="61">SUM(I269:R269)</f>
        <v>683</v>
      </c>
      <c r="U269" s="2" t="s">
        <v>66</v>
      </c>
    </row>
    <row r="270" spans="3:21" ht="15" customHeight="1" x14ac:dyDescent="0.15">
      <c r="C270" s="218"/>
      <c r="D270" s="209"/>
      <c r="E270" s="52"/>
      <c r="F270" s="130" t="s">
        <v>58</v>
      </c>
      <c r="G270" s="130"/>
      <c r="H270" s="53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8">
        <f t="shared" si="61"/>
        <v>0</v>
      </c>
    </row>
    <row r="271" spans="3:21" x14ac:dyDescent="0.15">
      <c r="C271" s="218"/>
      <c r="D271" s="209"/>
      <c r="E271" s="56"/>
      <c r="F271" s="130" t="s">
        <v>59</v>
      </c>
      <c r="G271" s="147"/>
      <c r="H271" s="57"/>
      <c r="I271" s="58"/>
      <c r="J271" s="58">
        <f>29+12</f>
        <v>41</v>
      </c>
      <c r="K271" s="58">
        <f>29+24</f>
        <v>53</v>
      </c>
      <c r="L271" s="58">
        <f>58+24</f>
        <v>82</v>
      </c>
      <c r="M271" s="58">
        <f>58+36</f>
        <v>94</v>
      </c>
      <c r="N271" s="58">
        <f>29+12</f>
        <v>41</v>
      </c>
      <c r="O271" s="58"/>
      <c r="P271" s="58"/>
      <c r="Q271" s="58"/>
      <c r="R271" s="58"/>
      <c r="S271" s="58">
        <f>SUM(I271:R271)</f>
        <v>311</v>
      </c>
      <c r="U271" s="2" t="s">
        <v>66</v>
      </c>
    </row>
    <row r="272" spans="3:21" ht="13.5" customHeight="1" x14ac:dyDescent="0.15">
      <c r="C272" s="218"/>
      <c r="D272" s="209"/>
      <c r="E272" s="52"/>
      <c r="F272" s="130" t="s">
        <v>60</v>
      </c>
      <c r="G272" s="130"/>
      <c r="H272" s="53"/>
      <c r="I272" s="50"/>
      <c r="J272" s="58">
        <f>29+36</f>
        <v>65</v>
      </c>
      <c r="K272" s="58">
        <f>29+48</f>
        <v>77</v>
      </c>
      <c r="L272" s="58">
        <f>58+60</f>
        <v>118</v>
      </c>
      <c r="M272" s="58">
        <f>58+72</f>
        <v>130</v>
      </c>
      <c r="N272" s="58">
        <f>29+36</f>
        <v>65</v>
      </c>
      <c r="O272" s="50"/>
      <c r="P272" s="50"/>
      <c r="Q272" s="50"/>
      <c r="R272" s="50"/>
      <c r="S272" s="50">
        <f>SUM(I272:R272)</f>
        <v>455</v>
      </c>
      <c r="U272" s="2" t="s">
        <v>66</v>
      </c>
    </row>
    <row r="273" spans="3:30" ht="14.25" thickBot="1" x14ac:dyDescent="0.2">
      <c r="C273" s="218"/>
      <c r="D273" s="210"/>
      <c r="E273" s="63"/>
      <c r="F273" s="150" t="s">
        <v>61</v>
      </c>
      <c r="G273" s="150"/>
      <c r="H273" s="64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>
        <f>SUM(I273:R273)</f>
        <v>0</v>
      </c>
    </row>
    <row r="274" spans="3:30" ht="13.5" customHeight="1" x14ac:dyDescent="0.15">
      <c r="C274" s="218"/>
      <c r="D274" s="219" t="s">
        <v>46</v>
      </c>
      <c r="E274" s="90"/>
      <c r="F274" s="195" t="s">
        <v>56</v>
      </c>
      <c r="G274" s="135"/>
      <c r="H274" s="91"/>
      <c r="I274" s="92">
        <f>I238+I256+I262+I268</f>
        <v>44</v>
      </c>
      <c r="J274" s="92">
        <f t="shared" ref="J274:O274" si="62">J238+J256+J262+J268</f>
        <v>102</v>
      </c>
      <c r="K274" s="92">
        <f t="shared" si="62"/>
        <v>301</v>
      </c>
      <c r="L274" s="92">
        <f t="shared" si="62"/>
        <v>523</v>
      </c>
      <c r="M274" s="92">
        <f t="shared" si="62"/>
        <v>1000</v>
      </c>
      <c r="N274" s="92">
        <f t="shared" si="62"/>
        <v>867</v>
      </c>
      <c r="O274" s="92">
        <f t="shared" si="62"/>
        <v>253</v>
      </c>
      <c r="P274" s="92"/>
      <c r="Q274" s="92"/>
      <c r="R274" s="92"/>
      <c r="S274" s="92">
        <f>SUM(I274:R274)</f>
        <v>3090</v>
      </c>
      <c r="U274" s="24">
        <f t="shared" ref="U274:AD279" si="63">SUM(I44,I64,I84,I104,I124,I144,I24,I4)</f>
        <v>44</v>
      </c>
      <c r="V274" s="24">
        <f t="shared" si="63"/>
        <v>102</v>
      </c>
      <c r="W274" s="24">
        <f t="shared" si="63"/>
        <v>301</v>
      </c>
      <c r="X274" s="24">
        <f t="shared" si="63"/>
        <v>523</v>
      </c>
      <c r="Y274" s="24">
        <f t="shared" si="63"/>
        <v>1000</v>
      </c>
      <c r="Z274" s="24">
        <f t="shared" si="63"/>
        <v>867</v>
      </c>
      <c r="AA274" s="24">
        <f t="shared" si="63"/>
        <v>253</v>
      </c>
      <c r="AB274" s="24">
        <f t="shared" si="63"/>
        <v>0</v>
      </c>
      <c r="AC274" s="24">
        <f t="shared" si="63"/>
        <v>0</v>
      </c>
      <c r="AD274" s="24">
        <f t="shared" si="63"/>
        <v>0</v>
      </c>
    </row>
    <row r="275" spans="3:30" ht="13.5" customHeight="1" x14ac:dyDescent="0.15">
      <c r="C275" s="218"/>
      <c r="D275" s="220"/>
      <c r="E275" s="84"/>
      <c r="F275" s="196" t="s">
        <v>57</v>
      </c>
      <c r="G275" s="126"/>
      <c r="H275" s="85"/>
      <c r="I275" s="83">
        <f t="shared" ref="I275:O275" si="64">I239+I257+I263+I269</f>
        <v>79</v>
      </c>
      <c r="J275" s="83">
        <f t="shared" si="64"/>
        <v>304</v>
      </c>
      <c r="K275" s="83">
        <f t="shared" si="64"/>
        <v>457</v>
      </c>
      <c r="L275" s="83">
        <f t="shared" si="64"/>
        <v>682</v>
      </c>
      <c r="M275" s="83">
        <f t="shared" si="64"/>
        <v>1001</v>
      </c>
      <c r="N275" s="83">
        <f t="shared" si="64"/>
        <v>698</v>
      </c>
      <c r="O275" s="83">
        <f t="shared" si="64"/>
        <v>143</v>
      </c>
      <c r="P275" s="83"/>
      <c r="Q275" s="83"/>
      <c r="R275" s="83"/>
      <c r="S275" s="83">
        <f t="shared" ref="S275:S276" si="65">SUM(I275:R275)</f>
        <v>3364</v>
      </c>
      <c r="U275" s="24">
        <f t="shared" si="63"/>
        <v>79</v>
      </c>
      <c r="V275" s="24">
        <f t="shared" si="63"/>
        <v>304</v>
      </c>
      <c r="W275" s="24">
        <f t="shared" si="63"/>
        <v>457</v>
      </c>
      <c r="X275" s="24">
        <f t="shared" si="63"/>
        <v>682</v>
      </c>
      <c r="Y275" s="24">
        <f t="shared" si="63"/>
        <v>1001</v>
      </c>
      <c r="Z275" s="24">
        <f t="shared" si="63"/>
        <v>698</v>
      </c>
      <c r="AA275" s="24">
        <f t="shared" si="63"/>
        <v>143</v>
      </c>
      <c r="AB275" s="24">
        <f t="shared" si="63"/>
        <v>0</v>
      </c>
      <c r="AC275" s="24">
        <f t="shared" si="63"/>
        <v>0</v>
      </c>
      <c r="AD275" s="24">
        <f t="shared" si="63"/>
        <v>0</v>
      </c>
    </row>
    <row r="276" spans="3:30" ht="13.5" customHeight="1" x14ac:dyDescent="0.15">
      <c r="C276" s="218"/>
      <c r="D276" s="220"/>
      <c r="E276" s="84"/>
      <c r="F276" s="196" t="s">
        <v>58</v>
      </c>
      <c r="G276" s="126"/>
      <c r="H276" s="85"/>
      <c r="I276" s="83">
        <f t="shared" ref="I276:O276" si="66">I240+I258+I264+I270</f>
        <v>113</v>
      </c>
      <c r="J276" s="83">
        <f t="shared" si="66"/>
        <v>437</v>
      </c>
      <c r="K276" s="83">
        <f t="shared" si="66"/>
        <v>776</v>
      </c>
      <c r="L276" s="83">
        <f t="shared" si="66"/>
        <v>1178</v>
      </c>
      <c r="M276" s="83">
        <f t="shared" si="66"/>
        <v>1965</v>
      </c>
      <c r="N276" s="83">
        <f t="shared" si="66"/>
        <v>1681</v>
      </c>
      <c r="O276" s="83">
        <f t="shared" si="66"/>
        <v>595</v>
      </c>
      <c r="P276" s="83"/>
      <c r="Q276" s="83"/>
      <c r="R276" s="83"/>
      <c r="S276" s="83">
        <f t="shared" si="65"/>
        <v>6745</v>
      </c>
      <c r="U276" s="24">
        <f t="shared" si="63"/>
        <v>113</v>
      </c>
      <c r="V276" s="24">
        <f t="shared" si="63"/>
        <v>437</v>
      </c>
      <c r="W276" s="24">
        <f t="shared" si="63"/>
        <v>776</v>
      </c>
      <c r="X276" s="24">
        <f t="shared" si="63"/>
        <v>1178</v>
      </c>
      <c r="Y276" s="24">
        <f t="shared" si="63"/>
        <v>1965</v>
      </c>
      <c r="Z276" s="24">
        <f t="shared" si="63"/>
        <v>1681</v>
      </c>
      <c r="AA276" s="24">
        <f t="shared" si="63"/>
        <v>595</v>
      </c>
      <c r="AB276" s="24">
        <f t="shared" si="63"/>
        <v>0</v>
      </c>
      <c r="AC276" s="24">
        <f t="shared" si="63"/>
        <v>0</v>
      </c>
      <c r="AD276" s="24">
        <f t="shared" si="63"/>
        <v>0</v>
      </c>
    </row>
    <row r="277" spans="3:30" x14ac:dyDescent="0.15">
      <c r="C277" s="218"/>
      <c r="D277" s="220"/>
      <c r="E277" s="84"/>
      <c r="F277" s="196" t="s">
        <v>59</v>
      </c>
      <c r="G277" s="126"/>
      <c r="H277" s="85"/>
      <c r="I277" s="200">
        <v>139</v>
      </c>
      <c r="J277" s="200">
        <v>531</v>
      </c>
      <c r="K277" s="200">
        <v>778</v>
      </c>
      <c r="L277" s="193">
        <v>1036</v>
      </c>
      <c r="M277" s="193">
        <v>1732</v>
      </c>
      <c r="N277" s="193">
        <v>1209</v>
      </c>
      <c r="O277" s="193">
        <v>317</v>
      </c>
      <c r="P277" s="83"/>
      <c r="Q277" s="83"/>
      <c r="R277" s="83"/>
      <c r="S277" s="83">
        <f>SUM(I277:R277)</f>
        <v>5742</v>
      </c>
      <c r="U277" s="194">
        <f t="shared" si="63"/>
        <v>98</v>
      </c>
      <c r="V277" s="194">
        <f t="shared" si="63"/>
        <v>519</v>
      </c>
      <c r="W277" s="194">
        <f t="shared" si="63"/>
        <v>831</v>
      </c>
      <c r="X277" s="194">
        <f t="shared" si="63"/>
        <v>1036</v>
      </c>
      <c r="Y277" s="194">
        <f t="shared" si="63"/>
        <v>1732</v>
      </c>
      <c r="Z277" s="194">
        <f t="shared" si="63"/>
        <v>1209</v>
      </c>
      <c r="AA277" s="194">
        <f t="shared" si="63"/>
        <v>317</v>
      </c>
      <c r="AB277" s="194">
        <f t="shared" si="63"/>
        <v>0</v>
      </c>
      <c r="AC277" s="194">
        <f t="shared" si="63"/>
        <v>0</v>
      </c>
      <c r="AD277" s="194">
        <f t="shared" si="63"/>
        <v>0</v>
      </c>
    </row>
    <row r="278" spans="3:30" ht="13.5" customHeight="1" x14ac:dyDescent="0.15">
      <c r="C278" s="218"/>
      <c r="D278" s="220"/>
      <c r="E278" s="84"/>
      <c r="F278" s="196" t="s">
        <v>60</v>
      </c>
      <c r="G278" s="126"/>
      <c r="H278" s="85"/>
      <c r="I278" s="83">
        <f t="shared" ref="I278:O278" si="67">I242+I260+I266+I272</f>
        <v>65</v>
      </c>
      <c r="J278" s="83">
        <f t="shared" si="67"/>
        <v>237</v>
      </c>
      <c r="K278" s="83">
        <f t="shared" si="67"/>
        <v>536</v>
      </c>
      <c r="L278" s="83">
        <f t="shared" si="67"/>
        <v>959</v>
      </c>
      <c r="M278" s="83">
        <f t="shared" si="67"/>
        <v>1796</v>
      </c>
      <c r="N278" s="83">
        <f t="shared" si="67"/>
        <v>1540</v>
      </c>
      <c r="O278" s="83">
        <f t="shared" si="67"/>
        <v>362</v>
      </c>
      <c r="P278" s="83"/>
      <c r="Q278" s="83"/>
      <c r="R278" s="83"/>
      <c r="S278" s="83">
        <f>SUM(I278:R278)</f>
        <v>5495</v>
      </c>
      <c r="U278" s="24">
        <f t="shared" si="63"/>
        <v>65</v>
      </c>
      <c r="V278" s="24">
        <f t="shared" si="63"/>
        <v>237</v>
      </c>
      <c r="W278" s="24">
        <f t="shared" si="63"/>
        <v>536</v>
      </c>
      <c r="X278" s="24">
        <f t="shared" si="63"/>
        <v>959</v>
      </c>
      <c r="Y278" s="24">
        <f t="shared" si="63"/>
        <v>1796</v>
      </c>
      <c r="Z278" s="24">
        <f t="shared" si="63"/>
        <v>1540</v>
      </c>
      <c r="AA278" s="24">
        <f t="shared" si="63"/>
        <v>362</v>
      </c>
      <c r="AB278" s="24">
        <f t="shared" si="63"/>
        <v>0</v>
      </c>
      <c r="AC278" s="24">
        <f t="shared" si="63"/>
        <v>0</v>
      </c>
      <c r="AD278" s="24">
        <f t="shared" si="63"/>
        <v>0</v>
      </c>
    </row>
    <row r="279" spans="3:30" ht="14.25" thickBot="1" x14ac:dyDescent="0.2">
      <c r="C279" s="218"/>
      <c r="D279" s="221"/>
      <c r="E279" s="120"/>
      <c r="F279" s="197" t="s">
        <v>61</v>
      </c>
      <c r="G279" s="136"/>
      <c r="H279" s="121"/>
      <c r="I279" s="198">
        <v>0</v>
      </c>
      <c r="J279" s="198">
        <v>0</v>
      </c>
      <c r="K279" s="198">
        <v>0</v>
      </c>
      <c r="L279" s="198">
        <v>0</v>
      </c>
      <c r="M279" s="198">
        <v>0</v>
      </c>
      <c r="N279" s="198">
        <v>0</v>
      </c>
      <c r="O279" s="198">
        <v>0</v>
      </c>
      <c r="P279" s="122"/>
      <c r="Q279" s="122"/>
      <c r="R279" s="122"/>
      <c r="S279" s="122">
        <f>SUM(I279:R279)</f>
        <v>0</v>
      </c>
      <c r="U279" s="24">
        <f t="shared" si="63"/>
        <v>0</v>
      </c>
      <c r="V279" s="24">
        <f t="shared" si="63"/>
        <v>0</v>
      </c>
      <c r="W279" s="24">
        <f t="shared" si="63"/>
        <v>0</v>
      </c>
      <c r="X279" s="24">
        <f t="shared" si="63"/>
        <v>0</v>
      </c>
      <c r="Y279" s="24">
        <f t="shared" si="63"/>
        <v>0</v>
      </c>
      <c r="Z279" s="24">
        <f t="shared" si="63"/>
        <v>0</v>
      </c>
      <c r="AA279" s="24">
        <f t="shared" si="63"/>
        <v>0</v>
      </c>
      <c r="AB279" s="24">
        <f t="shared" si="63"/>
        <v>0</v>
      </c>
      <c r="AC279" s="24">
        <f t="shared" si="63"/>
        <v>0</v>
      </c>
      <c r="AD279" s="24">
        <f t="shared" si="63"/>
        <v>0</v>
      </c>
    </row>
    <row r="280" spans="3:30" ht="13.5" customHeight="1" x14ac:dyDescent="0.15">
      <c r="C280" s="218"/>
      <c r="D280" s="222" t="s">
        <v>47</v>
      </c>
      <c r="E280" s="80"/>
      <c r="F280" s="195" t="s">
        <v>56</v>
      </c>
      <c r="G280" s="134"/>
      <c r="H280" s="81"/>
      <c r="I280" s="82"/>
      <c r="J280" s="82"/>
      <c r="K280" s="82"/>
      <c r="L280" s="82"/>
      <c r="M280" s="82"/>
      <c r="N280" s="82"/>
      <c r="O280" s="82"/>
      <c r="P280" s="82">
        <f>P244</f>
        <v>222</v>
      </c>
      <c r="Q280" s="82">
        <f t="shared" ref="Q280:R280" si="68">Q244</f>
        <v>410</v>
      </c>
      <c r="R280" s="82">
        <f t="shared" si="68"/>
        <v>259</v>
      </c>
      <c r="S280" s="82">
        <f>SUM(I280:R280)</f>
        <v>891</v>
      </c>
      <c r="AB280" s="24">
        <f t="shared" ref="AB280:AD285" si="69">SUM(P50,P70,P90,P150)</f>
        <v>222</v>
      </c>
      <c r="AC280" s="24">
        <f t="shared" si="69"/>
        <v>410</v>
      </c>
      <c r="AD280" s="24">
        <f t="shared" si="69"/>
        <v>259</v>
      </c>
    </row>
    <row r="281" spans="3:30" ht="13.5" customHeight="1" x14ac:dyDescent="0.15">
      <c r="C281" s="218"/>
      <c r="D281" s="220"/>
      <c r="E281" s="84"/>
      <c r="F281" s="196" t="s">
        <v>57</v>
      </c>
      <c r="G281" s="126"/>
      <c r="H281" s="85"/>
      <c r="I281" s="83"/>
      <c r="J281" s="83"/>
      <c r="K281" s="83"/>
      <c r="L281" s="83"/>
      <c r="M281" s="83"/>
      <c r="N281" s="83"/>
      <c r="O281" s="83"/>
      <c r="P281" s="83">
        <f t="shared" ref="P281:R281" si="70">P245</f>
        <v>256</v>
      </c>
      <c r="Q281" s="83">
        <f t="shared" si="70"/>
        <v>356</v>
      </c>
      <c r="R281" s="83">
        <f t="shared" si="70"/>
        <v>215</v>
      </c>
      <c r="S281" s="83">
        <f t="shared" ref="S281:S282" si="71">SUM(I281:R281)</f>
        <v>827</v>
      </c>
      <c r="AB281" s="24">
        <f t="shared" si="69"/>
        <v>256</v>
      </c>
      <c r="AC281" s="24">
        <f t="shared" si="69"/>
        <v>356</v>
      </c>
      <c r="AD281" s="24">
        <f t="shared" si="69"/>
        <v>215</v>
      </c>
    </row>
    <row r="282" spans="3:30" ht="13.5" customHeight="1" x14ac:dyDescent="0.15">
      <c r="C282" s="218"/>
      <c r="D282" s="220"/>
      <c r="E282" s="84"/>
      <c r="F282" s="196" t="s">
        <v>58</v>
      </c>
      <c r="G282" s="126"/>
      <c r="H282" s="85"/>
      <c r="I282" s="83"/>
      <c r="J282" s="83"/>
      <c r="K282" s="83"/>
      <c r="L282" s="83"/>
      <c r="M282" s="83"/>
      <c r="N282" s="83"/>
      <c r="O282" s="83"/>
      <c r="P282" s="83">
        <f t="shared" ref="P282:R282" si="72">P246</f>
        <v>489</v>
      </c>
      <c r="Q282" s="83">
        <f t="shared" si="72"/>
        <v>827</v>
      </c>
      <c r="R282" s="83">
        <f t="shared" si="72"/>
        <v>564</v>
      </c>
      <c r="S282" s="83">
        <f t="shared" si="71"/>
        <v>1880</v>
      </c>
      <c r="AB282" s="24">
        <f t="shared" si="69"/>
        <v>489</v>
      </c>
      <c r="AC282" s="24">
        <f t="shared" si="69"/>
        <v>827</v>
      </c>
      <c r="AD282" s="24">
        <f t="shared" si="69"/>
        <v>564</v>
      </c>
    </row>
    <row r="283" spans="3:30" x14ac:dyDescent="0.15">
      <c r="C283" s="218"/>
      <c r="D283" s="220"/>
      <c r="E283" s="84"/>
      <c r="F283" s="196" t="s">
        <v>59</v>
      </c>
      <c r="G283" s="126"/>
      <c r="H283" s="85"/>
      <c r="I283" s="83"/>
      <c r="J283" s="83"/>
      <c r="K283" s="83"/>
      <c r="L283" s="83"/>
      <c r="M283" s="83"/>
      <c r="N283" s="83"/>
      <c r="O283" s="83"/>
      <c r="P283" s="193">
        <v>477</v>
      </c>
      <c r="Q283" s="193">
        <v>577</v>
      </c>
      <c r="R283" s="193">
        <v>393</v>
      </c>
      <c r="S283" s="83">
        <f>SUM(I283:R283)</f>
        <v>1447</v>
      </c>
      <c r="AB283" s="194">
        <f t="shared" si="69"/>
        <v>477</v>
      </c>
      <c r="AC283" s="194">
        <f t="shared" si="69"/>
        <v>577</v>
      </c>
      <c r="AD283" s="194">
        <f t="shared" si="69"/>
        <v>393</v>
      </c>
    </row>
    <row r="284" spans="3:30" ht="13.5" customHeight="1" x14ac:dyDescent="0.15">
      <c r="C284" s="218"/>
      <c r="D284" s="220"/>
      <c r="E284" s="84"/>
      <c r="F284" s="196" t="s">
        <v>60</v>
      </c>
      <c r="G284" s="126"/>
      <c r="H284" s="85"/>
      <c r="I284" s="83"/>
      <c r="J284" s="83"/>
      <c r="K284" s="83"/>
      <c r="L284" s="83"/>
      <c r="M284" s="83"/>
      <c r="N284" s="83"/>
      <c r="O284" s="83"/>
      <c r="P284" s="83">
        <f t="shared" ref="P284:R284" si="73">P248</f>
        <v>311</v>
      </c>
      <c r="Q284" s="83">
        <f t="shared" si="73"/>
        <v>571</v>
      </c>
      <c r="R284" s="83">
        <f t="shared" si="73"/>
        <v>360</v>
      </c>
      <c r="S284" s="83">
        <f>SUM(I284:R284)</f>
        <v>1242</v>
      </c>
      <c r="AB284" s="24">
        <f t="shared" si="69"/>
        <v>311</v>
      </c>
      <c r="AC284" s="24">
        <f t="shared" si="69"/>
        <v>571</v>
      </c>
      <c r="AD284" s="24">
        <f t="shared" si="69"/>
        <v>360</v>
      </c>
    </row>
    <row r="285" spans="3:30" ht="14.25" thickBot="1" x14ac:dyDescent="0.2">
      <c r="C285" s="218"/>
      <c r="D285" s="223"/>
      <c r="E285" s="86"/>
      <c r="F285" s="197" t="s">
        <v>61</v>
      </c>
      <c r="G285" s="87"/>
      <c r="H285" s="88"/>
      <c r="I285" s="89"/>
      <c r="J285" s="89"/>
      <c r="K285" s="89"/>
      <c r="L285" s="89"/>
      <c r="M285" s="89"/>
      <c r="N285" s="89"/>
      <c r="O285" s="89"/>
      <c r="P285" s="199">
        <v>0</v>
      </c>
      <c r="Q285" s="199">
        <v>0</v>
      </c>
      <c r="R285" s="199">
        <v>0</v>
      </c>
      <c r="S285" s="89">
        <f>SUM(I285:R285)</f>
        <v>0</v>
      </c>
      <c r="AB285" s="194">
        <f t="shared" si="69"/>
        <v>0</v>
      </c>
      <c r="AC285" s="194">
        <f t="shared" si="69"/>
        <v>0</v>
      </c>
      <c r="AD285" s="194">
        <f t="shared" si="69"/>
        <v>0</v>
      </c>
    </row>
    <row r="286" spans="3:30" ht="13.5" customHeight="1" x14ac:dyDescent="0.15">
      <c r="C286" s="218"/>
      <c r="D286" s="219" t="s">
        <v>48</v>
      </c>
      <c r="E286" s="90"/>
      <c r="F286" s="195" t="s">
        <v>56</v>
      </c>
      <c r="G286" s="135"/>
      <c r="H286" s="91"/>
      <c r="I286" s="92"/>
      <c r="J286" s="92"/>
      <c r="K286" s="92">
        <f>K250</f>
        <v>76</v>
      </c>
      <c r="L286" s="92">
        <f t="shared" ref="L286:O286" si="74">L250</f>
        <v>113</v>
      </c>
      <c r="M286" s="92">
        <f t="shared" si="74"/>
        <v>191</v>
      </c>
      <c r="N286" s="92">
        <f t="shared" si="74"/>
        <v>113</v>
      </c>
      <c r="O286" s="92">
        <f t="shared" si="74"/>
        <v>0</v>
      </c>
      <c r="P286" s="92"/>
      <c r="Q286" s="92"/>
      <c r="R286" s="92"/>
      <c r="S286" s="92">
        <f>SUM(I286:R286)</f>
        <v>493</v>
      </c>
      <c r="W286" s="24">
        <f>SUM(K56,K76,K96,K156)</f>
        <v>76</v>
      </c>
      <c r="X286" s="24">
        <f t="shared" ref="X286:AA286" si="75">SUM(L56,L76,L96,L156)</f>
        <v>113</v>
      </c>
      <c r="Y286" s="24">
        <f t="shared" si="75"/>
        <v>191</v>
      </c>
      <c r="Z286" s="24">
        <f t="shared" si="75"/>
        <v>113</v>
      </c>
      <c r="AA286" s="24">
        <f t="shared" si="75"/>
        <v>0</v>
      </c>
    </row>
    <row r="287" spans="3:30" ht="13.5" customHeight="1" x14ac:dyDescent="0.15">
      <c r="C287" s="218"/>
      <c r="D287" s="220"/>
      <c r="E287" s="84"/>
      <c r="F287" s="196" t="s">
        <v>57</v>
      </c>
      <c r="G287" s="126"/>
      <c r="H287" s="85"/>
      <c r="I287" s="83"/>
      <c r="J287" s="83"/>
      <c r="K287" s="83">
        <f t="shared" ref="K287:K290" si="76">K251</f>
        <v>88</v>
      </c>
      <c r="L287" s="83">
        <f t="shared" ref="L287:O287" si="77">L251</f>
        <v>98</v>
      </c>
      <c r="M287" s="83">
        <f t="shared" si="77"/>
        <v>124</v>
      </c>
      <c r="N287" s="83">
        <f t="shared" si="77"/>
        <v>61</v>
      </c>
      <c r="O287" s="83">
        <f t="shared" si="77"/>
        <v>0</v>
      </c>
      <c r="P287" s="83"/>
      <c r="Q287" s="83"/>
      <c r="R287" s="83"/>
      <c r="S287" s="83">
        <f t="shared" ref="S287:S289" si="78">SUM(I287:R287)</f>
        <v>371</v>
      </c>
      <c r="W287" s="24">
        <f t="shared" ref="W287:W291" si="79">SUM(K57,K77,K97,K157)</f>
        <v>88</v>
      </c>
      <c r="X287" s="24">
        <f t="shared" ref="X287:X291" si="80">SUM(L57,L77,L97,L157)</f>
        <v>98</v>
      </c>
      <c r="Y287" s="24">
        <f t="shared" ref="Y287:Y291" si="81">SUM(M57,M77,M97,M157)</f>
        <v>124</v>
      </c>
      <c r="Z287" s="24">
        <f t="shared" ref="Z287:Z291" si="82">SUM(N57,N77,N97,N157)</f>
        <v>61</v>
      </c>
      <c r="AA287" s="24">
        <f t="shared" ref="AA287:AA291" si="83">SUM(O57,O77,O97,O157)</f>
        <v>0</v>
      </c>
    </row>
    <row r="288" spans="3:30" ht="13.5" customHeight="1" x14ac:dyDescent="0.15">
      <c r="C288" s="218"/>
      <c r="D288" s="220"/>
      <c r="E288" s="84"/>
      <c r="F288" s="196" t="s">
        <v>58</v>
      </c>
      <c r="G288" s="126"/>
      <c r="H288" s="85"/>
      <c r="I288" s="83"/>
      <c r="J288" s="83"/>
      <c r="K288" s="83">
        <f t="shared" si="76"/>
        <v>176</v>
      </c>
      <c r="L288" s="83">
        <f t="shared" ref="L288:O288" si="84">L252</f>
        <v>248</v>
      </c>
      <c r="M288" s="83">
        <f t="shared" si="84"/>
        <v>361</v>
      </c>
      <c r="N288" s="83">
        <f t="shared" si="84"/>
        <v>248</v>
      </c>
      <c r="O288" s="83">
        <f t="shared" si="84"/>
        <v>0</v>
      </c>
      <c r="P288" s="83"/>
      <c r="Q288" s="83"/>
      <c r="R288" s="83"/>
      <c r="S288" s="83">
        <f t="shared" si="78"/>
        <v>1033</v>
      </c>
      <c r="W288" s="24">
        <f t="shared" si="79"/>
        <v>176</v>
      </c>
      <c r="X288" s="24">
        <f t="shared" si="80"/>
        <v>248</v>
      </c>
      <c r="Y288" s="24">
        <f t="shared" si="81"/>
        <v>361</v>
      </c>
      <c r="Z288" s="24">
        <f t="shared" si="82"/>
        <v>248</v>
      </c>
      <c r="AA288" s="24">
        <f t="shared" si="83"/>
        <v>0</v>
      </c>
    </row>
    <row r="289" spans="3:27" x14ac:dyDescent="0.15">
      <c r="C289" s="218"/>
      <c r="D289" s="220"/>
      <c r="E289" s="84"/>
      <c r="F289" s="196" t="s">
        <v>59</v>
      </c>
      <c r="G289" s="126"/>
      <c r="H289" s="85"/>
      <c r="I289" s="83"/>
      <c r="J289" s="83"/>
      <c r="K289" s="193">
        <v>123</v>
      </c>
      <c r="L289" s="193">
        <v>169</v>
      </c>
      <c r="M289" s="193">
        <v>288</v>
      </c>
      <c r="N289" s="193">
        <v>145</v>
      </c>
      <c r="O289" s="83">
        <f t="shared" ref="O289" si="85">O253</f>
        <v>0</v>
      </c>
      <c r="P289" s="83"/>
      <c r="Q289" s="83"/>
      <c r="R289" s="83"/>
      <c r="S289" s="83">
        <f t="shared" si="78"/>
        <v>725</v>
      </c>
      <c r="W289" s="194">
        <f t="shared" si="79"/>
        <v>123</v>
      </c>
      <c r="X289" s="194">
        <f t="shared" si="80"/>
        <v>169</v>
      </c>
      <c r="Y289" s="194">
        <f t="shared" si="81"/>
        <v>288</v>
      </c>
      <c r="Z289" s="194">
        <f t="shared" si="82"/>
        <v>145</v>
      </c>
      <c r="AA289" s="194">
        <f t="shared" si="83"/>
        <v>0</v>
      </c>
    </row>
    <row r="290" spans="3:27" ht="13.5" customHeight="1" x14ac:dyDescent="0.15">
      <c r="C290" s="218"/>
      <c r="D290" s="220"/>
      <c r="E290" s="84"/>
      <c r="F290" s="196" t="s">
        <v>60</v>
      </c>
      <c r="G290" s="126"/>
      <c r="H290" s="85"/>
      <c r="I290" s="83"/>
      <c r="J290" s="83"/>
      <c r="K290" s="83">
        <f t="shared" si="76"/>
        <v>102</v>
      </c>
      <c r="L290" s="83">
        <f t="shared" ref="L290:O290" si="86">L254</f>
        <v>157</v>
      </c>
      <c r="M290" s="83">
        <f t="shared" si="86"/>
        <v>267</v>
      </c>
      <c r="N290" s="83">
        <f t="shared" si="86"/>
        <v>157</v>
      </c>
      <c r="O290" s="83">
        <f t="shared" si="86"/>
        <v>0</v>
      </c>
      <c r="P290" s="83"/>
      <c r="Q290" s="83"/>
      <c r="R290" s="83"/>
      <c r="S290" s="83">
        <f>SUM(I290:R290)</f>
        <v>683</v>
      </c>
      <c r="W290" s="24">
        <f t="shared" si="79"/>
        <v>102</v>
      </c>
      <c r="X290" s="24">
        <f t="shared" si="80"/>
        <v>157</v>
      </c>
      <c r="Y290" s="24">
        <f t="shared" si="81"/>
        <v>267</v>
      </c>
      <c r="Z290" s="24">
        <f t="shared" si="82"/>
        <v>157</v>
      </c>
      <c r="AA290" s="24">
        <f t="shared" si="83"/>
        <v>0</v>
      </c>
    </row>
    <row r="291" spans="3:27" ht="14.25" thickBot="1" x14ac:dyDescent="0.2">
      <c r="C291" s="218"/>
      <c r="D291" s="221"/>
      <c r="E291" s="120"/>
      <c r="F291" s="197" t="s">
        <v>61</v>
      </c>
      <c r="G291" s="136"/>
      <c r="H291" s="121"/>
      <c r="I291" s="122"/>
      <c r="J291" s="122"/>
      <c r="K291" s="122">
        <v>0</v>
      </c>
      <c r="L291" s="122">
        <v>0</v>
      </c>
      <c r="M291" s="122">
        <v>0</v>
      </c>
      <c r="N291" s="122">
        <v>0</v>
      </c>
      <c r="O291" s="122">
        <f t="shared" ref="O291" si="87">O255</f>
        <v>0</v>
      </c>
      <c r="P291" s="122"/>
      <c r="Q291" s="122"/>
      <c r="R291" s="122"/>
      <c r="S291" s="122">
        <f>SUM(I291:R291)</f>
        <v>0</v>
      </c>
      <c r="U291" s="119">
        <f>SUM(H274:R291)</f>
        <v>34028</v>
      </c>
      <c r="W291" s="194">
        <f t="shared" si="79"/>
        <v>0</v>
      </c>
      <c r="X291" s="194">
        <f t="shared" si="80"/>
        <v>0</v>
      </c>
      <c r="Y291" s="194">
        <f t="shared" si="81"/>
        <v>0</v>
      </c>
      <c r="Z291" s="194">
        <f t="shared" si="82"/>
        <v>0</v>
      </c>
      <c r="AA291" s="194">
        <f t="shared" si="83"/>
        <v>0</v>
      </c>
    </row>
    <row r="292" spans="3:27" ht="14.25" thickBot="1" x14ac:dyDescent="0.2">
      <c r="C292" s="218"/>
      <c r="D292" s="141"/>
      <c r="E292" s="141"/>
      <c r="F292" s="142" t="s">
        <v>41</v>
      </c>
      <c r="G292" s="142"/>
      <c r="H292" s="143"/>
      <c r="I292" s="124">
        <f>SUM(I274:I291)</f>
        <v>440</v>
      </c>
      <c r="J292" s="124">
        <f t="shared" ref="J292:R292" si="88">SUM(J274:J291)</f>
        <v>1611</v>
      </c>
      <c r="K292" s="124">
        <f t="shared" si="88"/>
        <v>3413</v>
      </c>
      <c r="L292" s="124">
        <f t="shared" si="88"/>
        <v>5163</v>
      </c>
      <c r="M292" s="124">
        <f t="shared" si="88"/>
        <v>8725</v>
      </c>
      <c r="N292" s="124">
        <f t="shared" si="88"/>
        <v>6719</v>
      </c>
      <c r="O292" s="124">
        <f t="shared" si="88"/>
        <v>1670</v>
      </c>
      <c r="P292" s="124">
        <f t="shared" si="88"/>
        <v>1755</v>
      </c>
      <c r="Q292" s="124">
        <f t="shared" si="88"/>
        <v>2741</v>
      </c>
      <c r="R292" s="124">
        <f t="shared" si="88"/>
        <v>1791</v>
      </c>
      <c r="S292" s="124">
        <f>SUM(I292:R292)</f>
        <v>34028</v>
      </c>
    </row>
    <row r="293" spans="3:27" x14ac:dyDescent="0.15">
      <c r="C293" s="69" t="s">
        <v>39</v>
      </c>
      <c r="D293" s="72"/>
      <c r="E293" s="95"/>
      <c r="F293" s="72"/>
      <c r="G293" s="72"/>
      <c r="H293" s="77"/>
      <c r="I293" s="78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46"/>
      <c r="W293" s="22"/>
    </row>
    <row r="294" spans="3:27" ht="13.5" customHeight="1" x14ac:dyDescent="0.15">
      <c r="C294" s="69"/>
      <c r="D294" s="202" t="s">
        <v>46</v>
      </c>
      <c r="E294" s="74"/>
      <c r="F294" s="138" t="s">
        <v>49</v>
      </c>
      <c r="G294" s="138"/>
      <c r="H294" s="102"/>
      <c r="I294" s="108">
        <v>44</v>
      </c>
      <c r="J294" s="137">
        <v>102</v>
      </c>
      <c r="K294" s="137">
        <v>301</v>
      </c>
      <c r="L294" s="137">
        <v>523</v>
      </c>
      <c r="M294" s="137">
        <v>1000</v>
      </c>
      <c r="N294" s="137">
        <v>867</v>
      </c>
      <c r="O294" s="108">
        <v>253</v>
      </c>
      <c r="P294" s="137"/>
      <c r="Q294" s="108"/>
      <c r="R294" s="108"/>
      <c r="S294" s="103">
        <f>SUM(I294:R294)</f>
        <v>3090</v>
      </c>
    </row>
    <row r="295" spans="3:27" ht="13.5" customHeight="1" x14ac:dyDescent="0.15">
      <c r="C295" s="69"/>
      <c r="D295" s="202"/>
      <c r="E295" s="74"/>
      <c r="F295" s="108" t="s">
        <v>50</v>
      </c>
      <c r="G295" s="108"/>
      <c r="H295" s="102"/>
      <c r="I295" s="108">
        <v>79</v>
      </c>
      <c r="J295" s="137">
        <v>304</v>
      </c>
      <c r="K295" s="137">
        <v>457</v>
      </c>
      <c r="L295" s="137">
        <v>682</v>
      </c>
      <c r="M295" s="137">
        <v>1001</v>
      </c>
      <c r="N295" s="137">
        <v>698</v>
      </c>
      <c r="O295" s="108">
        <v>143</v>
      </c>
      <c r="P295" s="137"/>
      <c r="Q295" s="108"/>
      <c r="R295" s="108"/>
      <c r="S295" s="103">
        <f t="shared" ref="S295:S296" si="89">SUM(I295:R295)</f>
        <v>3364</v>
      </c>
    </row>
    <row r="296" spans="3:27" ht="13.5" customHeight="1" x14ac:dyDescent="0.15">
      <c r="C296" s="69"/>
      <c r="D296" s="202"/>
      <c r="E296" s="74"/>
      <c r="F296" s="108" t="s">
        <v>51</v>
      </c>
      <c r="G296" s="108"/>
      <c r="H296" s="102"/>
      <c r="I296" s="108">
        <v>113</v>
      </c>
      <c r="J296" s="137">
        <v>437</v>
      </c>
      <c r="K296" s="137">
        <v>776</v>
      </c>
      <c r="L296" s="137">
        <v>1178</v>
      </c>
      <c r="M296" s="137">
        <v>1965</v>
      </c>
      <c r="N296" s="137">
        <v>1681</v>
      </c>
      <c r="O296" s="108">
        <v>595</v>
      </c>
      <c r="P296" s="137"/>
      <c r="Q296" s="108"/>
      <c r="R296" s="108"/>
      <c r="S296" s="103">
        <f t="shared" si="89"/>
        <v>6745</v>
      </c>
    </row>
    <row r="297" spans="3:27" x14ac:dyDescent="0.15">
      <c r="C297" s="69"/>
      <c r="D297" s="202"/>
      <c r="E297" s="74"/>
      <c r="F297" s="108" t="s">
        <v>52</v>
      </c>
      <c r="G297" s="108"/>
      <c r="H297" s="102"/>
      <c r="I297" s="108">
        <v>67</v>
      </c>
      <c r="J297" s="137">
        <v>351</v>
      </c>
      <c r="K297" s="137">
        <v>554</v>
      </c>
      <c r="L297" s="137">
        <v>707</v>
      </c>
      <c r="M297" s="137">
        <v>1181</v>
      </c>
      <c r="N297" s="137">
        <v>827</v>
      </c>
      <c r="O297" s="108">
        <v>205</v>
      </c>
      <c r="P297" s="137"/>
      <c r="Q297" s="108"/>
      <c r="R297" s="108"/>
      <c r="S297" s="103">
        <f>SUM(I297:R297)</f>
        <v>3892</v>
      </c>
    </row>
    <row r="298" spans="3:27" ht="13.5" customHeight="1" x14ac:dyDescent="0.15">
      <c r="C298" s="69"/>
      <c r="D298" s="202"/>
      <c r="E298" s="74"/>
      <c r="F298" s="108" t="s">
        <v>53</v>
      </c>
      <c r="G298" s="108"/>
      <c r="H298" s="102"/>
      <c r="I298" s="108">
        <v>65</v>
      </c>
      <c r="J298" s="137">
        <v>237</v>
      </c>
      <c r="K298" s="137">
        <v>536</v>
      </c>
      <c r="L298" s="137">
        <v>959</v>
      </c>
      <c r="M298" s="137">
        <v>1796</v>
      </c>
      <c r="N298" s="137">
        <v>1540</v>
      </c>
      <c r="O298" s="108">
        <v>362</v>
      </c>
      <c r="P298" s="137"/>
      <c r="Q298" s="108"/>
      <c r="R298" s="108"/>
      <c r="S298" s="103">
        <f>SUM(I298:R298)</f>
        <v>5495</v>
      </c>
    </row>
    <row r="299" spans="3:27" ht="14.25" thickBot="1" x14ac:dyDescent="0.2">
      <c r="C299" s="69"/>
      <c r="D299" s="205"/>
      <c r="E299" s="71"/>
      <c r="F299" s="133" t="s">
        <v>54</v>
      </c>
      <c r="G299" s="133"/>
      <c r="H299" s="66"/>
      <c r="I299" s="133">
        <v>60</v>
      </c>
      <c r="J299" s="139">
        <v>156</v>
      </c>
      <c r="K299" s="139">
        <v>260</v>
      </c>
      <c r="L299" s="139">
        <v>376</v>
      </c>
      <c r="M299" s="139">
        <v>540</v>
      </c>
      <c r="N299" s="139">
        <v>357</v>
      </c>
      <c r="O299" s="133">
        <v>112</v>
      </c>
      <c r="P299" s="139"/>
      <c r="Q299" s="133"/>
      <c r="R299" s="133"/>
      <c r="S299" s="67">
        <f>SUM(I299:R299)</f>
        <v>1861</v>
      </c>
    </row>
    <row r="300" spans="3:27" ht="13.5" customHeight="1" x14ac:dyDescent="0.15">
      <c r="C300" s="69"/>
      <c r="D300" s="201" t="s">
        <v>47</v>
      </c>
      <c r="E300" s="76"/>
      <c r="F300" s="131" t="s">
        <v>49</v>
      </c>
      <c r="G300" s="131"/>
      <c r="H300" s="96"/>
      <c r="I300" s="97"/>
      <c r="J300" s="97"/>
      <c r="K300" s="97"/>
      <c r="L300" s="97"/>
      <c r="M300" s="97"/>
      <c r="N300" s="97"/>
      <c r="O300" s="97"/>
      <c r="P300" s="144">
        <v>222</v>
      </c>
      <c r="Q300" s="145">
        <v>410</v>
      </c>
      <c r="R300" s="145">
        <v>259</v>
      </c>
      <c r="S300" s="97">
        <f>SUM(I300:R300)</f>
        <v>891</v>
      </c>
    </row>
    <row r="301" spans="3:27" ht="13.5" customHeight="1" x14ac:dyDescent="0.15">
      <c r="C301" s="69"/>
      <c r="D301" s="202"/>
      <c r="E301" s="74"/>
      <c r="F301" s="108" t="s">
        <v>50</v>
      </c>
      <c r="G301" s="108"/>
      <c r="H301" s="102"/>
      <c r="I301" s="103"/>
      <c r="J301" s="103"/>
      <c r="K301" s="103"/>
      <c r="L301" s="103"/>
      <c r="M301" s="103"/>
      <c r="N301" s="103"/>
      <c r="O301" s="103"/>
      <c r="P301" s="108">
        <v>256</v>
      </c>
      <c r="Q301" s="137">
        <v>356</v>
      </c>
      <c r="R301" s="137">
        <v>215</v>
      </c>
      <c r="S301" s="103">
        <f t="shared" ref="S301:S302" si="90">SUM(I301:R301)</f>
        <v>827</v>
      </c>
    </row>
    <row r="302" spans="3:27" ht="13.5" customHeight="1" x14ac:dyDescent="0.15">
      <c r="C302" s="69"/>
      <c r="D302" s="202"/>
      <c r="E302" s="74"/>
      <c r="F302" s="108" t="s">
        <v>51</v>
      </c>
      <c r="G302" s="108"/>
      <c r="H302" s="102"/>
      <c r="I302" s="103"/>
      <c r="J302" s="103"/>
      <c r="K302" s="103"/>
      <c r="L302" s="103"/>
      <c r="M302" s="103"/>
      <c r="N302" s="103"/>
      <c r="O302" s="103"/>
      <c r="P302" s="108">
        <v>489</v>
      </c>
      <c r="Q302" s="137">
        <v>827</v>
      </c>
      <c r="R302" s="137">
        <v>564</v>
      </c>
      <c r="S302" s="103">
        <f t="shared" si="90"/>
        <v>1880</v>
      </c>
    </row>
    <row r="303" spans="3:27" x14ac:dyDescent="0.15">
      <c r="C303" s="69"/>
      <c r="D303" s="202"/>
      <c r="E303" s="74"/>
      <c r="F303" s="108" t="s">
        <v>52</v>
      </c>
      <c r="G303" s="108"/>
      <c r="H303" s="102"/>
      <c r="I303" s="103"/>
      <c r="J303" s="103"/>
      <c r="K303" s="103"/>
      <c r="L303" s="103"/>
      <c r="M303" s="103"/>
      <c r="N303" s="103"/>
      <c r="O303" s="103"/>
      <c r="P303" s="108">
        <v>304</v>
      </c>
      <c r="Q303" s="137">
        <v>368</v>
      </c>
      <c r="R303" s="137">
        <v>249</v>
      </c>
      <c r="S303" s="103">
        <f>SUM(I303:R303)</f>
        <v>921</v>
      </c>
    </row>
    <row r="304" spans="3:27" ht="13.5" customHeight="1" x14ac:dyDescent="0.15">
      <c r="C304" s="69"/>
      <c r="D304" s="202"/>
      <c r="E304" s="74"/>
      <c r="F304" s="108" t="s">
        <v>53</v>
      </c>
      <c r="G304" s="108"/>
      <c r="H304" s="102"/>
      <c r="I304" s="103"/>
      <c r="J304" s="103"/>
      <c r="K304" s="103"/>
      <c r="L304" s="103"/>
      <c r="M304" s="103"/>
      <c r="N304" s="103"/>
      <c r="O304" s="103"/>
      <c r="P304" s="108">
        <v>311</v>
      </c>
      <c r="Q304" s="137">
        <v>571</v>
      </c>
      <c r="R304" s="137">
        <v>360</v>
      </c>
      <c r="S304" s="103">
        <f>SUM(I304:R304)</f>
        <v>1242</v>
      </c>
    </row>
    <row r="305" spans="3:23" ht="14.25" thickBot="1" x14ac:dyDescent="0.2">
      <c r="C305" s="69"/>
      <c r="D305" s="203"/>
      <c r="E305" s="75"/>
      <c r="F305" s="109" t="s">
        <v>54</v>
      </c>
      <c r="G305" s="109"/>
      <c r="H305" s="98"/>
      <c r="I305" s="99"/>
      <c r="J305" s="99"/>
      <c r="K305" s="99"/>
      <c r="L305" s="99"/>
      <c r="M305" s="99"/>
      <c r="N305" s="99"/>
      <c r="O305" s="99"/>
      <c r="P305" s="109">
        <v>147</v>
      </c>
      <c r="Q305" s="146">
        <v>208</v>
      </c>
      <c r="R305" s="146">
        <v>122</v>
      </c>
      <c r="S305" s="99">
        <f>SUM(I305:R305)</f>
        <v>477</v>
      </c>
    </row>
    <row r="306" spans="3:23" ht="13.5" customHeight="1" x14ac:dyDescent="0.15">
      <c r="C306" s="69"/>
      <c r="D306" s="204" t="s">
        <v>48</v>
      </c>
      <c r="E306" s="73"/>
      <c r="F306" s="132" t="s">
        <v>49</v>
      </c>
      <c r="G306" s="132"/>
      <c r="H306" s="100"/>
      <c r="I306" s="101"/>
      <c r="J306" s="101"/>
      <c r="K306" s="140">
        <v>76</v>
      </c>
      <c r="L306" s="140">
        <v>113</v>
      </c>
      <c r="M306" s="140">
        <v>191</v>
      </c>
      <c r="N306" s="140">
        <v>113</v>
      </c>
      <c r="O306" s="140"/>
      <c r="P306" s="140"/>
      <c r="Q306" s="101"/>
      <c r="R306" s="101"/>
      <c r="S306" s="101">
        <f>SUM(I306:R306)</f>
        <v>493</v>
      </c>
    </row>
    <row r="307" spans="3:23" ht="13.5" customHeight="1" x14ac:dyDescent="0.15">
      <c r="C307" s="69"/>
      <c r="D307" s="202"/>
      <c r="E307" s="74"/>
      <c r="F307" s="108" t="s">
        <v>50</v>
      </c>
      <c r="G307" s="108"/>
      <c r="H307" s="102"/>
      <c r="I307" s="103"/>
      <c r="J307" s="103"/>
      <c r="K307" s="137">
        <v>88</v>
      </c>
      <c r="L307" s="137">
        <v>98</v>
      </c>
      <c r="M307" s="137">
        <v>124</v>
      </c>
      <c r="N307" s="137">
        <v>61</v>
      </c>
      <c r="O307" s="137"/>
      <c r="P307" s="137"/>
      <c r="Q307" s="103"/>
      <c r="R307" s="103"/>
      <c r="S307" s="103">
        <f t="shared" ref="S307:S309" si="91">SUM(I307:R307)</f>
        <v>371</v>
      </c>
    </row>
    <row r="308" spans="3:23" ht="13.5" customHeight="1" x14ac:dyDescent="0.15">
      <c r="C308" s="69"/>
      <c r="D308" s="202"/>
      <c r="E308" s="74"/>
      <c r="F308" s="108" t="s">
        <v>51</v>
      </c>
      <c r="G308" s="108"/>
      <c r="H308" s="102"/>
      <c r="I308" s="103"/>
      <c r="J308" s="103"/>
      <c r="K308" s="137">
        <v>176</v>
      </c>
      <c r="L308" s="137">
        <v>248</v>
      </c>
      <c r="M308" s="137">
        <v>361</v>
      </c>
      <c r="N308" s="137">
        <v>248</v>
      </c>
      <c r="O308" s="137"/>
      <c r="P308" s="137"/>
      <c r="Q308" s="103"/>
      <c r="R308" s="103"/>
      <c r="S308" s="103">
        <f t="shared" si="91"/>
        <v>1033</v>
      </c>
    </row>
    <row r="309" spans="3:23" x14ac:dyDescent="0.15">
      <c r="C309" s="69"/>
      <c r="D309" s="202"/>
      <c r="E309" s="74"/>
      <c r="F309" s="108" t="s">
        <v>52</v>
      </c>
      <c r="G309" s="108"/>
      <c r="H309" s="102"/>
      <c r="I309" s="103"/>
      <c r="J309" s="103"/>
      <c r="K309" s="137">
        <v>80</v>
      </c>
      <c r="L309" s="137">
        <v>107</v>
      </c>
      <c r="M309" s="137">
        <v>184</v>
      </c>
      <c r="N309" s="137">
        <v>93</v>
      </c>
      <c r="O309" s="137"/>
      <c r="P309" s="137"/>
      <c r="Q309" s="103"/>
      <c r="R309" s="103"/>
      <c r="S309" s="103">
        <f t="shared" si="91"/>
        <v>464</v>
      </c>
    </row>
    <row r="310" spans="3:23" ht="13.5" customHeight="1" x14ac:dyDescent="0.15">
      <c r="C310" s="69"/>
      <c r="D310" s="202"/>
      <c r="E310" s="74"/>
      <c r="F310" s="108" t="s">
        <v>53</v>
      </c>
      <c r="G310" s="108"/>
      <c r="H310" s="102"/>
      <c r="I310" s="103"/>
      <c r="J310" s="103"/>
      <c r="K310" s="137">
        <v>102</v>
      </c>
      <c r="L310" s="137">
        <v>157</v>
      </c>
      <c r="M310" s="137">
        <v>267</v>
      </c>
      <c r="N310" s="137">
        <v>157</v>
      </c>
      <c r="O310" s="137"/>
      <c r="P310" s="137"/>
      <c r="Q310" s="103"/>
      <c r="R310" s="103"/>
      <c r="S310" s="103">
        <f>SUM(I310:R310)</f>
        <v>683</v>
      </c>
    </row>
    <row r="311" spans="3:23" ht="14.25" thickBot="1" x14ac:dyDescent="0.2">
      <c r="C311" s="69"/>
      <c r="D311" s="205"/>
      <c r="E311" s="71"/>
      <c r="F311" s="133" t="s">
        <v>54</v>
      </c>
      <c r="G311" s="133"/>
      <c r="H311" s="66"/>
      <c r="I311" s="67"/>
      <c r="J311" s="67"/>
      <c r="K311" s="139">
        <v>78</v>
      </c>
      <c r="L311" s="139">
        <v>88</v>
      </c>
      <c r="M311" s="139">
        <v>105</v>
      </c>
      <c r="N311" s="139">
        <v>58</v>
      </c>
      <c r="O311" s="139"/>
      <c r="P311" s="139"/>
      <c r="Q311" s="67"/>
      <c r="R311" s="67"/>
      <c r="S311" s="67">
        <f>SUM(I311:R311)</f>
        <v>329</v>
      </c>
      <c r="U311" s="119">
        <f>SUM(H294:R311)</f>
        <v>34058</v>
      </c>
    </row>
    <row r="312" spans="3:23" ht="14.25" thickBot="1" x14ac:dyDescent="0.2">
      <c r="C312" s="69"/>
      <c r="D312" s="110"/>
      <c r="E312" s="110"/>
      <c r="F312" s="111" t="s">
        <v>41</v>
      </c>
      <c r="G312" s="111"/>
      <c r="H312" s="112"/>
      <c r="I312" s="113">
        <f>SUM(I294:I311)</f>
        <v>428</v>
      </c>
      <c r="J312" s="113">
        <f t="shared" ref="J312" si="92">SUM(J294:J311)</f>
        <v>1587</v>
      </c>
      <c r="K312" s="113">
        <f t="shared" ref="K312" si="93">SUM(K294:K311)</f>
        <v>3484</v>
      </c>
      <c r="L312" s="113">
        <f t="shared" ref="L312" si="94">SUM(L294:L311)</f>
        <v>5236</v>
      </c>
      <c r="M312" s="113">
        <f t="shared" ref="M312" si="95">SUM(M294:M311)</f>
        <v>8715</v>
      </c>
      <c r="N312" s="113">
        <f t="shared" ref="N312" si="96">SUM(N294:N311)</f>
        <v>6700</v>
      </c>
      <c r="O312" s="113">
        <f t="shared" ref="O312" si="97">SUM(O294:O311)</f>
        <v>1670</v>
      </c>
      <c r="P312" s="113">
        <f t="shared" ref="P312" si="98">SUM(P294:P311)</f>
        <v>1729</v>
      </c>
      <c r="Q312" s="113">
        <f t="shared" ref="Q312" si="99">SUM(Q294:Q311)</f>
        <v>2740</v>
      </c>
      <c r="R312" s="113">
        <f t="shared" ref="R312" si="100">SUM(R294:R311)</f>
        <v>1769</v>
      </c>
      <c r="S312" s="113">
        <f t="shared" ref="S312" si="101">SUM(I312:R312)</f>
        <v>34058</v>
      </c>
    </row>
    <row r="313" spans="3:23" x14ac:dyDescent="0.15">
      <c r="C313" s="69" t="s">
        <v>40</v>
      </c>
      <c r="D313" s="72"/>
      <c r="E313" s="95"/>
      <c r="F313" s="72"/>
      <c r="G313" s="72"/>
      <c r="H313" s="77"/>
      <c r="I313" s="78"/>
      <c r="J313" s="78"/>
      <c r="K313" s="78"/>
      <c r="L313" s="78"/>
      <c r="M313" s="78"/>
      <c r="N313" s="78"/>
      <c r="O313" s="78"/>
      <c r="P313" s="78"/>
      <c r="Q313" s="78"/>
      <c r="R313" s="78"/>
      <c r="S313" s="78"/>
      <c r="T313" s="46"/>
      <c r="W313" s="22"/>
    </row>
    <row r="314" spans="3:23" ht="13.5" customHeight="1" x14ac:dyDescent="0.15">
      <c r="C314" s="69"/>
      <c r="D314" s="202" t="s">
        <v>46</v>
      </c>
      <c r="E314" s="74"/>
      <c r="F314" s="138" t="s">
        <v>49</v>
      </c>
      <c r="G314" s="138"/>
      <c r="H314" s="102"/>
      <c r="I314" s="103">
        <f>I294-I274</f>
        <v>0</v>
      </c>
      <c r="J314" s="103">
        <f t="shared" ref="J314:R314" si="102">J294-J274</f>
        <v>0</v>
      </c>
      <c r="K314" s="103">
        <f t="shared" si="102"/>
        <v>0</v>
      </c>
      <c r="L314" s="103">
        <f t="shared" si="102"/>
        <v>0</v>
      </c>
      <c r="M314" s="103">
        <f t="shared" si="102"/>
        <v>0</v>
      </c>
      <c r="N314" s="103">
        <f t="shared" si="102"/>
        <v>0</v>
      </c>
      <c r="O314" s="103">
        <f t="shared" si="102"/>
        <v>0</v>
      </c>
      <c r="P314" s="103">
        <f t="shared" si="102"/>
        <v>0</v>
      </c>
      <c r="Q314" s="103">
        <f t="shared" si="102"/>
        <v>0</v>
      </c>
      <c r="R314" s="103">
        <f t="shared" si="102"/>
        <v>0</v>
      </c>
      <c r="S314" s="103">
        <f>SUM(I314:R314)</f>
        <v>0</v>
      </c>
    </row>
    <row r="315" spans="3:23" ht="13.5" customHeight="1" x14ac:dyDescent="0.15">
      <c r="C315" s="69"/>
      <c r="D315" s="202"/>
      <c r="E315" s="74"/>
      <c r="F315" s="108" t="s">
        <v>50</v>
      </c>
      <c r="G315" s="108"/>
      <c r="H315" s="102"/>
      <c r="I315" s="103">
        <f t="shared" ref="I315:R315" si="103">I295-I275</f>
        <v>0</v>
      </c>
      <c r="J315" s="103">
        <f t="shared" si="103"/>
        <v>0</v>
      </c>
      <c r="K315" s="103">
        <f t="shared" si="103"/>
        <v>0</v>
      </c>
      <c r="L315" s="103">
        <f t="shared" si="103"/>
        <v>0</v>
      </c>
      <c r="M315" s="103">
        <f t="shared" si="103"/>
        <v>0</v>
      </c>
      <c r="N315" s="103">
        <f t="shared" si="103"/>
        <v>0</v>
      </c>
      <c r="O315" s="103">
        <f t="shared" si="103"/>
        <v>0</v>
      </c>
      <c r="P315" s="103">
        <f t="shared" si="103"/>
        <v>0</v>
      </c>
      <c r="Q315" s="103">
        <f t="shared" si="103"/>
        <v>0</v>
      </c>
      <c r="R315" s="103">
        <f t="shared" si="103"/>
        <v>0</v>
      </c>
      <c r="S315" s="103">
        <f t="shared" ref="S315:S316" si="104">SUM(I315:R315)</f>
        <v>0</v>
      </c>
    </row>
    <row r="316" spans="3:23" ht="13.5" customHeight="1" x14ac:dyDescent="0.15">
      <c r="C316" s="69"/>
      <c r="D316" s="202"/>
      <c r="E316" s="74"/>
      <c r="F316" s="108" t="s">
        <v>51</v>
      </c>
      <c r="G316" s="108"/>
      <c r="H316" s="102"/>
      <c r="I316" s="103">
        <f t="shared" ref="I316:R316" si="105">I296-I276</f>
        <v>0</v>
      </c>
      <c r="J316" s="103">
        <f t="shared" si="105"/>
        <v>0</v>
      </c>
      <c r="K316" s="103">
        <f t="shared" si="105"/>
        <v>0</v>
      </c>
      <c r="L316" s="103">
        <f t="shared" si="105"/>
        <v>0</v>
      </c>
      <c r="M316" s="103">
        <f t="shared" si="105"/>
        <v>0</v>
      </c>
      <c r="N316" s="103">
        <f t="shared" si="105"/>
        <v>0</v>
      </c>
      <c r="O316" s="103">
        <f t="shared" si="105"/>
        <v>0</v>
      </c>
      <c r="P316" s="103">
        <f t="shared" si="105"/>
        <v>0</v>
      </c>
      <c r="Q316" s="103">
        <f t="shared" si="105"/>
        <v>0</v>
      </c>
      <c r="R316" s="103">
        <f t="shared" si="105"/>
        <v>0</v>
      </c>
      <c r="S316" s="103">
        <f t="shared" si="104"/>
        <v>0</v>
      </c>
    </row>
    <row r="317" spans="3:23" x14ac:dyDescent="0.15">
      <c r="C317" s="69"/>
      <c r="D317" s="202"/>
      <c r="E317" s="74"/>
      <c r="F317" s="108" t="s">
        <v>52</v>
      </c>
      <c r="G317" s="108"/>
      <c r="H317" s="102"/>
      <c r="I317" s="103">
        <f t="shared" ref="I317:R317" si="106">I297-I277</f>
        <v>-72</v>
      </c>
      <c r="J317" s="103">
        <f t="shared" si="106"/>
        <v>-180</v>
      </c>
      <c r="K317" s="103">
        <f t="shared" si="106"/>
        <v>-224</v>
      </c>
      <c r="L317" s="103">
        <f t="shared" si="106"/>
        <v>-329</v>
      </c>
      <c r="M317" s="103">
        <f t="shared" si="106"/>
        <v>-551</v>
      </c>
      <c r="N317" s="103">
        <f t="shared" si="106"/>
        <v>-382</v>
      </c>
      <c r="O317" s="103">
        <f t="shared" si="106"/>
        <v>-112</v>
      </c>
      <c r="P317" s="103">
        <f t="shared" si="106"/>
        <v>0</v>
      </c>
      <c r="Q317" s="103">
        <f t="shared" si="106"/>
        <v>0</v>
      </c>
      <c r="R317" s="103">
        <f t="shared" si="106"/>
        <v>0</v>
      </c>
      <c r="S317" s="103">
        <f>SUM(I317:R317)</f>
        <v>-1850</v>
      </c>
    </row>
    <row r="318" spans="3:23" ht="13.5" customHeight="1" x14ac:dyDescent="0.15">
      <c r="C318" s="69"/>
      <c r="D318" s="202"/>
      <c r="E318" s="74"/>
      <c r="F318" s="108" t="s">
        <v>53</v>
      </c>
      <c r="G318" s="108"/>
      <c r="H318" s="102"/>
      <c r="I318" s="103">
        <f t="shared" ref="I318:R318" si="107">I298-I278</f>
        <v>0</v>
      </c>
      <c r="J318" s="103">
        <f t="shared" si="107"/>
        <v>0</v>
      </c>
      <c r="K318" s="103">
        <f t="shared" si="107"/>
        <v>0</v>
      </c>
      <c r="L318" s="103">
        <f t="shared" si="107"/>
        <v>0</v>
      </c>
      <c r="M318" s="103">
        <f t="shared" si="107"/>
        <v>0</v>
      </c>
      <c r="N318" s="103">
        <f t="shared" si="107"/>
        <v>0</v>
      </c>
      <c r="O318" s="103">
        <f t="shared" si="107"/>
        <v>0</v>
      </c>
      <c r="P318" s="103">
        <f t="shared" si="107"/>
        <v>0</v>
      </c>
      <c r="Q318" s="103">
        <f t="shared" si="107"/>
        <v>0</v>
      </c>
      <c r="R318" s="103">
        <f t="shared" si="107"/>
        <v>0</v>
      </c>
      <c r="S318" s="103">
        <f>SUM(I318:R318)</f>
        <v>0</v>
      </c>
    </row>
    <row r="319" spans="3:23" ht="14.25" thickBot="1" x14ac:dyDescent="0.2">
      <c r="C319" s="69"/>
      <c r="D319" s="205"/>
      <c r="E319" s="71"/>
      <c r="F319" s="133" t="s">
        <v>54</v>
      </c>
      <c r="G319" s="133"/>
      <c r="H319" s="66"/>
      <c r="I319" s="67">
        <f t="shared" ref="I319:R319" si="108">I299-I279</f>
        <v>60</v>
      </c>
      <c r="J319" s="67">
        <f t="shared" si="108"/>
        <v>156</v>
      </c>
      <c r="K319" s="67">
        <f t="shared" si="108"/>
        <v>260</v>
      </c>
      <c r="L319" s="67">
        <f t="shared" si="108"/>
        <v>376</v>
      </c>
      <c r="M319" s="67">
        <f t="shared" si="108"/>
        <v>540</v>
      </c>
      <c r="N319" s="67">
        <f t="shared" si="108"/>
        <v>357</v>
      </c>
      <c r="O319" s="67">
        <f t="shared" si="108"/>
        <v>112</v>
      </c>
      <c r="P319" s="67">
        <f t="shared" si="108"/>
        <v>0</v>
      </c>
      <c r="Q319" s="67">
        <f t="shared" si="108"/>
        <v>0</v>
      </c>
      <c r="R319" s="67">
        <f t="shared" si="108"/>
        <v>0</v>
      </c>
      <c r="S319" s="67">
        <f>SUM(I319:R319)</f>
        <v>1861</v>
      </c>
    </row>
    <row r="320" spans="3:23" ht="13.5" customHeight="1" x14ac:dyDescent="0.15">
      <c r="C320" s="69"/>
      <c r="D320" s="201" t="s">
        <v>47</v>
      </c>
      <c r="E320" s="76"/>
      <c r="F320" s="131" t="s">
        <v>49</v>
      </c>
      <c r="G320" s="131"/>
      <c r="H320" s="96"/>
      <c r="I320" s="97">
        <f t="shared" ref="I320:R320" si="109">I300-I280</f>
        <v>0</v>
      </c>
      <c r="J320" s="97">
        <f t="shared" si="109"/>
        <v>0</v>
      </c>
      <c r="K320" s="97">
        <f t="shared" si="109"/>
        <v>0</v>
      </c>
      <c r="L320" s="97">
        <f t="shared" si="109"/>
        <v>0</v>
      </c>
      <c r="M320" s="97">
        <f t="shared" si="109"/>
        <v>0</v>
      </c>
      <c r="N320" s="97">
        <f t="shared" si="109"/>
        <v>0</v>
      </c>
      <c r="O320" s="97">
        <f t="shared" si="109"/>
        <v>0</v>
      </c>
      <c r="P320" s="97">
        <f t="shared" si="109"/>
        <v>0</v>
      </c>
      <c r="Q320" s="97">
        <f t="shared" si="109"/>
        <v>0</v>
      </c>
      <c r="R320" s="97">
        <f t="shared" si="109"/>
        <v>0</v>
      </c>
      <c r="S320" s="97">
        <f>SUM(I320:R320)</f>
        <v>0</v>
      </c>
    </row>
    <row r="321" spans="3:23" ht="13.5" customHeight="1" x14ac:dyDescent="0.15">
      <c r="C321" s="69"/>
      <c r="D321" s="202"/>
      <c r="E321" s="74"/>
      <c r="F321" s="108" t="s">
        <v>50</v>
      </c>
      <c r="G321" s="108"/>
      <c r="H321" s="102"/>
      <c r="I321" s="103">
        <f t="shared" ref="I321:R321" si="110">I301-I281</f>
        <v>0</v>
      </c>
      <c r="J321" s="103">
        <f t="shared" si="110"/>
        <v>0</v>
      </c>
      <c r="K321" s="103">
        <f t="shared" si="110"/>
        <v>0</v>
      </c>
      <c r="L321" s="103">
        <f t="shared" si="110"/>
        <v>0</v>
      </c>
      <c r="M321" s="103">
        <f t="shared" si="110"/>
        <v>0</v>
      </c>
      <c r="N321" s="103">
        <f t="shared" si="110"/>
        <v>0</v>
      </c>
      <c r="O321" s="103">
        <f t="shared" si="110"/>
        <v>0</v>
      </c>
      <c r="P321" s="103">
        <f t="shared" si="110"/>
        <v>0</v>
      </c>
      <c r="Q321" s="103">
        <f t="shared" si="110"/>
        <v>0</v>
      </c>
      <c r="R321" s="103">
        <f t="shared" si="110"/>
        <v>0</v>
      </c>
      <c r="S321" s="103">
        <f t="shared" ref="S321:S322" si="111">SUM(I321:R321)</f>
        <v>0</v>
      </c>
    </row>
    <row r="322" spans="3:23" ht="13.5" customHeight="1" x14ac:dyDescent="0.15">
      <c r="C322" s="69"/>
      <c r="D322" s="202"/>
      <c r="E322" s="74"/>
      <c r="F322" s="108" t="s">
        <v>51</v>
      </c>
      <c r="G322" s="108"/>
      <c r="H322" s="102"/>
      <c r="I322" s="103">
        <f t="shared" ref="I322:R322" si="112">I302-I282</f>
        <v>0</v>
      </c>
      <c r="J322" s="103">
        <f t="shared" si="112"/>
        <v>0</v>
      </c>
      <c r="K322" s="103">
        <f t="shared" si="112"/>
        <v>0</v>
      </c>
      <c r="L322" s="103">
        <f t="shared" si="112"/>
        <v>0</v>
      </c>
      <c r="M322" s="103">
        <f t="shared" si="112"/>
        <v>0</v>
      </c>
      <c r="N322" s="103">
        <f t="shared" si="112"/>
        <v>0</v>
      </c>
      <c r="O322" s="103">
        <f t="shared" si="112"/>
        <v>0</v>
      </c>
      <c r="P322" s="103">
        <f t="shared" si="112"/>
        <v>0</v>
      </c>
      <c r="Q322" s="103">
        <f t="shared" si="112"/>
        <v>0</v>
      </c>
      <c r="R322" s="103">
        <f t="shared" si="112"/>
        <v>0</v>
      </c>
      <c r="S322" s="103">
        <f t="shared" si="111"/>
        <v>0</v>
      </c>
    </row>
    <row r="323" spans="3:23" x14ac:dyDescent="0.15">
      <c r="C323" s="69"/>
      <c r="D323" s="202"/>
      <c r="E323" s="74"/>
      <c r="F323" s="108" t="s">
        <v>52</v>
      </c>
      <c r="G323" s="108"/>
      <c r="H323" s="102"/>
      <c r="I323" s="103">
        <f t="shared" ref="I323:R323" si="113">I303-I283</f>
        <v>0</v>
      </c>
      <c r="J323" s="103">
        <f t="shared" si="113"/>
        <v>0</v>
      </c>
      <c r="K323" s="103">
        <f t="shared" si="113"/>
        <v>0</v>
      </c>
      <c r="L323" s="103">
        <f t="shared" si="113"/>
        <v>0</v>
      </c>
      <c r="M323" s="103">
        <f t="shared" si="113"/>
        <v>0</v>
      </c>
      <c r="N323" s="103">
        <f t="shared" si="113"/>
        <v>0</v>
      </c>
      <c r="O323" s="103">
        <f t="shared" si="113"/>
        <v>0</v>
      </c>
      <c r="P323" s="103">
        <f t="shared" si="113"/>
        <v>-173</v>
      </c>
      <c r="Q323" s="103">
        <f t="shared" si="113"/>
        <v>-209</v>
      </c>
      <c r="R323" s="103">
        <f t="shared" si="113"/>
        <v>-144</v>
      </c>
      <c r="S323" s="103">
        <f>SUM(I323:R323)</f>
        <v>-526</v>
      </c>
    </row>
    <row r="324" spans="3:23" ht="13.5" customHeight="1" x14ac:dyDescent="0.15">
      <c r="C324" s="69"/>
      <c r="D324" s="202"/>
      <c r="E324" s="74"/>
      <c r="F324" s="108" t="s">
        <v>53</v>
      </c>
      <c r="G324" s="108"/>
      <c r="H324" s="102"/>
      <c r="I324" s="103">
        <f t="shared" ref="I324:R324" si="114">I304-I284</f>
        <v>0</v>
      </c>
      <c r="J324" s="103">
        <f t="shared" si="114"/>
        <v>0</v>
      </c>
      <c r="K324" s="103">
        <f t="shared" si="114"/>
        <v>0</v>
      </c>
      <c r="L324" s="103">
        <f t="shared" si="114"/>
        <v>0</v>
      </c>
      <c r="M324" s="103">
        <f t="shared" si="114"/>
        <v>0</v>
      </c>
      <c r="N324" s="103">
        <f t="shared" si="114"/>
        <v>0</v>
      </c>
      <c r="O324" s="103">
        <f t="shared" si="114"/>
        <v>0</v>
      </c>
      <c r="P324" s="103">
        <f t="shared" si="114"/>
        <v>0</v>
      </c>
      <c r="Q324" s="103">
        <f t="shared" si="114"/>
        <v>0</v>
      </c>
      <c r="R324" s="103">
        <f t="shared" si="114"/>
        <v>0</v>
      </c>
      <c r="S324" s="103">
        <f>SUM(I324:R324)</f>
        <v>0</v>
      </c>
    </row>
    <row r="325" spans="3:23" ht="14.25" thickBot="1" x14ac:dyDescent="0.2">
      <c r="C325" s="69"/>
      <c r="D325" s="203"/>
      <c r="E325" s="75"/>
      <c r="F325" s="109" t="s">
        <v>54</v>
      </c>
      <c r="G325" s="109"/>
      <c r="H325" s="98"/>
      <c r="I325" s="99">
        <f t="shared" ref="I325:R325" si="115">I305-I285</f>
        <v>0</v>
      </c>
      <c r="J325" s="99">
        <f t="shared" si="115"/>
        <v>0</v>
      </c>
      <c r="K325" s="99">
        <f t="shared" si="115"/>
        <v>0</v>
      </c>
      <c r="L325" s="99">
        <f t="shared" si="115"/>
        <v>0</v>
      </c>
      <c r="M325" s="99">
        <f t="shared" si="115"/>
        <v>0</v>
      </c>
      <c r="N325" s="99">
        <f t="shared" si="115"/>
        <v>0</v>
      </c>
      <c r="O325" s="99">
        <f t="shared" si="115"/>
        <v>0</v>
      </c>
      <c r="P325" s="99">
        <f t="shared" si="115"/>
        <v>147</v>
      </c>
      <c r="Q325" s="99">
        <f t="shared" si="115"/>
        <v>208</v>
      </c>
      <c r="R325" s="99">
        <f t="shared" si="115"/>
        <v>122</v>
      </c>
      <c r="S325" s="99">
        <f>SUM(I325:R325)</f>
        <v>477</v>
      </c>
    </row>
    <row r="326" spans="3:23" ht="13.5" customHeight="1" x14ac:dyDescent="0.15">
      <c r="C326" s="69"/>
      <c r="D326" s="204" t="s">
        <v>48</v>
      </c>
      <c r="E326" s="73"/>
      <c r="F326" s="132" t="s">
        <v>49</v>
      </c>
      <c r="G326" s="132"/>
      <c r="H326" s="100"/>
      <c r="I326" s="101">
        <f t="shared" ref="I326:R326" si="116">I306-I286</f>
        <v>0</v>
      </c>
      <c r="J326" s="101">
        <f t="shared" si="116"/>
        <v>0</v>
      </c>
      <c r="K326" s="101">
        <f t="shared" si="116"/>
        <v>0</v>
      </c>
      <c r="L326" s="101">
        <f t="shared" si="116"/>
        <v>0</v>
      </c>
      <c r="M326" s="101">
        <f t="shared" si="116"/>
        <v>0</v>
      </c>
      <c r="N326" s="101">
        <f t="shared" si="116"/>
        <v>0</v>
      </c>
      <c r="O326" s="101">
        <f t="shared" si="116"/>
        <v>0</v>
      </c>
      <c r="P326" s="101">
        <f t="shared" si="116"/>
        <v>0</v>
      </c>
      <c r="Q326" s="101">
        <f t="shared" si="116"/>
        <v>0</v>
      </c>
      <c r="R326" s="101">
        <f t="shared" si="116"/>
        <v>0</v>
      </c>
      <c r="S326" s="101">
        <f>SUM(I326:R326)</f>
        <v>0</v>
      </c>
    </row>
    <row r="327" spans="3:23" ht="13.5" customHeight="1" x14ac:dyDescent="0.15">
      <c r="C327" s="69"/>
      <c r="D327" s="202"/>
      <c r="E327" s="74"/>
      <c r="F327" s="108" t="s">
        <v>50</v>
      </c>
      <c r="G327" s="108"/>
      <c r="H327" s="102"/>
      <c r="I327" s="103">
        <f t="shared" ref="I327:R327" si="117">I307-I287</f>
        <v>0</v>
      </c>
      <c r="J327" s="103">
        <f t="shared" si="117"/>
        <v>0</v>
      </c>
      <c r="K327" s="103">
        <f t="shared" si="117"/>
        <v>0</v>
      </c>
      <c r="L327" s="103">
        <f t="shared" si="117"/>
        <v>0</v>
      </c>
      <c r="M327" s="103">
        <f t="shared" si="117"/>
        <v>0</v>
      </c>
      <c r="N327" s="103">
        <f t="shared" si="117"/>
        <v>0</v>
      </c>
      <c r="O327" s="103">
        <f t="shared" si="117"/>
        <v>0</v>
      </c>
      <c r="P327" s="103">
        <f t="shared" si="117"/>
        <v>0</v>
      </c>
      <c r="Q327" s="103">
        <f t="shared" si="117"/>
        <v>0</v>
      </c>
      <c r="R327" s="103">
        <f t="shared" si="117"/>
        <v>0</v>
      </c>
      <c r="S327" s="103">
        <f t="shared" ref="S327:S329" si="118">SUM(I327:R327)</f>
        <v>0</v>
      </c>
    </row>
    <row r="328" spans="3:23" ht="13.5" customHeight="1" x14ac:dyDescent="0.15">
      <c r="C328" s="69"/>
      <c r="D328" s="202"/>
      <c r="E328" s="74"/>
      <c r="F328" s="108" t="s">
        <v>51</v>
      </c>
      <c r="G328" s="108"/>
      <c r="H328" s="102"/>
      <c r="I328" s="103">
        <f t="shared" ref="I328:R328" si="119">I308-I288</f>
        <v>0</v>
      </c>
      <c r="J328" s="103">
        <f t="shared" si="119"/>
        <v>0</v>
      </c>
      <c r="K328" s="103">
        <f t="shared" si="119"/>
        <v>0</v>
      </c>
      <c r="L328" s="103">
        <f t="shared" si="119"/>
        <v>0</v>
      </c>
      <c r="M328" s="103">
        <f t="shared" si="119"/>
        <v>0</v>
      </c>
      <c r="N328" s="103">
        <f t="shared" si="119"/>
        <v>0</v>
      </c>
      <c r="O328" s="103">
        <f t="shared" si="119"/>
        <v>0</v>
      </c>
      <c r="P328" s="103">
        <f t="shared" si="119"/>
        <v>0</v>
      </c>
      <c r="Q328" s="103">
        <f t="shared" si="119"/>
        <v>0</v>
      </c>
      <c r="R328" s="103">
        <f t="shared" si="119"/>
        <v>0</v>
      </c>
      <c r="S328" s="103">
        <f t="shared" si="118"/>
        <v>0</v>
      </c>
    </row>
    <row r="329" spans="3:23" x14ac:dyDescent="0.15">
      <c r="C329" s="69"/>
      <c r="D329" s="202"/>
      <c r="E329" s="74"/>
      <c r="F329" s="108" t="s">
        <v>52</v>
      </c>
      <c r="G329" s="108"/>
      <c r="H329" s="102"/>
      <c r="I329" s="103">
        <f t="shared" ref="I329:R329" si="120">I309-I289</f>
        <v>0</v>
      </c>
      <c r="J329" s="103">
        <f t="shared" si="120"/>
        <v>0</v>
      </c>
      <c r="K329" s="103">
        <f t="shared" si="120"/>
        <v>-43</v>
      </c>
      <c r="L329" s="103">
        <f t="shared" si="120"/>
        <v>-62</v>
      </c>
      <c r="M329" s="103">
        <f t="shared" si="120"/>
        <v>-104</v>
      </c>
      <c r="N329" s="103">
        <f t="shared" si="120"/>
        <v>-52</v>
      </c>
      <c r="O329" s="103">
        <f t="shared" si="120"/>
        <v>0</v>
      </c>
      <c r="P329" s="103">
        <f t="shared" si="120"/>
        <v>0</v>
      </c>
      <c r="Q329" s="103">
        <f t="shared" si="120"/>
        <v>0</v>
      </c>
      <c r="R329" s="103">
        <f t="shared" si="120"/>
        <v>0</v>
      </c>
      <c r="S329" s="103">
        <f t="shared" si="118"/>
        <v>-261</v>
      </c>
    </row>
    <row r="330" spans="3:23" ht="13.5" customHeight="1" x14ac:dyDescent="0.15">
      <c r="C330" s="69"/>
      <c r="D330" s="202"/>
      <c r="E330" s="74"/>
      <c r="F330" s="108" t="s">
        <v>53</v>
      </c>
      <c r="G330" s="108"/>
      <c r="H330" s="102"/>
      <c r="I330" s="103">
        <f t="shared" ref="I330:R330" si="121">I310-I290</f>
        <v>0</v>
      </c>
      <c r="J330" s="103">
        <f t="shared" si="121"/>
        <v>0</v>
      </c>
      <c r="K330" s="103">
        <f t="shared" si="121"/>
        <v>0</v>
      </c>
      <c r="L330" s="103">
        <f t="shared" si="121"/>
        <v>0</v>
      </c>
      <c r="M330" s="103">
        <f t="shared" si="121"/>
        <v>0</v>
      </c>
      <c r="N330" s="103">
        <f t="shared" si="121"/>
        <v>0</v>
      </c>
      <c r="O330" s="103">
        <f t="shared" si="121"/>
        <v>0</v>
      </c>
      <c r="P330" s="103">
        <f t="shared" si="121"/>
        <v>0</v>
      </c>
      <c r="Q330" s="103">
        <f t="shared" si="121"/>
        <v>0</v>
      </c>
      <c r="R330" s="103">
        <f t="shared" si="121"/>
        <v>0</v>
      </c>
      <c r="S330" s="103">
        <f>SUM(I330:R330)</f>
        <v>0</v>
      </c>
    </row>
    <row r="331" spans="3:23" ht="14.25" thickBot="1" x14ac:dyDescent="0.2">
      <c r="C331" s="69"/>
      <c r="D331" s="205"/>
      <c r="E331" s="71"/>
      <c r="F331" s="133" t="s">
        <v>54</v>
      </c>
      <c r="G331" s="133"/>
      <c r="H331" s="66"/>
      <c r="I331" s="67">
        <f t="shared" ref="I331:R331" si="122">I311-I291</f>
        <v>0</v>
      </c>
      <c r="J331" s="67">
        <f t="shared" si="122"/>
        <v>0</v>
      </c>
      <c r="K331" s="67">
        <f t="shared" si="122"/>
        <v>78</v>
      </c>
      <c r="L331" s="67">
        <f t="shared" si="122"/>
        <v>88</v>
      </c>
      <c r="M331" s="67">
        <f t="shared" si="122"/>
        <v>105</v>
      </c>
      <c r="N331" s="67">
        <f t="shared" si="122"/>
        <v>58</v>
      </c>
      <c r="O331" s="67">
        <f t="shared" si="122"/>
        <v>0</v>
      </c>
      <c r="P331" s="67">
        <f t="shared" si="122"/>
        <v>0</v>
      </c>
      <c r="Q331" s="67">
        <f t="shared" si="122"/>
        <v>0</v>
      </c>
      <c r="R331" s="67">
        <f t="shared" si="122"/>
        <v>0</v>
      </c>
      <c r="S331" s="67">
        <f>SUM(I331:R331)</f>
        <v>329</v>
      </c>
      <c r="U331" s="119">
        <f>SUM(H314:R331)</f>
        <v>30</v>
      </c>
    </row>
    <row r="332" spans="3:23" ht="14.25" thickBot="1" x14ac:dyDescent="0.2">
      <c r="C332" s="69"/>
      <c r="D332" s="110"/>
      <c r="E332" s="110"/>
      <c r="F332" s="111" t="s">
        <v>41</v>
      </c>
      <c r="G332" s="111"/>
      <c r="H332" s="112"/>
      <c r="I332" s="113">
        <f>SUM(I314:I331)</f>
        <v>-12</v>
      </c>
      <c r="J332" s="113">
        <f t="shared" ref="J332" si="123">SUM(J314:J331)</f>
        <v>-24</v>
      </c>
      <c r="K332" s="113">
        <f t="shared" ref="K332" si="124">SUM(K314:K331)</f>
        <v>71</v>
      </c>
      <c r="L332" s="113">
        <f t="shared" ref="L332" si="125">SUM(L314:L331)</f>
        <v>73</v>
      </c>
      <c r="M332" s="113">
        <f t="shared" ref="M332" si="126">SUM(M314:M331)</f>
        <v>-10</v>
      </c>
      <c r="N332" s="113">
        <f t="shared" ref="N332" si="127">SUM(N314:N331)</f>
        <v>-19</v>
      </c>
      <c r="O332" s="113">
        <f t="shared" ref="O332" si="128">SUM(O314:O331)</f>
        <v>0</v>
      </c>
      <c r="P332" s="113">
        <f t="shared" ref="P332" si="129">SUM(P314:P331)</f>
        <v>-26</v>
      </c>
      <c r="Q332" s="113">
        <f t="shared" ref="Q332" si="130">SUM(Q314:Q331)</f>
        <v>-1</v>
      </c>
      <c r="R332" s="113">
        <f t="shared" ref="R332" si="131">SUM(R314:R331)</f>
        <v>-22</v>
      </c>
      <c r="S332" s="113">
        <f t="shared" ref="S332" si="132">SUM(I332:R332)</f>
        <v>30</v>
      </c>
    </row>
    <row r="333" spans="3:23" ht="14.25" thickBot="1" x14ac:dyDescent="0.2">
      <c r="C333" s="206" t="s">
        <v>32</v>
      </c>
      <c r="D333" s="206"/>
      <c r="E333" s="207"/>
      <c r="F333" s="72"/>
      <c r="G333" s="72"/>
      <c r="H333" s="77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46"/>
      <c r="W333" s="22"/>
    </row>
    <row r="334" spans="3:23" ht="13.5" customHeight="1" x14ac:dyDescent="0.15">
      <c r="C334" s="125"/>
      <c r="D334" s="201" t="s">
        <v>46</v>
      </c>
      <c r="E334" s="76"/>
      <c r="F334" s="131" t="s">
        <v>49</v>
      </c>
      <c r="G334" s="131"/>
      <c r="H334" s="96"/>
      <c r="I334" s="97">
        <f>I274*1.05</f>
        <v>46.2</v>
      </c>
      <c r="J334" s="97">
        <f t="shared" ref="J334:R334" si="133">J274*1.05</f>
        <v>107.10000000000001</v>
      </c>
      <c r="K334" s="97">
        <f t="shared" si="133"/>
        <v>316.05</v>
      </c>
      <c r="L334" s="97">
        <f t="shared" si="133"/>
        <v>549.15</v>
      </c>
      <c r="M334" s="97">
        <f t="shared" si="133"/>
        <v>1050</v>
      </c>
      <c r="N334" s="97">
        <f t="shared" si="133"/>
        <v>910.35</v>
      </c>
      <c r="O334" s="97">
        <f t="shared" si="133"/>
        <v>265.65000000000003</v>
      </c>
      <c r="P334" s="97">
        <f t="shared" si="133"/>
        <v>0</v>
      </c>
      <c r="Q334" s="97">
        <f t="shared" si="133"/>
        <v>0</v>
      </c>
      <c r="R334" s="97">
        <f t="shared" si="133"/>
        <v>0</v>
      </c>
      <c r="S334" s="97">
        <f>SUM(I334:R334)</f>
        <v>3244.5</v>
      </c>
    </row>
    <row r="335" spans="3:23" ht="13.5" customHeight="1" x14ac:dyDescent="0.15">
      <c r="C335" s="125"/>
      <c r="D335" s="202"/>
      <c r="E335" s="74"/>
      <c r="F335" s="108" t="s">
        <v>50</v>
      </c>
      <c r="G335" s="108"/>
      <c r="H335" s="102"/>
      <c r="I335" s="101">
        <f t="shared" ref="I335:R335" si="134">I275*1.05</f>
        <v>82.95</v>
      </c>
      <c r="J335" s="101">
        <f t="shared" si="134"/>
        <v>319.2</v>
      </c>
      <c r="K335" s="101">
        <f t="shared" si="134"/>
        <v>479.85</v>
      </c>
      <c r="L335" s="101">
        <f t="shared" si="134"/>
        <v>716.1</v>
      </c>
      <c r="M335" s="101">
        <f t="shared" si="134"/>
        <v>1051.05</v>
      </c>
      <c r="N335" s="101">
        <f t="shared" si="134"/>
        <v>732.9</v>
      </c>
      <c r="O335" s="101">
        <f t="shared" si="134"/>
        <v>150.15</v>
      </c>
      <c r="P335" s="101">
        <f t="shared" si="134"/>
        <v>0</v>
      </c>
      <c r="Q335" s="101">
        <f t="shared" si="134"/>
        <v>0</v>
      </c>
      <c r="R335" s="101">
        <f t="shared" si="134"/>
        <v>0</v>
      </c>
      <c r="S335" s="103">
        <f t="shared" ref="S335:S336" si="135">SUM(I335:R335)</f>
        <v>3532.2</v>
      </c>
    </row>
    <row r="336" spans="3:23" ht="13.5" customHeight="1" x14ac:dyDescent="0.15">
      <c r="C336" s="125"/>
      <c r="D336" s="202"/>
      <c r="E336" s="74"/>
      <c r="F336" s="108" t="s">
        <v>51</v>
      </c>
      <c r="G336" s="108"/>
      <c r="H336" s="102"/>
      <c r="I336" s="101">
        <f t="shared" ref="I336:R336" si="136">I276*1.05</f>
        <v>118.65</v>
      </c>
      <c r="J336" s="101">
        <f t="shared" si="136"/>
        <v>458.85</v>
      </c>
      <c r="K336" s="101">
        <f t="shared" si="136"/>
        <v>814.80000000000007</v>
      </c>
      <c r="L336" s="101">
        <f t="shared" si="136"/>
        <v>1236.9000000000001</v>
      </c>
      <c r="M336" s="101">
        <f t="shared" si="136"/>
        <v>2063.25</v>
      </c>
      <c r="N336" s="101">
        <f t="shared" si="136"/>
        <v>1765.0500000000002</v>
      </c>
      <c r="O336" s="101">
        <f t="shared" si="136"/>
        <v>624.75</v>
      </c>
      <c r="P336" s="101">
        <f t="shared" si="136"/>
        <v>0</v>
      </c>
      <c r="Q336" s="101">
        <f t="shared" si="136"/>
        <v>0</v>
      </c>
      <c r="R336" s="101">
        <f t="shared" si="136"/>
        <v>0</v>
      </c>
      <c r="S336" s="103">
        <f t="shared" si="135"/>
        <v>7082.2500000000009</v>
      </c>
    </row>
    <row r="337" spans="3:21" x14ac:dyDescent="0.15">
      <c r="C337" s="125"/>
      <c r="D337" s="202"/>
      <c r="E337" s="74"/>
      <c r="F337" s="108" t="s">
        <v>52</v>
      </c>
      <c r="G337" s="108"/>
      <c r="H337" s="102"/>
      <c r="I337" s="101">
        <f t="shared" ref="I337:R337" si="137">I277*1.05</f>
        <v>145.95000000000002</v>
      </c>
      <c r="J337" s="101">
        <f t="shared" si="137"/>
        <v>557.55000000000007</v>
      </c>
      <c r="K337" s="101">
        <f t="shared" si="137"/>
        <v>816.90000000000009</v>
      </c>
      <c r="L337" s="101">
        <f t="shared" si="137"/>
        <v>1087.8</v>
      </c>
      <c r="M337" s="101">
        <f t="shared" si="137"/>
        <v>1818.6000000000001</v>
      </c>
      <c r="N337" s="101">
        <f t="shared" si="137"/>
        <v>1269.45</v>
      </c>
      <c r="O337" s="101">
        <f t="shared" si="137"/>
        <v>332.85</v>
      </c>
      <c r="P337" s="101">
        <f t="shared" si="137"/>
        <v>0</v>
      </c>
      <c r="Q337" s="101">
        <f t="shared" si="137"/>
        <v>0</v>
      </c>
      <c r="R337" s="101">
        <f t="shared" si="137"/>
        <v>0</v>
      </c>
      <c r="S337" s="103">
        <f>SUM(I337:R337)</f>
        <v>6029.1</v>
      </c>
    </row>
    <row r="338" spans="3:21" ht="13.5" customHeight="1" x14ac:dyDescent="0.15">
      <c r="C338" s="125"/>
      <c r="D338" s="202"/>
      <c r="E338" s="74"/>
      <c r="F338" s="108" t="s">
        <v>53</v>
      </c>
      <c r="G338" s="108"/>
      <c r="H338" s="102"/>
      <c r="I338" s="101">
        <f t="shared" ref="I338:R338" si="138">I278*1.05</f>
        <v>68.25</v>
      </c>
      <c r="J338" s="101">
        <f t="shared" si="138"/>
        <v>248.85000000000002</v>
      </c>
      <c r="K338" s="101">
        <f t="shared" si="138"/>
        <v>562.80000000000007</v>
      </c>
      <c r="L338" s="101">
        <f t="shared" si="138"/>
        <v>1006.95</v>
      </c>
      <c r="M338" s="101">
        <f t="shared" si="138"/>
        <v>1885.8000000000002</v>
      </c>
      <c r="N338" s="101">
        <f t="shared" si="138"/>
        <v>1617</v>
      </c>
      <c r="O338" s="101">
        <f t="shared" si="138"/>
        <v>380.1</v>
      </c>
      <c r="P338" s="101">
        <f t="shared" si="138"/>
        <v>0</v>
      </c>
      <c r="Q338" s="101">
        <f t="shared" si="138"/>
        <v>0</v>
      </c>
      <c r="R338" s="101">
        <f t="shared" si="138"/>
        <v>0</v>
      </c>
      <c r="S338" s="103">
        <f>SUM(I338:R338)</f>
        <v>5769.7500000000009</v>
      </c>
    </row>
    <row r="339" spans="3:21" ht="14.25" thickBot="1" x14ac:dyDescent="0.2">
      <c r="C339" s="125"/>
      <c r="D339" s="203"/>
      <c r="E339" s="75"/>
      <c r="F339" s="109" t="s">
        <v>54</v>
      </c>
      <c r="G339" s="109"/>
      <c r="H339" s="98"/>
      <c r="I339" s="107">
        <f t="shared" ref="I339:R339" si="139">I279*1.05</f>
        <v>0</v>
      </c>
      <c r="J339" s="107">
        <f t="shared" si="139"/>
        <v>0</v>
      </c>
      <c r="K339" s="107">
        <f t="shared" si="139"/>
        <v>0</v>
      </c>
      <c r="L339" s="107">
        <f t="shared" si="139"/>
        <v>0</v>
      </c>
      <c r="M339" s="107">
        <f t="shared" si="139"/>
        <v>0</v>
      </c>
      <c r="N339" s="107">
        <f t="shared" si="139"/>
        <v>0</v>
      </c>
      <c r="O339" s="107">
        <f t="shared" si="139"/>
        <v>0</v>
      </c>
      <c r="P339" s="107">
        <f t="shared" si="139"/>
        <v>0</v>
      </c>
      <c r="Q339" s="107">
        <f t="shared" si="139"/>
        <v>0</v>
      </c>
      <c r="R339" s="107">
        <f t="shared" si="139"/>
        <v>0</v>
      </c>
      <c r="S339" s="99">
        <f>SUM(I339:R339)</f>
        <v>0</v>
      </c>
    </row>
    <row r="340" spans="3:21" ht="13.5" customHeight="1" x14ac:dyDescent="0.15">
      <c r="C340" s="125"/>
      <c r="D340" s="204" t="s">
        <v>47</v>
      </c>
      <c r="E340" s="73"/>
      <c r="F340" s="132" t="s">
        <v>49</v>
      </c>
      <c r="G340" s="132"/>
      <c r="H340" s="100"/>
      <c r="I340" s="101">
        <f t="shared" ref="I340:R340" si="140">I280*1.05</f>
        <v>0</v>
      </c>
      <c r="J340" s="101">
        <f t="shared" si="140"/>
        <v>0</v>
      </c>
      <c r="K340" s="101">
        <f t="shared" si="140"/>
        <v>0</v>
      </c>
      <c r="L340" s="101">
        <f t="shared" si="140"/>
        <v>0</v>
      </c>
      <c r="M340" s="101">
        <f t="shared" si="140"/>
        <v>0</v>
      </c>
      <c r="N340" s="101">
        <f t="shared" si="140"/>
        <v>0</v>
      </c>
      <c r="O340" s="101">
        <f t="shared" si="140"/>
        <v>0</v>
      </c>
      <c r="P340" s="101">
        <f t="shared" si="140"/>
        <v>233.10000000000002</v>
      </c>
      <c r="Q340" s="101">
        <f t="shared" si="140"/>
        <v>430.5</v>
      </c>
      <c r="R340" s="101">
        <f t="shared" si="140"/>
        <v>271.95</v>
      </c>
      <c r="S340" s="101">
        <f>SUM(I340:R340)</f>
        <v>935.55</v>
      </c>
    </row>
    <row r="341" spans="3:21" ht="13.5" customHeight="1" x14ac:dyDescent="0.15">
      <c r="C341" s="125"/>
      <c r="D341" s="202"/>
      <c r="E341" s="74"/>
      <c r="F341" s="108" t="s">
        <v>50</v>
      </c>
      <c r="G341" s="108"/>
      <c r="H341" s="102"/>
      <c r="I341" s="101">
        <f t="shared" ref="I341:R341" si="141">I281*1.05</f>
        <v>0</v>
      </c>
      <c r="J341" s="101">
        <f t="shared" si="141"/>
        <v>0</v>
      </c>
      <c r="K341" s="101">
        <f t="shared" si="141"/>
        <v>0</v>
      </c>
      <c r="L341" s="101">
        <f t="shared" si="141"/>
        <v>0</v>
      </c>
      <c r="M341" s="101">
        <f t="shared" si="141"/>
        <v>0</v>
      </c>
      <c r="N341" s="101">
        <f t="shared" si="141"/>
        <v>0</v>
      </c>
      <c r="O341" s="101">
        <f t="shared" si="141"/>
        <v>0</v>
      </c>
      <c r="P341" s="101">
        <f t="shared" si="141"/>
        <v>268.8</v>
      </c>
      <c r="Q341" s="101">
        <f t="shared" si="141"/>
        <v>373.8</v>
      </c>
      <c r="R341" s="101">
        <f t="shared" si="141"/>
        <v>225.75</v>
      </c>
      <c r="S341" s="103">
        <f t="shared" ref="S341:S342" si="142">SUM(I341:R341)</f>
        <v>868.35</v>
      </c>
    </row>
    <row r="342" spans="3:21" ht="13.5" customHeight="1" x14ac:dyDescent="0.15">
      <c r="C342" s="125"/>
      <c r="D342" s="202"/>
      <c r="E342" s="74"/>
      <c r="F342" s="108" t="s">
        <v>51</v>
      </c>
      <c r="G342" s="108"/>
      <c r="H342" s="102"/>
      <c r="I342" s="101">
        <f t="shared" ref="I342:R342" si="143">I282*1.05</f>
        <v>0</v>
      </c>
      <c r="J342" s="101">
        <f t="shared" si="143"/>
        <v>0</v>
      </c>
      <c r="K342" s="101">
        <f t="shared" si="143"/>
        <v>0</v>
      </c>
      <c r="L342" s="101">
        <f t="shared" si="143"/>
        <v>0</v>
      </c>
      <c r="M342" s="101">
        <f t="shared" si="143"/>
        <v>0</v>
      </c>
      <c r="N342" s="101">
        <f t="shared" si="143"/>
        <v>0</v>
      </c>
      <c r="O342" s="101">
        <f t="shared" si="143"/>
        <v>0</v>
      </c>
      <c r="P342" s="101">
        <f t="shared" si="143"/>
        <v>513.45000000000005</v>
      </c>
      <c r="Q342" s="101">
        <f t="shared" si="143"/>
        <v>868.35</v>
      </c>
      <c r="R342" s="101">
        <f t="shared" si="143"/>
        <v>592.20000000000005</v>
      </c>
      <c r="S342" s="103">
        <f t="shared" si="142"/>
        <v>1974.0000000000002</v>
      </c>
    </row>
    <row r="343" spans="3:21" x14ac:dyDescent="0.15">
      <c r="C343" s="125"/>
      <c r="D343" s="202"/>
      <c r="E343" s="74"/>
      <c r="F343" s="108" t="s">
        <v>52</v>
      </c>
      <c r="G343" s="108"/>
      <c r="H343" s="102"/>
      <c r="I343" s="101">
        <f t="shared" ref="I343:R343" si="144">I283*1.05</f>
        <v>0</v>
      </c>
      <c r="J343" s="101">
        <f t="shared" si="144"/>
        <v>0</v>
      </c>
      <c r="K343" s="101">
        <f t="shared" si="144"/>
        <v>0</v>
      </c>
      <c r="L343" s="101">
        <f t="shared" si="144"/>
        <v>0</v>
      </c>
      <c r="M343" s="101">
        <f t="shared" si="144"/>
        <v>0</v>
      </c>
      <c r="N343" s="101">
        <f t="shared" si="144"/>
        <v>0</v>
      </c>
      <c r="O343" s="101">
        <f t="shared" si="144"/>
        <v>0</v>
      </c>
      <c r="P343" s="101">
        <f t="shared" si="144"/>
        <v>500.85</v>
      </c>
      <c r="Q343" s="101">
        <f t="shared" si="144"/>
        <v>605.85</v>
      </c>
      <c r="R343" s="101">
        <f t="shared" si="144"/>
        <v>412.65000000000003</v>
      </c>
      <c r="S343" s="103">
        <f>SUM(I343:R343)</f>
        <v>1519.3500000000001</v>
      </c>
    </row>
    <row r="344" spans="3:21" ht="13.5" customHeight="1" x14ac:dyDescent="0.15">
      <c r="C344" s="125"/>
      <c r="D344" s="202"/>
      <c r="E344" s="74"/>
      <c r="F344" s="108" t="s">
        <v>53</v>
      </c>
      <c r="G344" s="108"/>
      <c r="H344" s="102"/>
      <c r="I344" s="101">
        <f t="shared" ref="I344:R344" si="145">I284*1.05</f>
        <v>0</v>
      </c>
      <c r="J344" s="101">
        <f t="shared" si="145"/>
        <v>0</v>
      </c>
      <c r="K344" s="101">
        <f t="shared" si="145"/>
        <v>0</v>
      </c>
      <c r="L344" s="101">
        <f t="shared" si="145"/>
        <v>0</v>
      </c>
      <c r="M344" s="101">
        <f t="shared" si="145"/>
        <v>0</v>
      </c>
      <c r="N344" s="101">
        <f t="shared" si="145"/>
        <v>0</v>
      </c>
      <c r="O344" s="101">
        <f t="shared" si="145"/>
        <v>0</v>
      </c>
      <c r="P344" s="101">
        <f t="shared" si="145"/>
        <v>326.55</v>
      </c>
      <c r="Q344" s="101">
        <f t="shared" si="145"/>
        <v>599.55000000000007</v>
      </c>
      <c r="R344" s="101">
        <f t="shared" si="145"/>
        <v>378</v>
      </c>
      <c r="S344" s="103">
        <f>SUM(I344:R344)</f>
        <v>1304.1000000000001</v>
      </c>
    </row>
    <row r="345" spans="3:21" ht="14.25" thickBot="1" x14ac:dyDescent="0.2">
      <c r="C345" s="125"/>
      <c r="D345" s="205"/>
      <c r="E345" s="71"/>
      <c r="F345" s="133" t="s">
        <v>54</v>
      </c>
      <c r="G345" s="133"/>
      <c r="H345" s="66"/>
      <c r="I345" s="78">
        <f t="shared" ref="I345:R345" si="146">I285*1.05</f>
        <v>0</v>
      </c>
      <c r="J345" s="78">
        <f t="shared" si="146"/>
        <v>0</v>
      </c>
      <c r="K345" s="78">
        <f t="shared" si="146"/>
        <v>0</v>
      </c>
      <c r="L345" s="78">
        <f t="shared" si="146"/>
        <v>0</v>
      </c>
      <c r="M345" s="78">
        <f t="shared" si="146"/>
        <v>0</v>
      </c>
      <c r="N345" s="78">
        <f t="shared" si="146"/>
        <v>0</v>
      </c>
      <c r="O345" s="78">
        <f t="shared" si="146"/>
        <v>0</v>
      </c>
      <c r="P345" s="78">
        <f t="shared" si="146"/>
        <v>0</v>
      </c>
      <c r="Q345" s="78">
        <f t="shared" si="146"/>
        <v>0</v>
      </c>
      <c r="R345" s="78">
        <f t="shared" si="146"/>
        <v>0</v>
      </c>
      <c r="S345" s="67">
        <f>SUM(I345:R345)</f>
        <v>0</v>
      </c>
    </row>
    <row r="346" spans="3:21" ht="13.5" customHeight="1" x14ac:dyDescent="0.15">
      <c r="C346" s="125"/>
      <c r="D346" s="201" t="s">
        <v>48</v>
      </c>
      <c r="E346" s="76"/>
      <c r="F346" s="131" t="s">
        <v>49</v>
      </c>
      <c r="G346" s="131"/>
      <c r="H346" s="96"/>
      <c r="I346" s="97">
        <f t="shared" ref="I346:R346" si="147">I286*1.05</f>
        <v>0</v>
      </c>
      <c r="J346" s="97">
        <f t="shared" si="147"/>
        <v>0</v>
      </c>
      <c r="K346" s="97">
        <f t="shared" si="147"/>
        <v>79.8</v>
      </c>
      <c r="L346" s="97">
        <f t="shared" si="147"/>
        <v>118.65</v>
      </c>
      <c r="M346" s="97">
        <f t="shared" si="147"/>
        <v>200.55</v>
      </c>
      <c r="N346" s="97">
        <f t="shared" si="147"/>
        <v>118.65</v>
      </c>
      <c r="O346" s="97">
        <f t="shared" si="147"/>
        <v>0</v>
      </c>
      <c r="P346" s="97">
        <f t="shared" si="147"/>
        <v>0</v>
      </c>
      <c r="Q346" s="97">
        <f t="shared" si="147"/>
        <v>0</v>
      </c>
      <c r="R346" s="97">
        <f t="shared" si="147"/>
        <v>0</v>
      </c>
      <c r="S346" s="97">
        <f>SUM(I346:R346)</f>
        <v>517.65</v>
      </c>
    </row>
    <row r="347" spans="3:21" ht="13.5" customHeight="1" x14ac:dyDescent="0.15">
      <c r="C347" s="125"/>
      <c r="D347" s="202"/>
      <c r="E347" s="74"/>
      <c r="F347" s="108" t="s">
        <v>50</v>
      </c>
      <c r="G347" s="108"/>
      <c r="H347" s="102"/>
      <c r="I347" s="101">
        <f t="shared" ref="I347:R347" si="148">I287*1.05</f>
        <v>0</v>
      </c>
      <c r="J347" s="101">
        <f t="shared" si="148"/>
        <v>0</v>
      </c>
      <c r="K347" s="101">
        <f t="shared" si="148"/>
        <v>92.4</v>
      </c>
      <c r="L347" s="101">
        <f t="shared" si="148"/>
        <v>102.9</v>
      </c>
      <c r="M347" s="101">
        <f t="shared" si="148"/>
        <v>130.20000000000002</v>
      </c>
      <c r="N347" s="101">
        <f t="shared" si="148"/>
        <v>64.05</v>
      </c>
      <c r="O347" s="101">
        <f t="shared" si="148"/>
        <v>0</v>
      </c>
      <c r="P347" s="101">
        <f t="shared" si="148"/>
        <v>0</v>
      </c>
      <c r="Q347" s="101">
        <f t="shared" si="148"/>
        <v>0</v>
      </c>
      <c r="R347" s="101">
        <f t="shared" si="148"/>
        <v>0</v>
      </c>
      <c r="S347" s="103">
        <f t="shared" ref="S347:S349" si="149">SUM(I347:R347)</f>
        <v>389.55</v>
      </c>
    </row>
    <row r="348" spans="3:21" ht="13.5" customHeight="1" x14ac:dyDescent="0.15">
      <c r="C348" s="125"/>
      <c r="D348" s="202"/>
      <c r="E348" s="74"/>
      <c r="F348" s="108" t="s">
        <v>51</v>
      </c>
      <c r="G348" s="108"/>
      <c r="H348" s="102"/>
      <c r="I348" s="101">
        <f t="shared" ref="I348:R348" si="150">I288*1.05</f>
        <v>0</v>
      </c>
      <c r="J348" s="101">
        <f t="shared" si="150"/>
        <v>0</v>
      </c>
      <c r="K348" s="101">
        <f t="shared" si="150"/>
        <v>184.8</v>
      </c>
      <c r="L348" s="101">
        <f t="shared" si="150"/>
        <v>260.40000000000003</v>
      </c>
      <c r="M348" s="101">
        <f t="shared" si="150"/>
        <v>379.05</v>
      </c>
      <c r="N348" s="101">
        <f t="shared" si="150"/>
        <v>260.40000000000003</v>
      </c>
      <c r="O348" s="101">
        <f t="shared" si="150"/>
        <v>0</v>
      </c>
      <c r="P348" s="101">
        <f t="shared" si="150"/>
        <v>0</v>
      </c>
      <c r="Q348" s="101">
        <f t="shared" si="150"/>
        <v>0</v>
      </c>
      <c r="R348" s="101">
        <f t="shared" si="150"/>
        <v>0</v>
      </c>
      <c r="S348" s="103">
        <f t="shared" si="149"/>
        <v>1084.6500000000001</v>
      </c>
    </row>
    <row r="349" spans="3:21" x14ac:dyDescent="0.15">
      <c r="C349" s="125"/>
      <c r="D349" s="202"/>
      <c r="E349" s="74"/>
      <c r="F349" s="108" t="s">
        <v>52</v>
      </c>
      <c r="G349" s="108"/>
      <c r="H349" s="102"/>
      <c r="I349" s="101">
        <f t="shared" ref="I349:R349" si="151">I289*1.05</f>
        <v>0</v>
      </c>
      <c r="J349" s="101">
        <f t="shared" si="151"/>
        <v>0</v>
      </c>
      <c r="K349" s="101">
        <f t="shared" si="151"/>
        <v>129.15</v>
      </c>
      <c r="L349" s="101">
        <f t="shared" si="151"/>
        <v>177.45000000000002</v>
      </c>
      <c r="M349" s="101">
        <f t="shared" si="151"/>
        <v>302.40000000000003</v>
      </c>
      <c r="N349" s="101">
        <f t="shared" si="151"/>
        <v>152.25</v>
      </c>
      <c r="O349" s="101">
        <f t="shared" si="151"/>
        <v>0</v>
      </c>
      <c r="P349" s="101">
        <f t="shared" si="151"/>
        <v>0</v>
      </c>
      <c r="Q349" s="101">
        <f t="shared" si="151"/>
        <v>0</v>
      </c>
      <c r="R349" s="101">
        <f t="shared" si="151"/>
        <v>0</v>
      </c>
      <c r="S349" s="103">
        <f t="shared" si="149"/>
        <v>761.25</v>
      </c>
    </row>
    <row r="350" spans="3:21" ht="13.5" customHeight="1" x14ac:dyDescent="0.15">
      <c r="C350" s="125"/>
      <c r="D350" s="202"/>
      <c r="E350" s="74"/>
      <c r="F350" s="108" t="s">
        <v>53</v>
      </c>
      <c r="G350" s="108"/>
      <c r="H350" s="102"/>
      <c r="I350" s="101">
        <f t="shared" ref="I350:R350" si="152">I290*1.05</f>
        <v>0</v>
      </c>
      <c r="J350" s="101">
        <f t="shared" si="152"/>
        <v>0</v>
      </c>
      <c r="K350" s="101">
        <f t="shared" si="152"/>
        <v>107.10000000000001</v>
      </c>
      <c r="L350" s="101">
        <f t="shared" si="152"/>
        <v>164.85</v>
      </c>
      <c r="M350" s="101">
        <f t="shared" si="152"/>
        <v>280.35000000000002</v>
      </c>
      <c r="N350" s="101">
        <f t="shared" si="152"/>
        <v>164.85</v>
      </c>
      <c r="O350" s="101">
        <f t="shared" si="152"/>
        <v>0</v>
      </c>
      <c r="P350" s="101">
        <f t="shared" si="152"/>
        <v>0</v>
      </c>
      <c r="Q350" s="101">
        <f t="shared" si="152"/>
        <v>0</v>
      </c>
      <c r="R350" s="101">
        <f t="shared" si="152"/>
        <v>0</v>
      </c>
      <c r="S350" s="103">
        <f>SUM(I350:R350)</f>
        <v>717.15</v>
      </c>
    </row>
    <row r="351" spans="3:21" ht="14.25" thickBot="1" x14ac:dyDescent="0.2">
      <c r="C351" s="125"/>
      <c r="D351" s="203"/>
      <c r="E351" s="75"/>
      <c r="F351" s="109" t="s">
        <v>54</v>
      </c>
      <c r="G351" s="109"/>
      <c r="H351" s="98"/>
      <c r="I351" s="107">
        <f t="shared" ref="I351:R351" si="153">I291*1.05</f>
        <v>0</v>
      </c>
      <c r="J351" s="107">
        <f t="shared" si="153"/>
        <v>0</v>
      </c>
      <c r="K351" s="107">
        <f t="shared" si="153"/>
        <v>0</v>
      </c>
      <c r="L351" s="107">
        <f t="shared" si="153"/>
        <v>0</v>
      </c>
      <c r="M351" s="107">
        <f t="shared" si="153"/>
        <v>0</v>
      </c>
      <c r="N351" s="107">
        <f t="shared" si="153"/>
        <v>0</v>
      </c>
      <c r="O351" s="107">
        <f t="shared" si="153"/>
        <v>0</v>
      </c>
      <c r="P351" s="107">
        <f t="shared" si="153"/>
        <v>0</v>
      </c>
      <c r="Q351" s="107">
        <f t="shared" si="153"/>
        <v>0</v>
      </c>
      <c r="R351" s="107">
        <f t="shared" si="153"/>
        <v>0</v>
      </c>
      <c r="S351" s="99">
        <f>SUM(I351:R351)</f>
        <v>0</v>
      </c>
      <c r="U351" s="119">
        <f>SUM(H334:R351)</f>
        <v>35729.399999999994</v>
      </c>
    </row>
    <row r="352" spans="3:21" ht="14.25" thickBot="1" x14ac:dyDescent="0.2">
      <c r="C352" s="125"/>
      <c r="D352" s="104"/>
      <c r="E352" s="104"/>
      <c r="F352" s="105" t="s">
        <v>41</v>
      </c>
      <c r="G352" s="105"/>
      <c r="H352" s="106"/>
      <c r="I352" s="107">
        <f>SUM(I334:I351)</f>
        <v>462</v>
      </c>
      <c r="J352" s="107">
        <f t="shared" ref="J352" si="154">SUM(J334:J351)</f>
        <v>1691.5500000000002</v>
      </c>
      <c r="K352" s="107">
        <f t="shared" ref="K352" si="155">SUM(K334:K351)</f>
        <v>3583.650000000001</v>
      </c>
      <c r="L352" s="107">
        <f t="shared" ref="L352" si="156">SUM(L334:L351)</f>
        <v>5421.1499999999987</v>
      </c>
      <c r="M352" s="107">
        <f t="shared" ref="M352" si="157">SUM(M334:M351)</f>
        <v>9161.25</v>
      </c>
      <c r="N352" s="107">
        <f t="shared" ref="N352" si="158">SUM(N334:N351)</f>
        <v>7054.95</v>
      </c>
      <c r="O352" s="107">
        <f t="shared" ref="O352" si="159">SUM(O334:O351)</f>
        <v>1753.5</v>
      </c>
      <c r="P352" s="107">
        <f t="shared" ref="P352" si="160">SUM(P334:P351)</f>
        <v>1842.7500000000002</v>
      </c>
      <c r="Q352" s="107">
        <f t="shared" ref="Q352" si="161">SUM(Q334:Q351)</f>
        <v>2878.05</v>
      </c>
      <c r="R352" s="107">
        <f t="shared" ref="R352" si="162">SUM(R334:R351)</f>
        <v>1880.5500000000002</v>
      </c>
      <c r="S352" s="107">
        <f t="shared" ref="S352" si="163">SUM(I352:R352)</f>
        <v>35729.4</v>
      </c>
    </row>
    <row r="353" spans="3:23" ht="14.25" thickBot="1" x14ac:dyDescent="0.2">
      <c r="C353" s="206" t="s">
        <v>67</v>
      </c>
      <c r="D353" s="206"/>
      <c r="E353" s="207"/>
      <c r="W353" s="22"/>
    </row>
    <row r="354" spans="3:23" x14ac:dyDescent="0.15">
      <c r="D354" s="208" t="s">
        <v>65</v>
      </c>
      <c r="E354" s="55"/>
      <c r="F354" s="93" t="s">
        <v>56</v>
      </c>
      <c r="G354" s="93"/>
      <c r="H354" s="62"/>
      <c r="I354" s="151">
        <f>I268*1.05</f>
        <v>0</v>
      </c>
      <c r="J354" s="151">
        <f t="shared" ref="J354:R354" si="164">J268*1.05</f>
        <v>0</v>
      </c>
      <c r="K354" s="151">
        <f t="shared" si="164"/>
        <v>0</v>
      </c>
      <c r="L354" s="151">
        <f t="shared" si="164"/>
        <v>0</v>
      </c>
      <c r="M354" s="151">
        <f t="shared" si="164"/>
        <v>0</v>
      </c>
      <c r="N354" s="151">
        <f t="shared" si="164"/>
        <v>0</v>
      </c>
      <c r="O354" s="151">
        <f t="shared" si="164"/>
        <v>0</v>
      </c>
      <c r="P354" s="151">
        <f t="shared" si="164"/>
        <v>0</v>
      </c>
      <c r="Q354" s="151">
        <f t="shared" si="164"/>
        <v>0</v>
      </c>
      <c r="R354" s="151">
        <f t="shared" si="164"/>
        <v>0</v>
      </c>
      <c r="S354" s="51">
        <f>SUM(I354:R354)</f>
        <v>0</v>
      </c>
    </row>
    <row r="355" spans="3:23" x14ac:dyDescent="0.15">
      <c r="D355" s="209"/>
      <c r="E355" s="117"/>
      <c r="F355" s="79" t="s">
        <v>57</v>
      </c>
      <c r="G355" s="160"/>
      <c r="H355" s="116"/>
      <c r="I355" s="50">
        <f t="shared" ref="I355:R355" si="165">I269*1.05</f>
        <v>0</v>
      </c>
      <c r="J355" s="50">
        <f t="shared" si="165"/>
        <v>106.05000000000001</v>
      </c>
      <c r="K355" s="50">
        <f t="shared" si="165"/>
        <v>131.25</v>
      </c>
      <c r="L355" s="50">
        <f t="shared" si="165"/>
        <v>174.3</v>
      </c>
      <c r="M355" s="50">
        <f t="shared" si="165"/>
        <v>199.5</v>
      </c>
      <c r="N355" s="50">
        <f t="shared" si="165"/>
        <v>106.05000000000001</v>
      </c>
      <c r="O355" s="50">
        <f t="shared" si="165"/>
        <v>0</v>
      </c>
      <c r="P355" s="50">
        <f t="shared" si="165"/>
        <v>0</v>
      </c>
      <c r="Q355" s="50">
        <f t="shared" si="165"/>
        <v>0</v>
      </c>
      <c r="R355" s="50">
        <f t="shared" si="165"/>
        <v>0</v>
      </c>
      <c r="S355" s="58">
        <f t="shared" ref="S355:S356" si="166">SUM(I355:R355)</f>
        <v>717.15000000000009</v>
      </c>
    </row>
    <row r="356" spans="3:23" x14ac:dyDescent="0.15">
      <c r="D356" s="209"/>
      <c r="E356" s="52"/>
      <c r="F356" s="79" t="s">
        <v>58</v>
      </c>
      <c r="G356" s="79"/>
      <c r="H356" s="53"/>
      <c r="I356" s="50">
        <f t="shared" ref="I356:R356" si="167">I270*1.05</f>
        <v>0</v>
      </c>
      <c r="J356" s="50">
        <f t="shared" si="167"/>
        <v>0</v>
      </c>
      <c r="K356" s="50">
        <f t="shared" si="167"/>
        <v>0</v>
      </c>
      <c r="L356" s="50">
        <f t="shared" si="167"/>
        <v>0</v>
      </c>
      <c r="M356" s="50">
        <f t="shared" si="167"/>
        <v>0</v>
      </c>
      <c r="N356" s="50">
        <f t="shared" si="167"/>
        <v>0</v>
      </c>
      <c r="O356" s="50">
        <f t="shared" si="167"/>
        <v>0</v>
      </c>
      <c r="P356" s="50">
        <f t="shared" si="167"/>
        <v>0</v>
      </c>
      <c r="Q356" s="50">
        <f t="shared" si="167"/>
        <v>0</v>
      </c>
      <c r="R356" s="50">
        <f t="shared" si="167"/>
        <v>0</v>
      </c>
      <c r="S356" s="58">
        <f t="shared" si="166"/>
        <v>0</v>
      </c>
    </row>
    <row r="357" spans="3:23" x14ac:dyDescent="0.15">
      <c r="D357" s="209"/>
      <c r="E357" s="56"/>
      <c r="F357" s="79" t="s">
        <v>59</v>
      </c>
      <c r="G357" s="161"/>
      <c r="H357" s="57"/>
      <c r="I357" s="50">
        <f t="shared" ref="I357:R357" si="168">I271*1.05</f>
        <v>0</v>
      </c>
      <c r="J357" s="50">
        <f t="shared" si="168"/>
        <v>43.050000000000004</v>
      </c>
      <c r="K357" s="50">
        <f t="shared" si="168"/>
        <v>55.650000000000006</v>
      </c>
      <c r="L357" s="50">
        <f t="shared" si="168"/>
        <v>86.100000000000009</v>
      </c>
      <c r="M357" s="50">
        <f t="shared" si="168"/>
        <v>98.7</v>
      </c>
      <c r="N357" s="50">
        <f t="shared" si="168"/>
        <v>43.050000000000004</v>
      </c>
      <c r="O357" s="50">
        <f t="shared" si="168"/>
        <v>0</v>
      </c>
      <c r="P357" s="50">
        <f t="shared" si="168"/>
        <v>0</v>
      </c>
      <c r="Q357" s="50">
        <f t="shared" si="168"/>
        <v>0</v>
      </c>
      <c r="R357" s="50">
        <f t="shared" si="168"/>
        <v>0</v>
      </c>
      <c r="S357" s="58">
        <f>SUM(I357:R357)</f>
        <v>326.55</v>
      </c>
    </row>
    <row r="358" spans="3:23" x14ac:dyDescent="0.15">
      <c r="D358" s="209"/>
      <c r="E358" s="52"/>
      <c r="F358" s="79" t="s">
        <v>60</v>
      </c>
      <c r="G358" s="79"/>
      <c r="H358" s="53"/>
      <c r="I358" s="50">
        <f t="shared" ref="I358:R358" si="169">I272*1.05</f>
        <v>0</v>
      </c>
      <c r="J358" s="50">
        <f t="shared" si="169"/>
        <v>68.25</v>
      </c>
      <c r="K358" s="50">
        <f t="shared" si="169"/>
        <v>80.850000000000009</v>
      </c>
      <c r="L358" s="50">
        <f t="shared" si="169"/>
        <v>123.9</v>
      </c>
      <c r="M358" s="50">
        <f t="shared" si="169"/>
        <v>136.5</v>
      </c>
      <c r="N358" s="50">
        <f t="shared" si="169"/>
        <v>68.25</v>
      </c>
      <c r="O358" s="50">
        <f t="shared" si="169"/>
        <v>0</v>
      </c>
      <c r="P358" s="50">
        <f t="shared" si="169"/>
        <v>0</v>
      </c>
      <c r="Q358" s="50">
        <f t="shared" si="169"/>
        <v>0</v>
      </c>
      <c r="R358" s="50">
        <f t="shared" si="169"/>
        <v>0</v>
      </c>
      <c r="S358" s="50">
        <f>SUM(I358:R358)</f>
        <v>477.75</v>
      </c>
    </row>
    <row r="359" spans="3:23" ht="14.25" thickBot="1" x14ac:dyDescent="0.2">
      <c r="D359" s="210"/>
      <c r="E359" s="63"/>
      <c r="F359" s="94" t="s">
        <v>61</v>
      </c>
      <c r="G359" s="94"/>
      <c r="H359" s="64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>
        <f>SUM(I359:R359)</f>
        <v>0</v>
      </c>
    </row>
  </sheetData>
  <mergeCells count="91">
    <mergeCell ref="D170:D175"/>
    <mergeCell ref="D176:D181"/>
    <mergeCell ref="H144:H161"/>
    <mergeCell ref="C84:C101"/>
    <mergeCell ref="C124:C141"/>
    <mergeCell ref="D124:D129"/>
    <mergeCell ref="H124:H141"/>
    <mergeCell ref="D130:D135"/>
    <mergeCell ref="D136:D141"/>
    <mergeCell ref="C104:C121"/>
    <mergeCell ref="D104:D109"/>
    <mergeCell ref="H104:H121"/>
    <mergeCell ref="D110:D115"/>
    <mergeCell ref="D116:D121"/>
    <mergeCell ref="D150:D155"/>
    <mergeCell ref="D156:D161"/>
    <mergeCell ref="H44:H61"/>
    <mergeCell ref="H64:H81"/>
    <mergeCell ref="H84:H101"/>
    <mergeCell ref="D144:D149"/>
    <mergeCell ref="D70:D75"/>
    <mergeCell ref="D76:D81"/>
    <mergeCell ref="D84:D89"/>
    <mergeCell ref="D90:D95"/>
    <mergeCell ref="D96:D101"/>
    <mergeCell ref="D44:D49"/>
    <mergeCell ref="D50:D55"/>
    <mergeCell ref="D56:D61"/>
    <mergeCell ref="D64:D69"/>
    <mergeCell ref="C4:C21"/>
    <mergeCell ref="C24:C41"/>
    <mergeCell ref="C44:C61"/>
    <mergeCell ref="C64:C81"/>
    <mergeCell ref="C144:C161"/>
    <mergeCell ref="H229:H232"/>
    <mergeCell ref="C216:C219"/>
    <mergeCell ref="D216:D219"/>
    <mergeCell ref="H216:H219"/>
    <mergeCell ref="C222:C225"/>
    <mergeCell ref="D222:D225"/>
    <mergeCell ref="H222:H225"/>
    <mergeCell ref="C164:C181"/>
    <mergeCell ref="D164:D169"/>
    <mergeCell ref="H164:H181"/>
    <mergeCell ref="H204:H207"/>
    <mergeCell ref="D238:D243"/>
    <mergeCell ref="H186:H189"/>
    <mergeCell ref="C192:C195"/>
    <mergeCell ref="D192:D195"/>
    <mergeCell ref="H192:H195"/>
    <mergeCell ref="C198:C201"/>
    <mergeCell ref="D198:D201"/>
    <mergeCell ref="H198:H201"/>
    <mergeCell ref="C210:C213"/>
    <mergeCell ref="D210:D213"/>
    <mergeCell ref="H210:H213"/>
    <mergeCell ref="C229:C232"/>
    <mergeCell ref="H4:H21"/>
    <mergeCell ref="D4:D9"/>
    <mergeCell ref="D10:D15"/>
    <mergeCell ref="D16:D21"/>
    <mergeCell ref="D24:D29"/>
    <mergeCell ref="H24:H41"/>
    <mergeCell ref="D36:D41"/>
    <mergeCell ref="D30:D35"/>
    <mergeCell ref="C186:C189"/>
    <mergeCell ref="D186:D189"/>
    <mergeCell ref="C204:C207"/>
    <mergeCell ref="D204:D207"/>
    <mergeCell ref="D314:D319"/>
    <mergeCell ref="D262:D267"/>
    <mergeCell ref="D268:D273"/>
    <mergeCell ref="D294:D299"/>
    <mergeCell ref="D244:D249"/>
    <mergeCell ref="D250:D255"/>
    <mergeCell ref="C238:C292"/>
    <mergeCell ref="D256:D261"/>
    <mergeCell ref="D274:D279"/>
    <mergeCell ref="D280:D285"/>
    <mergeCell ref="D286:D291"/>
    <mergeCell ref="D229:D232"/>
    <mergeCell ref="D300:D305"/>
    <mergeCell ref="D306:D311"/>
    <mergeCell ref="D346:D351"/>
    <mergeCell ref="C353:E353"/>
    <mergeCell ref="D354:D359"/>
    <mergeCell ref="C333:E333"/>
    <mergeCell ref="D320:D325"/>
    <mergeCell ref="D326:D331"/>
    <mergeCell ref="D334:D339"/>
    <mergeCell ref="D340:D345"/>
  </mergeCells>
  <phoneticPr fontId="2" type="noConversion"/>
  <pageMargins left="0.25" right="0.25" top="0.75" bottom="0.75" header="0.3" footer="0.3"/>
  <pageSetup paperSize="9" scale="25" fitToHeight="0" orientation="portrait" r:id="rId1"/>
  <headerFooter alignWithMargins="0"/>
  <rowBreaks count="1" manualBreakCount="1">
    <brk id="332" max="31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SS22</vt:lpstr>
      <vt:lpstr>'SS22'!Print_Area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변재영</dc:creator>
  <cp:lastModifiedBy>user</cp:lastModifiedBy>
  <cp:lastPrinted>2020-10-27T09:02:55Z</cp:lastPrinted>
  <dcterms:created xsi:type="dcterms:W3CDTF">2019-09-30T05:29:53Z</dcterms:created>
  <dcterms:modified xsi:type="dcterms:W3CDTF">2021-09-24T01:20:35Z</dcterms:modified>
</cp:coreProperties>
</file>