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HG Sales#1\3. LIFUNG\2. commit  PO\KIDS\PO\SS22\"/>
    </mc:Choice>
  </mc:AlternateContent>
  <xr:revisionPtr revIDLastSave="0" documentId="13_ncr:1_{E08A7429-57B8-4792-8010-A003D19D7FCA}" xr6:coauthVersionLast="46" xr6:coauthVersionMax="47" xr10:uidLastSave="{00000000-0000-0000-0000-000000000000}"/>
  <bookViews>
    <workbookView minimized="1" xWindow="2364" yWindow="1188" windowWidth="20664" windowHeight="7728" activeTab="1" xr2:uid="{D60C12B8-8A39-4F69-BB4B-9A4DEED60F57}"/>
  </bookViews>
  <sheets>
    <sheet name="SS22" sheetId="1" r:id="rId1"/>
    <sheet name="SS22 (2)" sheetId="2" r:id="rId2"/>
  </sheets>
  <definedNames>
    <definedName name="_xlnm.Print_Area" localSheetId="0">'SS22'!$A$1:$X$175</definedName>
    <definedName name="_xlnm.Print_Area" localSheetId="1">'SS22 (2)'!$A$1:$S$120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9" i="2" l="1"/>
  <c r="M119" i="2"/>
  <c r="L119" i="2"/>
  <c r="K119" i="2"/>
  <c r="J119" i="2"/>
  <c r="I119" i="2"/>
  <c r="H119" i="2"/>
  <c r="H120" i="2" s="1"/>
  <c r="N118" i="2"/>
  <c r="M118" i="2"/>
  <c r="L118" i="2"/>
  <c r="K118" i="2"/>
  <c r="J118" i="2"/>
  <c r="I118" i="2"/>
  <c r="H118" i="2"/>
  <c r="N117" i="2"/>
  <c r="M117" i="2"/>
  <c r="L117" i="2"/>
  <c r="J117" i="2"/>
  <c r="K117" i="2"/>
  <c r="I117" i="2"/>
  <c r="H117" i="2"/>
  <c r="N116" i="2"/>
  <c r="M116" i="2"/>
  <c r="L116" i="2"/>
  <c r="K116" i="2"/>
  <c r="J116" i="2"/>
  <c r="I116" i="2"/>
  <c r="H116" i="2"/>
  <c r="M115" i="2"/>
  <c r="L115" i="2"/>
  <c r="K115" i="2"/>
  <c r="J115" i="2"/>
  <c r="M114" i="2"/>
  <c r="L114" i="2"/>
  <c r="K114" i="2"/>
  <c r="J114" i="2"/>
  <c r="M113" i="2"/>
  <c r="L113" i="2"/>
  <c r="K113" i="2"/>
  <c r="J113" i="2"/>
  <c r="M112" i="2"/>
  <c r="L112" i="2"/>
  <c r="K112" i="2"/>
  <c r="J112" i="2"/>
  <c r="Q111" i="2"/>
  <c r="P111" i="2"/>
  <c r="O111" i="2"/>
  <c r="Q110" i="2"/>
  <c r="P110" i="2"/>
  <c r="O110" i="2"/>
  <c r="Q109" i="2"/>
  <c r="P109" i="2"/>
  <c r="O109" i="2"/>
  <c r="Q108" i="2"/>
  <c r="P108" i="2"/>
  <c r="O108" i="2"/>
  <c r="Q107" i="2"/>
  <c r="P107" i="2"/>
  <c r="O107" i="2"/>
  <c r="N107" i="2"/>
  <c r="M107" i="2"/>
  <c r="L107" i="2"/>
  <c r="K107" i="2"/>
  <c r="J107" i="2"/>
  <c r="I107" i="2"/>
  <c r="H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Q94" i="2"/>
  <c r="P94" i="2"/>
  <c r="O94" i="2"/>
  <c r="N94" i="2"/>
  <c r="M94" i="2"/>
  <c r="L94" i="2"/>
  <c r="K94" i="2"/>
  <c r="J94" i="2"/>
  <c r="I94" i="2"/>
  <c r="H94" i="2"/>
  <c r="Q81" i="2"/>
  <c r="P81" i="2"/>
  <c r="O81" i="2"/>
  <c r="N81" i="2"/>
  <c r="M81" i="2"/>
  <c r="L81" i="2"/>
  <c r="K81" i="2"/>
  <c r="J81" i="2"/>
  <c r="I81" i="2"/>
  <c r="H81" i="2"/>
  <c r="Q68" i="2"/>
  <c r="P68" i="2"/>
  <c r="O68" i="2"/>
  <c r="N68" i="2"/>
  <c r="M68" i="2"/>
  <c r="L68" i="2"/>
  <c r="K68" i="2"/>
  <c r="J68" i="2"/>
  <c r="I68" i="2"/>
  <c r="H68" i="2"/>
  <c r="Q55" i="2"/>
  <c r="P55" i="2"/>
  <c r="O55" i="2"/>
  <c r="N55" i="2"/>
  <c r="M55" i="2"/>
  <c r="L55" i="2"/>
  <c r="K55" i="2"/>
  <c r="J55" i="2"/>
  <c r="I55" i="2"/>
  <c r="H55" i="2"/>
  <c r="Q42" i="2"/>
  <c r="P42" i="2"/>
  <c r="O42" i="2"/>
  <c r="N42" i="2"/>
  <c r="M42" i="2"/>
  <c r="L42" i="2"/>
  <c r="K42" i="2"/>
  <c r="J42" i="2"/>
  <c r="I42" i="2"/>
  <c r="H42" i="2"/>
  <c r="Q29" i="2"/>
  <c r="P29" i="2"/>
  <c r="O29" i="2"/>
  <c r="N29" i="2"/>
  <c r="M29" i="2"/>
  <c r="L29" i="2"/>
  <c r="K29" i="2"/>
  <c r="J29" i="2"/>
  <c r="I29" i="2"/>
  <c r="H29" i="2"/>
  <c r="I16" i="2"/>
  <c r="J16" i="2"/>
  <c r="K16" i="2"/>
  <c r="L16" i="2"/>
  <c r="M16" i="2"/>
  <c r="N16" i="2"/>
  <c r="O16" i="2"/>
  <c r="P16" i="2"/>
  <c r="Q16" i="2"/>
  <c r="H16" i="2"/>
  <c r="H109" i="2"/>
  <c r="I109" i="2"/>
  <c r="J109" i="2"/>
  <c r="K109" i="2"/>
  <c r="L109" i="2"/>
  <c r="M109" i="2"/>
  <c r="N109" i="2"/>
  <c r="H110" i="2"/>
  <c r="I110" i="2"/>
  <c r="J110" i="2"/>
  <c r="K110" i="2"/>
  <c r="L110" i="2"/>
  <c r="M110" i="2"/>
  <c r="N110" i="2"/>
  <c r="H111" i="2"/>
  <c r="I111" i="2"/>
  <c r="J111" i="2"/>
  <c r="K111" i="2"/>
  <c r="L111" i="2"/>
  <c r="M111" i="2"/>
  <c r="N111" i="2"/>
  <c r="H112" i="2"/>
  <c r="I112" i="2"/>
  <c r="N112" i="2"/>
  <c r="O112" i="2"/>
  <c r="P112" i="2"/>
  <c r="Q112" i="2"/>
  <c r="H113" i="2"/>
  <c r="I113" i="2"/>
  <c r="N113" i="2"/>
  <c r="O113" i="2"/>
  <c r="P113" i="2"/>
  <c r="Q113" i="2"/>
  <c r="H114" i="2"/>
  <c r="I114" i="2"/>
  <c r="N114" i="2"/>
  <c r="O114" i="2"/>
  <c r="P114" i="2"/>
  <c r="Q114" i="2"/>
  <c r="H115" i="2"/>
  <c r="I115" i="2"/>
  <c r="N115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I108" i="2"/>
  <c r="J108" i="2"/>
  <c r="K108" i="2"/>
  <c r="L108" i="2"/>
  <c r="M108" i="2"/>
  <c r="N108" i="2"/>
  <c r="H108" i="2"/>
  <c r="R54" i="2"/>
  <c r="R53" i="2"/>
  <c r="R52" i="2"/>
  <c r="R51" i="2"/>
  <c r="R50" i="2"/>
  <c r="R49" i="2"/>
  <c r="R48" i="2"/>
  <c r="R47" i="2"/>
  <c r="R46" i="2"/>
  <c r="R45" i="2"/>
  <c r="R44" i="2"/>
  <c r="R43" i="2"/>
  <c r="R28" i="2"/>
  <c r="R27" i="2"/>
  <c r="R26" i="2"/>
  <c r="R25" i="2"/>
  <c r="R24" i="2"/>
  <c r="R23" i="2"/>
  <c r="R22" i="2"/>
  <c r="R21" i="2"/>
  <c r="R20" i="2"/>
  <c r="R19" i="2"/>
  <c r="R18" i="2"/>
  <c r="R17" i="2"/>
  <c r="N120" i="2" l="1"/>
  <c r="J120" i="2"/>
  <c r="R107" i="2"/>
  <c r="M120" i="2"/>
  <c r="O120" i="2"/>
  <c r="I120" i="2"/>
  <c r="K120" i="2"/>
  <c r="P120" i="2"/>
  <c r="L120" i="2"/>
  <c r="R55" i="2"/>
  <c r="R29" i="2"/>
  <c r="Q120" i="2"/>
  <c r="R119" i="2" l="1"/>
  <c r="R118" i="2"/>
  <c r="R117" i="2"/>
  <c r="R116" i="2"/>
  <c r="R115" i="2"/>
  <c r="R114" i="2"/>
  <c r="R113" i="2"/>
  <c r="R111" i="2"/>
  <c r="R110" i="2"/>
  <c r="R109" i="2"/>
  <c r="R108" i="2"/>
  <c r="R112" i="2"/>
  <c r="R93" i="2"/>
  <c r="R92" i="2"/>
  <c r="R91" i="2"/>
  <c r="R90" i="2"/>
  <c r="R89" i="2"/>
  <c r="R88" i="2"/>
  <c r="R87" i="2"/>
  <c r="R86" i="2"/>
  <c r="R85" i="2"/>
  <c r="R84" i="2"/>
  <c r="R83" i="2"/>
  <c r="R82" i="2"/>
  <c r="R94" i="2" s="1"/>
  <c r="R80" i="2"/>
  <c r="R79" i="2"/>
  <c r="R78" i="2"/>
  <c r="R77" i="2"/>
  <c r="R76" i="2"/>
  <c r="R75" i="2"/>
  <c r="R74" i="2"/>
  <c r="R73" i="2"/>
  <c r="R72" i="2"/>
  <c r="R71" i="2"/>
  <c r="R70" i="2"/>
  <c r="R69" i="2"/>
  <c r="R81" i="2" s="1"/>
  <c r="R67" i="2"/>
  <c r="R66" i="2"/>
  <c r="R65" i="2"/>
  <c r="R64" i="2"/>
  <c r="R63" i="2"/>
  <c r="R62" i="2"/>
  <c r="R61" i="2"/>
  <c r="R60" i="2"/>
  <c r="R59" i="2"/>
  <c r="R58" i="2"/>
  <c r="R57" i="2"/>
  <c r="R56" i="2"/>
  <c r="R68" i="2" s="1"/>
  <c r="R41" i="2"/>
  <c r="R40" i="2"/>
  <c r="R39" i="2"/>
  <c r="R38" i="2"/>
  <c r="R37" i="2"/>
  <c r="R36" i="2"/>
  <c r="R35" i="2"/>
  <c r="R34" i="2"/>
  <c r="R33" i="2"/>
  <c r="R32" i="2"/>
  <c r="R31" i="2"/>
  <c r="R30" i="2"/>
  <c r="R15" i="2"/>
  <c r="R14" i="2"/>
  <c r="R13" i="2"/>
  <c r="R12" i="2"/>
  <c r="R11" i="2"/>
  <c r="R10" i="2"/>
  <c r="R9" i="2"/>
  <c r="R8" i="2"/>
  <c r="R7" i="2"/>
  <c r="R6" i="2"/>
  <c r="R5" i="2"/>
  <c r="R4" i="2"/>
  <c r="Q264" i="2"/>
  <c r="P264" i="2"/>
  <c r="O264" i="2"/>
  <c r="N264" i="2"/>
  <c r="I264" i="2"/>
  <c r="H264" i="2"/>
  <c r="Q263" i="2"/>
  <c r="P263" i="2"/>
  <c r="O263" i="2"/>
  <c r="N263" i="2"/>
  <c r="I263" i="2"/>
  <c r="H263" i="2"/>
  <c r="Q262" i="2"/>
  <c r="P262" i="2"/>
  <c r="O262" i="2"/>
  <c r="N262" i="2"/>
  <c r="I262" i="2"/>
  <c r="H262" i="2"/>
  <c r="Q261" i="2"/>
  <c r="P261" i="2"/>
  <c r="O261" i="2"/>
  <c r="N261" i="2"/>
  <c r="I261" i="2"/>
  <c r="H261" i="2"/>
  <c r="N260" i="2"/>
  <c r="M260" i="2"/>
  <c r="L260" i="2"/>
  <c r="K260" i="2"/>
  <c r="J260" i="2"/>
  <c r="I260" i="2"/>
  <c r="H260" i="2"/>
  <c r="N259" i="2"/>
  <c r="M259" i="2"/>
  <c r="L259" i="2"/>
  <c r="K259" i="2"/>
  <c r="J259" i="2"/>
  <c r="I259" i="2"/>
  <c r="H259" i="2"/>
  <c r="N258" i="2"/>
  <c r="M258" i="2"/>
  <c r="L258" i="2"/>
  <c r="K258" i="2"/>
  <c r="J258" i="2"/>
  <c r="I258" i="2"/>
  <c r="H258" i="2"/>
  <c r="N257" i="2"/>
  <c r="M257" i="2"/>
  <c r="L257" i="2"/>
  <c r="K257" i="2"/>
  <c r="J257" i="2"/>
  <c r="I257" i="2"/>
  <c r="H257" i="2"/>
  <c r="Q256" i="2"/>
  <c r="P256" i="2"/>
  <c r="O256" i="2"/>
  <c r="Q255" i="2"/>
  <c r="P255" i="2"/>
  <c r="O255" i="2"/>
  <c r="Q254" i="2"/>
  <c r="P254" i="2"/>
  <c r="O254" i="2"/>
  <c r="Q253" i="2"/>
  <c r="P253" i="2"/>
  <c r="O253" i="2"/>
  <c r="Q250" i="2"/>
  <c r="P250" i="2"/>
  <c r="O250" i="2"/>
  <c r="N250" i="2"/>
  <c r="I250" i="2"/>
  <c r="H250" i="2"/>
  <c r="Q249" i="2"/>
  <c r="P249" i="2"/>
  <c r="O249" i="2"/>
  <c r="N249" i="2"/>
  <c r="I249" i="2"/>
  <c r="H249" i="2"/>
  <c r="Q248" i="2"/>
  <c r="P248" i="2"/>
  <c r="O248" i="2"/>
  <c r="N248" i="2"/>
  <c r="I248" i="2"/>
  <c r="H248" i="2"/>
  <c r="Q247" i="2"/>
  <c r="P247" i="2"/>
  <c r="O247" i="2"/>
  <c r="N247" i="2"/>
  <c r="I247" i="2"/>
  <c r="H247" i="2"/>
  <c r="N246" i="2"/>
  <c r="M246" i="2"/>
  <c r="L246" i="2"/>
  <c r="K246" i="2"/>
  <c r="J246" i="2"/>
  <c r="I246" i="2"/>
  <c r="H246" i="2"/>
  <c r="N245" i="2"/>
  <c r="M245" i="2"/>
  <c r="L245" i="2"/>
  <c r="K245" i="2"/>
  <c r="J245" i="2"/>
  <c r="I245" i="2"/>
  <c r="H245" i="2"/>
  <c r="N244" i="2"/>
  <c r="M244" i="2"/>
  <c r="L244" i="2"/>
  <c r="K244" i="2"/>
  <c r="J244" i="2"/>
  <c r="I244" i="2"/>
  <c r="H244" i="2"/>
  <c r="N243" i="2"/>
  <c r="M243" i="2"/>
  <c r="L243" i="2"/>
  <c r="K243" i="2"/>
  <c r="J243" i="2"/>
  <c r="I243" i="2"/>
  <c r="H243" i="2"/>
  <c r="Q242" i="2"/>
  <c r="P242" i="2"/>
  <c r="O242" i="2"/>
  <c r="Q241" i="2"/>
  <c r="P241" i="2"/>
  <c r="O241" i="2"/>
  <c r="Q240" i="2"/>
  <c r="P240" i="2"/>
  <c r="O240" i="2"/>
  <c r="Q239" i="2"/>
  <c r="P239" i="2"/>
  <c r="O239" i="2"/>
  <c r="Q236" i="2"/>
  <c r="P236" i="2"/>
  <c r="O236" i="2"/>
  <c r="N236" i="2"/>
  <c r="M236" i="2"/>
  <c r="L236" i="2"/>
  <c r="K236" i="2"/>
  <c r="J236" i="2"/>
  <c r="I236" i="2"/>
  <c r="H236" i="2"/>
  <c r="T235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T209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N197" i="2"/>
  <c r="M197" i="2"/>
  <c r="L197" i="2"/>
  <c r="K197" i="2"/>
  <c r="J197" i="2"/>
  <c r="I197" i="2"/>
  <c r="H197" i="2"/>
  <c r="R196" i="2"/>
  <c r="R195" i="2"/>
  <c r="N194" i="2"/>
  <c r="M194" i="2"/>
  <c r="L194" i="2"/>
  <c r="K194" i="2"/>
  <c r="J194" i="2"/>
  <c r="I194" i="2"/>
  <c r="H194" i="2"/>
  <c r="M193" i="2"/>
  <c r="M221" i="2" s="1"/>
  <c r="M264" i="2" s="1"/>
  <c r="L193" i="2"/>
  <c r="L221" i="2" s="1"/>
  <c r="K193" i="2"/>
  <c r="K221" i="2" s="1"/>
  <c r="J193" i="2"/>
  <c r="J221" i="2" s="1"/>
  <c r="M192" i="2"/>
  <c r="M220" i="2" s="1"/>
  <c r="L192" i="2"/>
  <c r="L220" i="2" s="1"/>
  <c r="K192" i="2"/>
  <c r="K220" i="2" s="1"/>
  <c r="J192" i="2"/>
  <c r="M191" i="2"/>
  <c r="M219" i="2" s="1"/>
  <c r="L191" i="2"/>
  <c r="L219" i="2" s="1"/>
  <c r="K191" i="2"/>
  <c r="K219" i="2" s="1"/>
  <c r="J191" i="2"/>
  <c r="J219" i="2" s="1"/>
  <c r="M190" i="2"/>
  <c r="M218" i="2" s="1"/>
  <c r="L190" i="2"/>
  <c r="L218" i="2" s="1"/>
  <c r="L261" i="2" s="1"/>
  <c r="K190" i="2"/>
  <c r="K218" i="2" s="1"/>
  <c r="J190" i="2"/>
  <c r="J218" i="2" s="1"/>
  <c r="Q189" i="2"/>
  <c r="Q217" i="2" s="1"/>
  <c r="P189" i="2"/>
  <c r="P217" i="2" s="1"/>
  <c r="O189" i="2"/>
  <c r="O217" i="2" s="1"/>
  <c r="Q188" i="2"/>
  <c r="Q216" i="2" s="1"/>
  <c r="Q259" i="2" s="1"/>
  <c r="P188" i="2"/>
  <c r="O188" i="2"/>
  <c r="O216" i="2" s="1"/>
  <c r="Q187" i="2"/>
  <c r="Q215" i="2" s="1"/>
  <c r="P187" i="2"/>
  <c r="P215" i="2" s="1"/>
  <c r="O187" i="2"/>
  <c r="O215" i="2" s="1"/>
  <c r="Q186" i="2"/>
  <c r="Q214" i="2" s="1"/>
  <c r="P186" i="2"/>
  <c r="O186" i="2"/>
  <c r="O214" i="2" s="1"/>
  <c r="N185" i="2"/>
  <c r="N213" i="2" s="1"/>
  <c r="M185" i="2"/>
  <c r="L185" i="2"/>
  <c r="K185" i="2"/>
  <c r="J185" i="2"/>
  <c r="J213" i="2" s="1"/>
  <c r="J256" i="2" s="1"/>
  <c r="I185" i="2"/>
  <c r="H185" i="2"/>
  <c r="N184" i="2"/>
  <c r="N212" i="2" s="1"/>
  <c r="M184" i="2"/>
  <c r="M212" i="2" s="1"/>
  <c r="L184" i="2"/>
  <c r="L212" i="2" s="1"/>
  <c r="K184" i="2"/>
  <c r="K212" i="2" s="1"/>
  <c r="J184" i="2"/>
  <c r="J212" i="2" s="1"/>
  <c r="J255" i="2" s="1"/>
  <c r="I184" i="2"/>
  <c r="I212" i="2" s="1"/>
  <c r="H184" i="2"/>
  <c r="N183" i="2"/>
  <c r="N211" i="2" s="1"/>
  <c r="M183" i="2"/>
  <c r="M211" i="2" s="1"/>
  <c r="L183" i="2"/>
  <c r="L211" i="2" s="1"/>
  <c r="K183" i="2"/>
  <c r="K211" i="2" s="1"/>
  <c r="J183" i="2"/>
  <c r="J211" i="2" s="1"/>
  <c r="J254" i="2" s="1"/>
  <c r="I183" i="2"/>
  <c r="I211" i="2" s="1"/>
  <c r="H183" i="2"/>
  <c r="N182" i="2"/>
  <c r="N210" i="2" s="1"/>
  <c r="M182" i="2"/>
  <c r="M210" i="2" s="1"/>
  <c r="L182" i="2"/>
  <c r="K182" i="2"/>
  <c r="K210" i="2" s="1"/>
  <c r="J182" i="2"/>
  <c r="J210" i="2" s="1"/>
  <c r="I182" i="2"/>
  <c r="H182" i="2"/>
  <c r="T179" i="2"/>
  <c r="Q178" i="2"/>
  <c r="P178" i="2"/>
  <c r="O178" i="2"/>
  <c r="N178" i="2"/>
  <c r="M178" i="2"/>
  <c r="L176" i="2"/>
  <c r="K176" i="2"/>
  <c r="J176" i="2"/>
  <c r="I176" i="2"/>
  <c r="H176" i="2"/>
  <c r="L175" i="2"/>
  <c r="K175" i="2"/>
  <c r="J175" i="2"/>
  <c r="I175" i="2"/>
  <c r="H175" i="2"/>
  <c r="L174" i="2"/>
  <c r="K174" i="2"/>
  <c r="J174" i="2"/>
  <c r="I174" i="2"/>
  <c r="H174" i="2"/>
  <c r="L173" i="2"/>
  <c r="K173" i="2"/>
  <c r="J173" i="2"/>
  <c r="I173" i="2"/>
  <c r="H173" i="2"/>
  <c r="Q171" i="2"/>
  <c r="P171" i="2"/>
  <c r="O171" i="2"/>
  <c r="N171" i="2"/>
  <c r="M171" i="2"/>
  <c r="L171" i="2"/>
  <c r="K171" i="2"/>
  <c r="J171" i="2"/>
  <c r="I171" i="2"/>
  <c r="H171" i="2"/>
  <c r="R169" i="2"/>
  <c r="R168" i="2"/>
  <c r="R167" i="2"/>
  <c r="R166" i="2"/>
  <c r="Q165" i="2"/>
  <c r="P165" i="2"/>
  <c r="O165" i="2"/>
  <c r="N165" i="2"/>
  <c r="M165" i="2"/>
  <c r="L165" i="2"/>
  <c r="K165" i="2"/>
  <c r="J165" i="2"/>
  <c r="I165" i="2"/>
  <c r="H165" i="2"/>
  <c r="R163" i="2"/>
  <c r="R162" i="2"/>
  <c r="R161" i="2"/>
  <c r="R160" i="2"/>
  <c r="Q159" i="2"/>
  <c r="P159" i="2"/>
  <c r="O159" i="2"/>
  <c r="N159" i="2"/>
  <c r="M159" i="2"/>
  <c r="L159" i="2"/>
  <c r="K159" i="2"/>
  <c r="J159" i="2"/>
  <c r="I159" i="2"/>
  <c r="H159" i="2"/>
  <c r="R157" i="2"/>
  <c r="R156" i="2"/>
  <c r="R155" i="2"/>
  <c r="R154" i="2"/>
  <c r="Q153" i="2"/>
  <c r="P153" i="2"/>
  <c r="O153" i="2"/>
  <c r="N153" i="2"/>
  <c r="M153" i="2"/>
  <c r="L153" i="2"/>
  <c r="K153" i="2"/>
  <c r="J153" i="2"/>
  <c r="I153" i="2"/>
  <c r="H153" i="2"/>
  <c r="R151" i="2"/>
  <c r="R150" i="2"/>
  <c r="R149" i="2"/>
  <c r="R148" i="2"/>
  <c r="Q147" i="2"/>
  <c r="P147" i="2"/>
  <c r="O147" i="2"/>
  <c r="N147" i="2"/>
  <c r="M147" i="2"/>
  <c r="L147" i="2"/>
  <c r="K147" i="2"/>
  <c r="J147" i="2"/>
  <c r="I147" i="2"/>
  <c r="H147" i="2"/>
  <c r="R145" i="2"/>
  <c r="R144" i="2"/>
  <c r="R143" i="2"/>
  <c r="R142" i="2"/>
  <c r="Q141" i="2"/>
  <c r="P141" i="2"/>
  <c r="O141" i="2"/>
  <c r="N141" i="2"/>
  <c r="M141" i="2"/>
  <c r="L141" i="2"/>
  <c r="K141" i="2"/>
  <c r="J141" i="2"/>
  <c r="I141" i="2"/>
  <c r="H141" i="2"/>
  <c r="R139" i="2"/>
  <c r="R138" i="2"/>
  <c r="R137" i="2"/>
  <c r="R136" i="2"/>
  <c r="Q135" i="2"/>
  <c r="P135" i="2"/>
  <c r="O135" i="2"/>
  <c r="N135" i="2"/>
  <c r="M135" i="2"/>
  <c r="L135" i="2"/>
  <c r="K135" i="2"/>
  <c r="J135" i="2"/>
  <c r="I135" i="2"/>
  <c r="H135" i="2"/>
  <c r="R133" i="2"/>
  <c r="R132" i="2"/>
  <c r="R131" i="2"/>
  <c r="R130" i="2"/>
  <c r="Q172" i="1"/>
  <c r="P172" i="1"/>
  <c r="O172" i="1"/>
  <c r="N172" i="1"/>
  <c r="I172" i="1"/>
  <c r="H172" i="1"/>
  <c r="Q171" i="1"/>
  <c r="P171" i="1"/>
  <c r="O171" i="1"/>
  <c r="N171" i="1"/>
  <c r="L171" i="1"/>
  <c r="I171" i="1"/>
  <c r="H171" i="1"/>
  <c r="Q170" i="1"/>
  <c r="P170" i="1"/>
  <c r="O170" i="1"/>
  <c r="N170" i="1"/>
  <c r="I170" i="1"/>
  <c r="H170" i="1"/>
  <c r="Q169" i="1"/>
  <c r="P169" i="1"/>
  <c r="O169" i="1"/>
  <c r="N169" i="1"/>
  <c r="I169" i="1"/>
  <c r="H169" i="1"/>
  <c r="N168" i="1"/>
  <c r="M168" i="1"/>
  <c r="L168" i="1"/>
  <c r="K168" i="1"/>
  <c r="J168" i="1"/>
  <c r="I168" i="1"/>
  <c r="H168" i="1"/>
  <c r="N167" i="1"/>
  <c r="M167" i="1"/>
  <c r="L167" i="1"/>
  <c r="K167" i="1"/>
  <c r="J167" i="1"/>
  <c r="I167" i="1"/>
  <c r="H167" i="1"/>
  <c r="N166" i="1"/>
  <c r="M166" i="1"/>
  <c r="L166" i="1"/>
  <c r="K166" i="1"/>
  <c r="J166" i="1"/>
  <c r="I166" i="1"/>
  <c r="H166" i="1"/>
  <c r="P165" i="1"/>
  <c r="N165" i="1"/>
  <c r="M165" i="1"/>
  <c r="L165" i="1"/>
  <c r="K165" i="1"/>
  <c r="J165" i="1"/>
  <c r="I165" i="1"/>
  <c r="H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58" i="1"/>
  <c r="P158" i="1"/>
  <c r="O158" i="1"/>
  <c r="N158" i="1"/>
  <c r="I158" i="1"/>
  <c r="H158" i="1"/>
  <c r="Q157" i="1"/>
  <c r="P157" i="1"/>
  <c r="O157" i="1"/>
  <c r="N157" i="1"/>
  <c r="I157" i="1"/>
  <c r="H157" i="1"/>
  <c r="Q156" i="1"/>
  <c r="P156" i="1"/>
  <c r="O156" i="1"/>
  <c r="N156" i="1"/>
  <c r="I156" i="1"/>
  <c r="H156" i="1"/>
  <c r="Q155" i="1"/>
  <c r="P155" i="1"/>
  <c r="O155" i="1"/>
  <c r="N155" i="1"/>
  <c r="I155" i="1"/>
  <c r="H155" i="1"/>
  <c r="N154" i="1"/>
  <c r="M154" i="1"/>
  <c r="L154" i="1"/>
  <c r="K154" i="1"/>
  <c r="J154" i="1"/>
  <c r="I154" i="1"/>
  <c r="H154" i="1"/>
  <c r="N153" i="1"/>
  <c r="M153" i="1"/>
  <c r="L153" i="1"/>
  <c r="K153" i="1"/>
  <c r="J153" i="1"/>
  <c r="I153" i="1"/>
  <c r="H153" i="1"/>
  <c r="N152" i="1"/>
  <c r="M152" i="1"/>
  <c r="L152" i="1"/>
  <c r="K152" i="1"/>
  <c r="J152" i="1"/>
  <c r="I152" i="1"/>
  <c r="H152" i="1"/>
  <c r="N151" i="1"/>
  <c r="M151" i="1"/>
  <c r="L151" i="1"/>
  <c r="K151" i="1"/>
  <c r="J151" i="1"/>
  <c r="I151" i="1"/>
  <c r="H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4" i="1"/>
  <c r="P144" i="1"/>
  <c r="O144" i="1"/>
  <c r="N144" i="1"/>
  <c r="M144" i="1"/>
  <c r="L144" i="1"/>
  <c r="K144" i="1"/>
  <c r="J144" i="1"/>
  <c r="I144" i="1"/>
  <c r="H144" i="1"/>
  <c r="R143" i="1"/>
  <c r="R139" i="1"/>
  <c r="R13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T117" i="1"/>
  <c r="M105" i="1"/>
  <c r="L105" i="1"/>
  <c r="K105" i="1"/>
  <c r="J105" i="1"/>
  <c r="I105" i="1"/>
  <c r="H105" i="1"/>
  <c r="M102" i="1"/>
  <c r="L102" i="1"/>
  <c r="K102" i="1"/>
  <c r="J102" i="1"/>
  <c r="I102" i="1"/>
  <c r="H102" i="1"/>
  <c r="N105" i="1"/>
  <c r="N102" i="1"/>
  <c r="R104" i="1"/>
  <c r="R103" i="1"/>
  <c r="N93" i="1"/>
  <c r="M93" i="1"/>
  <c r="L93" i="1"/>
  <c r="K93" i="1"/>
  <c r="J93" i="1"/>
  <c r="J121" i="1" s="1"/>
  <c r="J150" i="1" s="1"/>
  <c r="I93" i="1"/>
  <c r="H93" i="1"/>
  <c r="N92" i="1"/>
  <c r="N120" i="1" s="1"/>
  <c r="N149" i="1" s="1"/>
  <c r="M92" i="1"/>
  <c r="M120" i="1" s="1"/>
  <c r="M149" i="1" s="1"/>
  <c r="L92" i="1"/>
  <c r="L120" i="1" s="1"/>
  <c r="L149" i="1" s="1"/>
  <c r="K92" i="1"/>
  <c r="K120" i="1" s="1"/>
  <c r="K149" i="1" s="1"/>
  <c r="J92" i="1"/>
  <c r="J120" i="1" s="1"/>
  <c r="J149" i="1" s="1"/>
  <c r="I92" i="1"/>
  <c r="I120" i="1" s="1"/>
  <c r="I149" i="1" s="1"/>
  <c r="H92" i="1"/>
  <c r="H120" i="1" s="1"/>
  <c r="H149" i="1" s="1"/>
  <c r="N90" i="1"/>
  <c r="M90" i="1"/>
  <c r="L90" i="1"/>
  <c r="K90" i="1"/>
  <c r="J90" i="1"/>
  <c r="I90" i="1"/>
  <c r="H90" i="1"/>
  <c r="N91" i="1"/>
  <c r="N119" i="1" s="1"/>
  <c r="N148" i="1" s="1"/>
  <c r="M91" i="1"/>
  <c r="M119" i="1" s="1"/>
  <c r="M148" i="1" s="1"/>
  <c r="L91" i="1"/>
  <c r="L119" i="1" s="1"/>
  <c r="L148" i="1" s="1"/>
  <c r="K91" i="1"/>
  <c r="K119" i="1" s="1"/>
  <c r="K148" i="1" s="1"/>
  <c r="J91" i="1"/>
  <c r="J119" i="1" s="1"/>
  <c r="J148" i="1" s="1"/>
  <c r="I91" i="1"/>
  <c r="I119" i="1" s="1"/>
  <c r="I148" i="1" s="1"/>
  <c r="H91" i="1"/>
  <c r="H119" i="1" s="1"/>
  <c r="H148" i="1" s="1"/>
  <c r="M101" i="1"/>
  <c r="M129" i="1" s="1"/>
  <c r="M158" i="1" s="1"/>
  <c r="L101" i="1"/>
  <c r="L129" i="1" s="1"/>
  <c r="L158" i="1" s="1"/>
  <c r="K101" i="1"/>
  <c r="K129" i="1" s="1"/>
  <c r="K158" i="1" s="1"/>
  <c r="J101" i="1"/>
  <c r="J129" i="1" s="1"/>
  <c r="J158" i="1" s="1"/>
  <c r="M100" i="1"/>
  <c r="M128" i="1" s="1"/>
  <c r="M157" i="1" s="1"/>
  <c r="L100" i="1"/>
  <c r="L128" i="1" s="1"/>
  <c r="L157" i="1" s="1"/>
  <c r="K100" i="1"/>
  <c r="K128" i="1" s="1"/>
  <c r="K157" i="1" s="1"/>
  <c r="J100" i="1"/>
  <c r="J128" i="1" s="1"/>
  <c r="J157" i="1" s="1"/>
  <c r="M98" i="1"/>
  <c r="M126" i="1" s="1"/>
  <c r="M155" i="1" s="1"/>
  <c r="L98" i="1"/>
  <c r="L126" i="1" s="1"/>
  <c r="L155" i="1" s="1"/>
  <c r="K98" i="1"/>
  <c r="K126" i="1" s="1"/>
  <c r="K155" i="1" s="1"/>
  <c r="J98" i="1"/>
  <c r="J126" i="1" s="1"/>
  <c r="J155" i="1" s="1"/>
  <c r="M99" i="1"/>
  <c r="M127" i="1" s="1"/>
  <c r="M156" i="1" s="1"/>
  <c r="L99" i="1"/>
  <c r="L127" i="1" s="1"/>
  <c r="L156" i="1" s="1"/>
  <c r="K99" i="1"/>
  <c r="K127" i="1" s="1"/>
  <c r="K156" i="1" s="1"/>
  <c r="J99" i="1"/>
  <c r="J127" i="1" s="1"/>
  <c r="J156" i="1" s="1"/>
  <c r="Q97" i="1"/>
  <c r="Q125" i="1" s="1"/>
  <c r="Q154" i="1" s="1"/>
  <c r="P97" i="1"/>
  <c r="P125" i="1" s="1"/>
  <c r="P154" i="1" s="1"/>
  <c r="O97" i="1"/>
  <c r="O125" i="1" s="1"/>
  <c r="R137" i="1" s="1"/>
  <c r="Q96" i="1"/>
  <c r="Q124" i="1" s="1"/>
  <c r="Q153" i="1" s="1"/>
  <c r="P96" i="1"/>
  <c r="P124" i="1" s="1"/>
  <c r="P153" i="1" s="1"/>
  <c r="O96" i="1"/>
  <c r="O124" i="1" s="1"/>
  <c r="O153" i="1" s="1"/>
  <c r="Q94" i="1"/>
  <c r="Q122" i="1" s="1"/>
  <c r="Q151" i="1" s="1"/>
  <c r="P94" i="1"/>
  <c r="P122" i="1" s="1"/>
  <c r="P151" i="1" s="1"/>
  <c r="O94" i="1"/>
  <c r="O122" i="1" s="1"/>
  <c r="O151" i="1" s="1"/>
  <c r="Q95" i="1"/>
  <c r="Q123" i="1" s="1"/>
  <c r="Q152" i="1" s="1"/>
  <c r="P95" i="1"/>
  <c r="P123" i="1" s="1"/>
  <c r="P152" i="1" s="1"/>
  <c r="O95" i="1"/>
  <c r="O123" i="1" s="1"/>
  <c r="O152" i="1" s="1"/>
  <c r="L163" i="1" l="1"/>
  <c r="J164" i="1"/>
  <c r="J172" i="1"/>
  <c r="R172" i="1" s="1"/>
  <c r="R42" i="2"/>
  <c r="R16" i="2"/>
  <c r="R120" i="2"/>
  <c r="I178" i="2"/>
  <c r="L178" i="2"/>
  <c r="M213" i="2"/>
  <c r="M242" i="2" s="1"/>
  <c r="R176" i="2"/>
  <c r="R186" i="2"/>
  <c r="L213" i="2"/>
  <c r="L242" i="2" s="1"/>
  <c r="R188" i="2"/>
  <c r="R185" i="2"/>
  <c r="R153" i="2"/>
  <c r="R236" i="2"/>
  <c r="R171" i="2"/>
  <c r="R175" i="2"/>
  <c r="R192" i="2"/>
  <c r="R197" i="2"/>
  <c r="R173" i="2"/>
  <c r="R184" i="2"/>
  <c r="I213" i="2"/>
  <c r="I222" i="2" s="1"/>
  <c r="J220" i="2"/>
  <c r="J222" i="2" s="1"/>
  <c r="R147" i="2"/>
  <c r="R183" i="2"/>
  <c r="J178" i="2"/>
  <c r="R182" i="2"/>
  <c r="K213" i="2"/>
  <c r="K222" i="2" s="1"/>
  <c r="R193" i="2"/>
  <c r="R141" i="2"/>
  <c r="K178" i="2"/>
  <c r="I210" i="2"/>
  <c r="I239" i="2" s="1"/>
  <c r="R194" i="2"/>
  <c r="R165" i="2"/>
  <c r="R135" i="2"/>
  <c r="R174" i="2"/>
  <c r="R159" i="2"/>
  <c r="L210" i="2"/>
  <c r="L253" i="2" s="1"/>
  <c r="K263" i="2"/>
  <c r="K249" i="2"/>
  <c r="I255" i="2"/>
  <c r="I241" i="2"/>
  <c r="R215" i="2"/>
  <c r="O258" i="2"/>
  <c r="O244" i="2"/>
  <c r="Q260" i="2"/>
  <c r="Q246" i="2"/>
  <c r="M262" i="2"/>
  <c r="M248" i="2"/>
  <c r="L264" i="2"/>
  <c r="L250" i="2"/>
  <c r="I254" i="2"/>
  <c r="I240" i="2"/>
  <c r="P258" i="2"/>
  <c r="P244" i="2"/>
  <c r="J261" i="2"/>
  <c r="R218" i="2"/>
  <c r="J247" i="2"/>
  <c r="L256" i="2"/>
  <c r="M256" i="2"/>
  <c r="K253" i="2"/>
  <c r="K239" i="2"/>
  <c r="L254" i="2"/>
  <c r="L240" i="2"/>
  <c r="M255" i="2"/>
  <c r="M241" i="2"/>
  <c r="N256" i="2"/>
  <c r="N242" i="2"/>
  <c r="M261" i="2"/>
  <c r="M247" i="2"/>
  <c r="M263" i="2"/>
  <c r="M249" i="2"/>
  <c r="Q222" i="2"/>
  <c r="Q258" i="2"/>
  <c r="Q244" i="2"/>
  <c r="L255" i="2"/>
  <c r="L241" i="2"/>
  <c r="M254" i="2"/>
  <c r="M240" i="2"/>
  <c r="N255" i="2"/>
  <c r="N241" i="2"/>
  <c r="O222" i="2"/>
  <c r="O257" i="2"/>
  <c r="O243" i="2"/>
  <c r="J262" i="2"/>
  <c r="J248" i="2"/>
  <c r="R219" i="2"/>
  <c r="K261" i="2"/>
  <c r="K247" i="2"/>
  <c r="L263" i="2"/>
  <c r="L249" i="2"/>
  <c r="M253" i="2"/>
  <c r="M239" i="2"/>
  <c r="M222" i="2"/>
  <c r="N254" i="2"/>
  <c r="N240" i="2"/>
  <c r="R217" i="2"/>
  <c r="O260" i="2"/>
  <c r="O246" i="2"/>
  <c r="K262" i="2"/>
  <c r="K248" i="2"/>
  <c r="J264" i="2"/>
  <c r="J250" i="2"/>
  <c r="R221" i="2"/>
  <c r="K255" i="2"/>
  <c r="K241" i="2"/>
  <c r="K254" i="2"/>
  <c r="K240" i="2"/>
  <c r="O259" i="2"/>
  <c r="O245" i="2"/>
  <c r="N253" i="2"/>
  <c r="N239" i="2"/>
  <c r="N222" i="2"/>
  <c r="I242" i="2"/>
  <c r="P260" i="2"/>
  <c r="P246" i="2"/>
  <c r="L262" i="2"/>
  <c r="L248" i="2"/>
  <c r="K264" i="2"/>
  <c r="K250" i="2"/>
  <c r="H178" i="2"/>
  <c r="R190" i="2"/>
  <c r="T193" i="2"/>
  <c r="H210" i="2"/>
  <c r="H211" i="2"/>
  <c r="H212" i="2"/>
  <c r="H213" i="2"/>
  <c r="J241" i="2"/>
  <c r="J263" i="2"/>
  <c r="P214" i="2"/>
  <c r="R214" i="2" s="1"/>
  <c r="P216" i="2"/>
  <c r="R216" i="2" s="1"/>
  <c r="J239" i="2"/>
  <c r="J253" i="2"/>
  <c r="R187" i="2"/>
  <c r="R189" i="2"/>
  <c r="J242" i="2"/>
  <c r="Q245" i="2"/>
  <c r="L247" i="2"/>
  <c r="R191" i="2"/>
  <c r="J240" i="2"/>
  <c r="Q243" i="2"/>
  <c r="Q257" i="2"/>
  <c r="M250" i="2"/>
  <c r="M163" i="1"/>
  <c r="Q165" i="1"/>
  <c r="Q173" i="1" s="1"/>
  <c r="O166" i="1"/>
  <c r="M171" i="1"/>
  <c r="K172" i="1"/>
  <c r="N162" i="1"/>
  <c r="H162" i="1"/>
  <c r="N163" i="1"/>
  <c r="P166" i="1"/>
  <c r="J169" i="1"/>
  <c r="L172" i="1"/>
  <c r="I162" i="1"/>
  <c r="Q166" i="1"/>
  <c r="O167" i="1"/>
  <c r="K169" i="1"/>
  <c r="M172" i="1"/>
  <c r="J162" i="1"/>
  <c r="H163" i="1"/>
  <c r="P167" i="1"/>
  <c r="L169" i="1"/>
  <c r="J170" i="1"/>
  <c r="K162" i="1"/>
  <c r="I163" i="1"/>
  <c r="Q167" i="1"/>
  <c r="O168" i="1"/>
  <c r="R168" i="1" s="1"/>
  <c r="M169" i="1"/>
  <c r="K170" i="1"/>
  <c r="L162" i="1"/>
  <c r="J163" i="1"/>
  <c r="P168" i="1"/>
  <c r="L170" i="1"/>
  <c r="J171" i="1"/>
  <c r="M162" i="1"/>
  <c r="K163" i="1"/>
  <c r="O165" i="1"/>
  <c r="Q168" i="1"/>
  <c r="M170" i="1"/>
  <c r="K171" i="1"/>
  <c r="R155" i="1"/>
  <c r="R152" i="1"/>
  <c r="R153" i="1"/>
  <c r="O154" i="1"/>
  <c r="R157" i="1"/>
  <c r="I121" i="1"/>
  <c r="R158" i="1"/>
  <c r="R148" i="1"/>
  <c r="R149" i="1"/>
  <c r="K118" i="1"/>
  <c r="M121" i="1"/>
  <c r="R144" i="1"/>
  <c r="L118" i="1"/>
  <c r="N118" i="1"/>
  <c r="H121" i="1"/>
  <c r="I118" i="1"/>
  <c r="I161" i="1" s="1"/>
  <c r="K121" i="1"/>
  <c r="R132" i="1"/>
  <c r="R141" i="1"/>
  <c r="R135" i="1"/>
  <c r="R140" i="1"/>
  <c r="R136" i="1"/>
  <c r="H118" i="1"/>
  <c r="H161" i="1" s="1"/>
  <c r="N121" i="1"/>
  <c r="N164" i="1" s="1"/>
  <c r="O130" i="1"/>
  <c r="J118" i="1"/>
  <c r="M118" i="1"/>
  <c r="P130" i="1"/>
  <c r="P159" i="1" s="1"/>
  <c r="R127" i="1"/>
  <c r="R124" i="1"/>
  <c r="R129" i="1"/>
  <c r="Q130" i="1"/>
  <c r="Q159" i="1" s="1"/>
  <c r="L121" i="1"/>
  <c r="R122" i="1"/>
  <c r="R125" i="1"/>
  <c r="R120" i="1"/>
  <c r="R119" i="1"/>
  <c r="R123" i="1"/>
  <c r="R126" i="1"/>
  <c r="R128" i="1"/>
  <c r="R105" i="1"/>
  <c r="R102" i="1"/>
  <c r="V28" i="1" s="1"/>
  <c r="W28" i="1" s="1"/>
  <c r="I253" i="2" l="1"/>
  <c r="P173" i="1"/>
  <c r="J249" i="2"/>
  <c r="R249" i="2" s="1"/>
  <c r="L222" i="2"/>
  <c r="R220" i="2"/>
  <c r="I256" i="2"/>
  <c r="L239" i="2"/>
  <c r="L251" i="2" s="1"/>
  <c r="R169" i="1"/>
  <c r="R170" i="1"/>
  <c r="R167" i="1"/>
  <c r="Q265" i="2"/>
  <c r="R178" i="2"/>
  <c r="I265" i="2"/>
  <c r="R264" i="2"/>
  <c r="R263" i="2"/>
  <c r="K242" i="2"/>
  <c r="K251" i="2" s="1"/>
  <c r="K256" i="2"/>
  <c r="K265" i="2" s="1"/>
  <c r="I251" i="2"/>
  <c r="R248" i="2"/>
  <c r="R246" i="2"/>
  <c r="R262" i="2"/>
  <c r="Q251" i="2"/>
  <c r="N251" i="2"/>
  <c r="R260" i="2"/>
  <c r="V41" i="2"/>
  <c r="W41" i="2" s="1"/>
  <c r="R244" i="2"/>
  <c r="R258" i="2"/>
  <c r="V120" i="2"/>
  <c r="W120" i="2" s="1"/>
  <c r="J265" i="2"/>
  <c r="R247" i="2"/>
  <c r="R250" i="2"/>
  <c r="O265" i="2"/>
  <c r="O251" i="2"/>
  <c r="R213" i="2"/>
  <c r="H256" i="2"/>
  <c r="H242" i="2"/>
  <c r="R212" i="2"/>
  <c r="H255" i="2"/>
  <c r="R255" i="2" s="1"/>
  <c r="H241" i="2"/>
  <c r="R241" i="2" s="1"/>
  <c r="R211" i="2"/>
  <c r="H254" i="2"/>
  <c r="R254" i="2" s="1"/>
  <c r="H240" i="2"/>
  <c r="R240" i="2" s="1"/>
  <c r="N265" i="2"/>
  <c r="M251" i="2"/>
  <c r="V5" i="2"/>
  <c r="W5" i="2" s="1"/>
  <c r="P245" i="2"/>
  <c r="R245" i="2" s="1"/>
  <c r="P259" i="2"/>
  <c r="R259" i="2" s="1"/>
  <c r="R210" i="2"/>
  <c r="H222" i="2"/>
  <c r="T221" i="2"/>
  <c r="H253" i="2"/>
  <c r="H239" i="2"/>
  <c r="M265" i="2"/>
  <c r="R261" i="2"/>
  <c r="L265" i="2"/>
  <c r="P222" i="2"/>
  <c r="P257" i="2"/>
  <c r="P243" i="2"/>
  <c r="M147" i="1"/>
  <c r="M161" i="1"/>
  <c r="K150" i="1"/>
  <c r="K164" i="1"/>
  <c r="H150" i="1"/>
  <c r="H164" i="1"/>
  <c r="R165" i="1"/>
  <c r="M150" i="1"/>
  <c r="M164" i="1"/>
  <c r="J147" i="1"/>
  <c r="J161" i="1"/>
  <c r="N147" i="1"/>
  <c r="N161" i="1"/>
  <c r="I150" i="1"/>
  <c r="I164" i="1"/>
  <c r="L147" i="1"/>
  <c r="L161" i="1"/>
  <c r="K147" i="1"/>
  <c r="K161" i="1"/>
  <c r="L150" i="1"/>
  <c r="L164" i="1"/>
  <c r="R166" i="1"/>
  <c r="O173" i="1"/>
  <c r="R154" i="1"/>
  <c r="I130" i="1"/>
  <c r="I147" i="1"/>
  <c r="N130" i="1"/>
  <c r="N150" i="1"/>
  <c r="H130" i="1"/>
  <c r="H147" i="1"/>
  <c r="R121" i="1"/>
  <c r="O159" i="1"/>
  <c r="R151" i="1"/>
  <c r="K130" i="1"/>
  <c r="T129" i="1"/>
  <c r="T143" i="1"/>
  <c r="J130" i="1"/>
  <c r="M130" i="1"/>
  <c r="R134" i="1"/>
  <c r="L130" i="1"/>
  <c r="R133" i="1"/>
  <c r="R118" i="1"/>
  <c r="J251" i="2" l="1"/>
  <c r="I173" i="1"/>
  <c r="R161" i="1"/>
  <c r="R242" i="2"/>
  <c r="R256" i="2"/>
  <c r="V67" i="2"/>
  <c r="W67" i="2" s="1"/>
  <c r="P251" i="2"/>
  <c r="R222" i="2"/>
  <c r="R243" i="2"/>
  <c r="H265" i="2"/>
  <c r="T264" i="2"/>
  <c r="R253" i="2"/>
  <c r="R239" i="2"/>
  <c r="H251" i="2"/>
  <c r="T250" i="2"/>
  <c r="R257" i="2"/>
  <c r="P265" i="2"/>
  <c r="R164" i="1"/>
  <c r="N173" i="1"/>
  <c r="I159" i="1"/>
  <c r="H159" i="1"/>
  <c r="R150" i="1"/>
  <c r="R162" i="1"/>
  <c r="R163" i="1"/>
  <c r="H173" i="1"/>
  <c r="N159" i="1"/>
  <c r="R147" i="1"/>
  <c r="R142" i="1"/>
  <c r="V80" i="2" l="1"/>
  <c r="W80" i="2" s="1"/>
  <c r="V93" i="2"/>
  <c r="W93" i="2" s="1"/>
  <c r="R251" i="2"/>
  <c r="V119" i="2" s="1"/>
  <c r="W119" i="2" s="1"/>
  <c r="R265" i="2"/>
  <c r="R100" i="1"/>
  <c r="R101" i="1"/>
  <c r="R99" i="1"/>
  <c r="R98" i="1"/>
  <c r="T101" i="1"/>
  <c r="R97" i="1"/>
  <c r="R96" i="1"/>
  <c r="R95" i="1"/>
  <c r="R94" i="1"/>
  <c r="R91" i="1"/>
  <c r="R90" i="1"/>
  <c r="T87" i="1" l="1"/>
  <c r="O86" i="1"/>
  <c r="N86" i="1"/>
  <c r="O79" i="1"/>
  <c r="N79" i="1"/>
  <c r="O73" i="1"/>
  <c r="N73" i="1"/>
  <c r="O67" i="1"/>
  <c r="N67" i="1"/>
  <c r="O61" i="1"/>
  <c r="N61" i="1"/>
  <c r="O55" i="1"/>
  <c r="N55" i="1"/>
  <c r="O49" i="1"/>
  <c r="N49" i="1"/>
  <c r="O43" i="1"/>
  <c r="N43" i="1"/>
  <c r="K159" i="1" l="1"/>
  <c r="K173" i="1" s="1"/>
  <c r="L159" i="1"/>
  <c r="L173" i="1" s="1"/>
  <c r="R93" i="1"/>
  <c r="R92" i="1"/>
  <c r="V5" i="1" l="1"/>
  <c r="V27" i="1"/>
  <c r="W27" i="1"/>
  <c r="W5" i="1"/>
  <c r="M159" i="1"/>
  <c r="M173" i="1" s="1"/>
  <c r="R156" i="1" l="1"/>
  <c r="T158" i="1"/>
  <c r="J159" i="1"/>
  <c r="R13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H84" i="1"/>
  <c r="H83" i="1"/>
  <c r="H82" i="1"/>
  <c r="H81" i="1"/>
  <c r="Q79" i="1"/>
  <c r="P79" i="1"/>
  <c r="M79" i="1"/>
  <c r="L79" i="1"/>
  <c r="K79" i="1"/>
  <c r="J79" i="1"/>
  <c r="I79" i="1"/>
  <c r="H79" i="1"/>
  <c r="R77" i="1"/>
  <c r="R76" i="1"/>
  <c r="R75" i="1"/>
  <c r="R74" i="1"/>
  <c r="R159" i="1" l="1"/>
  <c r="R79" i="1"/>
  <c r="Q73" i="1"/>
  <c r="P73" i="1"/>
  <c r="M73" i="1"/>
  <c r="L73" i="1"/>
  <c r="K73" i="1"/>
  <c r="J73" i="1"/>
  <c r="I73" i="1"/>
  <c r="H73" i="1"/>
  <c r="R71" i="1"/>
  <c r="R70" i="1"/>
  <c r="R69" i="1"/>
  <c r="R68" i="1"/>
  <c r="R171" i="1" l="1"/>
  <c r="J173" i="1"/>
  <c r="R173" i="1" s="1"/>
  <c r="T172" i="1"/>
  <c r="R73" i="1"/>
  <c r="R81" i="1"/>
  <c r="R84" i="1"/>
  <c r="R83" i="1"/>
  <c r="R82" i="1"/>
  <c r="J86" i="1"/>
  <c r="Q86" i="1"/>
  <c r="P86" i="1"/>
  <c r="M86" i="1"/>
  <c r="L86" i="1"/>
  <c r="K86" i="1"/>
  <c r="I86" i="1"/>
  <c r="H86" i="1" l="1"/>
  <c r="R86" i="1"/>
  <c r="Q67" i="1" l="1"/>
  <c r="P67" i="1"/>
  <c r="M67" i="1"/>
  <c r="L67" i="1"/>
  <c r="K67" i="1"/>
  <c r="J67" i="1"/>
  <c r="I67" i="1"/>
  <c r="H67" i="1"/>
  <c r="R65" i="1"/>
  <c r="R64" i="1"/>
  <c r="R63" i="1"/>
  <c r="R62" i="1"/>
  <c r="Q61" i="1"/>
  <c r="P61" i="1"/>
  <c r="M61" i="1"/>
  <c r="L61" i="1"/>
  <c r="K61" i="1"/>
  <c r="J61" i="1"/>
  <c r="I61" i="1"/>
  <c r="H61" i="1"/>
  <c r="R59" i="1"/>
  <c r="R58" i="1"/>
  <c r="R57" i="1"/>
  <c r="R56" i="1"/>
  <c r="Q55" i="1"/>
  <c r="P55" i="1"/>
  <c r="M55" i="1"/>
  <c r="L55" i="1"/>
  <c r="K55" i="1"/>
  <c r="J55" i="1"/>
  <c r="I55" i="1"/>
  <c r="H55" i="1"/>
  <c r="R53" i="1"/>
  <c r="R52" i="1"/>
  <c r="R51" i="1"/>
  <c r="R50" i="1"/>
  <c r="Q49" i="1"/>
  <c r="P49" i="1"/>
  <c r="M49" i="1"/>
  <c r="L49" i="1"/>
  <c r="K49" i="1"/>
  <c r="J49" i="1"/>
  <c r="I49" i="1"/>
  <c r="H49" i="1"/>
  <c r="R47" i="1"/>
  <c r="R46" i="1"/>
  <c r="R45" i="1"/>
  <c r="R44" i="1"/>
  <c r="Q43" i="1"/>
  <c r="P43" i="1"/>
  <c r="M43" i="1"/>
  <c r="L43" i="1"/>
  <c r="K43" i="1"/>
  <c r="J43" i="1"/>
  <c r="I43" i="1"/>
  <c r="H43" i="1"/>
  <c r="R41" i="1"/>
  <c r="R40" i="1"/>
  <c r="R39" i="1"/>
  <c r="R38" i="1"/>
  <c r="R67" i="1" l="1"/>
  <c r="R61" i="1"/>
  <c r="R55" i="1"/>
  <c r="R49" i="1"/>
  <c r="R43" i="1"/>
</calcChain>
</file>

<file path=xl/sharedStrings.xml><?xml version="1.0" encoding="utf-8"?>
<sst xmlns="http://schemas.openxmlformats.org/spreadsheetml/2006/main" count="596" uniqueCount="72">
  <si>
    <t>STYLE NO.</t>
    <phoneticPr fontId="2" type="noConversion"/>
  </si>
  <si>
    <t>SHELL</t>
    <phoneticPr fontId="4" type="noConversion"/>
  </si>
  <si>
    <t>PO#</t>
    <phoneticPr fontId="2" type="noConversion"/>
  </si>
  <si>
    <t>X-FTY</t>
    <phoneticPr fontId="2" type="noConversion"/>
  </si>
  <si>
    <t>S</t>
    <phoneticPr fontId="4" type="noConversion"/>
  </si>
  <si>
    <t>M</t>
    <phoneticPr fontId="4" type="noConversion"/>
  </si>
  <si>
    <t>L</t>
    <phoneticPr fontId="2" type="noConversion"/>
  </si>
  <si>
    <t>XL</t>
    <phoneticPr fontId="2" type="noConversion"/>
  </si>
  <si>
    <t>XXL</t>
    <phoneticPr fontId="2" type="noConversion"/>
  </si>
  <si>
    <t>TTL</t>
    <phoneticPr fontId="2" type="noConversion"/>
  </si>
  <si>
    <t>VSSL</t>
    <phoneticPr fontId="2" type="noConversion"/>
  </si>
  <si>
    <t>DESTINATION</t>
    <phoneticPr fontId="2" type="noConversion"/>
  </si>
  <si>
    <t>US</t>
    <phoneticPr fontId="2" type="noConversion"/>
  </si>
  <si>
    <t>DESIGN # AND SKETCH</t>
    <phoneticPr fontId="2" type="noConversion"/>
  </si>
  <si>
    <t>COMMIT#</t>
    <phoneticPr fontId="2" type="noConversion"/>
  </si>
  <si>
    <t>Type</t>
    <phoneticPr fontId="2" type="noConversion"/>
  </si>
  <si>
    <t>ARTIC GRAY</t>
    <phoneticPr fontId="2" type="noConversion"/>
  </si>
  <si>
    <t>TAN PEBBLE</t>
    <phoneticPr fontId="2" type="noConversion"/>
  </si>
  <si>
    <t>2XLT</t>
    <phoneticPr fontId="2" type="noConversion"/>
  </si>
  <si>
    <t>3XLT</t>
    <phoneticPr fontId="2" type="noConversion"/>
  </si>
  <si>
    <t>4XLT</t>
    <phoneticPr fontId="2" type="noConversion"/>
  </si>
  <si>
    <t>DEEP SEA NAVY</t>
    <phoneticPr fontId="2" type="noConversion"/>
  </si>
  <si>
    <t>BLACK</t>
    <phoneticPr fontId="2" type="noConversion"/>
  </si>
  <si>
    <t>EU</t>
    <phoneticPr fontId="2" type="noConversion"/>
  </si>
  <si>
    <t xml:space="preserve"> =&gt;</t>
    <phoneticPr fontId="2" type="noConversion"/>
  </si>
  <si>
    <t>Carton Size</t>
  </si>
  <si>
    <t>Blister with gusset</t>
  </si>
  <si>
    <t>23x17x11”</t>
  </si>
  <si>
    <t>23x17x31”</t>
    <phoneticPr fontId="2" type="noConversion"/>
  </si>
  <si>
    <t>23x17x5”</t>
  </si>
  <si>
    <t>23x17x25”</t>
    <phoneticPr fontId="2" type="noConversion"/>
  </si>
  <si>
    <t>17x12x5” </t>
  </si>
  <si>
    <t>17x11x20”</t>
    <phoneticPr fontId="2" type="noConversion"/>
  </si>
  <si>
    <t>Regular - KOHL'S</t>
    <phoneticPr fontId="2" type="noConversion"/>
  </si>
  <si>
    <t>TOTAL - KOHL'S ONLY</t>
    <phoneticPr fontId="2" type="noConversion"/>
  </si>
  <si>
    <t>NET COLOR COMMIT - EDWARD</t>
    <phoneticPr fontId="2" type="noConversion"/>
  </si>
  <si>
    <t>3. POLYBAG STICKER 5% 로스 - 하단 차트 참조</t>
    <phoneticPr fontId="2" type="noConversion"/>
  </si>
  <si>
    <t>SKU-BC LABEL - BASED ON STYLE# - 5% LOSS (NO KOHLS ORDER)</t>
    <phoneticPr fontId="2" type="noConversion"/>
  </si>
  <si>
    <t>5. C/O LABEL - 3% loss</t>
    <phoneticPr fontId="2" type="noConversion"/>
  </si>
  <si>
    <t>SP22</t>
    <phoneticPr fontId="2" type="noConversion"/>
  </si>
  <si>
    <t>XXS</t>
    <phoneticPr fontId="4" type="noConversion"/>
  </si>
  <si>
    <t>M</t>
    <phoneticPr fontId="2" type="noConversion"/>
  </si>
  <si>
    <t>XS</t>
    <phoneticPr fontId="4" type="noConversion"/>
  </si>
  <si>
    <t>S</t>
    <phoneticPr fontId="2" type="noConversion"/>
  </si>
  <si>
    <t xml:space="preserve"> CHECK LIST</t>
    <phoneticPr fontId="2" type="noConversion"/>
  </si>
  <si>
    <t>BALANCE BETWEEN CHECK LIST AND EDWARD</t>
    <phoneticPr fontId="2" type="noConversion"/>
  </si>
  <si>
    <t>TOTAL</t>
    <phoneticPr fontId="15" type="noConversion"/>
  </si>
  <si>
    <t>1. POLYBAG - PB 08LEB 10"W x 12"L - outside flap - 4 1/2 (NO KOHLS ORDER)</t>
    <phoneticPr fontId="2" type="noConversion"/>
  </si>
  <si>
    <t>PB 08LEB</t>
  </si>
  <si>
    <t xml:space="preserve">US </t>
    <phoneticPr fontId="2" type="noConversion"/>
  </si>
  <si>
    <t>B SOLID swim trunk</t>
    <phoneticPr fontId="2" type="noConversion"/>
  </si>
  <si>
    <t>Deep Sea Navy (HME)</t>
  </si>
  <si>
    <t>Electric blue -Nylon (EBL)</t>
  </si>
  <si>
    <t>Electric Yellow-Neon (I2V)</t>
  </si>
  <si>
    <t>Green Gecko-Neon Nylon (I2W)</t>
  </si>
  <si>
    <t>Regular 522213</t>
    <phoneticPr fontId="2" type="noConversion"/>
  </si>
  <si>
    <t>HUSKY 522196</t>
    <phoneticPr fontId="2" type="noConversion"/>
  </si>
  <si>
    <t>SLIM 522204</t>
    <phoneticPr fontId="2" type="noConversion"/>
  </si>
  <si>
    <t>EU Regular 522213</t>
    <phoneticPr fontId="2" type="noConversion"/>
  </si>
  <si>
    <t>AMAZON Regular 522213</t>
    <phoneticPr fontId="2" type="noConversion"/>
  </si>
  <si>
    <t>AMAZON HUSKY 522196</t>
    <phoneticPr fontId="2" type="noConversion"/>
  </si>
  <si>
    <t>AMAZON SLIM 522204</t>
    <phoneticPr fontId="2" type="noConversion"/>
  </si>
  <si>
    <t>Regular TOTAL</t>
    <phoneticPr fontId="2" type="noConversion"/>
  </si>
  <si>
    <t>HUSKY TOTAL</t>
    <phoneticPr fontId="2" type="noConversion"/>
  </si>
  <si>
    <t>SLIM TOTAL</t>
    <phoneticPr fontId="2" type="noConversion"/>
  </si>
  <si>
    <t>2. prepack  -  NO PREPACK</t>
    <phoneticPr fontId="2" type="noConversion"/>
  </si>
  <si>
    <t>3. RETAIL  ORDER 5% 로스 - NO RETAIL ORDER</t>
    <phoneticPr fontId="2" type="noConversion"/>
  </si>
  <si>
    <t>HUSKY</t>
    <phoneticPr fontId="2" type="noConversion"/>
  </si>
  <si>
    <t>SLIM</t>
    <phoneticPr fontId="2" type="noConversion"/>
  </si>
  <si>
    <t>REGULAR</t>
    <phoneticPr fontId="2" type="noConversion"/>
  </si>
  <si>
    <t>GRAND TOTAL</t>
    <phoneticPr fontId="2" type="noConversion"/>
  </si>
  <si>
    <t>earlyship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</si>
</sst>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_);[Red]\(0\)"/>
    <numFmt numFmtId="177" formatCode="#,##0_);[Red]\(#,##0\)"/>
    <numFmt numFmtId="178" formatCode="m&quot;/&quot;d;@"/>
    <numFmt numFmtId="179" formatCode="\$#,##0.00"/>
    <numFmt numFmtId="180" formatCode="_ * #,##0_ ;_ * \-#,##0_ ;_ * &quot;-&quot;_ ;_ @_ "/>
    <numFmt numFmtId="181" formatCode="_ * #,##0.00_ ;_ * \-#,##0.00_ ;_ * &quot;-&quot;??_ ;_ @_ "/>
  </numFmts>
  <fonts count="24" x14ac:knownFonts="1">
    <font>
      <sz val="11"/>
      <name val="돋움"/>
      <family val="3"/>
      <charset val="129"/>
    </font>
    <font>
      <sz val="8"/>
      <name val="Arial"/>
      <family val="2"/>
    </font>
    <font>
      <sz val="8"/>
      <name val="돋움"/>
      <family val="3"/>
      <charset val="129"/>
    </font>
    <font>
      <b/>
      <sz val="8"/>
      <color rgb="FFFF0000"/>
      <name val="Arial"/>
      <family val="2"/>
    </font>
    <font>
      <sz val="8"/>
      <name val="바탕"/>
      <family val="1"/>
      <charset val="129"/>
    </font>
    <font>
      <sz val="8"/>
      <color rgb="FFFF0000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11"/>
      <color rgb="FFFFFF00"/>
      <name val="돋움"/>
      <family val="3"/>
      <charset val="129"/>
    </font>
    <font>
      <sz val="8"/>
      <color theme="1"/>
      <name val="Arial"/>
      <family val="2"/>
    </font>
    <font>
      <sz val="11"/>
      <name val="돋움"/>
      <family val="3"/>
      <charset val="129"/>
    </font>
    <font>
      <sz val="11"/>
      <name val="맑은 고딕"/>
      <family val="3"/>
      <charset val="129"/>
    </font>
    <font>
      <sz val="11"/>
      <color rgb="FFFF0000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0"/>
      <name val="맑은 고딕"/>
      <family val="3"/>
      <charset val="129"/>
    </font>
    <font>
      <sz val="8"/>
      <name val="바탕체"/>
      <family val="1"/>
      <charset val="129"/>
    </font>
    <font>
      <sz val="10"/>
      <color rgb="FFFF0000"/>
      <name val="맑은 고딕"/>
      <family val="3"/>
      <charset val="129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돋움"/>
      <family val="3"/>
      <charset val="129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top"/>
    </xf>
    <xf numFmtId="0" fontId="10" fillId="0" borderId="0"/>
    <xf numFmtId="41" fontId="10" fillId="0" borderId="0" applyFont="0" applyFill="0" applyBorder="0" applyAlignment="0" applyProtection="0">
      <alignment vertical="center"/>
    </xf>
    <xf numFmtId="0" fontId="22" fillId="0" borderId="0"/>
    <xf numFmtId="9" fontId="22" fillId="0" borderId="0" applyFont="0" applyFill="0" applyBorder="0" applyAlignment="0" applyProtection="0"/>
    <xf numFmtId="180" fontId="22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180" fontId="22" fillId="0" borderId="0" applyFont="0" applyFill="0" applyBorder="0" applyAlignment="0" applyProtection="0"/>
    <xf numFmtId="181" fontId="22" fillId="0" borderId="0" applyFont="0" applyFill="0" applyBorder="0" applyAlignment="0" applyProtection="0"/>
  </cellStyleXfs>
  <cellXfs count="201">
    <xf numFmtId="0" fontId="0" fillId="0" borderId="0" xfId="0">
      <alignment vertical="top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176" fontId="1" fillId="3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9" fontId="9" fillId="2" borderId="1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79" fontId="1" fillId="2" borderId="2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177" fontId="13" fillId="2" borderId="0" xfId="0" applyNumberFormat="1" applyFont="1" applyFill="1" applyAlignment="1">
      <alignment vertical="center"/>
    </xf>
    <xf numFmtId="9" fontId="16" fillId="0" borderId="0" xfId="1" applyNumberFormat="1" applyFont="1" applyAlignment="1">
      <alignment horizontal="left" vertical="center"/>
    </xf>
    <xf numFmtId="0" fontId="0" fillId="5" borderId="0" xfId="0" applyFill="1" applyAlignment="1">
      <alignment vertical="center"/>
    </xf>
    <xf numFmtId="177" fontId="0" fillId="2" borderId="0" xfId="0" applyNumberFormat="1" applyFill="1" applyAlignment="1">
      <alignment vertical="center"/>
    </xf>
    <xf numFmtId="0" fontId="17" fillId="6" borderId="7" xfId="0" applyFont="1" applyFill="1" applyBorder="1" applyAlignment="1">
      <alignment horizontal="center" vertical="center"/>
    </xf>
    <xf numFmtId="0" fontId="18" fillId="6" borderId="8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1" fontId="19" fillId="3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 wrapText="1"/>
    </xf>
    <xf numFmtId="177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79" fontId="1" fillId="4" borderId="1" xfId="0" applyNumberFormat="1" applyFont="1" applyFill="1" applyBorder="1" applyAlignment="1">
      <alignment horizontal="left" vertical="center"/>
    </xf>
    <xf numFmtId="178" fontId="7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 wrapText="1"/>
    </xf>
    <xf numFmtId="177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179" fontId="1" fillId="7" borderId="1" xfId="0" applyNumberFormat="1" applyFont="1" applyFill="1" applyBorder="1" applyAlignment="1">
      <alignment horizontal="left" vertical="center"/>
    </xf>
    <xf numFmtId="178" fontId="7" fillId="7" borderId="1" xfId="0" applyNumberFormat="1" applyFont="1" applyFill="1" applyBorder="1" applyAlignment="1">
      <alignment horizontal="center" vertical="center"/>
    </xf>
    <xf numFmtId="176" fontId="1" fillId="7" borderId="1" xfId="0" applyNumberFormat="1" applyFont="1" applyFill="1" applyBorder="1" applyAlignment="1">
      <alignment horizontal="center" vertical="center"/>
    </xf>
    <xf numFmtId="41" fontId="14" fillId="0" borderId="0" xfId="2" applyFont="1" applyFill="1" applyBorder="1" applyAlignment="1">
      <alignment vertical="center"/>
    </xf>
    <xf numFmtId="0" fontId="20" fillId="4" borderId="2" xfId="0" applyFont="1" applyFill="1" applyBorder="1" applyAlignment="1">
      <alignment horizontal="center" vertical="center"/>
    </xf>
    <xf numFmtId="176" fontId="20" fillId="4" borderId="2" xfId="0" applyNumberFormat="1" applyFont="1" applyFill="1" applyBorder="1" applyAlignment="1">
      <alignment horizontal="center" vertical="center"/>
    </xf>
    <xf numFmtId="177" fontId="20" fillId="4" borderId="2" xfId="0" applyNumberFormat="1" applyFont="1" applyFill="1" applyBorder="1" applyAlignment="1">
      <alignment horizontal="center" vertical="center"/>
    </xf>
    <xf numFmtId="177" fontId="20" fillId="2" borderId="1" xfId="0" applyNumberFormat="1" applyFont="1" applyFill="1" applyBorder="1" applyAlignment="1">
      <alignment horizontal="center" vertical="center"/>
    </xf>
    <xf numFmtId="177" fontId="20" fillId="2" borderId="5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78" fontId="20" fillId="2" borderId="1" xfId="0" applyNumberFormat="1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178" fontId="20" fillId="2" borderId="2" xfId="0" applyNumberFormat="1" applyFont="1" applyFill="1" applyBorder="1" applyAlignment="1">
      <alignment horizontal="center" vertical="center"/>
    </xf>
    <xf numFmtId="177" fontId="20" fillId="2" borderId="2" xfId="0" applyNumberFormat="1" applyFont="1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178" fontId="20" fillId="2" borderId="4" xfId="0" applyNumberFormat="1" applyFont="1" applyFill="1" applyBorder="1" applyAlignment="1">
      <alignment horizontal="center" vertical="center"/>
    </xf>
    <xf numFmtId="177" fontId="20" fillId="2" borderId="4" xfId="0" applyNumberFormat="1" applyFont="1" applyFill="1" applyBorder="1" applyAlignment="1">
      <alignment horizontal="center" vertical="center"/>
    </xf>
    <xf numFmtId="178" fontId="20" fillId="2" borderId="5" xfId="0" applyNumberFormat="1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178" fontId="20" fillId="2" borderId="6" xfId="0" applyNumberFormat="1" applyFont="1" applyFill="1" applyBorder="1" applyAlignment="1">
      <alignment horizontal="center" vertical="center"/>
    </xf>
    <xf numFmtId="177" fontId="20" fillId="2" borderId="6" xfId="0" applyNumberFormat="1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179" fontId="20" fillId="0" borderId="2" xfId="0" applyNumberFormat="1" applyFont="1" applyFill="1" applyBorder="1" applyAlignment="1">
      <alignment horizontal="center" vertical="center"/>
    </xf>
    <xf numFmtId="178" fontId="20" fillId="0" borderId="2" xfId="0" applyNumberFormat="1" applyFont="1" applyFill="1" applyBorder="1" applyAlignment="1">
      <alignment horizontal="center" vertical="center"/>
    </xf>
    <xf numFmtId="177" fontId="20" fillId="0" borderId="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/>
    </xf>
    <xf numFmtId="1" fontId="0" fillId="3" borderId="0" xfId="0" applyNumberFormat="1" applyFill="1" applyAlignment="1">
      <alignment vertic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178" fontId="20" fillId="0" borderId="3" xfId="0" applyNumberFormat="1" applyFont="1" applyFill="1" applyBorder="1" applyAlignment="1">
      <alignment horizontal="center" vertical="center"/>
    </xf>
    <xf numFmtId="177" fontId="20" fillId="0" borderId="3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0" fontId="23" fillId="0" borderId="1" xfId="1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78" fontId="20" fillId="3" borderId="5" xfId="0" applyNumberFormat="1" applyFont="1" applyFill="1" applyBorder="1" applyAlignment="1">
      <alignment horizontal="center" vertical="center"/>
    </xf>
    <xf numFmtId="177" fontId="20" fillId="3" borderId="5" xfId="0" applyNumberFormat="1" applyFont="1" applyFill="1" applyBorder="1" applyAlignment="1">
      <alignment horizontal="center" vertical="center"/>
    </xf>
    <xf numFmtId="17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3" fillId="3" borderId="1" xfId="1" applyFont="1" applyFill="1" applyBorder="1" applyAlignment="1">
      <alignment horizontal="center" vertical="center"/>
    </xf>
    <xf numFmtId="178" fontId="20" fillId="3" borderId="1" xfId="0" applyNumberFormat="1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178" fontId="20" fillId="3" borderId="6" xfId="0" applyNumberFormat="1" applyFont="1" applyFill="1" applyBorder="1" applyAlignment="1">
      <alignment horizontal="center" vertical="center"/>
    </xf>
    <xf numFmtId="177" fontId="20" fillId="3" borderId="6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178" fontId="20" fillId="3" borderId="4" xfId="0" applyNumberFormat="1" applyFont="1" applyFill="1" applyBorder="1" applyAlignment="1">
      <alignment horizontal="center" vertical="center"/>
    </xf>
    <xf numFmtId="177" fontId="20" fillId="3" borderId="4" xfId="0" applyNumberFormat="1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vertical="center"/>
    </xf>
    <xf numFmtId="0" fontId="20" fillId="3" borderId="14" xfId="0" applyFont="1" applyFill="1" applyBorder="1" applyAlignment="1">
      <alignment horizontal="center" vertical="center"/>
    </xf>
    <xf numFmtId="0" fontId="20" fillId="3" borderId="14" xfId="1" applyFont="1" applyFill="1" applyBorder="1" applyAlignment="1">
      <alignment horizontal="center" vertical="center"/>
    </xf>
    <xf numFmtId="178" fontId="20" fillId="3" borderId="14" xfId="0" applyNumberFormat="1" applyFont="1" applyFill="1" applyBorder="1" applyAlignment="1">
      <alignment horizontal="center" vertical="center"/>
    </xf>
    <xf numFmtId="177" fontId="20" fillId="3" borderId="14" xfId="0" applyNumberFormat="1" applyFont="1" applyFill="1" applyBorder="1" applyAlignment="1">
      <alignment horizontal="center" vertical="center"/>
    </xf>
    <xf numFmtId="0" fontId="23" fillId="0" borderId="6" xfId="1" applyFont="1" applyFill="1" applyBorder="1" applyAlignment="1">
      <alignment horizontal="center" vertical="center"/>
    </xf>
    <xf numFmtId="0" fontId="23" fillId="3" borderId="6" xfId="1" applyFont="1" applyFill="1" applyBorder="1" applyAlignment="1">
      <alignment horizontal="center" vertical="center"/>
    </xf>
    <xf numFmtId="178" fontId="20" fillId="0" borderId="5" xfId="0" applyNumberFormat="1" applyFont="1" applyFill="1" applyBorder="1" applyAlignment="1">
      <alignment horizontal="center" vertical="center"/>
    </xf>
    <xf numFmtId="177" fontId="20" fillId="0" borderId="5" xfId="0" applyNumberFormat="1" applyFont="1" applyFill="1" applyBorder="1" applyAlignment="1">
      <alignment horizontal="center" vertical="center"/>
    </xf>
    <xf numFmtId="178" fontId="20" fillId="0" borderId="6" xfId="0" applyNumberFormat="1" applyFont="1" applyFill="1" applyBorder="1" applyAlignment="1">
      <alignment horizontal="center" vertical="center"/>
    </xf>
    <xf numFmtId="177" fontId="20" fillId="0" borderId="6" xfId="0" applyNumberFormat="1" applyFont="1" applyFill="1" applyBorder="1" applyAlignment="1">
      <alignment horizontal="center" vertical="center"/>
    </xf>
    <xf numFmtId="178" fontId="20" fillId="0" borderId="4" xfId="0" applyNumberFormat="1" applyFont="1" applyFill="1" applyBorder="1" applyAlignment="1">
      <alignment horizontal="center" vertical="center"/>
    </xf>
    <xf numFmtId="177" fontId="20" fillId="0" borderId="4" xfId="0" applyNumberFormat="1" applyFont="1" applyFill="1" applyBorder="1" applyAlignment="1">
      <alignment horizontal="center" vertical="center"/>
    </xf>
    <xf numFmtId="178" fontId="20" fillId="0" borderId="1" xfId="0" applyNumberFormat="1" applyFont="1" applyFill="1" applyBorder="1" applyAlignment="1">
      <alignment horizontal="center" vertical="center"/>
    </xf>
    <xf numFmtId="177" fontId="20" fillId="0" borderId="1" xfId="0" applyNumberFormat="1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4" xfId="1" applyFont="1" applyFill="1" applyBorder="1" applyAlignment="1">
      <alignment horizontal="center" vertical="center"/>
    </xf>
    <xf numFmtId="178" fontId="20" fillId="0" borderId="14" xfId="0" applyNumberFormat="1" applyFont="1" applyFill="1" applyBorder="1" applyAlignment="1">
      <alignment horizontal="center" vertical="center"/>
    </xf>
    <xf numFmtId="177" fontId="20" fillId="0" borderId="14" xfId="0" applyNumberFormat="1" applyFont="1" applyFill="1" applyBorder="1" applyAlignment="1">
      <alignment horizontal="center" vertical="center"/>
    </xf>
    <xf numFmtId="0" fontId="23" fillId="0" borderId="4" xfId="1" applyFont="1" applyFill="1" applyBorder="1" applyAlignment="1">
      <alignment horizontal="center" vertical="center"/>
    </xf>
    <xf numFmtId="0" fontId="23" fillId="0" borderId="5" xfId="1" applyFont="1" applyFill="1" applyBorder="1" applyAlignment="1">
      <alignment horizontal="center" vertical="center"/>
    </xf>
    <xf numFmtId="180" fontId="23" fillId="0" borderId="5" xfId="5" applyFont="1" applyFill="1" applyBorder="1" applyAlignment="1">
      <alignment horizontal="center" vertical="center"/>
    </xf>
    <xf numFmtId="180" fontId="23" fillId="0" borderId="6" xfId="5" applyFont="1" applyFill="1" applyBorder="1" applyAlignment="1">
      <alignment horizontal="center" vertical="center"/>
    </xf>
    <xf numFmtId="180" fontId="23" fillId="0" borderId="4" xfId="5" applyFont="1" applyFill="1" applyBorder="1" applyAlignment="1">
      <alignment horizontal="center" vertical="center"/>
    </xf>
    <xf numFmtId="180" fontId="23" fillId="0" borderId="1" xfId="5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23" fillId="0" borderId="2" xfId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2" xfId="1" applyFont="1" applyFill="1" applyBorder="1" applyAlignment="1">
      <alignment horizontal="center" vertical="center"/>
    </xf>
    <xf numFmtId="178" fontId="20" fillId="0" borderId="12" xfId="0" applyNumberFormat="1" applyFont="1" applyFill="1" applyBorder="1" applyAlignment="1">
      <alignment horizontal="center" vertical="center"/>
    </xf>
    <xf numFmtId="177" fontId="20" fillId="0" borderId="12" xfId="0" applyNumberFormat="1" applyFont="1" applyFill="1" applyBorder="1" applyAlignment="1">
      <alignment horizontal="center" vertical="center"/>
    </xf>
    <xf numFmtId="177" fontId="20" fillId="0" borderId="13" xfId="0" applyNumberFormat="1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20" fillId="3" borderId="2" xfId="0" applyFont="1" applyFill="1" applyBorder="1" applyAlignment="1">
      <alignment horizontal="center" vertical="center"/>
    </xf>
    <xf numFmtId="178" fontId="20" fillId="3" borderId="2" xfId="0" applyNumberFormat="1" applyFont="1" applyFill="1" applyBorder="1" applyAlignment="1">
      <alignment horizontal="center" vertical="center"/>
    </xf>
    <xf numFmtId="177" fontId="20" fillId="3" borderId="2" xfId="0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23" fillId="0" borderId="5" xfId="1" applyFont="1" applyBorder="1" applyAlignment="1">
      <alignment horizontal="center" vertical="center"/>
    </xf>
    <xf numFmtId="0" fontId="23" fillId="0" borderId="2" xfId="1" applyFont="1" applyFill="1" applyBorder="1" applyAlignment="1">
      <alignment horizontal="center" vertical="center" wrapText="1"/>
    </xf>
    <xf numFmtId="0" fontId="23" fillId="0" borderId="1" xfId="1" applyFont="1" applyFill="1" applyBorder="1" applyAlignment="1">
      <alignment horizontal="center" vertical="center" wrapText="1"/>
    </xf>
    <xf numFmtId="0" fontId="23" fillId="0" borderId="4" xfId="1" applyFont="1" applyBorder="1" applyAlignment="1">
      <alignment horizontal="center" vertical="center"/>
    </xf>
    <xf numFmtId="0" fontId="23" fillId="3" borderId="5" xfId="1" applyFont="1" applyFill="1" applyBorder="1" applyAlignment="1">
      <alignment horizontal="center" vertical="center"/>
    </xf>
    <xf numFmtId="0" fontId="23" fillId="3" borderId="2" xfId="1" applyFont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3" fillId="3" borderId="4" xfId="1" applyFont="1" applyFill="1" applyBorder="1" applyAlignment="1">
      <alignment horizontal="center" vertical="center"/>
    </xf>
    <xf numFmtId="177" fontId="20" fillId="3" borderId="13" xfId="0" applyNumberFormat="1" applyFont="1" applyFill="1" applyBorder="1" applyAlignment="1">
      <alignment horizontal="center" vertical="center"/>
    </xf>
    <xf numFmtId="177" fontId="20" fillId="3" borderId="12" xfId="0" applyNumberFormat="1" applyFont="1" applyFill="1" applyBorder="1" applyAlignment="1">
      <alignment horizontal="center" vertical="center"/>
    </xf>
    <xf numFmtId="0" fontId="20" fillId="0" borderId="4" xfId="1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0" fillId="0" borderId="12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178" fontId="7" fillId="2" borderId="3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23" fillId="0" borderId="3" xfId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178" fontId="7" fillId="3" borderId="3" xfId="0" applyNumberFormat="1" applyFont="1" applyFill="1" applyBorder="1" applyAlignment="1">
      <alignment vertical="center"/>
    </xf>
    <xf numFmtId="0" fontId="23" fillId="8" borderId="3" xfId="1" applyFont="1" applyFill="1" applyBorder="1" applyAlignment="1">
      <alignment horizontal="center" vertical="center"/>
    </xf>
    <xf numFmtId="178" fontId="7" fillId="8" borderId="3" xfId="0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178" fontId="7" fillId="4" borderId="3" xfId="0" applyNumberFormat="1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 wrapText="1"/>
    </xf>
    <xf numFmtId="0" fontId="20" fillId="0" borderId="3" xfId="0" applyFont="1" applyFill="1" applyBorder="1" applyAlignment="1">
      <alignment horizontal="center" vertical="center" wrapText="1"/>
    </xf>
    <xf numFmtId="0" fontId="20" fillId="0" borderId="14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7" fillId="2" borderId="2" xfId="0" applyNumberFormat="1" applyFont="1" applyFill="1" applyBorder="1" applyAlignment="1">
      <alignment horizontal="center" vertical="center"/>
    </xf>
    <xf numFmtId="178" fontId="7" fillId="2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8" fontId="7" fillId="7" borderId="2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3" borderId="11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178" fontId="7" fillId="0" borderId="2" xfId="0" applyNumberFormat="1" applyFont="1" applyFill="1" applyBorder="1" applyAlignment="1">
      <alignment horizontal="center" vertical="center"/>
    </xf>
    <xf numFmtId="178" fontId="7" fillId="0" borderId="3" xfId="0" applyNumberFormat="1" applyFont="1" applyFill="1" applyBorder="1" applyAlignment="1">
      <alignment horizontal="center" vertical="center"/>
    </xf>
    <xf numFmtId="178" fontId="7" fillId="0" borderId="4" xfId="0" applyNumberFormat="1" applyFont="1" applyFill="1" applyBorder="1" applyAlignment="1">
      <alignment horizontal="center" vertical="center"/>
    </xf>
  </cellXfs>
  <cellStyles count="10">
    <cellStyle name="백분율 2" xfId="4" xr:uid="{ADCF95FA-66ED-413D-BCAF-81FD3B27525A}"/>
    <cellStyle name="쉼표 [0]" xfId="2" builtinId="6"/>
    <cellStyle name="쉼표 [0] 2" xfId="6" xr:uid="{56FBC53A-F7D0-4CFC-8B8A-8CC4682D6E9F}"/>
    <cellStyle name="쉼표 [0] 2 2" xfId="7" xr:uid="{BEA42F0F-84BF-4C96-AEFE-4F40ADFF6140}"/>
    <cellStyle name="쉼표 [0] 3" xfId="5" xr:uid="{37F3AFA1-EF40-4C18-842C-738E06AFBF40}"/>
    <cellStyle name="콤마 [0]_112052 DCPO (uk추가)" xfId="8" xr:uid="{0B752D11-CA05-433C-BE52-3BFF77A06666}"/>
    <cellStyle name="콤마_112052 DCPO (uk추가)" xfId="9" xr:uid="{B8EF6D58-0667-451E-86AD-D340A0A681F1}"/>
    <cellStyle name="표준" xfId="0" builtinId="0"/>
    <cellStyle name="표준 2" xfId="1" xr:uid="{B7DA621F-6099-4A52-9F7A-D068A97DF60C}"/>
    <cellStyle name="표준 3" xfId="3" xr:uid="{9056CAF8-A4C6-4BD8-B715-74C3BBD14C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CD25-F836-47B0-95B1-F2C1DB710510}">
  <sheetPr>
    <tabColor theme="0"/>
    <pageSetUpPr fitToPage="1"/>
  </sheetPr>
  <dimension ref="B1:X175"/>
  <sheetViews>
    <sheetView view="pageBreakPreview" zoomScaleNormal="100" zoomScaleSheetLayoutView="100" workbookViewId="0">
      <selection activeCell="F90" sqref="F90:F93"/>
    </sheetView>
  </sheetViews>
  <sheetFormatPr defaultColWidth="8.8984375" defaultRowHeight="14.4" x14ac:dyDescent="0.25"/>
  <cols>
    <col min="1" max="1" width="3" style="2" customWidth="1"/>
    <col min="2" max="2" width="36.796875" style="2" customWidth="1"/>
    <col min="3" max="3" width="20" style="2" customWidth="1"/>
    <col min="4" max="4" width="16.59765625" style="2" customWidth="1"/>
    <col min="5" max="5" width="11.09765625" style="2" customWidth="1"/>
    <col min="6" max="6" width="31.8984375" style="141" customWidth="1"/>
    <col min="7" max="7" width="6.09765625" style="2" customWidth="1"/>
    <col min="8" max="8" width="7.09765625" style="2" bestFit="1" customWidth="1"/>
    <col min="9" max="17" width="7" style="2" customWidth="1"/>
    <col min="18" max="18" width="9" style="2" bestFit="1" customWidth="1"/>
    <col min="19" max="19" width="4" style="2" customWidth="1"/>
    <col min="20" max="20" width="9" style="2" bestFit="1" customWidth="1"/>
    <col min="21" max="21" width="15.19921875" style="2" customWidth="1"/>
    <col min="22" max="23" width="11.59765625" style="2" bestFit="1" customWidth="1"/>
    <col min="24" max="24" width="11" style="2" customWidth="1"/>
    <col min="25" max="16384" width="8.8984375" style="2"/>
  </cols>
  <sheetData>
    <row r="1" spans="2:23" x14ac:dyDescent="0.25">
      <c r="B1" s="1" t="s">
        <v>14</v>
      </c>
      <c r="E1" s="1"/>
    </row>
    <row r="2" spans="2:23" ht="13.5" customHeight="1" x14ac:dyDescent="0.25">
      <c r="B2" s="3" t="s">
        <v>39</v>
      </c>
      <c r="E2" s="3" t="s">
        <v>39</v>
      </c>
    </row>
    <row r="3" spans="2:23" x14ac:dyDescent="0.25">
      <c r="B3" s="4" t="s">
        <v>13</v>
      </c>
      <c r="C3" s="5" t="s">
        <v>2</v>
      </c>
      <c r="D3" s="5" t="s">
        <v>15</v>
      </c>
      <c r="E3" s="4" t="s">
        <v>0</v>
      </c>
      <c r="F3" s="4" t="s">
        <v>1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18</v>
      </c>
      <c r="N3" s="5" t="s">
        <v>19</v>
      </c>
      <c r="O3" s="5" t="s">
        <v>20</v>
      </c>
      <c r="P3" s="5" t="s">
        <v>19</v>
      </c>
      <c r="Q3" s="5" t="s">
        <v>20</v>
      </c>
      <c r="R3" s="6" t="s">
        <v>9</v>
      </c>
      <c r="T3" s="27"/>
      <c r="U3" s="2" t="s">
        <v>47</v>
      </c>
    </row>
    <row r="4" spans="2:23" x14ac:dyDescent="0.25">
      <c r="B4" s="7" t="s">
        <v>50</v>
      </c>
      <c r="C4" s="180"/>
      <c r="D4" s="184"/>
      <c r="E4" s="11"/>
      <c r="F4" s="19"/>
      <c r="G4" s="182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T4" s="27"/>
      <c r="U4" s="28"/>
      <c r="V4" s="28"/>
      <c r="W4" s="33"/>
    </row>
    <row r="5" spans="2:23" x14ac:dyDescent="0.25">
      <c r="B5" s="17"/>
      <c r="C5" s="181"/>
      <c r="D5" s="184"/>
      <c r="E5" s="11"/>
      <c r="F5" s="4"/>
      <c r="G5" s="183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T5" s="27"/>
      <c r="U5" s="2" t="s">
        <v>48</v>
      </c>
      <c r="V5" s="28">
        <f>SUM(R90:R117)</f>
        <v>62071</v>
      </c>
      <c r="W5" s="33">
        <f>V5*1.03</f>
        <v>63933.130000000005</v>
      </c>
    </row>
    <row r="6" spans="2:23" x14ac:dyDescent="0.25">
      <c r="B6" s="10"/>
      <c r="C6" s="181"/>
      <c r="D6" s="184"/>
      <c r="E6" s="11"/>
      <c r="F6" s="4"/>
      <c r="G6" s="183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T6" s="27"/>
    </row>
    <row r="7" spans="2:23" ht="15" thickBot="1" x14ac:dyDescent="0.3">
      <c r="B7" s="20"/>
      <c r="C7" s="181"/>
      <c r="D7" s="184"/>
      <c r="E7" s="11"/>
      <c r="F7" s="19"/>
      <c r="G7" s="183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T7" s="27"/>
      <c r="U7" s="2" t="s">
        <v>65</v>
      </c>
    </row>
    <row r="8" spans="2:23" ht="15" thickBot="1" x14ac:dyDescent="0.3">
      <c r="B8" s="20"/>
      <c r="C8" s="181"/>
      <c r="D8" s="184"/>
      <c r="E8" s="11"/>
      <c r="F8" s="4"/>
      <c r="G8" s="183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T8" s="27"/>
      <c r="U8" s="29" t="s">
        <v>25</v>
      </c>
      <c r="V8" s="30" t="s">
        <v>26</v>
      </c>
    </row>
    <row r="9" spans="2:23" ht="15" thickBot="1" x14ac:dyDescent="0.3">
      <c r="B9" s="20"/>
      <c r="C9" s="181"/>
      <c r="D9" s="184"/>
      <c r="E9" s="11"/>
      <c r="F9" s="4"/>
      <c r="G9" s="183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T9" s="27"/>
      <c r="U9" s="31" t="s">
        <v>27</v>
      </c>
      <c r="V9" s="32" t="s">
        <v>28</v>
      </c>
    </row>
    <row r="10" spans="2:23" ht="15" thickBot="1" x14ac:dyDescent="0.3">
      <c r="B10" s="18"/>
      <c r="C10" s="8"/>
      <c r="D10" s="8"/>
      <c r="E10" s="10"/>
      <c r="F10" s="4"/>
      <c r="G10" s="9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T10" s="27"/>
      <c r="U10" s="31" t="s">
        <v>29</v>
      </c>
      <c r="V10" s="32" t="s">
        <v>30</v>
      </c>
    </row>
    <row r="11" spans="2:23" ht="15" thickBot="1" x14ac:dyDescent="0.3">
      <c r="B11" s="18"/>
      <c r="C11" s="14"/>
      <c r="D11" s="14"/>
      <c r="E11" s="13"/>
      <c r="F11" s="13"/>
      <c r="G11" s="15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T11" s="27"/>
      <c r="U11" s="31" t="s">
        <v>31</v>
      </c>
      <c r="V11" s="32" t="s">
        <v>32</v>
      </c>
    </row>
    <row r="12" spans="2:23" x14ac:dyDescent="0.25">
      <c r="B12" s="18"/>
      <c r="C12" s="180"/>
      <c r="D12" s="184"/>
      <c r="E12" s="11"/>
      <c r="F12" s="19"/>
      <c r="G12" s="182"/>
      <c r="H12" s="35"/>
      <c r="I12" s="35"/>
      <c r="J12" s="35"/>
      <c r="K12" s="35"/>
      <c r="L12" s="35"/>
      <c r="M12" s="6"/>
      <c r="N12" s="6"/>
      <c r="O12" s="6"/>
      <c r="P12" s="6"/>
      <c r="Q12" s="6"/>
      <c r="R12" s="6"/>
      <c r="T12" s="27"/>
    </row>
    <row r="13" spans="2:23" x14ac:dyDescent="0.25">
      <c r="B13" s="18"/>
      <c r="C13" s="181"/>
      <c r="D13" s="184"/>
      <c r="E13" s="11"/>
      <c r="F13" s="19"/>
      <c r="G13" s="183"/>
      <c r="H13" s="35"/>
      <c r="I13" s="35"/>
      <c r="J13" s="35"/>
      <c r="K13" s="35"/>
      <c r="L13" s="35"/>
      <c r="M13" s="6"/>
      <c r="N13" s="6"/>
      <c r="O13" s="6"/>
      <c r="P13" s="6"/>
      <c r="Q13" s="6"/>
      <c r="R13" s="6"/>
      <c r="T13" s="27"/>
    </row>
    <row r="14" spans="2:23" x14ac:dyDescent="0.25">
      <c r="B14" s="18"/>
      <c r="C14" s="181"/>
      <c r="D14" s="184"/>
      <c r="E14" s="11"/>
      <c r="F14" s="4"/>
      <c r="G14" s="183"/>
      <c r="H14" s="35"/>
      <c r="I14" s="35"/>
      <c r="J14" s="35"/>
      <c r="K14" s="35"/>
      <c r="L14" s="35"/>
      <c r="M14" s="6"/>
      <c r="N14" s="6"/>
      <c r="O14" s="6"/>
      <c r="P14" s="6"/>
      <c r="Q14" s="6"/>
      <c r="R14" s="6"/>
      <c r="T14" s="27"/>
      <c r="U14" s="2" t="s">
        <v>36</v>
      </c>
    </row>
    <row r="15" spans="2:23" x14ac:dyDescent="0.25">
      <c r="B15" s="18"/>
      <c r="C15" s="181"/>
      <c r="D15" s="184"/>
      <c r="E15" s="11"/>
      <c r="F15" s="4"/>
      <c r="G15" s="183"/>
      <c r="H15" s="35"/>
      <c r="I15" s="35"/>
      <c r="J15" s="35"/>
      <c r="K15" s="35"/>
      <c r="L15" s="35"/>
      <c r="M15" s="6"/>
      <c r="N15" s="6"/>
      <c r="O15" s="6"/>
      <c r="P15" s="6"/>
      <c r="Q15" s="6"/>
      <c r="R15" s="6"/>
      <c r="T15" s="27"/>
      <c r="U15" s="34" t="s">
        <v>66</v>
      </c>
    </row>
    <row r="16" spans="2:23" x14ac:dyDescent="0.25">
      <c r="B16" s="18"/>
      <c r="C16" s="181"/>
      <c r="D16" s="184"/>
      <c r="E16" s="11"/>
      <c r="F16" s="4"/>
      <c r="G16" s="183"/>
      <c r="H16" s="35"/>
      <c r="I16" s="35"/>
      <c r="J16" s="35"/>
      <c r="K16" s="35"/>
      <c r="L16" s="35"/>
      <c r="M16" s="6"/>
      <c r="N16" s="6"/>
      <c r="O16" s="6"/>
      <c r="P16" s="6"/>
      <c r="Q16" s="6"/>
      <c r="R16" s="6"/>
      <c r="T16" s="27"/>
    </row>
    <row r="17" spans="2:24" x14ac:dyDescent="0.25">
      <c r="B17" s="18"/>
      <c r="C17" s="181"/>
      <c r="D17" s="184"/>
      <c r="E17" s="11"/>
      <c r="F17" s="4"/>
      <c r="G17" s="183"/>
      <c r="H17" s="35"/>
      <c r="I17" s="35"/>
      <c r="J17" s="35"/>
      <c r="K17" s="35"/>
      <c r="L17" s="35"/>
      <c r="M17" s="6"/>
      <c r="N17" s="6"/>
      <c r="O17" s="6"/>
      <c r="P17" s="6"/>
      <c r="Q17" s="6"/>
      <c r="R17" s="6"/>
      <c r="T17" s="27"/>
    </row>
    <row r="18" spans="2:24" x14ac:dyDescent="0.25">
      <c r="B18" s="18"/>
      <c r="C18" s="181"/>
      <c r="D18" s="184"/>
      <c r="E18" s="11"/>
      <c r="F18" s="4"/>
      <c r="G18" s="183"/>
      <c r="H18" s="35"/>
      <c r="I18" s="35"/>
      <c r="J18" s="35"/>
      <c r="K18" s="35"/>
      <c r="L18" s="35"/>
      <c r="M18" s="6"/>
      <c r="N18" s="6"/>
      <c r="O18" s="6"/>
      <c r="P18" s="6"/>
      <c r="Q18" s="6"/>
      <c r="R18" s="6"/>
    </row>
    <row r="19" spans="2:24" x14ac:dyDescent="0.25">
      <c r="B19" s="18"/>
      <c r="C19" s="181"/>
      <c r="D19" s="184"/>
      <c r="E19" s="11"/>
      <c r="F19" s="4"/>
      <c r="G19" s="183"/>
      <c r="H19" s="35"/>
      <c r="I19" s="35"/>
      <c r="J19" s="35"/>
      <c r="K19" s="35"/>
      <c r="L19" s="35"/>
      <c r="M19" s="6"/>
      <c r="N19" s="6"/>
      <c r="O19" s="6"/>
      <c r="P19" s="6"/>
      <c r="Q19" s="6"/>
      <c r="R19" s="6"/>
    </row>
    <row r="20" spans="2:24" x14ac:dyDescent="0.25">
      <c r="B20" s="18"/>
      <c r="C20" s="181"/>
      <c r="D20" s="184"/>
      <c r="E20" s="11"/>
      <c r="F20" s="4"/>
      <c r="G20" s="183"/>
      <c r="H20" s="35"/>
      <c r="I20" s="35"/>
      <c r="J20" s="35"/>
      <c r="K20" s="35"/>
      <c r="L20" s="35"/>
      <c r="M20" s="6"/>
      <c r="N20" s="6"/>
      <c r="O20" s="6"/>
      <c r="P20" s="6"/>
      <c r="Q20" s="6"/>
      <c r="R20" s="6"/>
    </row>
    <row r="21" spans="2:24" x14ac:dyDescent="0.25">
      <c r="B21" s="18"/>
      <c r="C21" s="181"/>
      <c r="D21" s="184"/>
      <c r="E21" s="11"/>
      <c r="F21" s="19"/>
      <c r="G21" s="183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2:24" x14ac:dyDescent="0.25">
      <c r="B22" s="18"/>
      <c r="C22" s="181"/>
      <c r="D22" s="184"/>
      <c r="E22" s="11"/>
      <c r="F22" s="19"/>
      <c r="G22" s="183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2:24" x14ac:dyDescent="0.25">
      <c r="B23" s="18"/>
      <c r="C23" s="181"/>
      <c r="D23" s="184"/>
      <c r="E23" s="11"/>
      <c r="F23" s="4"/>
      <c r="G23" s="183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2:24" x14ac:dyDescent="0.25">
      <c r="B24" s="18"/>
      <c r="C24" s="181"/>
      <c r="D24" s="184"/>
      <c r="E24" s="11"/>
      <c r="F24" s="4"/>
      <c r="G24" s="183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2:24" x14ac:dyDescent="0.25">
      <c r="B25" s="18"/>
      <c r="C25" s="181"/>
      <c r="D25" s="184"/>
      <c r="E25" s="11"/>
      <c r="F25" s="4"/>
      <c r="G25" s="183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2:24" x14ac:dyDescent="0.25">
      <c r="B26" s="18"/>
      <c r="C26" s="181"/>
      <c r="D26" s="184"/>
      <c r="E26" s="11"/>
      <c r="F26" s="4"/>
      <c r="G26" s="183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U26" s="2" t="s">
        <v>38</v>
      </c>
    </row>
    <row r="27" spans="2:24" s="12" customFormat="1" x14ac:dyDescent="0.25">
      <c r="B27" s="18"/>
      <c r="C27" s="181"/>
      <c r="D27" s="184"/>
      <c r="E27" s="11"/>
      <c r="F27" s="4"/>
      <c r="G27" s="183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2"/>
      <c r="T27" s="2"/>
      <c r="U27" s="2" t="s">
        <v>49</v>
      </c>
      <c r="V27" s="28">
        <f>SUM(R90:R101)+SUM(R106:R117)</f>
        <v>61062</v>
      </c>
      <c r="W27" s="79">
        <f>V27*1.03</f>
        <v>62893.86</v>
      </c>
      <c r="X27" s="2"/>
    </row>
    <row r="28" spans="2:24" s="12" customFormat="1" x14ac:dyDescent="0.25">
      <c r="B28" s="18"/>
      <c r="C28" s="181"/>
      <c r="D28" s="184"/>
      <c r="E28" s="11"/>
      <c r="F28" s="4"/>
      <c r="G28" s="183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2"/>
      <c r="T28" s="2"/>
      <c r="U28" s="2" t="s">
        <v>23</v>
      </c>
      <c r="V28" s="28">
        <f>SUM(R102:R105)</f>
        <v>1009</v>
      </c>
      <c r="W28" s="79">
        <f>V28*1.03</f>
        <v>1039.27</v>
      </c>
      <c r="X28" s="2"/>
    </row>
    <row r="29" spans="2:24" s="12" customFormat="1" x14ac:dyDescent="0.25">
      <c r="B29" s="18"/>
      <c r="C29" s="181"/>
      <c r="D29" s="184"/>
      <c r="E29" s="11"/>
      <c r="F29" s="4"/>
      <c r="G29" s="183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2"/>
      <c r="T29" s="2"/>
      <c r="U29" s="2"/>
      <c r="V29" s="28"/>
      <c r="W29" s="79"/>
      <c r="X29" s="2"/>
    </row>
    <row r="30" spans="2:24" s="12" customFormat="1" x14ac:dyDescent="0.25">
      <c r="B30" s="18"/>
      <c r="C30" s="8"/>
      <c r="D30" s="8"/>
      <c r="E30" s="10"/>
      <c r="F30" s="4"/>
      <c r="G30" s="9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2"/>
      <c r="T30" s="2"/>
      <c r="U30" s="2"/>
      <c r="V30" s="28"/>
      <c r="W30" s="79"/>
      <c r="X30" s="2"/>
    </row>
    <row r="31" spans="2:24" x14ac:dyDescent="0.25">
      <c r="B31" s="21"/>
      <c r="C31" s="14"/>
      <c r="D31" s="14"/>
      <c r="E31" s="13"/>
      <c r="F31" s="13"/>
      <c r="G31" s="15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2:24" x14ac:dyDescent="0.25">
      <c r="B32" s="18"/>
      <c r="C32" s="185"/>
      <c r="D32" s="187"/>
      <c r="E32" s="45"/>
      <c r="F32" s="46"/>
      <c r="G32" s="188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T32" s="27"/>
    </row>
    <row r="33" spans="2:24" x14ac:dyDescent="0.25">
      <c r="B33" s="18"/>
      <c r="C33" s="186"/>
      <c r="D33" s="187"/>
      <c r="E33" s="45"/>
      <c r="F33" s="46"/>
      <c r="G33" s="189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T33" s="27"/>
    </row>
    <row r="34" spans="2:24" x14ac:dyDescent="0.25">
      <c r="B34" s="18"/>
      <c r="C34" s="186"/>
      <c r="D34" s="187"/>
      <c r="E34" s="45"/>
      <c r="F34" s="48"/>
      <c r="G34" s="189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T34" s="27"/>
    </row>
    <row r="35" spans="2:24" x14ac:dyDescent="0.25">
      <c r="B35" s="18"/>
      <c r="C35" s="186"/>
      <c r="D35" s="187"/>
      <c r="E35" s="45"/>
      <c r="F35" s="48"/>
      <c r="G35" s="189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T35" s="27"/>
      <c r="U35" s="34"/>
    </row>
    <row r="36" spans="2:24" s="12" customFormat="1" x14ac:dyDescent="0.25">
      <c r="B36" s="18"/>
      <c r="C36" s="49"/>
      <c r="D36" s="49"/>
      <c r="E36" s="50"/>
      <c r="F36" s="48"/>
      <c r="G36" s="51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2"/>
      <c r="T36" s="2"/>
      <c r="U36" s="2"/>
      <c r="V36" s="2"/>
      <c r="W36" s="2"/>
      <c r="X36" s="2"/>
    </row>
    <row r="37" spans="2:24" x14ac:dyDescent="0.25">
      <c r="B37" s="21"/>
      <c r="C37" s="52"/>
      <c r="D37" s="52"/>
      <c r="E37" s="48"/>
      <c r="F37" s="48"/>
      <c r="G37" s="51"/>
      <c r="H37" s="47"/>
      <c r="I37" s="47"/>
      <c r="J37" s="47"/>
      <c r="K37" s="47"/>
      <c r="L37" s="47"/>
      <c r="M37" s="47"/>
      <c r="N37" s="47"/>
      <c r="O37" s="47"/>
      <c r="P37" s="47"/>
      <c r="Q37" s="47">
        <v>13484</v>
      </c>
      <c r="R37" s="47"/>
    </row>
    <row r="38" spans="2:24" hidden="1" x14ac:dyDescent="0.25">
      <c r="B38" s="18"/>
      <c r="C38" s="167">
        <v>66801</v>
      </c>
      <c r="D38" s="169" t="s">
        <v>33</v>
      </c>
      <c r="E38" s="36">
        <v>517199</v>
      </c>
      <c r="F38" s="37" t="s">
        <v>16</v>
      </c>
      <c r="G38" s="170">
        <v>44175</v>
      </c>
      <c r="H38" s="38"/>
      <c r="I38" s="38">
        <v>120</v>
      </c>
      <c r="J38" s="38">
        <v>120</v>
      </c>
      <c r="K38" s="38">
        <v>60</v>
      </c>
      <c r="L38" s="38">
        <v>60</v>
      </c>
      <c r="M38" s="38"/>
      <c r="N38" s="38"/>
      <c r="O38" s="38"/>
      <c r="P38" s="38"/>
      <c r="Q38" s="38"/>
      <c r="R38" s="38">
        <f>SUM(H38:Q38)</f>
        <v>360</v>
      </c>
      <c r="T38" s="27"/>
    </row>
    <row r="39" spans="2:24" hidden="1" x14ac:dyDescent="0.25">
      <c r="B39" s="18"/>
      <c r="C39" s="168"/>
      <c r="D39" s="169"/>
      <c r="E39" s="36">
        <v>517199</v>
      </c>
      <c r="F39" s="37" t="s">
        <v>22</v>
      </c>
      <c r="G39" s="171"/>
      <c r="H39" s="38"/>
      <c r="I39" s="38">
        <v>104</v>
      </c>
      <c r="J39" s="38">
        <v>104</v>
      </c>
      <c r="K39" s="38">
        <v>52</v>
      </c>
      <c r="L39" s="38">
        <v>52</v>
      </c>
      <c r="M39" s="38"/>
      <c r="N39" s="38"/>
      <c r="O39" s="38"/>
      <c r="P39" s="38"/>
      <c r="Q39" s="38"/>
      <c r="R39" s="38">
        <f t="shared" ref="R39:R41" si="0">SUM(H39:Q39)</f>
        <v>312</v>
      </c>
      <c r="T39" s="27"/>
    </row>
    <row r="40" spans="2:24" hidden="1" x14ac:dyDescent="0.25">
      <c r="B40" s="18"/>
      <c r="C40" s="168"/>
      <c r="D40" s="169"/>
      <c r="E40" s="36">
        <v>517199</v>
      </c>
      <c r="F40" s="39" t="s">
        <v>17</v>
      </c>
      <c r="G40" s="171"/>
      <c r="H40" s="38"/>
      <c r="I40" s="38">
        <v>216</v>
      </c>
      <c r="J40" s="38">
        <v>216</v>
      </c>
      <c r="K40" s="38">
        <v>108</v>
      </c>
      <c r="L40" s="38">
        <v>108</v>
      </c>
      <c r="M40" s="38"/>
      <c r="N40" s="38"/>
      <c r="O40" s="38"/>
      <c r="P40" s="38"/>
      <c r="Q40" s="38"/>
      <c r="R40" s="38">
        <f t="shared" si="0"/>
        <v>648</v>
      </c>
      <c r="T40" s="27"/>
    </row>
    <row r="41" spans="2:24" hidden="1" x14ac:dyDescent="0.25">
      <c r="B41" s="18"/>
      <c r="C41" s="168"/>
      <c r="D41" s="169"/>
      <c r="E41" s="36">
        <v>517199</v>
      </c>
      <c r="F41" s="39" t="s">
        <v>21</v>
      </c>
      <c r="G41" s="171"/>
      <c r="H41" s="38"/>
      <c r="I41" s="38">
        <v>92</v>
      </c>
      <c r="J41" s="38">
        <v>92</v>
      </c>
      <c r="K41" s="38">
        <v>46</v>
      </c>
      <c r="L41" s="38">
        <v>46</v>
      </c>
      <c r="M41" s="38"/>
      <c r="N41" s="38"/>
      <c r="O41" s="38"/>
      <c r="P41" s="38"/>
      <c r="Q41" s="38"/>
      <c r="R41" s="38">
        <f t="shared" si="0"/>
        <v>276</v>
      </c>
      <c r="T41" s="27"/>
      <c r="U41" s="34"/>
    </row>
    <row r="42" spans="2:24" s="12" customFormat="1" hidden="1" x14ac:dyDescent="0.25">
      <c r="B42" s="18"/>
      <c r="C42" s="40"/>
      <c r="D42" s="40"/>
      <c r="E42" s="41"/>
      <c r="F42" s="39"/>
      <c r="G42" s="42" t="s">
        <v>10</v>
      </c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2"/>
      <c r="T42" s="2"/>
      <c r="U42" s="2"/>
      <c r="V42" s="2"/>
      <c r="W42" s="2"/>
      <c r="X42" s="2"/>
    </row>
    <row r="43" spans="2:24" hidden="1" x14ac:dyDescent="0.25">
      <c r="B43" s="21"/>
      <c r="C43" s="43" t="s">
        <v>11</v>
      </c>
      <c r="D43" s="43"/>
      <c r="E43" s="39" t="s">
        <v>9</v>
      </c>
      <c r="F43" s="39"/>
      <c r="G43" s="42" t="s">
        <v>12</v>
      </c>
      <c r="H43" s="38">
        <f t="shared" ref="H43:R43" si="1">SUM(H38:H42)</f>
        <v>0</v>
      </c>
      <c r="I43" s="38">
        <f t="shared" si="1"/>
        <v>532</v>
      </c>
      <c r="J43" s="38">
        <f t="shared" si="1"/>
        <v>532</v>
      </c>
      <c r="K43" s="38">
        <f t="shared" si="1"/>
        <v>266</v>
      </c>
      <c r="L43" s="38">
        <f t="shared" si="1"/>
        <v>266</v>
      </c>
      <c r="M43" s="38">
        <f t="shared" si="1"/>
        <v>0</v>
      </c>
      <c r="N43" s="38">
        <f t="shared" ref="N43:O43" si="2">SUM(N38:N42)</f>
        <v>0</v>
      </c>
      <c r="O43" s="38">
        <f t="shared" si="2"/>
        <v>0</v>
      </c>
      <c r="P43" s="38">
        <f t="shared" si="1"/>
        <v>0</v>
      </c>
      <c r="Q43" s="38">
        <f t="shared" si="1"/>
        <v>0</v>
      </c>
      <c r="R43" s="38">
        <f t="shared" si="1"/>
        <v>1596</v>
      </c>
    </row>
    <row r="44" spans="2:24" hidden="1" x14ac:dyDescent="0.25">
      <c r="B44" s="18"/>
      <c r="C44" s="167">
        <v>66806</v>
      </c>
      <c r="D44" s="169" t="s">
        <v>33</v>
      </c>
      <c r="E44" s="36">
        <v>517199</v>
      </c>
      <c r="F44" s="37" t="s">
        <v>16</v>
      </c>
      <c r="G44" s="170">
        <v>44175</v>
      </c>
      <c r="H44" s="38"/>
      <c r="I44" s="38">
        <v>52</v>
      </c>
      <c r="J44" s="38">
        <v>52</v>
      </c>
      <c r="K44" s="38">
        <v>26</v>
      </c>
      <c r="L44" s="38">
        <v>26</v>
      </c>
      <c r="M44" s="38"/>
      <c r="N44" s="38"/>
      <c r="O44" s="38"/>
      <c r="P44" s="38"/>
      <c r="Q44" s="38"/>
      <c r="R44" s="38">
        <f>SUM(H44:Q44)</f>
        <v>156</v>
      </c>
      <c r="T44" s="27"/>
    </row>
    <row r="45" spans="2:24" hidden="1" x14ac:dyDescent="0.25">
      <c r="B45" s="18"/>
      <c r="C45" s="168"/>
      <c r="D45" s="169"/>
      <c r="E45" s="36">
        <v>517199</v>
      </c>
      <c r="F45" s="37" t="s">
        <v>22</v>
      </c>
      <c r="G45" s="171"/>
      <c r="H45" s="38"/>
      <c r="I45" s="38">
        <v>46</v>
      </c>
      <c r="J45" s="38">
        <v>46</v>
      </c>
      <c r="K45" s="38">
        <v>23</v>
      </c>
      <c r="L45" s="38">
        <v>23</v>
      </c>
      <c r="M45" s="38"/>
      <c r="N45" s="38"/>
      <c r="O45" s="38"/>
      <c r="P45" s="38"/>
      <c r="Q45" s="38"/>
      <c r="R45" s="38">
        <f t="shared" ref="R45:R47" si="3">SUM(H45:Q45)</f>
        <v>138</v>
      </c>
      <c r="T45" s="27"/>
    </row>
    <row r="46" spans="2:24" hidden="1" x14ac:dyDescent="0.25">
      <c r="B46" s="18"/>
      <c r="C46" s="168"/>
      <c r="D46" s="169"/>
      <c r="E46" s="36">
        <v>517199</v>
      </c>
      <c r="F46" s="39" t="s">
        <v>17</v>
      </c>
      <c r="G46" s="171"/>
      <c r="H46" s="38"/>
      <c r="I46" s="38">
        <v>94</v>
      </c>
      <c r="J46" s="38">
        <v>94</v>
      </c>
      <c r="K46" s="38">
        <v>47</v>
      </c>
      <c r="L46" s="38">
        <v>47</v>
      </c>
      <c r="M46" s="38"/>
      <c r="N46" s="38"/>
      <c r="O46" s="38"/>
      <c r="P46" s="38"/>
      <c r="Q46" s="38"/>
      <c r="R46" s="38">
        <f t="shared" si="3"/>
        <v>282</v>
      </c>
      <c r="T46" s="27"/>
    </row>
    <row r="47" spans="2:24" hidden="1" x14ac:dyDescent="0.25">
      <c r="B47" s="18"/>
      <c r="C47" s="168"/>
      <c r="D47" s="169"/>
      <c r="E47" s="36">
        <v>517199</v>
      </c>
      <c r="F47" s="39" t="s">
        <v>21</v>
      </c>
      <c r="G47" s="171"/>
      <c r="H47" s="38"/>
      <c r="I47" s="38">
        <v>40</v>
      </c>
      <c r="J47" s="38">
        <v>40</v>
      </c>
      <c r="K47" s="38">
        <v>20</v>
      </c>
      <c r="L47" s="38">
        <v>20</v>
      </c>
      <c r="M47" s="38"/>
      <c r="N47" s="38"/>
      <c r="O47" s="38"/>
      <c r="P47" s="38"/>
      <c r="Q47" s="38"/>
      <c r="R47" s="38">
        <f t="shared" si="3"/>
        <v>120</v>
      </c>
      <c r="T47" s="27"/>
      <c r="U47" s="34"/>
    </row>
    <row r="48" spans="2:24" s="12" customFormat="1" hidden="1" x14ac:dyDescent="0.25">
      <c r="B48" s="18"/>
      <c r="C48" s="40"/>
      <c r="D48" s="40"/>
      <c r="E48" s="41"/>
      <c r="F48" s="39"/>
      <c r="G48" s="42" t="s">
        <v>10</v>
      </c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2"/>
      <c r="T48" s="2"/>
      <c r="U48" s="2"/>
      <c r="V48" s="2"/>
      <c r="W48" s="2"/>
      <c r="X48" s="2"/>
    </row>
    <row r="49" spans="2:24" hidden="1" x14ac:dyDescent="0.25">
      <c r="B49" s="21"/>
      <c r="C49" s="43" t="s">
        <v>11</v>
      </c>
      <c r="D49" s="43"/>
      <c r="E49" s="39" t="s">
        <v>9</v>
      </c>
      <c r="F49" s="39"/>
      <c r="G49" s="42" t="s">
        <v>12</v>
      </c>
      <c r="H49" s="38">
        <f t="shared" ref="H49:R49" si="4">SUM(H44:H48)</f>
        <v>0</v>
      </c>
      <c r="I49" s="38">
        <f t="shared" si="4"/>
        <v>232</v>
      </c>
      <c r="J49" s="38">
        <f t="shared" si="4"/>
        <v>232</v>
      </c>
      <c r="K49" s="38">
        <f t="shared" si="4"/>
        <v>116</v>
      </c>
      <c r="L49" s="38">
        <f t="shared" si="4"/>
        <v>116</v>
      </c>
      <c r="M49" s="38">
        <f t="shared" si="4"/>
        <v>0</v>
      </c>
      <c r="N49" s="38">
        <f t="shared" ref="N49:O49" si="5">SUM(N44:N48)</f>
        <v>0</v>
      </c>
      <c r="O49" s="38">
        <f t="shared" si="5"/>
        <v>0</v>
      </c>
      <c r="P49" s="38">
        <f t="shared" si="4"/>
        <v>0</v>
      </c>
      <c r="Q49" s="38">
        <f t="shared" si="4"/>
        <v>0</v>
      </c>
      <c r="R49" s="38">
        <f t="shared" si="4"/>
        <v>696</v>
      </c>
    </row>
    <row r="50" spans="2:24" hidden="1" x14ac:dyDescent="0.25">
      <c r="B50" s="18"/>
      <c r="C50" s="167">
        <v>66807</v>
      </c>
      <c r="D50" s="169" t="s">
        <v>33</v>
      </c>
      <c r="E50" s="36">
        <v>517199</v>
      </c>
      <c r="F50" s="37" t="s">
        <v>16</v>
      </c>
      <c r="G50" s="170">
        <v>44175</v>
      </c>
      <c r="H50" s="38"/>
      <c r="I50" s="38">
        <v>52</v>
      </c>
      <c r="J50" s="38">
        <v>52</v>
      </c>
      <c r="K50" s="38">
        <v>26</v>
      </c>
      <c r="L50" s="38">
        <v>26</v>
      </c>
      <c r="M50" s="38"/>
      <c r="N50" s="38"/>
      <c r="O50" s="38"/>
      <c r="P50" s="38"/>
      <c r="Q50" s="38"/>
      <c r="R50" s="38">
        <f>SUM(H50:Q50)</f>
        <v>156</v>
      </c>
      <c r="T50" s="27"/>
    </row>
    <row r="51" spans="2:24" hidden="1" x14ac:dyDescent="0.25">
      <c r="B51" s="18"/>
      <c r="C51" s="168"/>
      <c r="D51" s="169"/>
      <c r="E51" s="36">
        <v>517199</v>
      </c>
      <c r="F51" s="37" t="s">
        <v>22</v>
      </c>
      <c r="G51" s="171"/>
      <c r="H51" s="38"/>
      <c r="I51" s="38">
        <v>46</v>
      </c>
      <c r="J51" s="38">
        <v>46</v>
      </c>
      <c r="K51" s="38">
        <v>23</v>
      </c>
      <c r="L51" s="38">
        <v>23</v>
      </c>
      <c r="M51" s="38"/>
      <c r="N51" s="38"/>
      <c r="O51" s="38"/>
      <c r="P51" s="38"/>
      <c r="Q51" s="38"/>
      <c r="R51" s="38">
        <f t="shared" ref="R51:R53" si="6">SUM(H51:Q51)</f>
        <v>138</v>
      </c>
      <c r="T51" s="27"/>
    </row>
    <row r="52" spans="2:24" hidden="1" x14ac:dyDescent="0.25">
      <c r="B52" s="18"/>
      <c r="C52" s="168"/>
      <c r="D52" s="169"/>
      <c r="E52" s="36">
        <v>517199</v>
      </c>
      <c r="F52" s="39" t="s">
        <v>17</v>
      </c>
      <c r="G52" s="171"/>
      <c r="H52" s="38"/>
      <c r="I52" s="38">
        <v>94</v>
      </c>
      <c r="J52" s="38">
        <v>94</v>
      </c>
      <c r="K52" s="38">
        <v>47</v>
      </c>
      <c r="L52" s="38">
        <v>47</v>
      </c>
      <c r="M52" s="38"/>
      <c r="N52" s="38"/>
      <c r="O52" s="38"/>
      <c r="P52" s="38"/>
      <c r="Q52" s="38"/>
      <c r="R52" s="38">
        <f t="shared" si="6"/>
        <v>282</v>
      </c>
      <c r="T52" s="27"/>
    </row>
    <row r="53" spans="2:24" hidden="1" x14ac:dyDescent="0.25">
      <c r="B53" s="18"/>
      <c r="C53" s="168"/>
      <c r="D53" s="169"/>
      <c r="E53" s="36">
        <v>517199</v>
      </c>
      <c r="F53" s="39" t="s">
        <v>21</v>
      </c>
      <c r="G53" s="171"/>
      <c r="H53" s="38"/>
      <c r="I53" s="38">
        <v>40</v>
      </c>
      <c r="J53" s="38">
        <v>40</v>
      </c>
      <c r="K53" s="38">
        <v>20</v>
      </c>
      <c r="L53" s="38">
        <v>20</v>
      </c>
      <c r="M53" s="38"/>
      <c r="N53" s="38"/>
      <c r="O53" s="38"/>
      <c r="P53" s="38"/>
      <c r="Q53" s="38"/>
      <c r="R53" s="38">
        <f t="shared" si="6"/>
        <v>120</v>
      </c>
      <c r="T53" s="27"/>
      <c r="U53" s="34"/>
    </row>
    <row r="54" spans="2:24" s="12" customFormat="1" hidden="1" x14ac:dyDescent="0.25">
      <c r="B54" s="18"/>
      <c r="C54" s="40"/>
      <c r="D54" s="40"/>
      <c r="E54" s="41"/>
      <c r="F54" s="39"/>
      <c r="G54" s="42" t="s">
        <v>10</v>
      </c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2"/>
      <c r="T54" s="2"/>
      <c r="U54" s="2"/>
      <c r="V54" s="2"/>
      <c r="W54" s="2"/>
      <c r="X54" s="2"/>
    </row>
    <row r="55" spans="2:24" hidden="1" x14ac:dyDescent="0.25">
      <c r="B55" s="21"/>
      <c r="C55" s="43" t="s">
        <v>11</v>
      </c>
      <c r="D55" s="43"/>
      <c r="E55" s="39" t="s">
        <v>9</v>
      </c>
      <c r="F55" s="39"/>
      <c r="G55" s="42" t="s">
        <v>12</v>
      </c>
      <c r="H55" s="38">
        <f t="shared" ref="H55:R55" si="7">SUM(H50:H54)</f>
        <v>0</v>
      </c>
      <c r="I55" s="38">
        <f t="shared" si="7"/>
        <v>232</v>
      </c>
      <c r="J55" s="38">
        <f t="shared" si="7"/>
        <v>232</v>
      </c>
      <c r="K55" s="38">
        <f t="shared" si="7"/>
        <v>116</v>
      </c>
      <c r="L55" s="38">
        <f t="shared" si="7"/>
        <v>116</v>
      </c>
      <c r="M55" s="38">
        <f t="shared" si="7"/>
        <v>0</v>
      </c>
      <c r="N55" s="38">
        <f t="shared" ref="N55:O55" si="8">SUM(N50:N54)</f>
        <v>0</v>
      </c>
      <c r="O55" s="38">
        <f t="shared" si="8"/>
        <v>0</v>
      </c>
      <c r="P55" s="38">
        <f t="shared" si="7"/>
        <v>0</v>
      </c>
      <c r="Q55" s="38">
        <f t="shared" si="7"/>
        <v>0</v>
      </c>
      <c r="R55" s="38">
        <f t="shared" si="7"/>
        <v>696</v>
      </c>
    </row>
    <row r="56" spans="2:24" hidden="1" x14ac:dyDescent="0.25">
      <c r="B56" s="18"/>
      <c r="C56" s="167">
        <v>66847</v>
      </c>
      <c r="D56" s="169" t="s">
        <v>33</v>
      </c>
      <c r="E56" s="36">
        <v>517199</v>
      </c>
      <c r="F56" s="37" t="s">
        <v>16</v>
      </c>
      <c r="G56" s="170">
        <v>44175</v>
      </c>
      <c r="H56" s="38">
        <v>100</v>
      </c>
      <c r="I56" s="38">
        <v>200</v>
      </c>
      <c r="J56" s="38">
        <v>200</v>
      </c>
      <c r="K56" s="38">
        <v>200</v>
      </c>
      <c r="L56" s="38">
        <v>100</v>
      </c>
      <c r="M56" s="38"/>
      <c r="N56" s="38"/>
      <c r="O56" s="38"/>
      <c r="P56" s="38"/>
      <c r="Q56" s="38"/>
      <c r="R56" s="38">
        <f>SUM(H56:Q56)</f>
        <v>800</v>
      </c>
      <c r="T56" s="27"/>
    </row>
    <row r="57" spans="2:24" hidden="1" x14ac:dyDescent="0.25">
      <c r="B57" s="18"/>
      <c r="C57" s="168"/>
      <c r="D57" s="169"/>
      <c r="E57" s="36">
        <v>517199</v>
      </c>
      <c r="F57" s="37" t="s">
        <v>22</v>
      </c>
      <c r="G57" s="171"/>
      <c r="H57" s="38">
        <v>100</v>
      </c>
      <c r="I57" s="38">
        <v>200</v>
      </c>
      <c r="J57" s="38">
        <v>200</v>
      </c>
      <c r="K57" s="38">
        <v>200</v>
      </c>
      <c r="L57" s="38">
        <v>100</v>
      </c>
      <c r="M57" s="38"/>
      <c r="N57" s="38"/>
      <c r="O57" s="38"/>
      <c r="P57" s="38"/>
      <c r="Q57" s="38"/>
      <c r="R57" s="38">
        <f t="shared" ref="R57:R59" si="9">SUM(H57:Q57)</f>
        <v>800</v>
      </c>
      <c r="T57" s="27"/>
    </row>
    <row r="58" spans="2:24" hidden="1" x14ac:dyDescent="0.25">
      <c r="B58" s="18"/>
      <c r="C58" s="168"/>
      <c r="D58" s="169"/>
      <c r="E58" s="36">
        <v>517199</v>
      </c>
      <c r="F58" s="39" t="s">
        <v>17</v>
      </c>
      <c r="G58" s="171"/>
      <c r="H58" s="38">
        <v>100</v>
      </c>
      <c r="I58" s="38">
        <v>200</v>
      </c>
      <c r="J58" s="38">
        <v>200</v>
      </c>
      <c r="K58" s="38">
        <v>200</v>
      </c>
      <c r="L58" s="38">
        <v>100</v>
      </c>
      <c r="M58" s="38"/>
      <c r="N58" s="38"/>
      <c r="O58" s="38"/>
      <c r="P58" s="38"/>
      <c r="Q58" s="38"/>
      <c r="R58" s="38">
        <f t="shared" si="9"/>
        <v>800</v>
      </c>
      <c r="T58" s="27"/>
    </row>
    <row r="59" spans="2:24" hidden="1" x14ac:dyDescent="0.25">
      <c r="B59" s="18"/>
      <c r="C59" s="168"/>
      <c r="D59" s="169"/>
      <c r="E59" s="36">
        <v>517199</v>
      </c>
      <c r="F59" s="39" t="s">
        <v>21</v>
      </c>
      <c r="G59" s="171"/>
      <c r="H59" s="38">
        <v>100</v>
      </c>
      <c r="I59" s="38">
        <v>200</v>
      </c>
      <c r="J59" s="38">
        <v>200</v>
      </c>
      <c r="K59" s="38">
        <v>200</v>
      </c>
      <c r="L59" s="38">
        <v>100</v>
      </c>
      <c r="M59" s="38"/>
      <c r="N59" s="38"/>
      <c r="O59" s="38"/>
      <c r="P59" s="38"/>
      <c r="Q59" s="38"/>
      <c r="R59" s="38">
        <f t="shared" si="9"/>
        <v>800</v>
      </c>
      <c r="T59" s="27"/>
      <c r="U59" s="34"/>
    </row>
    <row r="60" spans="2:24" s="12" customFormat="1" hidden="1" x14ac:dyDescent="0.25">
      <c r="B60" s="18"/>
      <c r="C60" s="40"/>
      <c r="D60" s="40"/>
      <c r="E60" s="41"/>
      <c r="F60" s="39"/>
      <c r="G60" s="42" t="s">
        <v>10</v>
      </c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2"/>
      <c r="T60" s="2"/>
      <c r="U60" s="2"/>
      <c r="V60" s="2"/>
      <c r="W60" s="2"/>
      <c r="X60" s="2"/>
    </row>
    <row r="61" spans="2:24" hidden="1" x14ac:dyDescent="0.25">
      <c r="B61" s="21"/>
      <c r="C61" s="43" t="s">
        <v>11</v>
      </c>
      <c r="D61" s="43"/>
      <c r="E61" s="39" t="s">
        <v>9</v>
      </c>
      <c r="F61" s="39"/>
      <c r="G61" s="42" t="s">
        <v>12</v>
      </c>
      <c r="H61" s="38">
        <f t="shared" ref="H61:R61" si="10">SUM(H56:H60)</f>
        <v>400</v>
      </c>
      <c r="I61" s="38">
        <f t="shared" si="10"/>
        <v>800</v>
      </c>
      <c r="J61" s="38">
        <f t="shared" si="10"/>
        <v>800</v>
      </c>
      <c r="K61" s="38">
        <f t="shared" si="10"/>
        <v>800</v>
      </c>
      <c r="L61" s="38">
        <f t="shared" si="10"/>
        <v>400</v>
      </c>
      <c r="M61" s="38">
        <f t="shared" si="10"/>
        <v>0</v>
      </c>
      <c r="N61" s="38">
        <f t="shared" ref="N61:O61" si="11">SUM(N56:N60)</f>
        <v>0</v>
      </c>
      <c r="O61" s="38">
        <f t="shared" si="11"/>
        <v>0</v>
      </c>
      <c r="P61" s="38">
        <f t="shared" si="10"/>
        <v>0</v>
      </c>
      <c r="Q61" s="38">
        <f t="shared" si="10"/>
        <v>0</v>
      </c>
      <c r="R61" s="38">
        <f t="shared" si="10"/>
        <v>3200</v>
      </c>
    </row>
    <row r="62" spans="2:24" hidden="1" x14ac:dyDescent="0.25">
      <c r="B62" s="18"/>
      <c r="C62" s="167">
        <v>66844</v>
      </c>
      <c r="D62" s="169" t="s">
        <v>33</v>
      </c>
      <c r="E62" s="36">
        <v>517199</v>
      </c>
      <c r="F62" s="37" t="s">
        <v>16</v>
      </c>
      <c r="G62" s="170">
        <v>44175</v>
      </c>
      <c r="H62" s="38">
        <v>50</v>
      </c>
      <c r="I62" s="38">
        <v>100</v>
      </c>
      <c r="J62" s="38">
        <v>100</v>
      </c>
      <c r="K62" s="38">
        <v>100</v>
      </c>
      <c r="L62" s="38">
        <v>50</v>
      </c>
      <c r="M62" s="38"/>
      <c r="N62" s="38"/>
      <c r="O62" s="38"/>
      <c r="P62" s="38"/>
      <c r="Q62" s="38"/>
      <c r="R62" s="38">
        <f>SUM(H62:Q62)</f>
        <v>400</v>
      </c>
      <c r="T62" s="27"/>
    </row>
    <row r="63" spans="2:24" hidden="1" x14ac:dyDescent="0.25">
      <c r="B63" s="18"/>
      <c r="C63" s="168"/>
      <c r="D63" s="169"/>
      <c r="E63" s="36">
        <v>517199</v>
      </c>
      <c r="F63" s="37" t="s">
        <v>22</v>
      </c>
      <c r="G63" s="171"/>
      <c r="H63" s="38">
        <v>50</v>
      </c>
      <c r="I63" s="38">
        <v>100</v>
      </c>
      <c r="J63" s="38">
        <v>100</v>
      </c>
      <c r="K63" s="38">
        <v>100</v>
      </c>
      <c r="L63" s="38">
        <v>50</v>
      </c>
      <c r="M63" s="38"/>
      <c r="N63" s="38"/>
      <c r="O63" s="38"/>
      <c r="P63" s="38"/>
      <c r="Q63" s="38"/>
      <c r="R63" s="38">
        <f t="shared" ref="R63:R65" si="12">SUM(H63:Q63)</f>
        <v>400</v>
      </c>
      <c r="T63" s="27"/>
    </row>
    <row r="64" spans="2:24" hidden="1" x14ac:dyDescent="0.25">
      <c r="B64" s="18"/>
      <c r="C64" s="168"/>
      <c r="D64" s="169"/>
      <c r="E64" s="36">
        <v>517199</v>
      </c>
      <c r="F64" s="39" t="s">
        <v>17</v>
      </c>
      <c r="G64" s="171"/>
      <c r="H64" s="38">
        <v>50</v>
      </c>
      <c r="I64" s="38">
        <v>100</v>
      </c>
      <c r="J64" s="38">
        <v>100</v>
      </c>
      <c r="K64" s="38">
        <v>100</v>
      </c>
      <c r="L64" s="38">
        <v>50</v>
      </c>
      <c r="M64" s="38"/>
      <c r="N64" s="38"/>
      <c r="O64" s="38"/>
      <c r="P64" s="38"/>
      <c r="Q64" s="38"/>
      <c r="R64" s="38">
        <f t="shared" si="12"/>
        <v>400</v>
      </c>
      <c r="T64" s="27"/>
    </row>
    <row r="65" spans="2:24" hidden="1" x14ac:dyDescent="0.25">
      <c r="B65" s="18"/>
      <c r="C65" s="168"/>
      <c r="D65" s="169"/>
      <c r="E65" s="36">
        <v>517199</v>
      </c>
      <c r="F65" s="39" t="s">
        <v>21</v>
      </c>
      <c r="G65" s="171"/>
      <c r="H65" s="38">
        <v>50</v>
      </c>
      <c r="I65" s="38">
        <v>100</v>
      </c>
      <c r="J65" s="38">
        <v>100</v>
      </c>
      <c r="K65" s="38">
        <v>100</v>
      </c>
      <c r="L65" s="38">
        <v>50</v>
      </c>
      <c r="M65" s="38"/>
      <c r="N65" s="38"/>
      <c r="O65" s="38"/>
      <c r="P65" s="38"/>
      <c r="Q65" s="38"/>
      <c r="R65" s="38">
        <f t="shared" si="12"/>
        <v>400</v>
      </c>
      <c r="T65" s="27"/>
      <c r="U65" s="34"/>
    </row>
    <row r="66" spans="2:24" s="12" customFormat="1" hidden="1" x14ac:dyDescent="0.25">
      <c r="B66" s="18"/>
      <c r="C66" s="40"/>
      <c r="D66" s="40"/>
      <c r="E66" s="41"/>
      <c r="F66" s="39"/>
      <c r="G66" s="42" t="s">
        <v>10</v>
      </c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2"/>
      <c r="T66" s="2"/>
      <c r="U66" s="2"/>
      <c r="V66" s="2"/>
      <c r="W66" s="2"/>
      <c r="X66" s="2"/>
    </row>
    <row r="67" spans="2:24" hidden="1" x14ac:dyDescent="0.25">
      <c r="B67" s="21"/>
      <c r="C67" s="43" t="s">
        <v>11</v>
      </c>
      <c r="D67" s="43"/>
      <c r="E67" s="39" t="s">
        <v>9</v>
      </c>
      <c r="F67" s="39"/>
      <c r="G67" s="42" t="s">
        <v>12</v>
      </c>
      <c r="H67" s="38">
        <f t="shared" ref="H67:R67" si="13">SUM(H62:H66)</f>
        <v>200</v>
      </c>
      <c r="I67" s="38">
        <f t="shared" si="13"/>
        <v>400</v>
      </c>
      <c r="J67" s="38">
        <f t="shared" si="13"/>
        <v>400</v>
      </c>
      <c r="K67" s="38">
        <f t="shared" si="13"/>
        <v>400</v>
      </c>
      <c r="L67" s="38">
        <f t="shared" si="13"/>
        <v>200</v>
      </c>
      <c r="M67" s="38">
        <f t="shared" si="13"/>
        <v>0</v>
      </c>
      <c r="N67" s="38">
        <f t="shared" ref="N67:O67" si="14">SUM(N62:N66)</f>
        <v>0</v>
      </c>
      <c r="O67" s="38">
        <f t="shared" si="14"/>
        <v>0</v>
      </c>
      <c r="P67" s="38">
        <f t="shared" si="13"/>
        <v>0</v>
      </c>
      <c r="Q67" s="38">
        <f t="shared" si="13"/>
        <v>0</v>
      </c>
      <c r="R67" s="38">
        <f t="shared" si="13"/>
        <v>1600</v>
      </c>
    </row>
    <row r="68" spans="2:24" hidden="1" x14ac:dyDescent="0.25">
      <c r="B68" s="18"/>
      <c r="C68" s="167">
        <v>66726</v>
      </c>
      <c r="D68" s="169" t="s">
        <v>33</v>
      </c>
      <c r="E68" s="36">
        <v>517199</v>
      </c>
      <c r="F68" s="37" t="s">
        <v>16</v>
      </c>
      <c r="G68" s="170">
        <v>44175</v>
      </c>
      <c r="H68" s="38">
        <v>12</v>
      </c>
      <c r="I68" s="38">
        <v>36</v>
      </c>
      <c r="J68" s="38">
        <v>60</v>
      </c>
      <c r="K68" s="38">
        <v>30</v>
      </c>
      <c r="L68" s="38">
        <v>18</v>
      </c>
      <c r="M68" s="38"/>
      <c r="N68" s="38"/>
      <c r="O68" s="38"/>
      <c r="P68" s="38"/>
      <c r="Q68" s="38"/>
      <c r="R68" s="38">
        <f>SUM(H68:Q68)</f>
        <v>156</v>
      </c>
      <c r="T68" s="27"/>
    </row>
    <row r="69" spans="2:24" hidden="1" x14ac:dyDescent="0.25">
      <c r="B69" s="18"/>
      <c r="C69" s="168"/>
      <c r="D69" s="169"/>
      <c r="E69" s="36">
        <v>517199</v>
      </c>
      <c r="F69" s="37" t="s">
        <v>22</v>
      </c>
      <c r="G69" s="171"/>
      <c r="H69" s="38">
        <v>6</v>
      </c>
      <c r="I69" s="38">
        <v>36</v>
      </c>
      <c r="J69" s="38">
        <v>48</v>
      </c>
      <c r="K69" s="38">
        <v>30</v>
      </c>
      <c r="L69" s="38">
        <v>18</v>
      </c>
      <c r="M69" s="38"/>
      <c r="N69" s="38"/>
      <c r="O69" s="38"/>
      <c r="P69" s="38"/>
      <c r="Q69" s="38"/>
      <c r="R69" s="38">
        <f t="shared" ref="R69:R71" si="15">SUM(H69:Q69)</f>
        <v>138</v>
      </c>
      <c r="T69" s="27"/>
    </row>
    <row r="70" spans="2:24" hidden="1" x14ac:dyDescent="0.25">
      <c r="B70" s="18"/>
      <c r="C70" s="168"/>
      <c r="D70" s="169"/>
      <c r="E70" s="36">
        <v>517199</v>
      </c>
      <c r="F70" s="39" t="s">
        <v>17</v>
      </c>
      <c r="G70" s="171"/>
      <c r="H70" s="38">
        <v>18</v>
      </c>
      <c r="I70" s="38">
        <v>66</v>
      </c>
      <c r="J70" s="38">
        <v>102</v>
      </c>
      <c r="K70" s="38">
        <v>60</v>
      </c>
      <c r="L70" s="38">
        <v>36</v>
      </c>
      <c r="M70" s="38"/>
      <c r="N70" s="38"/>
      <c r="O70" s="38"/>
      <c r="P70" s="38"/>
      <c r="Q70" s="38"/>
      <c r="R70" s="38">
        <f t="shared" si="15"/>
        <v>282</v>
      </c>
      <c r="T70" s="27"/>
    </row>
    <row r="71" spans="2:24" hidden="1" x14ac:dyDescent="0.25">
      <c r="B71" s="18"/>
      <c r="C71" s="168"/>
      <c r="D71" s="169"/>
      <c r="E71" s="36">
        <v>517199</v>
      </c>
      <c r="F71" s="39" t="s">
        <v>21</v>
      </c>
      <c r="G71" s="171"/>
      <c r="H71" s="38">
        <v>6</v>
      </c>
      <c r="I71" s="38">
        <v>30</v>
      </c>
      <c r="J71" s="38">
        <v>42</v>
      </c>
      <c r="K71" s="38">
        <v>18</v>
      </c>
      <c r="L71" s="38">
        <v>24</v>
      </c>
      <c r="M71" s="38"/>
      <c r="N71" s="38"/>
      <c r="O71" s="38"/>
      <c r="P71" s="38"/>
      <c r="Q71" s="38"/>
      <c r="R71" s="38">
        <f t="shared" si="15"/>
        <v>120</v>
      </c>
      <c r="T71" s="27"/>
      <c r="U71" s="34"/>
    </row>
    <row r="72" spans="2:24" s="12" customFormat="1" hidden="1" x14ac:dyDescent="0.25">
      <c r="B72" s="18"/>
      <c r="C72" s="40"/>
      <c r="D72" s="40"/>
      <c r="E72" s="41"/>
      <c r="F72" s="39"/>
      <c r="G72" s="42" t="s">
        <v>10</v>
      </c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2"/>
      <c r="T72" s="2"/>
      <c r="U72" s="2"/>
      <c r="V72" s="2"/>
      <c r="W72" s="2"/>
      <c r="X72" s="2"/>
    </row>
    <row r="73" spans="2:24" hidden="1" x14ac:dyDescent="0.25">
      <c r="B73" s="21"/>
      <c r="C73" s="43" t="s">
        <v>11</v>
      </c>
      <c r="D73" s="43"/>
      <c r="E73" s="39" t="s">
        <v>9</v>
      </c>
      <c r="F73" s="39"/>
      <c r="G73" s="42" t="s">
        <v>12</v>
      </c>
      <c r="H73" s="38">
        <f t="shared" ref="H73" si="16">SUM(H68:H72)</f>
        <v>42</v>
      </c>
      <c r="I73" s="38">
        <f t="shared" ref="I73" si="17">SUM(I68:I72)</f>
        <v>168</v>
      </c>
      <c r="J73" s="38">
        <f t="shared" ref="J73" si="18">SUM(J68:J72)</f>
        <v>252</v>
      </c>
      <c r="K73" s="38">
        <f t="shared" ref="K73" si="19">SUM(K68:K72)</f>
        <v>138</v>
      </c>
      <c r="L73" s="38">
        <f t="shared" ref="L73" si="20">SUM(L68:L72)</f>
        <v>96</v>
      </c>
      <c r="M73" s="38">
        <f t="shared" ref="M73" si="21">SUM(M68:M72)</f>
        <v>0</v>
      </c>
      <c r="N73" s="38">
        <f t="shared" ref="N73:P73" si="22">SUM(N68:N72)</f>
        <v>0</v>
      </c>
      <c r="O73" s="38">
        <f t="shared" ref="O73:Q73" si="23">SUM(O68:O72)</f>
        <v>0</v>
      </c>
      <c r="P73" s="38">
        <f t="shared" si="22"/>
        <v>0</v>
      </c>
      <c r="Q73" s="38">
        <f t="shared" si="23"/>
        <v>0</v>
      </c>
      <c r="R73" s="38">
        <f t="shared" ref="R73" si="24">SUM(R68:R72)</f>
        <v>696</v>
      </c>
    </row>
    <row r="74" spans="2:24" ht="13.95" hidden="1" customHeight="1" x14ac:dyDescent="0.25">
      <c r="B74" s="21"/>
      <c r="C74" s="167">
        <v>66724</v>
      </c>
      <c r="D74" s="169" t="s">
        <v>33</v>
      </c>
      <c r="E74" s="36">
        <v>517199</v>
      </c>
      <c r="F74" s="37" t="s">
        <v>16</v>
      </c>
      <c r="G74" s="170">
        <v>44175</v>
      </c>
      <c r="H74" s="38">
        <v>18</v>
      </c>
      <c r="I74" s="38">
        <v>66</v>
      </c>
      <c r="J74" s="38">
        <v>102</v>
      </c>
      <c r="K74" s="38">
        <v>54</v>
      </c>
      <c r="L74" s="38">
        <v>30</v>
      </c>
      <c r="M74" s="38"/>
      <c r="N74" s="38"/>
      <c r="O74" s="38"/>
      <c r="P74" s="38"/>
      <c r="Q74" s="38"/>
      <c r="R74" s="38">
        <f>SUM(H74:Q74)</f>
        <v>270</v>
      </c>
    </row>
    <row r="75" spans="2:24" hidden="1" x14ac:dyDescent="0.25">
      <c r="B75" s="18"/>
      <c r="C75" s="168"/>
      <c r="D75" s="169"/>
      <c r="E75" s="36">
        <v>517199</v>
      </c>
      <c r="F75" s="37" t="s">
        <v>22</v>
      </c>
      <c r="G75" s="171"/>
      <c r="H75" s="38">
        <v>18</v>
      </c>
      <c r="I75" s="38">
        <v>54</v>
      </c>
      <c r="J75" s="38">
        <v>84</v>
      </c>
      <c r="K75" s="38">
        <v>48</v>
      </c>
      <c r="L75" s="38">
        <v>30</v>
      </c>
      <c r="M75" s="38"/>
      <c r="N75" s="38"/>
      <c r="O75" s="38"/>
      <c r="P75" s="38"/>
      <c r="Q75" s="38"/>
      <c r="R75" s="38">
        <f t="shared" ref="R75:R77" si="25">SUM(H75:Q75)</f>
        <v>234</v>
      </c>
      <c r="T75" s="27"/>
    </row>
    <row r="76" spans="2:24" hidden="1" x14ac:dyDescent="0.25">
      <c r="B76" s="18"/>
      <c r="C76" s="168"/>
      <c r="D76" s="169"/>
      <c r="E76" s="36">
        <v>517199</v>
      </c>
      <c r="F76" s="39" t="s">
        <v>17</v>
      </c>
      <c r="G76" s="171"/>
      <c r="H76" s="38">
        <v>30</v>
      </c>
      <c r="I76" s="38">
        <v>114</v>
      </c>
      <c r="J76" s="38">
        <v>180</v>
      </c>
      <c r="K76" s="38">
        <v>102</v>
      </c>
      <c r="L76" s="38">
        <v>60</v>
      </c>
      <c r="M76" s="38"/>
      <c r="N76" s="38"/>
      <c r="O76" s="38"/>
      <c r="P76" s="38"/>
      <c r="Q76" s="38"/>
      <c r="R76" s="38">
        <f t="shared" si="25"/>
        <v>486</v>
      </c>
      <c r="T76" s="27"/>
    </row>
    <row r="77" spans="2:24" hidden="1" x14ac:dyDescent="0.25">
      <c r="B77" s="18"/>
      <c r="C77" s="168"/>
      <c r="D77" s="169"/>
      <c r="E77" s="36">
        <v>517199</v>
      </c>
      <c r="F77" s="39" t="s">
        <v>21</v>
      </c>
      <c r="G77" s="171"/>
      <c r="H77" s="38">
        <v>12</v>
      </c>
      <c r="I77" s="38">
        <v>48</v>
      </c>
      <c r="J77" s="38">
        <v>78</v>
      </c>
      <c r="K77" s="38">
        <v>42</v>
      </c>
      <c r="L77" s="38">
        <v>30</v>
      </c>
      <c r="M77" s="38"/>
      <c r="N77" s="38"/>
      <c r="O77" s="38"/>
      <c r="P77" s="38"/>
      <c r="Q77" s="38"/>
      <c r="R77" s="38">
        <f t="shared" si="25"/>
        <v>210</v>
      </c>
      <c r="T77" s="27"/>
    </row>
    <row r="78" spans="2:24" hidden="1" x14ac:dyDescent="0.25">
      <c r="B78" s="18"/>
      <c r="C78" s="40"/>
      <c r="D78" s="40"/>
      <c r="E78" s="41"/>
      <c r="F78" s="39"/>
      <c r="G78" s="42" t="s">
        <v>10</v>
      </c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T78" s="27"/>
      <c r="U78" s="34"/>
    </row>
    <row r="79" spans="2:24" s="12" customFormat="1" hidden="1" x14ac:dyDescent="0.25">
      <c r="B79" s="18"/>
      <c r="C79" s="43" t="s">
        <v>11</v>
      </c>
      <c r="D79" s="43"/>
      <c r="E79" s="39" t="s">
        <v>9</v>
      </c>
      <c r="F79" s="39"/>
      <c r="G79" s="42" t="s">
        <v>12</v>
      </c>
      <c r="H79" s="38">
        <f t="shared" ref="H79:R79" si="26">SUM(H74:H78)</f>
        <v>78</v>
      </c>
      <c r="I79" s="38">
        <f t="shared" si="26"/>
        <v>282</v>
      </c>
      <c r="J79" s="38">
        <f t="shared" si="26"/>
        <v>444</v>
      </c>
      <c r="K79" s="38">
        <f t="shared" si="26"/>
        <v>246</v>
      </c>
      <c r="L79" s="38">
        <f t="shared" si="26"/>
        <v>150</v>
      </c>
      <c r="M79" s="38">
        <f t="shared" si="26"/>
        <v>0</v>
      </c>
      <c r="N79" s="38">
        <f t="shared" ref="N79:O79" si="27">SUM(N74:N78)</f>
        <v>0</v>
      </c>
      <c r="O79" s="38">
        <f t="shared" si="27"/>
        <v>0</v>
      </c>
      <c r="P79" s="38">
        <f t="shared" si="26"/>
        <v>0</v>
      </c>
      <c r="Q79" s="38">
        <f t="shared" si="26"/>
        <v>0</v>
      </c>
      <c r="R79" s="38">
        <f t="shared" si="26"/>
        <v>1200</v>
      </c>
      <c r="S79" s="2"/>
      <c r="T79" s="2"/>
      <c r="U79" s="2"/>
      <c r="V79" s="2"/>
      <c r="W79" s="2"/>
      <c r="X79" s="2"/>
    </row>
    <row r="80" spans="2:24" hidden="1" x14ac:dyDescent="0.25">
      <c r="B80" s="21"/>
      <c r="C80" s="22" t="s">
        <v>34</v>
      </c>
      <c r="D80" s="43"/>
      <c r="E80" s="39"/>
      <c r="F80" s="39"/>
      <c r="G80" s="44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</row>
    <row r="81" spans="3:24" hidden="1" x14ac:dyDescent="0.25">
      <c r="C81" s="167"/>
      <c r="D81" s="169"/>
      <c r="E81" s="36">
        <v>517199</v>
      </c>
      <c r="F81" s="37" t="s">
        <v>16</v>
      </c>
      <c r="G81" s="170">
        <v>44175</v>
      </c>
      <c r="H81" s="38">
        <f>H62+H56+H50+H44+H38+H68+H74</f>
        <v>180</v>
      </c>
      <c r="I81" s="38">
        <f t="shared" ref="I81:L81" si="28">I62+I56+I50+I44+I38+I68+I74</f>
        <v>626</v>
      </c>
      <c r="J81" s="38">
        <f t="shared" si="28"/>
        <v>686</v>
      </c>
      <c r="K81" s="38">
        <f t="shared" si="28"/>
        <v>496</v>
      </c>
      <c r="L81" s="38">
        <f t="shared" si="28"/>
        <v>310</v>
      </c>
      <c r="M81" s="38"/>
      <c r="N81" s="38"/>
      <c r="O81" s="38"/>
      <c r="P81" s="38"/>
      <c r="Q81" s="38"/>
      <c r="R81" s="38">
        <f>SUM(H81:Q81)</f>
        <v>2298</v>
      </c>
    </row>
    <row r="82" spans="3:24" hidden="1" x14ac:dyDescent="0.25">
      <c r="C82" s="168"/>
      <c r="D82" s="169"/>
      <c r="E82" s="36">
        <v>517199</v>
      </c>
      <c r="F82" s="37" t="s">
        <v>22</v>
      </c>
      <c r="G82" s="171"/>
      <c r="H82" s="38">
        <f t="shared" ref="H82:L84" si="29">H63+H57+H51+H45+H39+H69+H75</f>
        <v>174</v>
      </c>
      <c r="I82" s="38">
        <f t="shared" si="29"/>
        <v>586</v>
      </c>
      <c r="J82" s="38">
        <f t="shared" si="29"/>
        <v>628</v>
      </c>
      <c r="K82" s="38">
        <f t="shared" si="29"/>
        <v>476</v>
      </c>
      <c r="L82" s="38">
        <f t="shared" si="29"/>
        <v>296</v>
      </c>
      <c r="M82" s="38"/>
      <c r="N82" s="38"/>
      <c r="O82" s="38"/>
      <c r="P82" s="38"/>
      <c r="Q82" s="38"/>
      <c r="R82" s="38">
        <f>SUM(H82:Q82)</f>
        <v>2160</v>
      </c>
    </row>
    <row r="83" spans="3:24" hidden="1" x14ac:dyDescent="0.25">
      <c r="C83" s="168"/>
      <c r="D83" s="169"/>
      <c r="E83" s="36">
        <v>517199</v>
      </c>
      <c r="F83" s="39" t="s">
        <v>17</v>
      </c>
      <c r="G83" s="171"/>
      <c r="H83" s="38">
        <f t="shared" si="29"/>
        <v>198</v>
      </c>
      <c r="I83" s="38">
        <f t="shared" si="29"/>
        <v>884</v>
      </c>
      <c r="J83" s="38">
        <f t="shared" si="29"/>
        <v>986</v>
      </c>
      <c r="K83" s="38">
        <f t="shared" si="29"/>
        <v>664</v>
      </c>
      <c r="L83" s="38">
        <f t="shared" si="29"/>
        <v>448</v>
      </c>
      <c r="M83" s="38"/>
      <c r="N83" s="38"/>
      <c r="O83" s="38"/>
      <c r="P83" s="38"/>
      <c r="Q83" s="38"/>
      <c r="R83" s="38">
        <f>SUM(H83:Q83)</f>
        <v>3180</v>
      </c>
    </row>
    <row r="84" spans="3:24" hidden="1" x14ac:dyDescent="0.25">
      <c r="C84" s="168"/>
      <c r="D84" s="169"/>
      <c r="E84" s="36">
        <v>517199</v>
      </c>
      <c r="F84" s="39" t="s">
        <v>21</v>
      </c>
      <c r="G84" s="171"/>
      <c r="H84" s="38">
        <f t="shared" si="29"/>
        <v>168</v>
      </c>
      <c r="I84" s="38">
        <f t="shared" si="29"/>
        <v>550</v>
      </c>
      <c r="J84" s="38">
        <f t="shared" si="29"/>
        <v>592</v>
      </c>
      <c r="K84" s="38">
        <f t="shared" si="29"/>
        <v>446</v>
      </c>
      <c r="L84" s="38">
        <f t="shared" si="29"/>
        <v>290</v>
      </c>
      <c r="M84" s="38"/>
      <c r="N84" s="38"/>
      <c r="O84" s="38"/>
      <c r="P84" s="38"/>
      <c r="Q84" s="38"/>
      <c r="R84" s="38">
        <f>SUM(H84:Q84)</f>
        <v>2046</v>
      </c>
    </row>
    <row r="85" spans="3:24" hidden="1" x14ac:dyDescent="0.25">
      <c r="C85" s="40"/>
      <c r="D85" s="40"/>
      <c r="E85" s="41"/>
      <c r="F85" s="39"/>
      <c r="G85" s="42" t="s">
        <v>10</v>
      </c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T85" s="22"/>
      <c r="U85" s="22"/>
      <c r="V85" s="22"/>
      <c r="W85" s="22"/>
      <c r="X85" s="22"/>
    </row>
    <row r="86" spans="3:24" hidden="1" x14ac:dyDescent="0.25">
      <c r="C86" s="43" t="s">
        <v>11</v>
      </c>
      <c r="D86" s="43"/>
      <c r="E86" s="39" t="s">
        <v>9</v>
      </c>
      <c r="F86" s="39"/>
      <c r="G86" s="42" t="s">
        <v>12</v>
      </c>
      <c r="H86" s="38">
        <f t="shared" ref="H86:R86" si="30">SUM(H81:H85)</f>
        <v>720</v>
      </c>
      <c r="I86" s="38">
        <f t="shared" si="30"/>
        <v>2646</v>
      </c>
      <c r="J86" s="38">
        <f t="shared" si="30"/>
        <v>2892</v>
      </c>
      <c r="K86" s="38">
        <f t="shared" si="30"/>
        <v>2082</v>
      </c>
      <c r="L86" s="38">
        <f t="shared" si="30"/>
        <v>1344</v>
      </c>
      <c r="M86" s="38">
        <f t="shared" si="30"/>
        <v>0</v>
      </c>
      <c r="N86" s="38">
        <f t="shared" ref="N86:O86" si="31">SUM(N81:N85)</f>
        <v>0</v>
      </c>
      <c r="O86" s="38">
        <f t="shared" si="31"/>
        <v>0</v>
      </c>
      <c r="P86" s="38">
        <f t="shared" si="30"/>
        <v>0</v>
      </c>
      <c r="Q86" s="38">
        <f t="shared" si="30"/>
        <v>0</v>
      </c>
      <c r="R86" s="38">
        <f t="shared" si="30"/>
        <v>9684</v>
      </c>
      <c r="S86" s="24" t="s">
        <v>24</v>
      </c>
      <c r="T86" s="23"/>
      <c r="U86" s="23"/>
      <c r="V86" s="23"/>
      <c r="W86" s="23"/>
      <c r="X86" s="23"/>
    </row>
    <row r="87" spans="3:24" x14ac:dyDescent="0.25">
      <c r="M87" s="2">
        <v>3965</v>
      </c>
      <c r="N87" s="2">
        <v>1681</v>
      </c>
      <c r="O87" s="2">
        <v>6183</v>
      </c>
      <c r="P87" s="2">
        <v>30905</v>
      </c>
      <c r="Q87" s="2">
        <v>13484</v>
      </c>
      <c r="R87" s="2">
        <v>1009</v>
      </c>
      <c r="S87" s="2">
        <v>4844</v>
      </c>
      <c r="T87" s="25">
        <f>SUM(L87:S87)</f>
        <v>62071</v>
      </c>
      <c r="U87" s="25"/>
      <c r="V87" s="25"/>
      <c r="W87" s="25"/>
      <c r="X87" s="25"/>
    </row>
    <row r="88" spans="3:24" ht="17.399999999999999" x14ac:dyDescent="0.25">
      <c r="C88" s="77" t="s">
        <v>35</v>
      </c>
    </row>
    <row r="89" spans="3:24" ht="21" customHeight="1" thickBot="1" x14ac:dyDescent="0.3">
      <c r="C89" s="61"/>
      <c r="D89" s="54"/>
      <c r="E89" s="54"/>
      <c r="F89" s="54"/>
      <c r="G89" s="54"/>
      <c r="H89" s="55" t="s">
        <v>40</v>
      </c>
      <c r="I89" s="55" t="s">
        <v>42</v>
      </c>
      <c r="J89" s="55" t="s">
        <v>43</v>
      </c>
      <c r="K89" s="55" t="s">
        <v>41</v>
      </c>
      <c r="L89" s="55" t="s">
        <v>6</v>
      </c>
      <c r="M89" s="55" t="s">
        <v>7</v>
      </c>
      <c r="N89" s="55" t="s">
        <v>8</v>
      </c>
      <c r="O89" s="55" t="s">
        <v>6</v>
      </c>
      <c r="P89" s="55" t="s">
        <v>7</v>
      </c>
      <c r="Q89" s="55" t="s">
        <v>8</v>
      </c>
      <c r="R89" s="56" t="s">
        <v>9</v>
      </c>
    </row>
    <row r="90" spans="3:24" ht="13.5" customHeight="1" x14ac:dyDescent="0.25">
      <c r="C90" s="175"/>
      <c r="D90" s="172" t="s">
        <v>55</v>
      </c>
      <c r="E90" s="62"/>
      <c r="F90" s="142" t="s">
        <v>51</v>
      </c>
      <c r="G90" s="69"/>
      <c r="H90" s="58">
        <f>11+10+17+86+38</f>
        <v>162</v>
      </c>
      <c r="I90" s="58">
        <f>37+16+58+289+126</f>
        <v>526</v>
      </c>
      <c r="J90" s="58">
        <f>141+61+222+1109+484</f>
        <v>2017</v>
      </c>
      <c r="K90" s="58">
        <f>141+60+221+1105+482</f>
        <v>2009</v>
      </c>
      <c r="L90" s="58">
        <f>254+109+399+1998+872</f>
        <v>3632</v>
      </c>
      <c r="M90" s="58">
        <f>268+115+422+2110+921</f>
        <v>3836</v>
      </c>
      <c r="N90" s="58">
        <f>122+52+192+959+419</f>
        <v>1744</v>
      </c>
      <c r="O90" s="58"/>
      <c r="P90" s="58"/>
      <c r="Q90" s="58"/>
      <c r="R90" s="58">
        <f t="shared" ref="R90:R129" si="32">SUM(H90:Q90)</f>
        <v>13926</v>
      </c>
    </row>
    <row r="91" spans="3:24" ht="15.6" x14ac:dyDescent="0.25">
      <c r="C91" s="176"/>
      <c r="D91" s="173"/>
      <c r="E91" s="63"/>
      <c r="F91" s="143" t="s">
        <v>52</v>
      </c>
      <c r="G91" s="64"/>
      <c r="H91" s="65">
        <f>36+15+56+281+123</f>
        <v>511</v>
      </c>
      <c r="I91" s="65">
        <f>74+32+117+584+255</f>
        <v>1062</v>
      </c>
      <c r="J91" s="65">
        <f>126+54+197+986+430</f>
        <v>1793</v>
      </c>
      <c r="K91" s="65">
        <f>123+53+194+970+423</f>
        <v>1763</v>
      </c>
      <c r="L91" s="65">
        <f>190+81+299+1493+651</f>
        <v>2714</v>
      </c>
      <c r="M91" s="65">
        <f>208+89+326+1632+712</f>
        <v>2967</v>
      </c>
      <c r="N91" s="65">
        <f>69+30+108+541+236</f>
        <v>984</v>
      </c>
      <c r="O91" s="65"/>
      <c r="P91" s="65"/>
      <c r="Q91" s="65"/>
      <c r="R91" s="65">
        <f t="shared" si="32"/>
        <v>11794</v>
      </c>
    </row>
    <row r="92" spans="3:24" ht="13.5" customHeight="1" x14ac:dyDescent="0.25">
      <c r="C92" s="176"/>
      <c r="D92" s="173"/>
      <c r="E92" s="59"/>
      <c r="F92" s="144" t="s">
        <v>53</v>
      </c>
      <c r="G92" s="60"/>
      <c r="H92" s="57">
        <f>10+10+10+48+21</f>
        <v>99</v>
      </c>
      <c r="I92" s="57">
        <f>32+14+51+253+111</f>
        <v>461</v>
      </c>
      <c r="J92" s="57">
        <f>56+24+88+441+192</f>
        <v>801</v>
      </c>
      <c r="K92" s="57">
        <f>55+23+86+430+188</f>
        <v>782</v>
      </c>
      <c r="L92" s="57">
        <f>70+30+110+552+241</f>
        <v>1003</v>
      </c>
      <c r="M92" s="57">
        <f>45+19+71+357+156</f>
        <v>648</v>
      </c>
      <c r="N92" s="57">
        <f>13+5+20+99+43</f>
        <v>180</v>
      </c>
      <c r="O92" s="57"/>
      <c r="P92" s="57"/>
      <c r="Q92" s="57"/>
      <c r="R92" s="57">
        <f t="shared" si="32"/>
        <v>3974</v>
      </c>
    </row>
    <row r="93" spans="3:24" ht="16.2" thickBot="1" x14ac:dyDescent="0.3">
      <c r="C93" s="176"/>
      <c r="D93" s="174"/>
      <c r="E93" s="70"/>
      <c r="F93" s="108" t="s">
        <v>54</v>
      </c>
      <c r="G93" s="71"/>
      <c r="H93" s="72">
        <f>22+10+35+173+75</f>
        <v>315</v>
      </c>
      <c r="I93" s="72">
        <f>57+24+89+445+194</f>
        <v>809</v>
      </c>
      <c r="J93" s="72">
        <f>101+43+158+790+345</f>
        <v>1437</v>
      </c>
      <c r="K93" s="72">
        <f>97+41+152+759+331</f>
        <v>1380</v>
      </c>
      <c r="L93" s="72">
        <f>127+54+199+995+434</f>
        <v>1809</v>
      </c>
      <c r="M93" s="72">
        <f>82+35+129+643+281</f>
        <v>1170</v>
      </c>
      <c r="N93" s="72">
        <f>22+10+35+174+76</f>
        <v>317</v>
      </c>
      <c r="O93" s="72"/>
      <c r="P93" s="72"/>
      <c r="Q93" s="72"/>
      <c r="R93" s="72">
        <f t="shared" si="32"/>
        <v>7237</v>
      </c>
    </row>
    <row r="94" spans="3:24" ht="13.5" customHeight="1" x14ac:dyDescent="0.25">
      <c r="C94" s="176"/>
      <c r="D94" s="172" t="s">
        <v>56</v>
      </c>
      <c r="E94" s="66"/>
      <c r="F94" s="145" t="s">
        <v>51</v>
      </c>
      <c r="G94" s="67"/>
      <c r="H94" s="68"/>
      <c r="I94" s="68"/>
      <c r="J94" s="68"/>
      <c r="K94" s="68"/>
      <c r="L94" s="68"/>
      <c r="M94" s="68"/>
      <c r="N94" s="68"/>
      <c r="O94" s="68">
        <f>96+41+151+757+330</f>
        <v>1375</v>
      </c>
      <c r="P94" s="68">
        <f>147+63+231+1154+503</f>
        <v>2098</v>
      </c>
      <c r="Q94" s="68">
        <f>102+44+160+799+348</f>
        <v>1453</v>
      </c>
      <c r="R94" s="68">
        <f t="shared" si="32"/>
        <v>4926</v>
      </c>
    </row>
    <row r="95" spans="3:24" ht="15.6" x14ac:dyDescent="0.25">
      <c r="C95" s="176"/>
      <c r="D95" s="173"/>
      <c r="E95" s="63"/>
      <c r="F95" s="143" t="s">
        <v>52</v>
      </c>
      <c r="G95" s="64"/>
      <c r="H95" s="65"/>
      <c r="I95" s="65"/>
      <c r="J95" s="65"/>
      <c r="K95" s="65"/>
      <c r="L95" s="65"/>
      <c r="M95" s="65"/>
      <c r="N95" s="65"/>
      <c r="O95" s="65">
        <f>77+33+121+607+265</f>
        <v>1103</v>
      </c>
      <c r="P95" s="65">
        <f>101+43+159+796+347</f>
        <v>1446</v>
      </c>
      <c r="Q95" s="65">
        <f>63+27+99+493+215</f>
        <v>897</v>
      </c>
      <c r="R95" s="65">
        <f t="shared" si="32"/>
        <v>3446</v>
      </c>
    </row>
    <row r="96" spans="3:24" ht="13.5" customHeight="1" x14ac:dyDescent="0.25">
      <c r="C96" s="176"/>
      <c r="D96" s="173"/>
      <c r="E96" s="59"/>
      <c r="F96" s="144" t="s">
        <v>53</v>
      </c>
      <c r="G96" s="60"/>
      <c r="H96" s="57"/>
      <c r="I96" s="57"/>
      <c r="J96" s="57"/>
      <c r="K96" s="57"/>
      <c r="L96" s="57"/>
      <c r="M96" s="57"/>
      <c r="N96" s="57"/>
      <c r="O96" s="57">
        <f>26+11+41+205+89</f>
        <v>372</v>
      </c>
      <c r="P96" s="57">
        <f>28+12+44+221+97</f>
        <v>402</v>
      </c>
      <c r="Q96" s="57">
        <f>15+10+24+119+52</f>
        <v>220</v>
      </c>
      <c r="R96" s="57">
        <f t="shared" si="32"/>
        <v>994</v>
      </c>
    </row>
    <row r="97" spans="3:20" ht="16.2" thickBot="1" x14ac:dyDescent="0.3">
      <c r="C97" s="176"/>
      <c r="D97" s="174"/>
      <c r="E97" s="70"/>
      <c r="F97" s="89" t="s">
        <v>54</v>
      </c>
      <c r="G97" s="71"/>
      <c r="H97" s="72"/>
      <c r="I97" s="72"/>
      <c r="J97" s="72"/>
      <c r="K97" s="72"/>
      <c r="L97" s="72"/>
      <c r="M97" s="72"/>
      <c r="N97" s="72"/>
      <c r="O97" s="72">
        <f>53+23+84+417+182</f>
        <v>759</v>
      </c>
      <c r="P97" s="72">
        <f>59+25+93+463+202</f>
        <v>842</v>
      </c>
      <c r="Q97" s="72">
        <f>32+14+50+248+108</f>
        <v>452</v>
      </c>
      <c r="R97" s="72">
        <f t="shared" si="32"/>
        <v>2053</v>
      </c>
    </row>
    <row r="98" spans="3:20" ht="13.5" customHeight="1" x14ac:dyDescent="0.25">
      <c r="C98" s="176"/>
      <c r="D98" s="172" t="s">
        <v>57</v>
      </c>
      <c r="E98" s="62"/>
      <c r="F98" s="142" t="s">
        <v>51</v>
      </c>
      <c r="G98" s="69"/>
      <c r="H98" s="58"/>
      <c r="I98" s="58"/>
      <c r="J98" s="58">
        <f>46+20+72+361+158</f>
        <v>657</v>
      </c>
      <c r="K98" s="58">
        <f>64+27+101+505+220</f>
        <v>917</v>
      </c>
      <c r="L98" s="58">
        <f>41+17+64+318+139</f>
        <v>579</v>
      </c>
      <c r="M98" s="58">
        <f>29+13+46+230+100</f>
        <v>418</v>
      </c>
      <c r="N98" s="58"/>
      <c r="O98" s="58"/>
      <c r="P98" s="58"/>
      <c r="Q98" s="58"/>
      <c r="R98" s="58">
        <f t="shared" si="32"/>
        <v>2571</v>
      </c>
    </row>
    <row r="99" spans="3:20" ht="15.6" x14ac:dyDescent="0.25">
      <c r="C99" s="176"/>
      <c r="D99" s="173"/>
      <c r="E99" s="63"/>
      <c r="F99" s="143" t="s">
        <v>52</v>
      </c>
      <c r="G99" s="64"/>
      <c r="H99" s="65"/>
      <c r="I99" s="65"/>
      <c r="J99" s="65">
        <f>25+11+39+194+84</f>
        <v>353</v>
      </c>
      <c r="K99" s="65">
        <f>64+27+100+500+218</f>
        <v>909</v>
      </c>
      <c r="L99" s="65">
        <f>72+31+113+565+246</f>
        <v>1027</v>
      </c>
      <c r="M99" s="65">
        <f>43+18+68+339+148</f>
        <v>616</v>
      </c>
      <c r="N99" s="65"/>
      <c r="O99" s="65"/>
      <c r="P99" s="65"/>
      <c r="Q99" s="65"/>
      <c r="R99" s="65">
        <f t="shared" si="32"/>
        <v>2905</v>
      </c>
    </row>
    <row r="100" spans="3:20" ht="13.5" customHeight="1" x14ac:dyDescent="0.25">
      <c r="C100" s="176"/>
      <c r="D100" s="173"/>
      <c r="E100" s="59"/>
      <c r="F100" s="144" t="s">
        <v>53</v>
      </c>
      <c r="G100" s="60"/>
      <c r="H100" s="57"/>
      <c r="I100" s="57"/>
      <c r="J100" s="57">
        <f>16+17+88+38</f>
        <v>159</v>
      </c>
      <c r="K100" s="57">
        <f>37+40+202+88</f>
        <v>367</v>
      </c>
      <c r="L100" s="57">
        <f>23+26+128+56</f>
        <v>233</v>
      </c>
      <c r="M100" s="57">
        <f>11+13+63+28</f>
        <v>115</v>
      </c>
      <c r="N100" s="57"/>
      <c r="O100" s="57"/>
      <c r="P100" s="57"/>
      <c r="Q100" s="57"/>
      <c r="R100" s="57">
        <f t="shared" si="32"/>
        <v>874</v>
      </c>
    </row>
    <row r="101" spans="3:20" ht="16.2" thickBot="1" x14ac:dyDescent="0.3">
      <c r="C101" s="176"/>
      <c r="D101" s="174"/>
      <c r="E101" s="70"/>
      <c r="F101" s="108" t="s">
        <v>54</v>
      </c>
      <c r="G101" s="71"/>
      <c r="H101" s="72"/>
      <c r="I101" s="72"/>
      <c r="J101" s="72">
        <f>15+10+23+116+51</f>
        <v>215</v>
      </c>
      <c r="K101" s="72">
        <f>37+16+58+291+127</f>
        <v>529</v>
      </c>
      <c r="L101" s="72">
        <f>38+16+60+299+131</f>
        <v>544</v>
      </c>
      <c r="M101" s="72">
        <f>16+10+25+125+54</f>
        <v>230</v>
      </c>
      <c r="N101" s="72"/>
      <c r="O101" s="72"/>
      <c r="P101" s="72"/>
      <c r="Q101" s="72"/>
      <c r="R101" s="72">
        <f t="shared" si="32"/>
        <v>1518</v>
      </c>
      <c r="T101" s="137">
        <f>SUM(G90:Q101)</f>
        <v>56218</v>
      </c>
    </row>
    <row r="102" spans="3:20" ht="13.5" customHeight="1" x14ac:dyDescent="0.25">
      <c r="C102" s="176"/>
      <c r="D102" s="172" t="s">
        <v>58</v>
      </c>
      <c r="E102" s="62"/>
      <c r="F102" s="142" t="s">
        <v>51</v>
      </c>
      <c r="G102" s="69"/>
      <c r="H102" s="58">
        <f>11+14</f>
        <v>25</v>
      </c>
      <c r="I102" s="58">
        <f>24+31</f>
        <v>55</v>
      </c>
      <c r="J102" s="58">
        <f>26+34</f>
        <v>60</v>
      </c>
      <c r="K102" s="58">
        <f>32+41</f>
        <v>73</v>
      </c>
      <c r="L102" s="58">
        <f>84+108</f>
        <v>192</v>
      </c>
      <c r="M102" s="58">
        <f>87+112</f>
        <v>199</v>
      </c>
      <c r="N102" s="58">
        <f>0</f>
        <v>0</v>
      </c>
      <c r="O102" s="58"/>
      <c r="P102" s="58"/>
      <c r="Q102" s="58"/>
      <c r="R102" s="58">
        <f t="shared" si="32"/>
        <v>604</v>
      </c>
    </row>
    <row r="103" spans="3:20" ht="15.6" x14ac:dyDescent="0.25">
      <c r="C103" s="176"/>
      <c r="D103" s="173"/>
      <c r="E103" s="63"/>
      <c r="F103" s="143" t="s">
        <v>52</v>
      </c>
      <c r="G103" s="64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>
        <f t="shared" si="32"/>
        <v>0</v>
      </c>
    </row>
    <row r="104" spans="3:20" ht="13.5" customHeight="1" x14ac:dyDescent="0.25">
      <c r="C104" s="176"/>
      <c r="D104" s="173"/>
      <c r="E104" s="59"/>
      <c r="F104" s="144" t="s">
        <v>53</v>
      </c>
      <c r="G104" s="60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>
        <f t="shared" si="32"/>
        <v>0</v>
      </c>
    </row>
    <row r="105" spans="3:20" ht="16.2" thickBot="1" x14ac:dyDescent="0.3">
      <c r="C105" s="176"/>
      <c r="D105" s="174"/>
      <c r="E105" s="70"/>
      <c r="F105" s="108" t="s">
        <v>54</v>
      </c>
      <c r="G105" s="71"/>
      <c r="H105" s="72">
        <f>10+10</f>
        <v>20</v>
      </c>
      <c r="I105" s="72">
        <f>16+20</f>
        <v>36</v>
      </c>
      <c r="J105" s="72">
        <f>18+23</f>
        <v>41</v>
      </c>
      <c r="K105" s="72">
        <f>21+27</f>
        <v>48</v>
      </c>
      <c r="L105" s="72">
        <f>56+72</f>
        <v>128</v>
      </c>
      <c r="M105" s="72">
        <f>58+74</f>
        <v>132</v>
      </c>
      <c r="N105" s="72">
        <f>0</f>
        <v>0</v>
      </c>
      <c r="O105" s="72"/>
      <c r="P105" s="72"/>
      <c r="Q105" s="72"/>
      <c r="R105" s="72">
        <f t="shared" si="32"/>
        <v>405</v>
      </c>
    </row>
    <row r="106" spans="3:20" ht="13.5" customHeight="1" x14ac:dyDescent="0.25">
      <c r="C106" s="176"/>
      <c r="D106" s="172" t="s">
        <v>59</v>
      </c>
      <c r="E106" s="62"/>
      <c r="F106" s="142" t="s">
        <v>51</v>
      </c>
      <c r="G106" s="69"/>
      <c r="H106" s="58">
        <v>10</v>
      </c>
      <c r="I106" s="58">
        <v>34</v>
      </c>
      <c r="J106" s="58">
        <v>130</v>
      </c>
      <c r="K106" s="58">
        <v>130</v>
      </c>
      <c r="L106" s="58">
        <v>234</v>
      </c>
      <c r="M106" s="58">
        <v>247</v>
      </c>
      <c r="N106" s="58">
        <v>112</v>
      </c>
      <c r="O106" s="58"/>
      <c r="P106" s="58"/>
      <c r="Q106" s="58"/>
      <c r="R106" s="58">
        <f t="shared" si="32"/>
        <v>897</v>
      </c>
    </row>
    <row r="107" spans="3:20" ht="15.6" x14ac:dyDescent="0.25">
      <c r="C107" s="176"/>
      <c r="D107" s="173"/>
      <c r="E107" s="63"/>
      <c r="F107" s="143" t="s">
        <v>52</v>
      </c>
      <c r="G107" s="64"/>
      <c r="H107" s="65">
        <v>7</v>
      </c>
      <c r="I107" s="65">
        <v>24</v>
      </c>
      <c r="J107" s="65">
        <v>92</v>
      </c>
      <c r="K107" s="65">
        <v>92</v>
      </c>
      <c r="L107" s="65">
        <v>166</v>
      </c>
      <c r="M107" s="65">
        <v>175</v>
      </c>
      <c r="N107" s="65">
        <v>80</v>
      </c>
      <c r="O107" s="65"/>
      <c r="P107" s="65"/>
      <c r="Q107" s="65"/>
      <c r="R107" s="65">
        <f t="shared" si="32"/>
        <v>636</v>
      </c>
    </row>
    <row r="108" spans="3:20" ht="13.5" customHeight="1" x14ac:dyDescent="0.25">
      <c r="C108" s="176"/>
      <c r="D108" s="173"/>
      <c r="E108" s="59"/>
      <c r="F108" s="144" t="s">
        <v>53</v>
      </c>
      <c r="G108" s="60"/>
      <c r="H108" s="57">
        <v>8</v>
      </c>
      <c r="I108" s="57">
        <v>26</v>
      </c>
      <c r="J108" s="57">
        <v>101</v>
      </c>
      <c r="K108" s="57">
        <v>101</v>
      </c>
      <c r="L108" s="57">
        <v>181</v>
      </c>
      <c r="M108" s="57">
        <v>191</v>
      </c>
      <c r="N108" s="57">
        <v>87</v>
      </c>
      <c r="O108" s="57"/>
      <c r="P108" s="57"/>
      <c r="Q108" s="57"/>
      <c r="R108" s="57">
        <f t="shared" si="32"/>
        <v>695</v>
      </c>
    </row>
    <row r="109" spans="3:20" ht="16.2" thickBot="1" x14ac:dyDescent="0.3">
      <c r="C109" s="176"/>
      <c r="D109" s="174"/>
      <c r="E109" s="70"/>
      <c r="F109" s="108" t="s">
        <v>54</v>
      </c>
      <c r="G109" s="71"/>
      <c r="H109" s="72">
        <v>7</v>
      </c>
      <c r="I109" s="72">
        <v>22</v>
      </c>
      <c r="J109" s="72">
        <v>84</v>
      </c>
      <c r="K109" s="72">
        <v>84</v>
      </c>
      <c r="L109" s="72">
        <v>152</v>
      </c>
      <c r="M109" s="72">
        <v>160</v>
      </c>
      <c r="N109" s="72">
        <v>73</v>
      </c>
      <c r="O109" s="72"/>
      <c r="P109" s="72"/>
      <c r="Q109" s="72"/>
      <c r="R109" s="72">
        <f t="shared" si="32"/>
        <v>582</v>
      </c>
    </row>
    <row r="110" spans="3:20" ht="13.5" customHeight="1" x14ac:dyDescent="0.25">
      <c r="C110" s="176"/>
      <c r="D110" s="172" t="s">
        <v>60</v>
      </c>
      <c r="E110" s="66"/>
      <c r="F110" s="145" t="s">
        <v>51</v>
      </c>
      <c r="G110" s="67"/>
      <c r="H110" s="68"/>
      <c r="I110" s="68"/>
      <c r="J110" s="68"/>
      <c r="K110" s="68"/>
      <c r="L110" s="68"/>
      <c r="M110" s="68"/>
      <c r="N110" s="68"/>
      <c r="O110" s="68">
        <v>120</v>
      </c>
      <c r="P110" s="68">
        <v>183</v>
      </c>
      <c r="Q110" s="68">
        <v>127</v>
      </c>
      <c r="R110" s="68">
        <f t="shared" si="32"/>
        <v>430</v>
      </c>
    </row>
    <row r="111" spans="3:20" ht="15.6" x14ac:dyDescent="0.25">
      <c r="C111" s="176"/>
      <c r="D111" s="173"/>
      <c r="E111" s="63"/>
      <c r="F111" s="143" t="s">
        <v>52</v>
      </c>
      <c r="G111" s="64"/>
      <c r="H111" s="65"/>
      <c r="I111" s="65"/>
      <c r="J111" s="65"/>
      <c r="K111" s="65"/>
      <c r="L111" s="65"/>
      <c r="M111" s="65"/>
      <c r="N111" s="65"/>
      <c r="O111" s="65">
        <v>85</v>
      </c>
      <c r="P111" s="65">
        <v>130</v>
      </c>
      <c r="Q111" s="65">
        <v>90</v>
      </c>
      <c r="R111" s="65">
        <f t="shared" si="32"/>
        <v>305</v>
      </c>
    </row>
    <row r="112" spans="3:20" ht="13.5" customHeight="1" x14ac:dyDescent="0.25">
      <c r="C112" s="176"/>
      <c r="D112" s="173"/>
      <c r="E112" s="59"/>
      <c r="F112" s="144" t="s">
        <v>53</v>
      </c>
      <c r="G112" s="60"/>
      <c r="H112" s="57"/>
      <c r="I112" s="57"/>
      <c r="J112" s="57"/>
      <c r="K112" s="57"/>
      <c r="L112" s="57"/>
      <c r="M112" s="57"/>
      <c r="N112" s="57"/>
      <c r="O112" s="57">
        <v>93</v>
      </c>
      <c r="P112" s="57">
        <v>142</v>
      </c>
      <c r="Q112" s="57">
        <v>99</v>
      </c>
      <c r="R112" s="57">
        <f t="shared" si="32"/>
        <v>334</v>
      </c>
    </row>
    <row r="113" spans="3:20" ht="16.2" thickBot="1" x14ac:dyDescent="0.3">
      <c r="C113" s="176"/>
      <c r="D113" s="174"/>
      <c r="E113" s="70"/>
      <c r="F113" s="89" t="s">
        <v>54</v>
      </c>
      <c r="G113" s="71"/>
      <c r="H113" s="72"/>
      <c r="I113" s="72"/>
      <c r="J113" s="72"/>
      <c r="K113" s="72"/>
      <c r="L113" s="72"/>
      <c r="M113" s="72"/>
      <c r="N113" s="72"/>
      <c r="O113" s="72">
        <v>78</v>
      </c>
      <c r="P113" s="72">
        <v>119</v>
      </c>
      <c r="Q113" s="72">
        <v>82</v>
      </c>
      <c r="R113" s="72">
        <f t="shared" si="32"/>
        <v>279</v>
      </c>
    </row>
    <row r="114" spans="3:20" ht="13.5" customHeight="1" x14ac:dyDescent="0.25">
      <c r="C114" s="176"/>
      <c r="D114" s="172" t="s">
        <v>61</v>
      </c>
      <c r="E114" s="62"/>
      <c r="F114" s="142" t="s">
        <v>51</v>
      </c>
      <c r="G114" s="69"/>
      <c r="H114" s="58"/>
      <c r="I114" s="58"/>
      <c r="J114" s="58">
        <v>56</v>
      </c>
      <c r="K114" s="58">
        <v>78</v>
      </c>
      <c r="L114" s="58">
        <v>50</v>
      </c>
      <c r="M114" s="58">
        <v>35</v>
      </c>
      <c r="N114" s="58"/>
      <c r="O114" s="58"/>
      <c r="P114" s="58"/>
      <c r="Q114" s="58"/>
      <c r="R114" s="58">
        <f t="shared" si="32"/>
        <v>219</v>
      </c>
    </row>
    <row r="115" spans="3:20" ht="15.6" x14ac:dyDescent="0.25">
      <c r="C115" s="176"/>
      <c r="D115" s="173"/>
      <c r="E115" s="63"/>
      <c r="F115" s="143" t="s">
        <v>52</v>
      </c>
      <c r="G115" s="64"/>
      <c r="H115" s="65"/>
      <c r="I115" s="65"/>
      <c r="J115" s="65">
        <v>40</v>
      </c>
      <c r="K115" s="65">
        <v>55</v>
      </c>
      <c r="L115" s="65">
        <v>35</v>
      </c>
      <c r="M115" s="65">
        <v>25</v>
      </c>
      <c r="N115" s="65"/>
      <c r="O115" s="65"/>
      <c r="P115" s="65"/>
      <c r="Q115" s="65"/>
      <c r="R115" s="65">
        <f t="shared" si="32"/>
        <v>155</v>
      </c>
    </row>
    <row r="116" spans="3:20" ht="13.5" customHeight="1" x14ac:dyDescent="0.25">
      <c r="C116" s="176"/>
      <c r="D116" s="173"/>
      <c r="E116" s="59"/>
      <c r="F116" s="144" t="s">
        <v>53</v>
      </c>
      <c r="G116" s="60"/>
      <c r="H116" s="57"/>
      <c r="I116" s="57"/>
      <c r="J116" s="57">
        <v>43</v>
      </c>
      <c r="K116" s="57">
        <v>61</v>
      </c>
      <c r="L116" s="57">
        <v>39</v>
      </c>
      <c r="M116" s="57">
        <v>27</v>
      </c>
      <c r="N116" s="57"/>
      <c r="O116" s="57"/>
      <c r="P116" s="57"/>
      <c r="Q116" s="57"/>
      <c r="R116" s="57">
        <f t="shared" si="32"/>
        <v>170</v>
      </c>
    </row>
    <row r="117" spans="3:20" ht="16.2" thickBot="1" x14ac:dyDescent="0.3">
      <c r="C117" s="176"/>
      <c r="D117" s="174"/>
      <c r="E117" s="70"/>
      <c r="F117" s="108" t="s">
        <v>54</v>
      </c>
      <c r="G117" s="71"/>
      <c r="H117" s="72"/>
      <c r="I117" s="72"/>
      <c r="J117" s="72">
        <v>36</v>
      </c>
      <c r="K117" s="72">
        <v>51</v>
      </c>
      <c r="L117" s="72">
        <v>32</v>
      </c>
      <c r="M117" s="72">
        <v>23</v>
      </c>
      <c r="N117" s="72"/>
      <c r="O117" s="72"/>
      <c r="P117" s="72"/>
      <c r="Q117" s="72"/>
      <c r="R117" s="72">
        <f t="shared" si="32"/>
        <v>142</v>
      </c>
      <c r="T117" s="137">
        <f>SUM(G106:Q117)</f>
        <v>4844</v>
      </c>
    </row>
    <row r="118" spans="3:20" ht="13.5" customHeight="1" x14ac:dyDescent="0.25">
      <c r="C118" s="176"/>
      <c r="D118" s="177" t="s">
        <v>62</v>
      </c>
      <c r="E118" s="90"/>
      <c r="F118" s="146" t="s">
        <v>51</v>
      </c>
      <c r="G118" s="91"/>
      <c r="H118" s="150">
        <f>H90+H94+H102+H106</f>
        <v>197</v>
      </c>
      <c r="I118" s="150">
        <f t="shared" ref="I118:N118" si="33">I90+I94+I102+I106</f>
        <v>615</v>
      </c>
      <c r="J118" s="150">
        <f t="shared" si="33"/>
        <v>2207</v>
      </c>
      <c r="K118" s="150">
        <f t="shared" si="33"/>
        <v>2212</v>
      </c>
      <c r="L118" s="150">
        <f t="shared" si="33"/>
        <v>4058</v>
      </c>
      <c r="M118" s="150">
        <f t="shared" si="33"/>
        <v>4282</v>
      </c>
      <c r="N118" s="150">
        <f t="shared" si="33"/>
        <v>1856</v>
      </c>
      <c r="O118" s="150"/>
      <c r="P118" s="150"/>
      <c r="Q118" s="150"/>
      <c r="R118" s="92">
        <f t="shared" si="32"/>
        <v>15427</v>
      </c>
    </row>
    <row r="119" spans="3:20" ht="15.6" x14ac:dyDescent="0.25">
      <c r="C119" s="176"/>
      <c r="D119" s="178"/>
      <c r="E119" s="138"/>
      <c r="F119" s="147" t="s">
        <v>52</v>
      </c>
      <c r="G119" s="139"/>
      <c r="H119" s="93">
        <f t="shared" ref="H119:N119" si="34">H91+H95+H103+H107</f>
        <v>518</v>
      </c>
      <c r="I119" s="93">
        <f t="shared" si="34"/>
        <v>1086</v>
      </c>
      <c r="J119" s="93">
        <f t="shared" si="34"/>
        <v>1885</v>
      </c>
      <c r="K119" s="93">
        <f t="shared" si="34"/>
        <v>1855</v>
      </c>
      <c r="L119" s="93">
        <f t="shared" si="34"/>
        <v>2880</v>
      </c>
      <c r="M119" s="93">
        <f t="shared" si="34"/>
        <v>3142</v>
      </c>
      <c r="N119" s="93">
        <f t="shared" si="34"/>
        <v>1064</v>
      </c>
      <c r="O119" s="93"/>
      <c r="P119" s="93"/>
      <c r="Q119" s="93"/>
      <c r="R119" s="140">
        <f t="shared" si="32"/>
        <v>12430</v>
      </c>
    </row>
    <row r="120" spans="3:20" ht="13.5" customHeight="1" x14ac:dyDescent="0.25">
      <c r="C120" s="176"/>
      <c r="D120" s="178"/>
      <c r="E120" s="94"/>
      <c r="F120" s="148" t="s">
        <v>53</v>
      </c>
      <c r="G120" s="96"/>
      <c r="H120" s="93">
        <f t="shared" ref="H120:N120" si="35">H92+H96+H104+H108</f>
        <v>107</v>
      </c>
      <c r="I120" s="93">
        <f t="shared" si="35"/>
        <v>487</v>
      </c>
      <c r="J120" s="93">
        <f t="shared" si="35"/>
        <v>902</v>
      </c>
      <c r="K120" s="93">
        <f t="shared" si="35"/>
        <v>883</v>
      </c>
      <c r="L120" s="93">
        <f t="shared" si="35"/>
        <v>1184</v>
      </c>
      <c r="M120" s="93">
        <f t="shared" si="35"/>
        <v>839</v>
      </c>
      <c r="N120" s="93">
        <f t="shared" si="35"/>
        <v>267</v>
      </c>
      <c r="O120" s="93"/>
      <c r="P120" s="93"/>
      <c r="Q120" s="93"/>
      <c r="R120" s="93">
        <f t="shared" si="32"/>
        <v>4669</v>
      </c>
    </row>
    <row r="121" spans="3:20" ht="16.2" thickBot="1" x14ac:dyDescent="0.3">
      <c r="C121" s="176"/>
      <c r="D121" s="179"/>
      <c r="E121" s="97"/>
      <c r="F121" s="109" t="s">
        <v>54</v>
      </c>
      <c r="G121" s="98"/>
      <c r="H121" s="140">
        <f t="shared" ref="H121:N121" si="36">H93+H97+H105+H109</f>
        <v>342</v>
      </c>
      <c r="I121" s="140">
        <f t="shared" si="36"/>
        <v>867</v>
      </c>
      <c r="J121" s="140">
        <f t="shared" si="36"/>
        <v>1562</v>
      </c>
      <c r="K121" s="140">
        <f t="shared" si="36"/>
        <v>1512</v>
      </c>
      <c r="L121" s="140">
        <f t="shared" si="36"/>
        <v>2089</v>
      </c>
      <c r="M121" s="140">
        <f t="shared" si="36"/>
        <v>1462</v>
      </c>
      <c r="N121" s="140">
        <f t="shared" si="36"/>
        <v>390</v>
      </c>
      <c r="O121" s="140"/>
      <c r="P121" s="140"/>
      <c r="Q121" s="140"/>
      <c r="R121" s="99">
        <f t="shared" si="32"/>
        <v>8224</v>
      </c>
    </row>
    <row r="122" spans="3:20" ht="13.5" customHeight="1" x14ac:dyDescent="0.25">
      <c r="C122" s="176"/>
      <c r="D122" s="177" t="s">
        <v>63</v>
      </c>
      <c r="E122" s="100"/>
      <c r="F122" s="149" t="s">
        <v>51</v>
      </c>
      <c r="G122" s="101"/>
      <c r="H122" s="92"/>
      <c r="I122" s="92"/>
      <c r="J122" s="92"/>
      <c r="K122" s="92"/>
      <c r="L122" s="92"/>
      <c r="M122" s="92"/>
      <c r="N122" s="92"/>
      <c r="O122" s="92">
        <f>O94+O110</f>
        <v>1495</v>
      </c>
      <c r="P122" s="92">
        <f t="shared" ref="P122:Q122" si="37">P94+P110</f>
        <v>2281</v>
      </c>
      <c r="Q122" s="92">
        <f t="shared" si="37"/>
        <v>1580</v>
      </c>
      <c r="R122" s="102">
        <f t="shared" si="32"/>
        <v>5356</v>
      </c>
    </row>
    <row r="123" spans="3:20" ht="15.6" x14ac:dyDescent="0.25">
      <c r="C123" s="176"/>
      <c r="D123" s="178"/>
      <c r="E123" s="138"/>
      <c r="F123" s="147" t="s">
        <v>52</v>
      </c>
      <c r="G123" s="139"/>
      <c r="H123" s="93"/>
      <c r="I123" s="93"/>
      <c r="J123" s="93"/>
      <c r="K123" s="93"/>
      <c r="L123" s="93"/>
      <c r="M123" s="93"/>
      <c r="N123" s="93"/>
      <c r="O123" s="93">
        <f t="shared" ref="O123:Q123" si="38">O95+O111</f>
        <v>1188</v>
      </c>
      <c r="P123" s="93">
        <f t="shared" si="38"/>
        <v>1576</v>
      </c>
      <c r="Q123" s="93">
        <f t="shared" si="38"/>
        <v>987</v>
      </c>
      <c r="R123" s="140">
        <f t="shared" si="32"/>
        <v>3751</v>
      </c>
    </row>
    <row r="124" spans="3:20" ht="13.5" customHeight="1" x14ac:dyDescent="0.25">
      <c r="C124" s="176"/>
      <c r="D124" s="178"/>
      <c r="E124" s="94"/>
      <c r="F124" s="148" t="s">
        <v>53</v>
      </c>
      <c r="G124" s="96"/>
      <c r="H124" s="93"/>
      <c r="I124" s="93"/>
      <c r="J124" s="93"/>
      <c r="K124" s="93"/>
      <c r="L124" s="93"/>
      <c r="M124" s="93"/>
      <c r="N124" s="93"/>
      <c r="O124" s="93">
        <f t="shared" ref="O124:Q124" si="39">O96+O112</f>
        <v>465</v>
      </c>
      <c r="P124" s="93">
        <f t="shared" si="39"/>
        <v>544</v>
      </c>
      <c r="Q124" s="93">
        <f t="shared" si="39"/>
        <v>319</v>
      </c>
      <c r="R124" s="93">
        <f t="shared" si="32"/>
        <v>1328</v>
      </c>
    </row>
    <row r="125" spans="3:20" ht="16.2" thickBot="1" x14ac:dyDescent="0.3">
      <c r="C125" s="176"/>
      <c r="D125" s="179"/>
      <c r="E125" s="97"/>
      <c r="F125" s="95" t="s">
        <v>54</v>
      </c>
      <c r="G125" s="98"/>
      <c r="H125" s="99"/>
      <c r="I125" s="99"/>
      <c r="J125" s="99"/>
      <c r="K125" s="99"/>
      <c r="L125" s="99"/>
      <c r="M125" s="99"/>
      <c r="N125" s="99"/>
      <c r="O125" s="99">
        <f t="shared" ref="O125:Q125" si="40">O97+O113</f>
        <v>837</v>
      </c>
      <c r="P125" s="99">
        <f t="shared" si="40"/>
        <v>961</v>
      </c>
      <c r="Q125" s="99">
        <f t="shared" si="40"/>
        <v>534</v>
      </c>
      <c r="R125" s="99">
        <f t="shared" si="32"/>
        <v>2332</v>
      </c>
    </row>
    <row r="126" spans="3:20" ht="13.5" customHeight="1" x14ac:dyDescent="0.25">
      <c r="C126" s="176"/>
      <c r="D126" s="177" t="s">
        <v>64</v>
      </c>
      <c r="E126" s="90"/>
      <c r="F126" s="146" t="s">
        <v>51</v>
      </c>
      <c r="G126" s="91"/>
      <c r="H126" s="102"/>
      <c r="I126" s="102"/>
      <c r="J126" s="102">
        <f>J98+J114</f>
        <v>713</v>
      </c>
      <c r="K126" s="102">
        <f t="shared" ref="K126:M126" si="41">K98+K114</f>
        <v>995</v>
      </c>
      <c r="L126" s="102">
        <f t="shared" si="41"/>
        <v>629</v>
      </c>
      <c r="M126" s="102">
        <f t="shared" si="41"/>
        <v>453</v>
      </c>
      <c r="N126" s="102"/>
      <c r="O126" s="102"/>
      <c r="P126" s="102"/>
      <c r="Q126" s="102"/>
      <c r="R126" s="92">
        <f t="shared" si="32"/>
        <v>2790</v>
      </c>
    </row>
    <row r="127" spans="3:20" ht="15.6" x14ac:dyDescent="0.25">
      <c r="C127" s="176"/>
      <c r="D127" s="178"/>
      <c r="E127" s="138"/>
      <c r="F127" s="147" t="s">
        <v>52</v>
      </c>
      <c r="G127" s="139"/>
      <c r="H127" s="93"/>
      <c r="I127" s="93"/>
      <c r="J127" s="93">
        <f t="shared" ref="J127:M127" si="42">J99+J115</f>
        <v>393</v>
      </c>
      <c r="K127" s="93">
        <f t="shared" si="42"/>
        <v>964</v>
      </c>
      <c r="L127" s="93">
        <f t="shared" si="42"/>
        <v>1062</v>
      </c>
      <c r="M127" s="93">
        <f t="shared" si="42"/>
        <v>641</v>
      </c>
      <c r="N127" s="93"/>
      <c r="O127" s="93"/>
      <c r="P127" s="93"/>
      <c r="Q127" s="93"/>
      <c r="R127" s="140">
        <f t="shared" si="32"/>
        <v>3060</v>
      </c>
    </row>
    <row r="128" spans="3:20" ht="13.5" customHeight="1" x14ac:dyDescent="0.25">
      <c r="C128" s="176"/>
      <c r="D128" s="178"/>
      <c r="E128" s="94"/>
      <c r="F128" s="148" t="s">
        <v>53</v>
      </c>
      <c r="G128" s="96"/>
      <c r="H128" s="93"/>
      <c r="I128" s="93"/>
      <c r="J128" s="93">
        <f t="shared" ref="J128:M128" si="43">J100+J116</f>
        <v>202</v>
      </c>
      <c r="K128" s="93">
        <f t="shared" si="43"/>
        <v>428</v>
      </c>
      <c r="L128" s="93">
        <f t="shared" si="43"/>
        <v>272</v>
      </c>
      <c r="M128" s="93">
        <f t="shared" si="43"/>
        <v>142</v>
      </c>
      <c r="N128" s="93"/>
      <c r="O128" s="93"/>
      <c r="P128" s="93"/>
      <c r="Q128" s="93"/>
      <c r="R128" s="93">
        <f t="shared" si="32"/>
        <v>1044</v>
      </c>
    </row>
    <row r="129" spans="3:22" ht="16.2" thickBot="1" x14ac:dyDescent="0.3">
      <c r="C129" s="176"/>
      <c r="D129" s="179"/>
      <c r="E129" s="97"/>
      <c r="F129" s="109" t="s">
        <v>54</v>
      </c>
      <c r="G129" s="98"/>
      <c r="H129" s="140"/>
      <c r="I129" s="140"/>
      <c r="J129" s="140">
        <f t="shared" ref="J129:M129" si="44">J101+J117</f>
        <v>251</v>
      </c>
      <c r="K129" s="140">
        <f t="shared" si="44"/>
        <v>580</v>
      </c>
      <c r="L129" s="140">
        <f t="shared" si="44"/>
        <v>576</v>
      </c>
      <c r="M129" s="140">
        <f t="shared" si="44"/>
        <v>253</v>
      </c>
      <c r="N129" s="140"/>
      <c r="O129" s="140"/>
      <c r="P129" s="140"/>
      <c r="Q129" s="140"/>
      <c r="R129" s="99">
        <f t="shared" si="32"/>
        <v>1660</v>
      </c>
      <c r="T129" s="137">
        <f>SUM(G118:Q129)</f>
        <v>62071</v>
      </c>
    </row>
    <row r="130" spans="3:22" ht="15" thickBot="1" x14ac:dyDescent="0.3">
      <c r="C130" s="176"/>
      <c r="D130" s="103"/>
      <c r="E130" s="104"/>
      <c r="F130" s="105" t="s">
        <v>46</v>
      </c>
      <c r="G130" s="106"/>
      <c r="H130" s="151">
        <f>SUM(H118:H129)</f>
        <v>1164</v>
      </c>
      <c r="I130" s="151">
        <f t="shared" ref="I130:Q130" si="45">SUM(I118:I129)</f>
        <v>3055</v>
      </c>
      <c r="J130" s="151">
        <f t="shared" si="45"/>
        <v>8115</v>
      </c>
      <c r="K130" s="151">
        <f t="shared" si="45"/>
        <v>9429</v>
      </c>
      <c r="L130" s="151">
        <f t="shared" si="45"/>
        <v>12750</v>
      </c>
      <c r="M130" s="151">
        <f t="shared" si="45"/>
        <v>11214</v>
      </c>
      <c r="N130" s="151">
        <f t="shared" si="45"/>
        <v>3577</v>
      </c>
      <c r="O130" s="151">
        <f t="shared" si="45"/>
        <v>3985</v>
      </c>
      <c r="P130" s="151">
        <f t="shared" si="45"/>
        <v>5362</v>
      </c>
      <c r="Q130" s="151">
        <f t="shared" si="45"/>
        <v>3420</v>
      </c>
      <c r="R130" s="107">
        <f t="shared" ref="R130" si="46">SUM(H130:Q130)</f>
        <v>62071</v>
      </c>
    </row>
    <row r="131" spans="3:22" ht="16.2" thickBot="1" x14ac:dyDescent="0.3">
      <c r="C131" s="78" t="s">
        <v>44</v>
      </c>
      <c r="D131" s="73"/>
      <c r="E131" s="74"/>
      <c r="F131" s="80"/>
      <c r="G131" s="75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76"/>
      <c r="S131" s="53"/>
      <c r="V131" s="26"/>
    </row>
    <row r="132" spans="3:22" ht="13.5" customHeight="1" x14ac:dyDescent="0.25">
      <c r="C132" s="78"/>
      <c r="D132" s="172" t="s">
        <v>62</v>
      </c>
      <c r="E132" s="85"/>
      <c r="F132" s="124" t="s">
        <v>51</v>
      </c>
      <c r="G132" s="110"/>
      <c r="H132" s="124">
        <v>197</v>
      </c>
      <c r="I132" s="125">
        <v>615</v>
      </c>
      <c r="J132" s="125">
        <v>2207</v>
      </c>
      <c r="K132" s="125">
        <v>2212</v>
      </c>
      <c r="L132" s="125">
        <v>4058</v>
      </c>
      <c r="M132" s="125">
        <v>4282</v>
      </c>
      <c r="N132" s="124">
        <v>1856</v>
      </c>
      <c r="O132" s="125"/>
      <c r="P132" s="124"/>
      <c r="Q132" s="124"/>
      <c r="R132" s="111">
        <f t="shared" ref="R132:R143" si="47">SUM(H132:Q132)</f>
        <v>15427</v>
      </c>
    </row>
    <row r="133" spans="3:22" ht="15.6" x14ac:dyDescent="0.25">
      <c r="C133" s="78"/>
      <c r="D133" s="173"/>
      <c r="E133" s="80"/>
      <c r="F133" s="143" t="s">
        <v>52</v>
      </c>
      <c r="G133" s="75"/>
      <c r="H133" s="89">
        <v>518</v>
      </c>
      <c r="I133" s="128">
        <v>1086</v>
      </c>
      <c r="J133" s="128">
        <v>1885</v>
      </c>
      <c r="K133" s="128">
        <v>1855</v>
      </c>
      <c r="L133" s="128">
        <v>2880</v>
      </c>
      <c r="M133" s="128">
        <v>3142</v>
      </c>
      <c r="N133" s="89">
        <v>1064</v>
      </c>
      <c r="O133" s="128"/>
      <c r="P133" s="89"/>
      <c r="Q133" s="89"/>
      <c r="R133" s="76">
        <f t="shared" si="47"/>
        <v>12430</v>
      </c>
    </row>
    <row r="134" spans="3:22" ht="13.5" customHeight="1" x14ac:dyDescent="0.25">
      <c r="C134" s="78"/>
      <c r="D134" s="173"/>
      <c r="E134" s="83"/>
      <c r="F134" s="144" t="s">
        <v>53</v>
      </c>
      <c r="G134" s="116"/>
      <c r="H134" s="89">
        <v>107</v>
      </c>
      <c r="I134" s="128">
        <v>487</v>
      </c>
      <c r="J134" s="128">
        <v>902</v>
      </c>
      <c r="K134" s="128">
        <v>883</v>
      </c>
      <c r="L134" s="128">
        <v>1184</v>
      </c>
      <c r="M134" s="128">
        <v>839</v>
      </c>
      <c r="N134" s="89">
        <v>267</v>
      </c>
      <c r="O134" s="128"/>
      <c r="P134" s="89"/>
      <c r="Q134" s="89"/>
      <c r="R134" s="117">
        <f t="shared" si="47"/>
        <v>4669</v>
      </c>
    </row>
    <row r="135" spans="3:22" ht="16.2" thickBot="1" x14ac:dyDescent="0.3">
      <c r="C135" s="78"/>
      <c r="D135" s="174"/>
      <c r="E135" s="84"/>
      <c r="F135" s="108" t="s">
        <v>54</v>
      </c>
      <c r="G135" s="112"/>
      <c r="H135" s="108">
        <v>342</v>
      </c>
      <c r="I135" s="126">
        <v>867</v>
      </c>
      <c r="J135" s="126">
        <v>1562</v>
      </c>
      <c r="K135" s="126">
        <v>1512</v>
      </c>
      <c r="L135" s="126">
        <v>2089</v>
      </c>
      <c r="M135" s="126">
        <v>1462</v>
      </c>
      <c r="N135" s="108">
        <v>390</v>
      </c>
      <c r="O135" s="126"/>
      <c r="P135" s="108"/>
      <c r="Q135" s="108"/>
      <c r="R135" s="113">
        <f t="shared" si="47"/>
        <v>8224</v>
      </c>
    </row>
    <row r="136" spans="3:22" ht="13.5" customHeight="1" x14ac:dyDescent="0.25">
      <c r="C136" s="78"/>
      <c r="D136" s="172" t="s">
        <v>63</v>
      </c>
      <c r="E136" s="82"/>
      <c r="F136" s="123" t="s">
        <v>51</v>
      </c>
      <c r="G136" s="114"/>
      <c r="H136" s="115"/>
      <c r="I136" s="115"/>
      <c r="J136" s="115"/>
      <c r="K136" s="115"/>
      <c r="L136" s="115"/>
      <c r="M136" s="115"/>
      <c r="N136" s="115"/>
      <c r="O136" s="127">
        <v>1495</v>
      </c>
      <c r="P136" s="127">
        <v>2281</v>
      </c>
      <c r="Q136" s="127">
        <v>1580</v>
      </c>
      <c r="R136" s="115">
        <f t="shared" si="47"/>
        <v>5356</v>
      </c>
    </row>
    <row r="137" spans="3:22" ht="15.6" x14ac:dyDescent="0.25">
      <c r="C137" s="78"/>
      <c r="D137" s="173"/>
      <c r="E137" s="80"/>
      <c r="F137" s="143" t="s">
        <v>52</v>
      </c>
      <c r="G137" s="75"/>
      <c r="H137" s="76"/>
      <c r="I137" s="76"/>
      <c r="J137" s="76"/>
      <c r="K137" s="76"/>
      <c r="L137" s="76"/>
      <c r="M137" s="76"/>
      <c r="N137" s="76"/>
      <c r="O137" s="128">
        <v>1188</v>
      </c>
      <c r="P137" s="128">
        <v>1576</v>
      </c>
      <c r="Q137" s="128">
        <v>987</v>
      </c>
      <c r="R137" s="76">
        <f t="shared" si="47"/>
        <v>3751</v>
      </c>
    </row>
    <row r="138" spans="3:22" ht="13.5" customHeight="1" x14ac:dyDescent="0.25">
      <c r="C138" s="78"/>
      <c r="D138" s="173"/>
      <c r="E138" s="83"/>
      <c r="F138" s="144" t="s">
        <v>53</v>
      </c>
      <c r="G138" s="116"/>
      <c r="H138" s="117"/>
      <c r="I138" s="117"/>
      <c r="J138" s="117"/>
      <c r="K138" s="117"/>
      <c r="L138" s="117"/>
      <c r="M138" s="117"/>
      <c r="N138" s="117"/>
      <c r="O138" s="128">
        <v>465</v>
      </c>
      <c r="P138" s="128">
        <v>544</v>
      </c>
      <c r="Q138" s="128">
        <v>319</v>
      </c>
      <c r="R138" s="117">
        <f t="shared" si="47"/>
        <v>1328</v>
      </c>
    </row>
    <row r="139" spans="3:22" ht="16.2" thickBot="1" x14ac:dyDescent="0.3">
      <c r="C139" s="78"/>
      <c r="D139" s="174"/>
      <c r="E139" s="84"/>
      <c r="F139" s="89" t="s">
        <v>54</v>
      </c>
      <c r="G139" s="112"/>
      <c r="H139" s="113"/>
      <c r="I139" s="113"/>
      <c r="J139" s="113"/>
      <c r="K139" s="113"/>
      <c r="L139" s="113"/>
      <c r="M139" s="113"/>
      <c r="N139" s="113"/>
      <c r="O139" s="128">
        <v>837</v>
      </c>
      <c r="P139" s="128">
        <v>961</v>
      </c>
      <c r="Q139" s="128">
        <v>534</v>
      </c>
      <c r="R139" s="113">
        <f t="shared" si="47"/>
        <v>2332</v>
      </c>
    </row>
    <row r="140" spans="3:22" ht="13.5" customHeight="1" x14ac:dyDescent="0.25">
      <c r="C140" s="78"/>
      <c r="D140" s="172" t="s">
        <v>64</v>
      </c>
      <c r="E140" s="85"/>
      <c r="F140" s="124" t="s">
        <v>51</v>
      </c>
      <c r="G140" s="110"/>
      <c r="H140" s="111"/>
      <c r="I140" s="111"/>
      <c r="J140" s="125">
        <v>713</v>
      </c>
      <c r="K140" s="125">
        <v>995</v>
      </c>
      <c r="L140" s="125">
        <v>629</v>
      </c>
      <c r="M140" s="125">
        <v>453</v>
      </c>
      <c r="N140" s="125"/>
      <c r="O140" s="125"/>
      <c r="P140" s="111"/>
      <c r="Q140" s="111"/>
      <c r="R140" s="111">
        <f t="shared" si="47"/>
        <v>2790</v>
      </c>
    </row>
    <row r="141" spans="3:22" ht="15.6" x14ac:dyDescent="0.25">
      <c r="C141" s="78"/>
      <c r="D141" s="173"/>
      <c r="E141" s="80"/>
      <c r="F141" s="143" t="s">
        <v>52</v>
      </c>
      <c r="G141" s="75"/>
      <c r="H141" s="76"/>
      <c r="I141" s="76"/>
      <c r="J141" s="128">
        <v>393</v>
      </c>
      <c r="K141" s="128">
        <v>964</v>
      </c>
      <c r="L141" s="128">
        <v>1062</v>
      </c>
      <c r="M141" s="128">
        <v>641</v>
      </c>
      <c r="N141" s="128"/>
      <c r="O141" s="128"/>
      <c r="P141" s="76"/>
      <c r="Q141" s="76"/>
      <c r="R141" s="76">
        <f t="shared" si="47"/>
        <v>3060</v>
      </c>
    </row>
    <row r="142" spans="3:22" ht="13.5" customHeight="1" x14ac:dyDescent="0.25">
      <c r="C142" s="78"/>
      <c r="D142" s="173"/>
      <c r="E142" s="83"/>
      <c r="F142" s="144" t="s">
        <v>53</v>
      </c>
      <c r="G142" s="116"/>
      <c r="H142" s="117"/>
      <c r="I142" s="117"/>
      <c r="J142" s="128">
        <v>202</v>
      </c>
      <c r="K142" s="128">
        <v>428</v>
      </c>
      <c r="L142" s="128">
        <v>272</v>
      </c>
      <c r="M142" s="128">
        <v>142</v>
      </c>
      <c r="N142" s="128"/>
      <c r="O142" s="128"/>
      <c r="P142" s="117"/>
      <c r="Q142" s="117"/>
      <c r="R142" s="117">
        <f t="shared" si="47"/>
        <v>1044</v>
      </c>
    </row>
    <row r="143" spans="3:22" ht="16.2" thickBot="1" x14ac:dyDescent="0.3">
      <c r="C143" s="78"/>
      <c r="D143" s="174"/>
      <c r="E143" s="84"/>
      <c r="F143" s="108" t="s">
        <v>54</v>
      </c>
      <c r="G143" s="112"/>
      <c r="H143" s="113"/>
      <c r="I143" s="113"/>
      <c r="J143" s="126">
        <v>251</v>
      </c>
      <c r="K143" s="126">
        <v>580</v>
      </c>
      <c r="L143" s="126">
        <v>576</v>
      </c>
      <c r="M143" s="126">
        <v>253</v>
      </c>
      <c r="N143" s="126"/>
      <c r="O143" s="126"/>
      <c r="P143" s="113"/>
      <c r="Q143" s="113"/>
      <c r="R143" s="113">
        <f t="shared" si="47"/>
        <v>1660</v>
      </c>
      <c r="T143" s="137">
        <f>SUM(G132:Q143)</f>
        <v>62071</v>
      </c>
    </row>
    <row r="144" spans="3:22" ht="15" thickBot="1" x14ac:dyDescent="0.3">
      <c r="C144" s="78"/>
      <c r="D144" s="118"/>
      <c r="E144" s="119"/>
      <c r="F144" s="120" t="s">
        <v>46</v>
      </c>
      <c r="G144" s="121"/>
      <c r="H144" s="122">
        <f>SUM(H132:H143)</f>
        <v>1164</v>
      </c>
      <c r="I144" s="122">
        <f t="shared" ref="I144" si="48">SUM(I132:I143)</f>
        <v>3055</v>
      </c>
      <c r="J144" s="122">
        <f t="shared" ref="J144" si="49">SUM(J132:J143)</f>
        <v>8115</v>
      </c>
      <c r="K144" s="122">
        <f t="shared" ref="K144" si="50">SUM(K132:K143)</f>
        <v>9429</v>
      </c>
      <c r="L144" s="122">
        <f t="shared" ref="L144" si="51">SUM(L132:L143)</f>
        <v>12750</v>
      </c>
      <c r="M144" s="122">
        <f t="shared" ref="M144" si="52">SUM(M132:M143)</f>
        <v>11214</v>
      </c>
      <c r="N144" s="122">
        <f t="shared" ref="N144" si="53">SUM(N132:N143)</f>
        <v>3577</v>
      </c>
      <c r="O144" s="122">
        <f t="shared" ref="O144" si="54">SUM(O132:O143)</f>
        <v>3985</v>
      </c>
      <c r="P144" s="122">
        <f t="shared" ref="P144" si="55">SUM(P132:P143)</f>
        <v>5362</v>
      </c>
      <c r="Q144" s="122">
        <f t="shared" ref="Q144" si="56">SUM(Q132:Q143)</f>
        <v>3420</v>
      </c>
      <c r="R144" s="122">
        <f t="shared" ref="R144" si="57">SUM(H144:Q144)</f>
        <v>62071</v>
      </c>
    </row>
    <row r="145" spans="3:22" ht="15.6" x14ac:dyDescent="0.25">
      <c r="C145" s="78" t="s">
        <v>45</v>
      </c>
      <c r="D145" s="73"/>
      <c r="E145" s="74"/>
      <c r="F145" s="80"/>
      <c r="G145" s="75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53"/>
      <c r="V145" s="26"/>
    </row>
    <row r="146" spans="3:22" ht="16.2" thickBot="1" x14ac:dyDescent="0.3">
      <c r="C146" s="78"/>
      <c r="D146" s="80"/>
      <c r="E146" s="74"/>
      <c r="F146" s="80"/>
      <c r="G146" s="75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53"/>
      <c r="V146" s="26"/>
    </row>
    <row r="147" spans="3:22" ht="13.5" customHeight="1" x14ac:dyDescent="0.25">
      <c r="C147" s="78"/>
      <c r="D147" s="192" t="s">
        <v>62</v>
      </c>
      <c r="E147" s="85"/>
      <c r="F147" s="124" t="s">
        <v>51</v>
      </c>
      <c r="G147" s="110"/>
      <c r="H147" s="111">
        <f>H132-H118</f>
        <v>0</v>
      </c>
      <c r="I147" s="111">
        <f t="shared" ref="I147:Q147" si="58">I132-I118</f>
        <v>0</v>
      </c>
      <c r="J147" s="111">
        <f t="shared" si="58"/>
        <v>0</v>
      </c>
      <c r="K147" s="111">
        <f t="shared" si="58"/>
        <v>0</v>
      </c>
      <c r="L147" s="111">
        <f t="shared" si="58"/>
        <v>0</v>
      </c>
      <c r="M147" s="111">
        <f t="shared" si="58"/>
        <v>0</v>
      </c>
      <c r="N147" s="111">
        <f t="shared" si="58"/>
        <v>0</v>
      </c>
      <c r="O147" s="111">
        <f t="shared" si="58"/>
        <v>0</v>
      </c>
      <c r="P147" s="111">
        <f t="shared" si="58"/>
        <v>0</v>
      </c>
      <c r="Q147" s="111">
        <f t="shared" si="58"/>
        <v>0</v>
      </c>
      <c r="R147" s="111">
        <f t="shared" ref="R147:R158" si="59">SUM(H147:Q147)</f>
        <v>0</v>
      </c>
    </row>
    <row r="148" spans="3:22" ht="15.6" x14ac:dyDescent="0.25">
      <c r="C148" s="78"/>
      <c r="D148" s="193"/>
      <c r="E148" s="83"/>
      <c r="F148" s="144" t="s">
        <v>52</v>
      </c>
      <c r="G148" s="116"/>
      <c r="H148" s="117">
        <f t="shared" ref="H148:Q148" si="60">H133-H119</f>
        <v>0</v>
      </c>
      <c r="I148" s="117">
        <f t="shared" si="60"/>
        <v>0</v>
      </c>
      <c r="J148" s="117">
        <f t="shared" si="60"/>
        <v>0</v>
      </c>
      <c r="K148" s="117">
        <f t="shared" si="60"/>
        <v>0</v>
      </c>
      <c r="L148" s="117">
        <f t="shared" si="60"/>
        <v>0</v>
      </c>
      <c r="M148" s="117">
        <f t="shared" si="60"/>
        <v>0</v>
      </c>
      <c r="N148" s="117">
        <f t="shared" si="60"/>
        <v>0</v>
      </c>
      <c r="O148" s="117">
        <f t="shared" si="60"/>
        <v>0</v>
      </c>
      <c r="P148" s="117">
        <f t="shared" si="60"/>
        <v>0</v>
      </c>
      <c r="Q148" s="117">
        <f t="shared" si="60"/>
        <v>0</v>
      </c>
      <c r="R148" s="117">
        <f t="shared" si="59"/>
        <v>0</v>
      </c>
    </row>
    <row r="149" spans="3:22" ht="13.5" customHeight="1" x14ac:dyDescent="0.25">
      <c r="C149" s="78"/>
      <c r="D149" s="193"/>
      <c r="E149" s="83"/>
      <c r="F149" s="144" t="s">
        <v>53</v>
      </c>
      <c r="G149" s="116"/>
      <c r="H149" s="117">
        <f t="shared" ref="H149:Q149" si="61">H134-H120</f>
        <v>0</v>
      </c>
      <c r="I149" s="117">
        <f t="shared" si="61"/>
        <v>0</v>
      </c>
      <c r="J149" s="117">
        <f t="shared" si="61"/>
        <v>0</v>
      </c>
      <c r="K149" s="117">
        <f t="shared" si="61"/>
        <v>0</v>
      </c>
      <c r="L149" s="117">
        <f t="shared" si="61"/>
        <v>0</v>
      </c>
      <c r="M149" s="117">
        <f t="shared" si="61"/>
        <v>0</v>
      </c>
      <c r="N149" s="117">
        <f t="shared" si="61"/>
        <v>0</v>
      </c>
      <c r="O149" s="117">
        <f t="shared" si="61"/>
        <v>0</v>
      </c>
      <c r="P149" s="117">
        <f t="shared" si="61"/>
        <v>0</v>
      </c>
      <c r="Q149" s="117">
        <f t="shared" si="61"/>
        <v>0</v>
      </c>
      <c r="R149" s="117">
        <f t="shared" si="59"/>
        <v>0</v>
      </c>
    </row>
    <row r="150" spans="3:22" ht="16.2" thickBot="1" x14ac:dyDescent="0.3">
      <c r="C150" s="78"/>
      <c r="D150" s="194"/>
      <c r="E150" s="84"/>
      <c r="F150" s="108" t="s">
        <v>54</v>
      </c>
      <c r="G150" s="112"/>
      <c r="H150" s="113">
        <f t="shared" ref="H150:Q150" si="62">H135-H121</f>
        <v>0</v>
      </c>
      <c r="I150" s="113">
        <f t="shared" si="62"/>
        <v>0</v>
      </c>
      <c r="J150" s="113">
        <f t="shared" si="62"/>
        <v>0</v>
      </c>
      <c r="K150" s="113">
        <f t="shared" si="62"/>
        <v>0</v>
      </c>
      <c r="L150" s="113">
        <f t="shared" si="62"/>
        <v>0</v>
      </c>
      <c r="M150" s="113">
        <f t="shared" si="62"/>
        <v>0</v>
      </c>
      <c r="N150" s="113">
        <f t="shared" si="62"/>
        <v>0</v>
      </c>
      <c r="O150" s="113">
        <f t="shared" si="62"/>
        <v>0</v>
      </c>
      <c r="P150" s="113">
        <f t="shared" si="62"/>
        <v>0</v>
      </c>
      <c r="Q150" s="113">
        <f t="shared" si="62"/>
        <v>0</v>
      </c>
      <c r="R150" s="113">
        <f t="shared" si="59"/>
        <v>0</v>
      </c>
    </row>
    <row r="151" spans="3:22" ht="13.5" customHeight="1" x14ac:dyDescent="0.25">
      <c r="C151" s="78"/>
      <c r="D151" s="195" t="s">
        <v>63</v>
      </c>
      <c r="E151" s="82"/>
      <c r="F151" s="123" t="s">
        <v>51</v>
      </c>
      <c r="G151" s="114"/>
      <c r="H151" s="115">
        <f t="shared" ref="H151:Q151" si="63">H136-H122</f>
        <v>0</v>
      </c>
      <c r="I151" s="115">
        <f t="shared" si="63"/>
        <v>0</v>
      </c>
      <c r="J151" s="115">
        <f t="shared" si="63"/>
        <v>0</v>
      </c>
      <c r="K151" s="115">
        <f t="shared" si="63"/>
        <v>0</v>
      </c>
      <c r="L151" s="115">
        <f t="shared" si="63"/>
        <v>0</v>
      </c>
      <c r="M151" s="115">
        <f t="shared" si="63"/>
        <v>0</v>
      </c>
      <c r="N151" s="115">
        <f t="shared" si="63"/>
        <v>0</v>
      </c>
      <c r="O151" s="115">
        <f t="shared" si="63"/>
        <v>0</v>
      </c>
      <c r="P151" s="115">
        <f t="shared" si="63"/>
        <v>0</v>
      </c>
      <c r="Q151" s="115">
        <f t="shared" si="63"/>
        <v>0</v>
      </c>
      <c r="R151" s="115">
        <f t="shared" si="59"/>
        <v>0</v>
      </c>
    </row>
    <row r="152" spans="3:22" ht="15.6" x14ac:dyDescent="0.25">
      <c r="C152" s="78"/>
      <c r="D152" s="193"/>
      <c r="E152" s="83"/>
      <c r="F152" s="144" t="s">
        <v>52</v>
      </c>
      <c r="G152" s="116"/>
      <c r="H152" s="117">
        <f t="shared" ref="H152:Q152" si="64">H137-H123</f>
        <v>0</v>
      </c>
      <c r="I152" s="117">
        <f t="shared" si="64"/>
        <v>0</v>
      </c>
      <c r="J152" s="117">
        <f t="shared" si="64"/>
        <v>0</v>
      </c>
      <c r="K152" s="117">
        <f t="shared" si="64"/>
        <v>0</v>
      </c>
      <c r="L152" s="117">
        <f t="shared" si="64"/>
        <v>0</v>
      </c>
      <c r="M152" s="117">
        <f t="shared" si="64"/>
        <v>0</v>
      </c>
      <c r="N152" s="117">
        <f t="shared" si="64"/>
        <v>0</v>
      </c>
      <c r="O152" s="117">
        <f t="shared" si="64"/>
        <v>0</v>
      </c>
      <c r="P152" s="117">
        <f t="shared" si="64"/>
        <v>0</v>
      </c>
      <c r="Q152" s="117">
        <f t="shared" si="64"/>
        <v>0</v>
      </c>
      <c r="R152" s="117">
        <f t="shared" si="59"/>
        <v>0</v>
      </c>
    </row>
    <row r="153" spans="3:22" ht="13.5" customHeight="1" x14ac:dyDescent="0.25">
      <c r="C153" s="78"/>
      <c r="D153" s="193"/>
      <c r="E153" s="83"/>
      <c r="F153" s="144" t="s">
        <v>53</v>
      </c>
      <c r="G153" s="116"/>
      <c r="H153" s="117">
        <f t="shared" ref="H153:Q153" si="65">H138-H124</f>
        <v>0</v>
      </c>
      <c r="I153" s="117">
        <f t="shared" si="65"/>
        <v>0</v>
      </c>
      <c r="J153" s="117">
        <f t="shared" si="65"/>
        <v>0</v>
      </c>
      <c r="K153" s="117">
        <f t="shared" si="65"/>
        <v>0</v>
      </c>
      <c r="L153" s="117">
        <f t="shared" si="65"/>
        <v>0</v>
      </c>
      <c r="M153" s="117">
        <f t="shared" si="65"/>
        <v>0</v>
      </c>
      <c r="N153" s="117">
        <f t="shared" si="65"/>
        <v>0</v>
      </c>
      <c r="O153" s="117">
        <f t="shared" si="65"/>
        <v>0</v>
      </c>
      <c r="P153" s="117">
        <f t="shared" si="65"/>
        <v>0</v>
      </c>
      <c r="Q153" s="117">
        <f t="shared" si="65"/>
        <v>0</v>
      </c>
      <c r="R153" s="117">
        <f t="shared" si="59"/>
        <v>0</v>
      </c>
    </row>
    <row r="154" spans="3:22" ht="16.2" thickBot="1" x14ac:dyDescent="0.3">
      <c r="C154" s="78"/>
      <c r="D154" s="196"/>
      <c r="E154" s="80"/>
      <c r="F154" s="130" t="s">
        <v>54</v>
      </c>
      <c r="G154" s="75"/>
      <c r="H154" s="76">
        <f t="shared" ref="H154:Q154" si="66">H139-H125</f>
        <v>0</v>
      </c>
      <c r="I154" s="76">
        <f t="shared" si="66"/>
        <v>0</v>
      </c>
      <c r="J154" s="76">
        <f t="shared" si="66"/>
        <v>0</v>
      </c>
      <c r="K154" s="76">
        <f t="shared" si="66"/>
        <v>0</v>
      </c>
      <c r="L154" s="76">
        <f t="shared" si="66"/>
        <v>0</v>
      </c>
      <c r="M154" s="76">
        <f t="shared" si="66"/>
        <v>0</v>
      </c>
      <c r="N154" s="76">
        <f t="shared" si="66"/>
        <v>0</v>
      </c>
      <c r="O154" s="76">
        <f t="shared" si="66"/>
        <v>0</v>
      </c>
      <c r="P154" s="76">
        <f t="shared" si="66"/>
        <v>0</v>
      </c>
      <c r="Q154" s="76">
        <f t="shared" si="66"/>
        <v>0</v>
      </c>
      <c r="R154" s="76">
        <f t="shared" si="59"/>
        <v>0</v>
      </c>
    </row>
    <row r="155" spans="3:22" ht="13.5" customHeight="1" x14ac:dyDescent="0.25">
      <c r="C155" s="78"/>
      <c r="D155" s="192" t="s">
        <v>64</v>
      </c>
      <c r="E155" s="85"/>
      <c r="F155" s="124" t="s">
        <v>51</v>
      </c>
      <c r="G155" s="110"/>
      <c r="H155" s="111">
        <f t="shared" ref="H155:Q155" si="67">H140-H126</f>
        <v>0</v>
      </c>
      <c r="I155" s="111">
        <f t="shared" si="67"/>
        <v>0</v>
      </c>
      <c r="J155" s="111">
        <f t="shared" si="67"/>
        <v>0</v>
      </c>
      <c r="K155" s="111">
        <f t="shared" si="67"/>
        <v>0</v>
      </c>
      <c r="L155" s="111">
        <f t="shared" si="67"/>
        <v>0</v>
      </c>
      <c r="M155" s="111">
        <f t="shared" si="67"/>
        <v>0</v>
      </c>
      <c r="N155" s="111">
        <f t="shared" si="67"/>
        <v>0</v>
      </c>
      <c r="O155" s="111">
        <f t="shared" si="67"/>
        <v>0</v>
      </c>
      <c r="P155" s="111">
        <f t="shared" si="67"/>
        <v>0</v>
      </c>
      <c r="Q155" s="111">
        <f t="shared" si="67"/>
        <v>0</v>
      </c>
      <c r="R155" s="111">
        <f t="shared" si="59"/>
        <v>0</v>
      </c>
    </row>
    <row r="156" spans="3:22" ht="15.6" x14ac:dyDescent="0.25">
      <c r="C156" s="78"/>
      <c r="D156" s="193"/>
      <c r="E156" s="83"/>
      <c r="F156" s="144" t="s">
        <v>52</v>
      </c>
      <c r="G156" s="116"/>
      <c r="H156" s="117">
        <f t="shared" ref="H156:Q156" si="68">H141-H127</f>
        <v>0</v>
      </c>
      <c r="I156" s="117">
        <f t="shared" si="68"/>
        <v>0</v>
      </c>
      <c r="J156" s="117">
        <f t="shared" si="68"/>
        <v>0</v>
      </c>
      <c r="K156" s="117">
        <f t="shared" si="68"/>
        <v>0</v>
      </c>
      <c r="L156" s="117">
        <f t="shared" si="68"/>
        <v>0</v>
      </c>
      <c r="M156" s="117">
        <f t="shared" si="68"/>
        <v>0</v>
      </c>
      <c r="N156" s="117">
        <f t="shared" si="68"/>
        <v>0</v>
      </c>
      <c r="O156" s="117">
        <f t="shared" si="68"/>
        <v>0</v>
      </c>
      <c r="P156" s="117">
        <f t="shared" si="68"/>
        <v>0</v>
      </c>
      <c r="Q156" s="117">
        <f t="shared" si="68"/>
        <v>0</v>
      </c>
      <c r="R156" s="117">
        <f t="shared" si="59"/>
        <v>0</v>
      </c>
    </row>
    <row r="157" spans="3:22" ht="13.5" customHeight="1" x14ac:dyDescent="0.25">
      <c r="C157" s="78"/>
      <c r="D157" s="193"/>
      <c r="E157" s="83"/>
      <c r="F157" s="144" t="s">
        <v>53</v>
      </c>
      <c r="G157" s="116"/>
      <c r="H157" s="117">
        <f t="shared" ref="H157:Q157" si="69">H142-H128</f>
        <v>0</v>
      </c>
      <c r="I157" s="117">
        <f t="shared" si="69"/>
        <v>0</v>
      </c>
      <c r="J157" s="117">
        <f t="shared" si="69"/>
        <v>0</v>
      </c>
      <c r="K157" s="117">
        <f t="shared" si="69"/>
        <v>0</v>
      </c>
      <c r="L157" s="117">
        <f t="shared" si="69"/>
        <v>0</v>
      </c>
      <c r="M157" s="117">
        <f t="shared" si="69"/>
        <v>0</v>
      </c>
      <c r="N157" s="117">
        <f t="shared" si="69"/>
        <v>0</v>
      </c>
      <c r="O157" s="117">
        <f t="shared" si="69"/>
        <v>0</v>
      </c>
      <c r="P157" s="117">
        <f t="shared" si="69"/>
        <v>0</v>
      </c>
      <c r="Q157" s="117">
        <f t="shared" si="69"/>
        <v>0</v>
      </c>
      <c r="R157" s="117">
        <f t="shared" si="59"/>
        <v>0</v>
      </c>
    </row>
    <row r="158" spans="3:22" ht="16.2" thickBot="1" x14ac:dyDescent="0.3">
      <c r="C158" s="78"/>
      <c r="D158" s="194"/>
      <c r="E158" s="84"/>
      <c r="F158" s="108" t="s">
        <v>54</v>
      </c>
      <c r="G158" s="112"/>
      <c r="H158" s="113">
        <f t="shared" ref="H158:Q158" si="70">H143-H129</f>
        <v>0</v>
      </c>
      <c r="I158" s="113">
        <f t="shared" si="70"/>
        <v>0</v>
      </c>
      <c r="J158" s="113">
        <f t="shared" si="70"/>
        <v>0</v>
      </c>
      <c r="K158" s="113">
        <f t="shared" si="70"/>
        <v>0</v>
      </c>
      <c r="L158" s="113">
        <f t="shared" si="70"/>
        <v>0</v>
      </c>
      <c r="M158" s="113">
        <f t="shared" si="70"/>
        <v>0</v>
      </c>
      <c r="N158" s="113">
        <f t="shared" si="70"/>
        <v>0</v>
      </c>
      <c r="O158" s="113">
        <f t="shared" si="70"/>
        <v>0</v>
      </c>
      <c r="P158" s="113">
        <f t="shared" si="70"/>
        <v>0</v>
      </c>
      <c r="Q158" s="113">
        <f t="shared" si="70"/>
        <v>0</v>
      </c>
      <c r="R158" s="113">
        <f t="shared" si="59"/>
        <v>0</v>
      </c>
      <c r="T158" s="137">
        <f>SUM(G147:Q158)</f>
        <v>0</v>
      </c>
    </row>
    <row r="159" spans="3:22" x14ac:dyDescent="0.25">
      <c r="C159" s="78"/>
      <c r="D159" s="129"/>
      <c r="E159" s="82"/>
      <c r="F159" s="152" t="s">
        <v>46</v>
      </c>
      <c r="G159" s="114"/>
      <c r="H159" s="115">
        <f>SUM(H147:H158)</f>
        <v>0</v>
      </c>
      <c r="I159" s="115">
        <f t="shared" ref="I159" si="71">SUM(I147:I158)</f>
        <v>0</v>
      </c>
      <c r="J159" s="115">
        <f t="shared" ref="J159" si="72">SUM(J147:J158)</f>
        <v>0</v>
      </c>
      <c r="K159" s="115">
        <f t="shared" ref="K159" si="73">SUM(K147:K158)</f>
        <v>0</v>
      </c>
      <c r="L159" s="115">
        <f t="shared" ref="L159" si="74">SUM(L147:L158)</f>
        <v>0</v>
      </c>
      <c r="M159" s="115">
        <f t="shared" ref="M159" si="75">SUM(M147:M158)</f>
        <v>0</v>
      </c>
      <c r="N159" s="115">
        <f t="shared" ref="N159" si="76">SUM(N147:N158)</f>
        <v>0</v>
      </c>
      <c r="O159" s="115">
        <f t="shared" ref="O159" si="77">SUM(O147:O158)</f>
        <v>0</v>
      </c>
      <c r="P159" s="115">
        <f t="shared" ref="P159" si="78">SUM(P147:P158)</f>
        <v>0</v>
      </c>
      <c r="Q159" s="115">
        <f t="shared" ref="Q159" si="79">SUM(Q147:Q158)</f>
        <v>0</v>
      </c>
      <c r="R159" s="115">
        <f t="shared" ref="R159" si="80">SUM(H159:Q159)</f>
        <v>0</v>
      </c>
    </row>
    <row r="160" spans="3:22" ht="16.2" thickBot="1" x14ac:dyDescent="0.3">
      <c r="C160" s="190" t="s">
        <v>37</v>
      </c>
      <c r="D160" s="190"/>
      <c r="E160" s="191"/>
      <c r="F160" s="81"/>
      <c r="G160" s="86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53"/>
      <c r="V160" s="26"/>
    </row>
    <row r="161" spans="3:22" ht="13.5" customHeight="1" x14ac:dyDescent="0.25">
      <c r="C161" s="153"/>
      <c r="D161" s="172" t="s">
        <v>62</v>
      </c>
      <c r="E161" s="85"/>
      <c r="F161" s="124" t="s">
        <v>51</v>
      </c>
      <c r="G161" s="110"/>
      <c r="H161" s="135">
        <f>H118*1.05</f>
        <v>206.85000000000002</v>
      </c>
      <c r="I161" s="135">
        <f t="shared" ref="I161:Q161" si="81">I118*1.05</f>
        <v>645.75</v>
      </c>
      <c r="J161" s="135">
        <f t="shared" si="81"/>
        <v>2317.35</v>
      </c>
      <c r="K161" s="135">
        <f t="shared" si="81"/>
        <v>2322.6</v>
      </c>
      <c r="L161" s="135">
        <f t="shared" si="81"/>
        <v>4260.9000000000005</v>
      </c>
      <c r="M161" s="135">
        <f t="shared" si="81"/>
        <v>4496.1000000000004</v>
      </c>
      <c r="N161" s="135">
        <f t="shared" si="81"/>
        <v>1948.8000000000002</v>
      </c>
      <c r="O161" s="135">
        <f t="shared" si="81"/>
        <v>0</v>
      </c>
      <c r="P161" s="135">
        <f t="shared" si="81"/>
        <v>0</v>
      </c>
      <c r="Q161" s="135">
        <f t="shared" si="81"/>
        <v>0</v>
      </c>
      <c r="R161" s="111">
        <f t="shared" ref="R161:R172" si="82">SUM(H161:Q161)</f>
        <v>16198.350000000002</v>
      </c>
    </row>
    <row r="162" spans="3:22" ht="15.6" x14ac:dyDescent="0.25">
      <c r="C162" s="153"/>
      <c r="D162" s="173"/>
      <c r="E162" s="80"/>
      <c r="F162" s="143" t="s">
        <v>52</v>
      </c>
      <c r="G162" s="75"/>
      <c r="H162" s="117">
        <f t="shared" ref="H162:Q162" si="83">H119*1.05</f>
        <v>543.9</v>
      </c>
      <c r="I162" s="117">
        <f t="shared" si="83"/>
        <v>1140.3</v>
      </c>
      <c r="J162" s="117">
        <f t="shared" si="83"/>
        <v>1979.25</v>
      </c>
      <c r="K162" s="117">
        <f t="shared" si="83"/>
        <v>1947.75</v>
      </c>
      <c r="L162" s="117">
        <f t="shared" si="83"/>
        <v>3024</v>
      </c>
      <c r="M162" s="117">
        <f t="shared" si="83"/>
        <v>3299.1000000000004</v>
      </c>
      <c r="N162" s="117">
        <f t="shared" si="83"/>
        <v>1117.2</v>
      </c>
      <c r="O162" s="117">
        <f t="shared" si="83"/>
        <v>0</v>
      </c>
      <c r="P162" s="117">
        <f t="shared" si="83"/>
        <v>0</v>
      </c>
      <c r="Q162" s="117">
        <f t="shared" si="83"/>
        <v>0</v>
      </c>
      <c r="R162" s="76">
        <f t="shared" si="82"/>
        <v>13051.500000000002</v>
      </c>
    </row>
    <row r="163" spans="3:22" ht="13.5" customHeight="1" x14ac:dyDescent="0.25">
      <c r="C163" s="153"/>
      <c r="D163" s="173"/>
      <c r="E163" s="83"/>
      <c r="F163" s="144" t="s">
        <v>53</v>
      </c>
      <c r="G163" s="116"/>
      <c r="H163" s="117">
        <f t="shared" ref="H163:Q163" si="84">H120*1.05</f>
        <v>112.35000000000001</v>
      </c>
      <c r="I163" s="117">
        <f t="shared" si="84"/>
        <v>511.35</v>
      </c>
      <c r="J163" s="117">
        <f t="shared" si="84"/>
        <v>947.1</v>
      </c>
      <c r="K163" s="117">
        <f t="shared" si="84"/>
        <v>927.15000000000009</v>
      </c>
      <c r="L163" s="117">
        <f t="shared" si="84"/>
        <v>1243.2</v>
      </c>
      <c r="M163" s="117">
        <f t="shared" si="84"/>
        <v>880.95</v>
      </c>
      <c r="N163" s="117">
        <f t="shared" si="84"/>
        <v>280.35000000000002</v>
      </c>
      <c r="O163" s="117">
        <f t="shared" si="84"/>
        <v>0</v>
      </c>
      <c r="P163" s="117">
        <f t="shared" si="84"/>
        <v>0</v>
      </c>
      <c r="Q163" s="117">
        <f t="shared" si="84"/>
        <v>0</v>
      </c>
      <c r="R163" s="117">
        <f t="shared" si="82"/>
        <v>4902.4500000000007</v>
      </c>
    </row>
    <row r="164" spans="3:22" ht="16.2" thickBot="1" x14ac:dyDescent="0.3">
      <c r="C164" s="153"/>
      <c r="D164" s="173"/>
      <c r="E164" s="80"/>
      <c r="F164" s="130" t="s">
        <v>54</v>
      </c>
      <c r="G164" s="75"/>
      <c r="H164" s="76">
        <f t="shared" ref="H164:Q164" si="85">H121*1.05</f>
        <v>359.1</v>
      </c>
      <c r="I164" s="76">
        <f t="shared" si="85"/>
        <v>910.35</v>
      </c>
      <c r="J164" s="76">
        <f t="shared" si="85"/>
        <v>1640.1000000000001</v>
      </c>
      <c r="K164" s="76">
        <f t="shared" si="85"/>
        <v>1587.6000000000001</v>
      </c>
      <c r="L164" s="76">
        <f t="shared" si="85"/>
        <v>2193.4500000000003</v>
      </c>
      <c r="M164" s="76">
        <f t="shared" si="85"/>
        <v>1535.1000000000001</v>
      </c>
      <c r="N164" s="76">
        <f t="shared" si="85"/>
        <v>409.5</v>
      </c>
      <c r="O164" s="76">
        <f t="shared" si="85"/>
        <v>0</v>
      </c>
      <c r="P164" s="76">
        <f t="shared" si="85"/>
        <v>0</v>
      </c>
      <c r="Q164" s="76">
        <f t="shared" si="85"/>
        <v>0</v>
      </c>
      <c r="R164" s="76">
        <f t="shared" si="82"/>
        <v>8635.2000000000007</v>
      </c>
    </row>
    <row r="165" spans="3:22" ht="13.5" customHeight="1" x14ac:dyDescent="0.25">
      <c r="C165" s="153"/>
      <c r="D165" s="172" t="s">
        <v>63</v>
      </c>
      <c r="E165" s="85"/>
      <c r="F165" s="124" t="s">
        <v>51</v>
      </c>
      <c r="G165" s="110"/>
      <c r="H165" s="111">
        <f t="shared" ref="H165:Q165" si="86">H122*1.05</f>
        <v>0</v>
      </c>
      <c r="I165" s="111">
        <f t="shared" si="86"/>
        <v>0</v>
      </c>
      <c r="J165" s="111">
        <f t="shared" si="86"/>
        <v>0</v>
      </c>
      <c r="K165" s="111">
        <f t="shared" si="86"/>
        <v>0</v>
      </c>
      <c r="L165" s="111">
        <f t="shared" si="86"/>
        <v>0</v>
      </c>
      <c r="M165" s="111">
        <f t="shared" si="86"/>
        <v>0</v>
      </c>
      <c r="N165" s="111">
        <f t="shared" si="86"/>
        <v>0</v>
      </c>
      <c r="O165" s="111">
        <f t="shared" si="86"/>
        <v>1569.75</v>
      </c>
      <c r="P165" s="111">
        <f t="shared" si="86"/>
        <v>2395.0500000000002</v>
      </c>
      <c r="Q165" s="111">
        <f t="shared" si="86"/>
        <v>1659</v>
      </c>
      <c r="R165" s="111">
        <f t="shared" si="82"/>
        <v>5623.8</v>
      </c>
    </row>
    <row r="166" spans="3:22" ht="15.6" x14ac:dyDescent="0.25">
      <c r="C166" s="153"/>
      <c r="D166" s="173"/>
      <c r="E166" s="80"/>
      <c r="F166" s="143" t="s">
        <v>52</v>
      </c>
      <c r="G166" s="75"/>
      <c r="H166" s="117">
        <f t="shared" ref="H166:Q166" si="87">H123*1.05</f>
        <v>0</v>
      </c>
      <c r="I166" s="117">
        <f t="shared" si="87"/>
        <v>0</v>
      </c>
      <c r="J166" s="117">
        <f t="shared" si="87"/>
        <v>0</v>
      </c>
      <c r="K166" s="117">
        <f t="shared" si="87"/>
        <v>0</v>
      </c>
      <c r="L166" s="117">
        <f t="shared" si="87"/>
        <v>0</v>
      </c>
      <c r="M166" s="117">
        <f t="shared" si="87"/>
        <v>0</v>
      </c>
      <c r="N166" s="117">
        <f t="shared" si="87"/>
        <v>0</v>
      </c>
      <c r="O166" s="117">
        <f t="shared" si="87"/>
        <v>1247.4000000000001</v>
      </c>
      <c r="P166" s="117">
        <f t="shared" si="87"/>
        <v>1654.8000000000002</v>
      </c>
      <c r="Q166" s="117">
        <f t="shared" si="87"/>
        <v>1036.3500000000001</v>
      </c>
      <c r="R166" s="76">
        <f t="shared" si="82"/>
        <v>3938.55</v>
      </c>
    </row>
    <row r="167" spans="3:22" ht="13.5" customHeight="1" x14ac:dyDescent="0.25">
      <c r="C167" s="153"/>
      <c r="D167" s="173"/>
      <c r="E167" s="83"/>
      <c r="F167" s="144" t="s">
        <v>53</v>
      </c>
      <c r="G167" s="116"/>
      <c r="H167" s="117">
        <f t="shared" ref="H167:Q167" si="88">H124*1.05</f>
        <v>0</v>
      </c>
      <c r="I167" s="117">
        <f t="shared" si="88"/>
        <v>0</v>
      </c>
      <c r="J167" s="117">
        <f t="shared" si="88"/>
        <v>0</v>
      </c>
      <c r="K167" s="117">
        <f t="shared" si="88"/>
        <v>0</v>
      </c>
      <c r="L167" s="117">
        <f t="shared" si="88"/>
        <v>0</v>
      </c>
      <c r="M167" s="117">
        <f t="shared" si="88"/>
        <v>0</v>
      </c>
      <c r="N167" s="117">
        <f t="shared" si="88"/>
        <v>0</v>
      </c>
      <c r="O167" s="117">
        <f t="shared" si="88"/>
        <v>488.25</v>
      </c>
      <c r="P167" s="117">
        <f t="shared" si="88"/>
        <v>571.20000000000005</v>
      </c>
      <c r="Q167" s="117">
        <f t="shared" si="88"/>
        <v>334.95</v>
      </c>
      <c r="R167" s="117">
        <f t="shared" si="82"/>
        <v>1394.4</v>
      </c>
    </row>
    <row r="168" spans="3:22" ht="16.2" thickBot="1" x14ac:dyDescent="0.3">
      <c r="C168" s="153"/>
      <c r="D168" s="174"/>
      <c r="E168" s="84"/>
      <c r="F168" s="108" t="s">
        <v>54</v>
      </c>
      <c r="G168" s="112"/>
      <c r="H168" s="113">
        <f t="shared" ref="H168:Q168" si="89">H125*1.05</f>
        <v>0</v>
      </c>
      <c r="I168" s="113">
        <f t="shared" si="89"/>
        <v>0</v>
      </c>
      <c r="J168" s="113">
        <f t="shared" si="89"/>
        <v>0</v>
      </c>
      <c r="K168" s="113">
        <f t="shared" si="89"/>
        <v>0</v>
      </c>
      <c r="L168" s="113">
        <f t="shared" si="89"/>
        <v>0</v>
      </c>
      <c r="M168" s="113">
        <f t="shared" si="89"/>
        <v>0</v>
      </c>
      <c r="N168" s="113">
        <f t="shared" si="89"/>
        <v>0</v>
      </c>
      <c r="O168" s="113">
        <f t="shared" si="89"/>
        <v>878.85</v>
      </c>
      <c r="P168" s="113">
        <f t="shared" si="89"/>
        <v>1009.0500000000001</v>
      </c>
      <c r="Q168" s="113">
        <f t="shared" si="89"/>
        <v>560.70000000000005</v>
      </c>
      <c r="R168" s="113">
        <f t="shared" si="82"/>
        <v>2448.6000000000004</v>
      </c>
    </row>
    <row r="169" spans="3:22" ht="13.5" customHeight="1" x14ac:dyDescent="0.25">
      <c r="C169" s="153"/>
      <c r="D169" s="173" t="s">
        <v>64</v>
      </c>
      <c r="E169" s="82"/>
      <c r="F169" s="123" t="s">
        <v>51</v>
      </c>
      <c r="G169" s="114"/>
      <c r="H169" s="115">
        <f t="shared" ref="H169:Q169" si="90">H126*1.05</f>
        <v>0</v>
      </c>
      <c r="I169" s="115">
        <f t="shared" si="90"/>
        <v>0</v>
      </c>
      <c r="J169" s="115">
        <f t="shared" si="90"/>
        <v>748.65</v>
      </c>
      <c r="K169" s="115">
        <f t="shared" si="90"/>
        <v>1044.75</v>
      </c>
      <c r="L169" s="115">
        <f t="shared" si="90"/>
        <v>660.45</v>
      </c>
      <c r="M169" s="115">
        <f t="shared" si="90"/>
        <v>475.65000000000003</v>
      </c>
      <c r="N169" s="115">
        <f t="shared" si="90"/>
        <v>0</v>
      </c>
      <c r="O169" s="115">
        <f t="shared" si="90"/>
        <v>0</v>
      </c>
      <c r="P169" s="115">
        <f t="shared" si="90"/>
        <v>0</v>
      </c>
      <c r="Q169" s="115">
        <f t="shared" si="90"/>
        <v>0</v>
      </c>
      <c r="R169" s="115">
        <f t="shared" si="82"/>
        <v>2929.5000000000005</v>
      </c>
    </row>
    <row r="170" spans="3:22" ht="15.6" x14ac:dyDescent="0.25">
      <c r="C170" s="153"/>
      <c r="D170" s="173"/>
      <c r="E170" s="80"/>
      <c r="F170" s="143" t="s">
        <v>52</v>
      </c>
      <c r="G170" s="75"/>
      <c r="H170" s="117">
        <f t="shared" ref="H170:Q170" si="91">H127*1.05</f>
        <v>0</v>
      </c>
      <c r="I170" s="117">
        <f t="shared" si="91"/>
        <v>0</v>
      </c>
      <c r="J170" s="117">
        <f t="shared" si="91"/>
        <v>412.65000000000003</v>
      </c>
      <c r="K170" s="117">
        <f t="shared" si="91"/>
        <v>1012.2</v>
      </c>
      <c r="L170" s="117">
        <f t="shared" si="91"/>
        <v>1115.1000000000001</v>
      </c>
      <c r="M170" s="117">
        <f t="shared" si="91"/>
        <v>673.05000000000007</v>
      </c>
      <c r="N170" s="117">
        <f t="shared" si="91"/>
        <v>0</v>
      </c>
      <c r="O170" s="117">
        <f t="shared" si="91"/>
        <v>0</v>
      </c>
      <c r="P170" s="117">
        <f t="shared" si="91"/>
        <v>0</v>
      </c>
      <c r="Q170" s="117">
        <f t="shared" si="91"/>
        <v>0</v>
      </c>
      <c r="R170" s="76">
        <f t="shared" si="82"/>
        <v>3213.0000000000005</v>
      </c>
    </row>
    <row r="171" spans="3:22" ht="13.5" customHeight="1" x14ac:dyDescent="0.25">
      <c r="C171" s="153"/>
      <c r="D171" s="173"/>
      <c r="E171" s="83"/>
      <c r="F171" s="144" t="s">
        <v>53</v>
      </c>
      <c r="G171" s="116"/>
      <c r="H171" s="117">
        <f t="shared" ref="H171:Q171" si="92">H128*1.05</f>
        <v>0</v>
      </c>
      <c r="I171" s="117">
        <f t="shared" si="92"/>
        <v>0</v>
      </c>
      <c r="J171" s="117">
        <f t="shared" si="92"/>
        <v>212.10000000000002</v>
      </c>
      <c r="K171" s="117">
        <f t="shared" si="92"/>
        <v>449.40000000000003</v>
      </c>
      <c r="L171" s="117">
        <f t="shared" si="92"/>
        <v>285.60000000000002</v>
      </c>
      <c r="M171" s="117">
        <f t="shared" si="92"/>
        <v>149.1</v>
      </c>
      <c r="N171" s="117">
        <f t="shared" si="92"/>
        <v>0</v>
      </c>
      <c r="O171" s="117">
        <f t="shared" si="92"/>
        <v>0</v>
      </c>
      <c r="P171" s="117">
        <f t="shared" si="92"/>
        <v>0</v>
      </c>
      <c r="Q171" s="117">
        <f t="shared" si="92"/>
        <v>0</v>
      </c>
      <c r="R171" s="117">
        <f t="shared" si="82"/>
        <v>1096.2</v>
      </c>
    </row>
    <row r="172" spans="3:22" ht="16.2" thickBot="1" x14ac:dyDescent="0.3">
      <c r="C172" s="153"/>
      <c r="D172" s="173"/>
      <c r="E172" s="80"/>
      <c r="F172" s="130" t="s">
        <v>54</v>
      </c>
      <c r="G172" s="75"/>
      <c r="H172" s="76">
        <f t="shared" ref="H172:Q172" si="93">H129*1.05</f>
        <v>0</v>
      </c>
      <c r="I172" s="76">
        <f t="shared" si="93"/>
        <v>0</v>
      </c>
      <c r="J172" s="76">
        <f t="shared" si="93"/>
        <v>263.55</v>
      </c>
      <c r="K172" s="76">
        <f t="shared" si="93"/>
        <v>609</v>
      </c>
      <c r="L172" s="76">
        <f t="shared" si="93"/>
        <v>604.80000000000007</v>
      </c>
      <c r="M172" s="76">
        <f t="shared" si="93"/>
        <v>265.65000000000003</v>
      </c>
      <c r="N172" s="76">
        <f t="shared" si="93"/>
        <v>0</v>
      </c>
      <c r="O172" s="76">
        <f t="shared" si="93"/>
        <v>0</v>
      </c>
      <c r="P172" s="76">
        <f t="shared" si="93"/>
        <v>0</v>
      </c>
      <c r="Q172" s="76">
        <f t="shared" si="93"/>
        <v>0</v>
      </c>
      <c r="R172" s="76">
        <f t="shared" si="82"/>
        <v>1743</v>
      </c>
      <c r="T172" s="137">
        <f>SUM(G161:Q172)</f>
        <v>65174.549999999988</v>
      </c>
    </row>
    <row r="173" spans="3:22" ht="15" thickBot="1" x14ac:dyDescent="0.3">
      <c r="C173" s="153"/>
      <c r="D173" s="154"/>
      <c r="E173" s="131"/>
      <c r="F173" s="132" t="s">
        <v>46</v>
      </c>
      <c r="G173" s="133"/>
      <c r="H173" s="134">
        <f>SUM(H161:H172)</f>
        <v>1222.2</v>
      </c>
      <c r="I173" s="134">
        <f t="shared" ref="I173" si="94">SUM(I161:I172)</f>
        <v>3207.75</v>
      </c>
      <c r="J173" s="134">
        <f t="shared" ref="J173" si="95">SUM(J161:J172)</f>
        <v>8520.75</v>
      </c>
      <c r="K173" s="134">
        <f t="shared" ref="K173" si="96">SUM(K161:K172)</f>
        <v>9900.4500000000007</v>
      </c>
      <c r="L173" s="134">
        <f t="shared" ref="L173" si="97">SUM(L161:L172)</f>
        <v>13387.500000000002</v>
      </c>
      <c r="M173" s="134">
        <f t="shared" ref="M173" si="98">SUM(M161:M172)</f>
        <v>11774.7</v>
      </c>
      <c r="N173" s="134">
        <f t="shared" ref="N173" si="99">SUM(N161:N172)</f>
        <v>3755.85</v>
      </c>
      <c r="O173" s="134">
        <f t="shared" ref="O173" si="100">SUM(O161:O172)</f>
        <v>4184.25</v>
      </c>
      <c r="P173" s="134">
        <f t="shared" ref="P173" si="101">SUM(P161:P172)</f>
        <v>5630.1</v>
      </c>
      <c r="Q173" s="134">
        <f t="shared" ref="Q173" si="102">SUM(Q161:Q172)</f>
        <v>3591</v>
      </c>
      <c r="R173" s="134">
        <f t="shared" ref="R173" si="103">SUM(H173:Q173)</f>
        <v>65174.55</v>
      </c>
    </row>
    <row r="174" spans="3:22" ht="15.6" x14ac:dyDescent="0.25">
      <c r="C174" s="82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V174" s="26"/>
    </row>
    <row r="175" spans="3:22" ht="15.6" x14ac:dyDescent="0.25">
      <c r="V175" s="26"/>
    </row>
  </sheetData>
  <mergeCells count="56">
    <mergeCell ref="D169:D172"/>
    <mergeCell ref="C160:E160"/>
    <mergeCell ref="D132:D135"/>
    <mergeCell ref="D136:D139"/>
    <mergeCell ref="D140:D143"/>
    <mergeCell ref="D147:D150"/>
    <mergeCell ref="D151:D154"/>
    <mergeCell ref="D155:D158"/>
    <mergeCell ref="D161:D164"/>
    <mergeCell ref="D165:D168"/>
    <mergeCell ref="D44:D47"/>
    <mergeCell ref="G44:G47"/>
    <mergeCell ref="C4:C9"/>
    <mergeCell ref="G4:G9"/>
    <mergeCell ref="D4:D6"/>
    <mergeCell ref="D7:D9"/>
    <mergeCell ref="C12:C29"/>
    <mergeCell ref="D12:D20"/>
    <mergeCell ref="G12:G29"/>
    <mergeCell ref="D21:D29"/>
    <mergeCell ref="C32:C35"/>
    <mergeCell ref="D32:D35"/>
    <mergeCell ref="G32:G35"/>
    <mergeCell ref="C38:C41"/>
    <mergeCell ref="D38:D41"/>
    <mergeCell ref="G38:G41"/>
    <mergeCell ref="D98:D101"/>
    <mergeCell ref="C90:C130"/>
    <mergeCell ref="D102:D105"/>
    <mergeCell ref="D118:D121"/>
    <mergeCell ref="D106:D109"/>
    <mergeCell ref="D110:D113"/>
    <mergeCell ref="D114:D117"/>
    <mergeCell ref="D122:D125"/>
    <mergeCell ref="D126:D129"/>
    <mergeCell ref="C56:C59"/>
    <mergeCell ref="D56:D59"/>
    <mergeCell ref="G56:G59"/>
    <mergeCell ref="D90:D93"/>
    <mergeCell ref="D94:D97"/>
    <mergeCell ref="C44:C47"/>
    <mergeCell ref="C81:C84"/>
    <mergeCell ref="D81:D84"/>
    <mergeCell ref="G81:G84"/>
    <mergeCell ref="C68:C71"/>
    <mergeCell ref="D68:D71"/>
    <mergeCell ref="G68:G71"/>
    <mergeCell ref="C74:C77"/>
    <mergeCell ref="D74:D77"/>
    <mergeCell ref="G74:G77"/>
    <mergeCell ref="C62:C65"/>
    <mergeCell ref="D62:D65"/>
    <mergeCell ref="G62:G65"/>
    <mergeCell ref="C50:C53"/>
    <mergeCell ref="D50:D53"/>
    <mergeCell ref="G50:G53"/>
  </mergeCells>
  <phoneticPr fontId="2" type="noConversion"/>
  <pageMargins left="0.25" right="0.25" top="0.75" bottom="0.75" header="0.3" footer="0.3"/>
  <pageSetup paperSize="9" scale="32" fitToHeight="0" orientation="portrait" r:id="rId1"/>
  <headerFooter alignWithMargins="0"/>
  <rowBreaks count="1" manualBreakCount="1">
    <brk id="159" max="2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329A-8B38-449F-9A5E-B20AD5C61A83}">
  <sheetPr>
    <tabColor theme="0"/>
    <pageSetUpPr fitToPage="1"/>
  </sheetPr>
  <dimension ref="B1:Y267"/>
  <sheetViews>
    <sheetView tabSelected="1" view="pageBreakPreview" topLeftCell="C43" zoomScale="90" zoomScaleNormal="100" zoomScaleSheetLayoutView="90" workbookViewId="0">
      <selection activeCell="O56" sqref="O56:Q59"/>
    </sheetView>
  </sheetViews>
  <sheetFormatPr defaultColWidth="8.8984375" defaultRowHeight="14.4" x14ac:dyDescent="0.25"/>
  <cols>
    <col min="1" max="1" width="3" style="2" customWidth="1"/>
    <col min="2" max="2" width="26.09765625" style="2" customWidth="1"/>
    <col min="3" max="3" width="20" style="2" customWidth="1"/>
    <col min="4" max="4" width="16.59765625" style="2" customWidth="1"/>
    <col min="5" max="5" width="18.19921875" style="2" customWidth="1"/>
    <col min="6" max="6" width="31.8984375" style="141" customWidth="1"/>
    <col min="7" max="7" width="6.09765625" style="2" customWidth="1"/>
    <col min="8" max="8" width="7.09765625" style="2" bestFit="1" customWidth="1"/>
    <col min="9" max="17" width="7" style="2" customWidth="1"/>
    <col min="18" max="18" width="9" style="2" bestFit="1" customWidth="1"/>
    <col min="19" max="19" width="4" style="2" customWidth="1"/>
    <col min="20" max="20" width="9" style="2" bestFit="1" customWidth="1"/>
    <col min="21" max="21" width="15.19921875" style="2" customWidth="1"/>
    <col min="22" max="23" width="11.59765625" style="2" bestFit="1" customWidth="1"/>
    <col min="24" max="24" width="11" style="2" customWidth="1"/>
    <col min="25" max="16384" width="8.8984375" style="2"/>
  </cols>
  <sheetData>
    <row r="1" spans="2:23" x14ac:dyDescent="0.25">
      <c r="B1" s="1" t="s">
        <v>14</v>
      </c>
      <c r="E1" s="1"/>
    </row>
    <row r="2" spans="2:23" ht="13.5" customHeight="1" x14ac:dyDescent="0.25">
      <c r="B2" s="3" t="s">
        <v>39</v>
      </c>
      <c r="E2" s="3" t="s">
        <v>39</v>
      </c>
    </row>
    <row r="3" spans="2:23" ht="15" thickBot="1" x14ac:dyDescent="0.3">
      <c r="B3" s="4" t="s">
        <v>13</v>
      </c>
      <c r="C3" s="5" t="s">
        <v>2</v>
      </c>
      <c r="D3" s="5" t="s">
        <v>15</v>
      </c>
      <c r="E3" s="4" t="s">
        <v>0</v>
      </c>
      <c r="F3" s="4" t="s">
        <v>1</v>
      </c>
      <c r="G3" s="5" t="s">
        <v>3</v>
      </c>
      <c r="H3" s="5" t="s">
        <v>40</v>
      </c>
      <c r="I3" s="5" t="s">
        <v>42</v>
      </c>
      <c r="J3" s="5" t="s">
        <v>43</v>
      </c>
      <c r="K3" s="5" t="s">
        <v>41</v>
      </c>
      <c r="L3" s="5" t="s">
        <v>6</v>
      </c>
      <c r="M3" s="5" t="s">
        <v>7</v>
      </c>
      <c r="N3" s="5" t="s">
        <v>8</v>
      </c>
      <c r="O3" s="5" t="s">
        <v>6</v>
      </c>
      <c r="P3" s="5" t="s">
        <v>7</v>
      </c>
      <c r="Q3" s="5" t="s">
        <v>8</v>
      </c>
      <c r="R3" s="6" t="s">
        <v>9</v>
      </c>
      <c r="T3" s="27"/>
      <c r="U3" s="2" t="s">
        <v>47</v>
      </c>
    </row>
    <row r="4" spans="2:23" ht="15.6" x14ac:dyDescent="0.25">
      <c r="B4" s="7" t="s">
        <v>50</v>
      </c>
      <c r="C4" s="180">
        <v>4500458425</v>
      </c>
      <c r="D4" s="180" t="s">
        <v>67</v>
      </c>
      <c r="E4" s="124">
        <v>522196</v>
      </c>
      <c r="F4" s="124" t="s">
        <v>51</v>
      </c>
      <c r="G4" s="198">
        <v>44524</v>
      </c>
      <c r="H4" s="35"/>
      <c r="I4" s="35"/>
      <c r="J4" s="35"/>
      <c r="K4" s="35"/>
      <c r="L4" s="35"/>
      <c r="M4" s="35"/>
      <c r="N4" s="35"/>
      <c r="O4" s="35">
        <v>151</v>
      </c>
      <c r="P4" s="35">
        <v>231</v>
      </c>
      <c r="Q4" s="35">
        <v>160</v>
      </c>
      <c r="R4" s="35">
        <f>SUM(H4:Q4)</f>
        <v>542</v>
      </c>
      <c r="T4" s="27"/>
      <c r="U4" s="28"/>
      <c r="V4" s="28"/>
      <c r="W4" s="33"/>
    </row>
    <row r="5" spans="2:23" ht="15.6" x14ac:dyDescent="0.25">
      <c r="B5" s="17"/>
      <c r="C5" s="181"/>
      <c r="D5" s="181"/>
      <c r="E5" s="143"/>
      <c r="F5" s="143" t="s">
        <v>52</v>
      </c>
      <c r="G5" s="199"/>
      <c r="H5" s="35"/>
      <c r="I5" s="35"/>
      <c r="J5" s="35"/>
      <c r="K5" s="35"/>
      <c r="L5" s="35"/>
      <c r="M5" s="35"/>
      <c r="N5" s="35"/>
      <c r="O5" s="35">
        <v>121</v>
      </c>
      <c r="P5" s="35">
        <v>159</v>
      </c>
      <c r="Q5" s="35">
        <v>99</v>
      </c>
      <c r="R5" s="35">
        <f t="shared" ref="R5:R15" si="0">SUM(H5:Q5)</f>
        <v>379</v>
      </c>
      <c r="T5" s="27"/>
      <c r="U5" s="2" t="s">
        <v>48</v>
      </c>
      <c r="V5" s="28">
        <f>SUM(R182:R209)</f>
        <v>62071</v>
      </c>
      <c r="W5" s="33">
        <f>V5*1.03</f>
        <v>63933.130000000005</v>
      </c>
    </row>
    <row r="6" spans="2:23" ht="15.6" x14ac:dyDescent="0.25">
      <c r="B6" s="10"/>
      <c r="C6" s="181"/>
      <c r="D6" s="181"/>
      <c r="E6" s="144"/>
      <c r="F6" s="144" t="s">
        <v>53</v>
      </c>
      <c r="G6" s="199"/>
      <c r="H6" s="35"/>
      <c r="I6" s="35"/>
      <c r="J6" s="35"/>
      <c r="K6" s="35"/>
      <c r="L6" s="35"/>
      <c r="M6" s="35"/>
      <c r="N6" s="35"/>
      <c r="O6" s="35">
        <v>41</v>
      </c>
      <c r="P6" s="35">
        <v>44</v>
      </c>
      <c r="Q6" s="35">
        <v>24</v>
      </c>
      <c r="R6" s="35">
        <f t="shared" si="0"/>
        <v>109</v>
      </c>
      <c r="T6" s="27"/>
    </row>
    <row r="7" spans="2:23" ht="16.2" thickBot="1" x14ac:dyDescent="0.3">
      <c r="B7" s="20"/>
      <c r="C7" s="181"/>
      <c r="D7" s="197"/>
      <c r="E7" s="108"/>
      <c r="F7" s="108" t="s">
        <v>54</v>
      </c>
      <c r="G7" s="199"/>
      <c r="H7" s="35"/>
      <c r="I7" s="35"/>
      <c r="J7" s="35"/>
      <c r="K7" s="35"/>
      <c r="L7" s="35"/>
      <c r="M7" s="35"/>
      <c r="N7" s="35"/>
      <c r="O7" s="35">
        <v>84</v>
      </c>
      <c r="P7" s="35">
        <v>93</v>
      </c>
      <c r="Q7" s="35">
        <v>50</v>
      </c>
      <c r="R7" s="35">
        <f t="shared" si="0"/>
        <v>227</v>
      </c>
      <c r="T7" s="27"/>
      <c r="U7" s="2" t="s">
        <v>65</v>
      </c>
    </row>
    <row r="8" spans="2:23" ht="16.2" thickBot="1" x14ac:dyDescent="0.3">
      <c r="B8" s="20"/>
      <c r="C8" s="181"/>
      <c r="D8" s="180" t="s">
        <v>68</v>
      </c>
      <c r="E8" s="124">
        <v>522204</v>
      </c>
      <c r="F8" s="124" t="s">
        <v>51</v>
      </c>
      <c r="G8" s="199"/>
      <c r="H8" s="35"/>
      <c r="I8" s="35"/>
      <c r="J8" s="35">
        <v>72</v>
      </c>
      <c r="K8" s="35">
        <v>101</v>
      </c>
      <c r="L8" s="35">
        <v>64</v>
      </c>
      <c r="M8" s="35">
        <v>46</v>
      </c>
      <c r="N8" s="35"/>
      <c r="O8" s="35"/>
      <c r="P8" s="35"/>
      <c r="Q8" s="35"/>
      <c r="R8" s="35">
        <f t="shared" si="0"/>
        <v>283</v>
      </c>
      <c r="T8" s="27"/>
      <c r="U8" s="29" t="s">
        <v>25</v>
      </c>
      <c r="V8" s="30" t="s">
        <v>26</v>
      </c>
    </row>
    <row r="9" spans="2:23" ht="16.2" thickBot="1" x14ac:dyDescent="0.3">
      <c r="B9" s="20"/>
      <c r="C9" s="181"/>
      <c r="D9" s="181"/>
      <c r="E9" s="143"/>
      <c r="F9" s="143" t="s">
        <v>52</v>
      </c>
      <c r="G9" s="199"/>
      <c r="H9" s="35"/>
      <c r="I9" s="35"/>
      <c r="J9" s="35">
        <v>39</v>
      </c>
      <c r="K9" s="35">
        <v>100</v>
      </c>
      <c r="L9" s="35">
        <v>113</v>
      </c>
      <c r="M9" s="35">
        <v>68</v>
      </c>
      <c r="N9" s="35"/>
      <c r="O9" s="35"/>
      <c r="P9" s="35"/>
      <c r="Q9" s="35"/>
      <c r="R9" s="35">
        <f t="shared" si="0"/>
        <v>320</v>
      </c>
      <c r="T9" s="27"/>
      <c r="U9" s="31" t="s">
        <v>27</v>
      </c>
      <c r="V9" s="32" t="s">
        <v>28</v>
      </c>
    </row>
    <row r="10" spans="2:23" ht="16.2" thickBot="1" x14ac:dyDescent="0.3">
      <c r="B10" s="18"/>
      <c r="C10" s="181"/>
      <c r="D10" s="181"/>
      <c r="E10" s="144"/>
      <c r="F10" s="144" t="s">
        <v>53</v>
      </c>
      <c r="G10" s="199"/>
      <c r="H10" s="35"/>
      <c r="I10" s="35"/>
      <c r="J10" s="35">
        <v>17</v>
      </c>
      <c r="K10" s="35">
        <v>40</v>
      </c>
      <c r="L10" s="35">
        <v>26</v>
      </c>
      <c r="M10" s="35">
        <v>13</v>
      </c>
      <c r="N10" s="35"/>
      <c r="O10" s="35"/>
      <c r="P10" s="35"/>
      <c r="Q10" s="35"/>
      <c r="R10" s="35">
        <f t="shared" si="0"/>
        <v>96</v>
      </c>
      <c r="T10" s="27"/>
      <c r="U10" s="31" t="s">
        <v>29</v>
      </c>
      <c r="V10" s="32" t="s">
        <v>30</v>
      </c>
    </row>
    <row r="11" spans="2:23" ht="16.2" thickBot="1" x14ac:dyDescent="0.3">
      <c r="B11" s="18"/>
      <c r="C11" s="181"/>
      <c r="D11" s="197"/>
      <c r="E11" s="108"/>
      <c r="F11" s="108" t="s">
        <v>54</v>
      </c>
      <c r="G11" s="199"/>
      <c r="H11" s="35"/>
      <c r="I11" s="35"/>
      <c r="J11" s="35">
        <v>23</v>
      </c>
      <c r="K11" s="35">
        <v>58</v>
      </c>
      <c r="L11" s="35">
        <v>60</v>
      </c>
      <c r="M11" s="35">
        <v>25</v>
      </c>
      <c r="N11" s="35"/>
      <c r="O11" s="35"/>
      <c r="P11" s="35"/>
      <c r="Q11" s="35"/>
      <c r="R11" s="35">
        <f t="shared" si="0"/>
        <v>166</v>
      </c>
      <c r="T11" s="27"/>
      <c r="U11" s="31" t="s">
        <v>31</v>
      </c>
      <c r="V11" s="32" t="s">
        <v>32</v>
      </c>
    </row>
    <row r="12" spans="2:23" ht="15.6" x14ac:dyDescent="0.25">
      <c r="B12" s="18"/>
      <c r="C12" s="181"/>
      <c r="D12" s="180" t="s">
        <v>69</v>
      </c>
      <c r="E12" s="124">
        <v>522213</v>
      </c>
      <c r="F12" s="124" t="s">
        <v>51</v>
      </c>
      <c r="G12" s="199"/>
      <c r="H12" s="35">
        <v>17</v>
      </c>
      <c r="I12" s="35">
        <v>58</v>
      </c>
      <c r="J12" s="35">
        <v>222</v>
      </c>
      <c r="K12" s="35">
        <v>221</v>
      </c>
      <c r="L12" s="35">
        <v>399</v>
      </c>
      <c r="M12" s="35">
        <v>422</v>
      </c>
      <c r="N12" s="35">
        <v>192</v>
      </c>
      <c r="O12" s="35"/>
      <c r="P12" s="35"/>
      <c r="Q12" s="35"/>
      <c r="R12" s="35">
        <f t="shared" si="0"/>
        <v>1531</v>
      </c>
      <c r="T12" s="27"/>
    </row>
    <row r="13" spans="2:23" ht="15.6" x14ac:dyDescent="0.25">
      <c r="B13" s="18"/>
      <c r="C13" s="181"/>
      <c r="D13" s="181"/>
      <c r="E13" s="143"/>
      <c r="F13" s="143" t="s">
        <v>52</v>
      </c>
      <c r="G13" s="199"/>
      <c r="H13" s="35">
        <v>56</v>
      </c>
      <c r="I13" s="35">
        <v>117</v>
      </c>
      <c r="J13" s="35">
        <v>197</v>
      </c>
      <c r="K13" s="35">
        <v>194</v>
      </c>
      <c r="L13" s="35">
        <v>299</v>
      </c>
      <c r="M13" s="35">
        <v>326</v>
      </c>
      <c r="N13" s="35">
        <v>108</v>
      </c>
      <c r="O13" s="35"/>
      <c r="P13" s="35"/>
      <c r="Q13" s="35"/>
      <c r="R13" s="35">
        <f t="shared" si="0"/>
        <v>1297</v>
      </c>
      <c r="T13" s="27"/>
    </row>
    <row r="14" spans="2:23" ht="15.6" x14ac:dyDescent="0.25">
      <c r="B14" s="18"/>
      <c r="C14" s="181"/>
      <c r="D14" s="181"/>
      <c r="E14" s="144"/>
      <c r="F14" s="144" t="s">
        <v>53</v>
      </c>
      <c r="G14" s="199"/>
      <c r="H14" s="35">
        <v>10</v>
      </c>
      <c r="I14" s="35">
        <v>51</v>
      </c>
      <c r="J14" s="35">
        <v>88</v>
      </c>
      <c r="K14" s="35">
        <v>86</v>
      </c>
      <c r="L14" s="35">
        <v>110</v>
      </c>
      <c r="M14" s="35">
        <v>71</v>
      </c>
      <c r="N14" s="35">
        <v>20</v>
      </c>
      <c r="O14" s="35"/>
      <c r="P14" s="35"/>
      <c r="Q14" s="35"/>
      <c r="R14" s="35">
        <f t="shared" si="0"/>
        <v>436</v>
      </c>
      <c r="T14" s="27"/>
      <c r="U14" s="2" t="s">
        <v>36</v>
      </c>
    </row>
    <row r="15" spans="2:23" ht="16.2" thickBot="1" x14ac:dyDescent="0.3">
      <c r="B15" s="18"/>
      <c r="C15" s="181"/>
      <c r="D15" s="197"/>
      <c r="E15" s="108"/>
      <c r="F15" s="108" t="s">
        <v>54</v>
      </c>
      <c r="G15" s="200"/>
      <c r="H15" s="35">
        <v>35</v>
      </c>
      <c r="I15" s="35">
        <v>89</v>
      </c>
      <c r="J15" s="35">
        <v>158</v>
      </c>
      <c r="K15" s="35">
        <v>152</v>
      </c>
      <c r="L15" s="35">
        <v>199</v>
      </c>
      <c r="M15" s="35">
        <v>129</v>
      </c>
      <c r="N15" s="35">
        <v>35</v>
      </c>
      <c r="O15" s="35"/>
      <c r="P15" s="35"/>
      <c r="Q15" s="35"/>
      <c r="R15" s="35">
        <f t="shared" si="0"/>
        <v>797</v>
      </c>
      <c r="T15" s="27"/>
      <c r="U15" s="34" t="s">
        <v>66</v>
      </c>
    </row>
    <row r="16" spans="2:23" ht="16.2" thickBot="1" x14ac:dyDescent="0.3">
      <c r="B16" s="18"/>
      <c r="C16" s="155"/>
      <c r="D16" s="155"/>
      <c r="E16" s="160"/>
      <c r="F16" s="164"/>
      <c r="G16" s="165"/>
      <c r="H16" s="166">
        <f>SUM(H4:H15)</f>
        <v>118</v>
      </c>
      <c r="I16" s="166">
        <f t="shared" ref="I16:R16" si="1">SUM(I4:I15)</f>
        <v>315</v>
      </c>
      <c r="J16" s="166">
        <f t="shared" si="1"/>
        <v>816</v>
      </c>
      <c r="K16" s="166">
        <f t="shared" si="1"/>
        <v>952</v>
      </c>
      <c r="L16" s="166">
        <f t="shared" si="1"/>
        <v>1270</v>
      </c>
      <c r="M16" s="166">
        <f t="shared" si="1"/>
        <v>1100</v>
      </c>
      <c r="N16" s="166">
        <f t="shared" si="1"/>
        <v>355</v>
      </c>
      <c r="O16" s="166">
        <f t="shared" si="1"/>
        <v>397</v>
      </c>
      <c r="P16" s="166">
        <f t="shared" si="1"/>
        <v>527</v>
      </c>
      <c r="Q16" s="166">
        <f t="shared" si="1"/>
        <v>333</v>
      </c>
      <c r="R16" s="166">
        <f t="shared" si="1"/>
        <v>6183</v>
      </c>
      <c r="T16" s="27" t="s">
        <v>71</v>
      </c>
      <c r="U16" s="34"/>
    </row>
    <row r="17" spans="2:21" ht="15.6" x14ac:dyDescent="0.25">
      <c r="B17" s="18"/>
      <c r="C17" s="180">
        <v>4500458452</v>
      </c>
      <c r="D17" s="180" t="s">
        <v>67</v>
      </c>
      <c r="E17" s="124">
        <v>522196</v>
      </c>
      <c r="F17" s="124" t="s">
        <v>51</v>
      </c>
      <c r="G17" s="198">
        <v>44472</v>
      </c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>
        <f>SUM(H17:Q17)</f>
        <v>0</v>
      </c>
      <c r="T17" s="27">
        <v>3.59</v>
      </c>
      <c r="U17" s="34"/>
    </row>
    <row r="18" spans="2:21" ht="15.6" x14ac:dyDescent="0.25">
      <c r="B18" s="18"/>
      <c r="C18" s="181"/>
      <c r="D18" s="181"/>
      <c r="E18" s="143"/>
      <c r="F18" s="143" t="s">
        <v>52</v>
      </c>
      <c r="G18" s="199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>
        <f t="shared" ref="R18:R28" si="2">SUM(H18:Q18)</f>
        <v>0</v>
      </c>
      <c r="T18" s="27">
        <v>3.78</v>
      </c>
      <c r="U18" s="34"/>
    </row>
    <row r="19" spans="2:21" ht="15.6" x14ac:dyDescent="0.25">
      <c r="B19" s="18"/>
      <c r="C19" s="181"/>
      <c r="D19" s="181"/>
      <c r="E19" s="144"/>
      <c r="F19" s="144" t="s">
        <v>53</v>
      </c>
      <c r="G19" s="199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>
        <f t="shared" si="2"/>
        <v>0</v>
      </c>
      <c r="T19" s="27">
        <v>3.72</v>
      </c>
      <c r="U19" s="34"/>
    </row>
    <row r="20" spans="2:21" ht="16.2" thickBot="1" x14ac:dyDescent="0.3">
      <c r="B20" s="18"/>
      <c r="C20" s="181"/>
      <c r="D20" s="197"/>
      <c r="E20" s="108"/>
      <c r="F20" s="108" t="s">
        <v>54</v>
      </c>
      <c r="G20" s="199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>
        <f t="shared" si="2"/>
        <v>0</v>
      </c>
      <c r="T20" s="27">
        <v>3.69</v>
      </c>
      <c r="U20" s="34"/>
    </row>
    <row r="21" spans="2:21" ht="15.6" x14ac:dyDescent="0.25">
      <c r="B21" s="18"/>
      <c r="C21" s="181"/>
      <c r="D21" s="180" t="s">
        <v>68</v>
      </c>
      <c r="E21" s="124">
        <v>522204</v>
      </c>
      <c r="F21" s="124" t="s">
        <v>51</v>
      </c>
      <c r="G21" s="199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>
        <f t="shared" si="2"/>
        <v>0</v>
      </c>
      <c r="T21" s="27"/>
      <c r="U21" s="34"/>
    </row>
    <row r="22" spans="2:21" ht="15.6" x14ac:dyDescent="0.25">
      <c r="B22" s="18"/>
      <c r="C22" s="181"/>
      <c r="D22" s="181"/>
      <c r="E22" s="143"/>
      <c r="F22" s="143" t="s">
        <v>52</v>
      </c>
      <c r="G22" s="199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>
        <f t="shared" si="2"/>
        <v>0</v>
      </c>
      <c r="T22" s="27"/>
      <c r="U22" s="34"/>
    </row>
    <row r="23" spans="2:21" ht="15.6" x14ac:dyDescent="0.25">
      <c r="B23" s="18"/>
      <c r="C23" s="181"/>
      <c r="D23" s="181"/>
      <c r="E23" s="144"/>
      <c r="F23" s="144" t="s">
        <v>53</v>
      </c>
      <c r="G23" s="199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>
        <f t="shared" si="2"/>
        <v>0</v>
      </c>
      <c r="T23" s="27"/>
      <c r="U23" s="34"/>
    </row>
    <row r="24" spans="2:21" ht="16.2" thickBot="1" x14ac:dyDescent="0.3">
      <c r="B24" s="18"/>
      <c r="C24" s="181"/>
      <c r="D24" s="197"/>
      <c r="E24" s="108"/>
      <c r="F24" s="108" t="s">
        <v>54</v>
      </c>
      <c r="G24" s="199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>
        <f t="shared" si="2"/>
        <v>0</v>
      </c>
      <c r="T24" s="27"/>
      <c r="U24" s="34"/>
    </row>
    <row r="25" spans="2:21" ht="15.6" x14ac:dyDescent="0.25">
      <c r="B25" s="18"/>
      <c r="C25" s="181"/>
      <c r="D25" s="180" t="s">
        <v>69</v>
      </c>
      <c r="E25" s="124">
        <v>522213</v>
      </c>
      <c r="F25" s="124" t="s">
        <v>51</v>
      </c>
      <c r="G25" s="199"/>
      <c r="H25" s="35">
        <v>11</v>
      </c>
      <c r="I25" s="35">
        <v>24</v>
      </c>
      <c r="J25" s="35">
        <v>26</v>
      </c>
      <c r="K25" s="35">
        <v>32</v>
      </c>
      <c r="L25" s="35">
        <v>84</v>
      </c>
      <c r="M25" s="35">
        <v>87</v>
      </c>
      <c r="N25" s="35"/>
      <c r="O25" s="35"/>
      <c r="P25" s="35"/>
      <c r="Q25" s="35"/>
      <c r="R25" s="35">
        <f t="shared" si="2"/>
        <v>264</v>
      </c>
      <c r="T25" s="27">
        <v>3.37</v>
      </c>
      <c r="U25" s="34"/>
    </row>
    <row r="26" spans="2:21" ht="15.6" x14ac:dyDescent="0.25">
      <c r="B26" s="18"/>
      <c r="C26" s="181"/>
      <c r="D26" s="181"/>
      <c r="E26" s="143"/>
      <c r="F26" s="143" t="s">
        <v>52</v>
      </c>
      <c r="G26" s="199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>
        <f t="shared" si="2"/>
        <v>0</v>
      </c>
      <c r="T26" s="27">
        <v>3.54</v>
      </c>
      <c r="U26" s="34"/>
    </row>
    <row r="27" spans="2:21" ht="15.6" x14ac:dyDescent="0.25">
      <c r="B27" s="18"/>
      <c r="C27" s="181"/>
      <c r="D27" s="181"/>
      <c r="E27" s="144"/>
      <c r="F27" s="144" t="s">
        <v>53</v>
      </c>
      <c r="G27" s="199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>
        <f t="shared" si="2"/>
        <v>0</v>
      </c>
      <c r="T27" s="27">
        <v>3.48</v>
      </c>
      <c r="U27" s="34"/>
    </row>
    <row r="28" spans="2:21" ht="16.2" thickBot="1" x14ac:dyDescent="0.3">
      <c r="B28" s="18"/>
      <c r="C28" s="181"/>
      <c r="D28" s="197"/>
      <c r="E28" s="108"/>
      <c r="F28" s="108" t="s">
        <v>54</v>
      </c>
      <c r="G28" s="200"/>
      <c r="H28" s="35">
        <v>10</v>
      </c>
      <c r="I28" s="35">
        <v>16</v>
      </c>
      <c r="J28" s="35">
        <v>18</v>
      </c>
      <c r="K28" s="35">
        <v>21</v>
      </c>
      <c r="L28" s="35">
        <v>56</v>
      </c>
      <c r="M28" s="35">
        <v>58</v>
      </c>
      <c r="N28" s="35"/>
      <c r="O28" s="35"/>
      <c r="P28" s="35"/>
      <c r="Q28" s="35"/>
      <c r="R28" s="35">
        <f t="shared" si="2"/>
        <v>179</v>
      </c>
      <c r="T28" s="27">
        <v>3.45</v>
      </c>
      <c r="U28" s="34"/>
    </row>
    <row r="29" spans="2:21" ht="16.2" thickBot="1" x14ac:dyDescent="0.3">
      <c r="B29" s="18"/>
      <c r="C29" s="155"/>
      <c r="D29" s="155"/>
      <c r="E29" s="160"/>
      <c r="F29" s="164"/>
      <c r="G29" s="165"/>
      <c r="H29" s="166">
        <f>SUM(H17:H28)</f>
        <v>21</v>
      </c>
      <c r="I29" s="166">
        <f t="shared" ref="I29" si="3">SUM(I17:I28)</f>
        <v>40</v>
      </c>
      <c r="J29" s="166">
        <f t="shared" ref="J29" si="4">SUM(J17:J28)</f>
        <v>44</v>
      </c>
      <c r="K29" s="166">
        <f t="shared" ref="K29" si="5">SUM(K17:K28)</f>
        <v>53</v>
      </c>
      <c r="L29" s="166">
        <f t="shared" ref="L29" si="6">SUM(L17:L28)</f>
        <v>140</v>
      </c>
      <c r="M29" s="166">
        <f t="shared" ref="M29" si="7">SUM(M17:M28)</f>
        <v>145</v>
      </c>
      <c r="N29" s="166">
        <f t="shared" ref="N29" si="8">SUM(N17:N28)</f>
        <v>0</v>
      </c>
      <c r="O29" s="166">
        <f t="shared" ref="O29" si="9">SUM(O17:O28)</f>
        <v>0</v>
      </c>
      <c r="P29" s="166">
        <f t="shared" ref="P29" si="10">SUM(P17:P28)</f>
        <v>0</v>
      </c>
      <c r="Q29" s="166">
        <f t="shared" ref="Q29" si="11">SUM(Q17:Q28)</f>
        <v>0</v>
      </c>
      <c r="R29" s="166">
        <f t="shared" ref="R29" si="12">SUM(R17:R28)</f>
        <v>443</v>
      </c>
      <c r="T29" s="27"/>
      <c r="U29" s="34"/>
    </row>
    <row r="30" spans="2:21" ht="15.6" x14ac:dyDescent="0.25">
      <c r="B30" s="18"/>
      <c r="C30" s="180">
        <v>4500458423</v>
      </c>
      <c r="D30" s="180" t="s">
        <v>67</v>
      </c>
      <c r="E30" s="124">
        <v>522196</v>
      </c>
      <c r="F30" s="124" t="s">
        <v>51</v>
      </c>
      <c r="G30" s="198">
        <v>44505</v>
      </c>
      <c r="H30" s="35"/>
      <c r="I30" s="35"/>
      <c r="J30" s="35"/>
      <c r="K30" s="35"/>
      <c r="L30" s="35"/>
      <c r="M30" s="35"/>
      <c r="N30" s="35"/>
      <c r="O30" s="35">
        <v>41</v>
      </c>
      <c r="P30" s="35">
        <v>63</v>
      </c>
      <c r="Q30" s="35">
        <v>44</v>
      </c>
      <c r="R30" s="35">
        <f>SUM(H30:Q30)</f>
        <v>148</v>
      </c>
      <c r="T30" s="27"/>
    </row>
    <row r="31" spans="2:21" ht="15.6" x14ac:dyDescent="0.25">
      <c r="B31" s="18"/>
      <c r="C31" s="181"/>
      <c r="D31" s="181"/>
      <c r="E31" s="143"/>
      <c r="F31" s="143" t="s">
        <v>52</v>
      </c>
      <c r="G31" s="199"/>
      <c r="H31" s="35"/>
      <c r="I31" s="35"/>
      <c r="J31" s="35"/>
      <c r="K31" s="35"/>
      <c r="L31" s="35"/>
      <c r="M31" s="35"/>
      <c r="N31" s="35"/>
      <c r="O31" s="35">
        <v>33</v>
      </c>
      <c r="P31" s="35">
        <v>43</v>
      </c>
      <c r="Q31" s="35">
        <v>27</v>
      </c>
      <c r="R31" s="35">
        <f t="shared" ref="R31:R41" si="13">SUM(H31:Q31)</f>
        <v>103</v>
      </c>
      <c r="T31" s="27"/>
    </row>
    <row r="32" spans="2:21" ht="15.6" x14ac:dyDescent="0.25">
      <c r="B32" s="18"/>
      <c r="C32" s="181"/>
      <c r="D32" s="181"/>
      <c r="E32" s="144"/>
      <c r="F32" s="144" t="s">
        <v>53</v>
      </c>
      <c r="G32" s="199"/>
      <c r="H32" s="35"/>
      <c r="I32" s="35"/>
      <c r="J32" s="35"/>
      <c r="K32" s="35"/>
      <c r="L32" s="35"/>
      <c r="M32" s="35"/>
      <c r="N32" s="35"/>
      <c r="O32" s="35">
        <v>11</v>
      </c>
      <c r="P32" s="35">
        <v>12</v>
      </c>
      <c r="Q32" s="35">
        <v>10</v>
      </c>
      <c r="R32" s="35">
        <f t="shared" si="13"/>
        <v>33</v>
      </c>
    </row>
    <row r="33" spans="2:24" ht="16.2" thickBot="1" x14ac:dyDescent="0.3">
      <c r="B33" s="18"/>
      <c r="C33" s="181"/>
      <c r="D33" s="197"/>
      <c r="E33" s="108"/>
      <c r="F33" s="108" t="s">
        <v>54</v>
      </c>
      <c r="G33" s="199"/>
      <c r="H33" s="35"/>
      <c r="I33" s="35"/>
      <c r="J33" s="35"/>
      <c r="K33" s="35"/>
      <c r="L33" s="35"/>
      <c r="M33" s="35"/>
      <c r="N33" s="35"/>
      <c r="O33" s="35">
        <v>23</v>
      </c>
      <c r="P33" s="35">
        <v>25</v>
      </c>
      <c r="Q33" s="35">
        <v>14</v>
      </c>
      <c r="R33" s="35">
        <f t="shared" si="13"/>
        <v>62</v>
      </c>
    </row>
    <row r="34" spans="2:24" ht="15.6" x14ac:dyDescent="0.25">
      <c r="B34" s="18"/>
      <c r="C34" s="181"/>
      <c r="D34" s="180" t="s">
        <v>68</v>
      </c>
      <c r="E34" s="124">
        <v>522204</v>
      </c>
      <c r="F34" s="124" t="s">
        <v>51</v>
      </c>
      <c r="G34" s="199"/>
      <c r="H34" s="35"/>
      <c r="I34" s="35"/>
      <c r="J34" s="35">
        <v>20</v>
      </c>
      <c r="K34" s="35">
        <v>27</v>
      </c>
      <c r="L34" s="35">
        <v>17</v>
      </c>
      <c r="M34" s="35">
        <v>13</v>
      </c>
      <c r="N34" s="35"/>
      <c r="O34" s="35"/>
      <c r="P34" s="35"/>
      <c r="Q34" s="35"/>
      <c r="R34" s="35">
        <f t="shared" si="13"/>
        <v>77</v>
      </c>
    </row>
    <row r="35" spans="2:24" ht="15.6" x14ac:dyDescent="0.25">
      <c r="B35" s="18"/>
      <c r="C35" s="181"/>
      <c r="D35" s="181"/>
      <c r="E35" s="143"/>
      <c r="F35" s="143" t="s">
        <v>52</v>
      </c>
      <c r="G35" s="199"/>
      <c r="H35" s="35"/>
      <c r="I35" s="35"/>
      <c r="J35" s="35">
        <v>11</v>
      </c>
      <c r="K35" s="35">
        <v>27</v>
      </c>
      <c r="L35" s="35">
        <v>31</v>
      </c>
      <c r="M35" s="35">
        <v>18</v>
      </c>
      <c r="N35" s="35"/>
      <c r="O35" s="35"/>
      <c r="P35" s="35"/>
      <c r="Q35" s="35"/>
      <c r="R35" s="35">
        <f t="shared" si="13"/>
        <v>87</v>
      </c>
    </row>
    <row r="36" spans="2:24" ht="15.6" x14ac:dyDescent="0.25">
      <c r="B36" s="18"/>
      <c r="C36" s="181"/>
      <c r="D36" s="181"/>
      <c r="E36" s="144"/>
      <c r="F36" s="144" t="s">
        <v>53</v>
      </c>
      <c r="G36" s="199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>
        <f t="shared" si="13"/>
        <v>0</v>
      </c>
    </row>
    <row r="37" spans="2:24" ht="16.2" thickBot="1" x14ac:dyDescent="0.3">
      <c r="B37" s="18"/>
      <c r="C37" s="181"/>
      <c r="D37" s="197"/>
      <c r="E37" s="108"/>
      <c r="F37" s="108" t="s">
        <v>54</v>
      </c>
      <c r="G37" s="199"/>
      <c r="H37" s="35"/>
      <c r="I37" s="35"/>
      <c r="J37" s="35">
        <v>10</v>
      </c>
      <c r="K37" s="35">
        <v>16</v>
      </c>
      <c r="L37" s="35">
        <v>16</v>
      </c>
      <c r="M37" s="35">
        <v>10</v>
      </c>
      <c r="N37" s="35"/>
      <c r="O37" s="35"/>
      <c r="P37" s="35"/>
      <c r="Q37" s="35"/>
      <c r="R37" s="35">
        <f t="shared" si="13"/>
        <v>52</v>
      </c>
    </row>
    <row r="38" spans="2:24" ht="15.6" x14ac:dyDescent="0.25">
      <c r="B38" s="18"/>
      <c r="C38" s="181"/>
      <c r="D38" s="180" t="s">
        <v>69</v>
      </c>
      <c r="E38" s="124">
        <v>522213</v>
      </c>
      <c r="F38" s="124" t="s">
        <v>51</v>
      </c>
      <c r="G38" s="199"/>
      <c r="H38" s="35">
        <v>10</v>
      </c>
      <c r="I38" s="35">
        <v>16</v>
      </c>
      <c r="J38" s="35">
        <v>61</v>
      </c>
      <c r="K38" s="35">
        <v>60</v>
      </c>
      <c r="L38" s="35">
        <v>109</v>
      </c>
      <c r="M38" s="35">
        <v>115</v>
      </c>
      <c r="N38" s="35">
        <v>52</v>
      </c>
      <c r="O38" s="35"/>
      <c r="P38" s="35"/>
      <c r="Q38" s="35"/>
      <c r="R38" s="35">
        <f t="shared" si="13"/>
        <v>423</v>
      </c>
    </row>
    <row r="39" spans="2:24" ht="15.6" x14ac:dyDescent="0.25">
      <c r="B39" s="18"/>
      <c r="C39" s="181"/>
      <c r="D39" s="181"/>
      <c r="E39" s="143"/>
      <c r="F39" s="143" t="s">
        <v>52</v>
      </c>
      <c r="G39" s="199"/>
      <c r="H39" s="35">
        <v>15</v>
      </c>
      <c r="I39" s="35">
        <v>32</v>
      </c>
      <c r="J39" s="35">
        <v>54</v>
      </c>
      <c r="K39" s="35">
        <v>53</v>
      </c>
      <c r="L39" s="35">
        <v>81</v>
      </c>
      <c r="M39" s="35">
        <v>89</v>
      </c>
      <c r="N39" s="35">
        <v>30</v>
      </c>
      <c r="O39" s="35"/>
      <c r="P39" s="35"/>
      <c r="Q39" s="35"/>
      <c r="R39" s="35">
        <f t="shared" si="13"/>
        <v>354</v>
      </c>
    </row>
    <row r="40" spans="2:24" ht="15.6" x14ac:dyDescent="0.25">
      <c r="B40" s="18"/>
      <c r="C40" s="181"/>
      <c r="D40" s="181"/>
      <c r="E40" s="144"/>
      <c r="F40" s="144" t="s">
        <v>53</v>
      </c>
      <c r="G40" s="199"/>
      <c r="H40" s="35">
        <v>10</v>
      </c>
      <c r="I40" s="35">
        <v>14</v>
      </c>
      <c r="J40" s="35">
        <v>24</v>
      </c>
      <c r="K40" s="35">
        <v>23</v>
      </c>
      <c r="L40" s="35">
        <v>30</v>
      </c>
      <c r="M40" s="35">
        <v>19</v>
      </c>
      <c r="N40" s="35">
        <v>5</v>
      </c>
      <c r="O40" s="35"/>
      <c r="P40" s="35"/>
      <c r="Q40" s="35"/>
      <c r="R40" s="35">
        <f t="shared" si="13"/>
        <v>125</v>
      </c>
      <c r="U40" s="2" t="s">
        <v>38</v>
      </c>
    </row>
    <row r="41" spans="2:24" s="12" customFormat="1" ht="16.2" thickBot="1" x14ac:dyDescent="0.3">
      <c r="B41" s="18"/>
      <c r="C41" s="181"/>
      <c r="D41" s="197"/>
      <c r="E41" s="108"/>
      <c r="F41" s="108" t="s">
        <v>54</v>
      </c>
      <c r="G41" s="199"/>
      <c r="H41" s="35">
        <v>10</v>
      </c>
      <c r="I41" s="35">
        <v>24</v>
      </c>
      <c r="J41" s="35">
        <v>43</v>
      </c>
      <c r="K41" s="35">
        <v>41</v>
      </c>
      <c r="L41" s="35">
        <v>54</v>
      </c>
      <c r="M41" s="35">
        <v>35</v>
      </c>
      <c r="N41" s="35">
        <v>10</v>
      </c>
      <c r="O41" s="35"/>
      <c r="P41" s="35"/>
      <c r="Q41" s="35"/>
      <c r="R41" s="35">
        <f t="shared" si="13"/>
        <v>217</v>
      </c>
      <c r="S41" s="2"/>
      <c r="T41" s="2"/>
      <c r="U41" s="2" t="s">
        <v>49</v>
      </c>
      <c r="V41" s="28">
        <f>SUM(R182:R193)+SUM(R198:R209)</f>
        <v>61062</v>
      </c>
      <c r="W41" s="79">
        <f>V41*1.03</f>
        <v>62893.86</v>
      </c>
      <c r="X41" s="2"/>
    </row>
    <row r="42" spans="2:24" s="12" customFormat="1" ht="16.2" thickBot="1" x14ac:dyDescent="0.3">
      <c r="B42" s="18"/>
      <c r="C42" s="155"/>
      <c r="D42" s="155"/>
      <c r="E42" s="160"/>
      <c r="F42" s="164"/>
      <c r="G42" s="165"/>
      <c r="H42" s="166">
        <f>SUM(H30:H41)</f>
        <v>45</v>
      </c>
      <c r="I42" s="166">
        <f t="shared" ref="I42" si="14">SUM(I30:I41)</f>
        <v>86</v>
      </c>
      <c r="J42" s="166">
        <f t="shared" ref="J42" si="15">SUM(J30:J41)</f>
        <v>223</v>
      </c>
      <c r="K42" s="166">
        <f t="shared" ref="K42" si="16">SUM(K30:K41)</f>
        <v>247</v>
      </c>
      <c r="L42" s="166">
        <f t="shared" ref="L42" si="17">SUM(L30:L41)</f>
        <v>338</v>
      </c>
      <c r="M42" s="166">
        <f t="shared" ref="M42" si="18">SUM(M30:M41)</f>
        <v>299</v>
      </c>
      <c r="N42" s="166">
        <f t="shared" ref="N42" si="19">SUM(N30:N41)</f>
        <v>97</v>
      </c>
      <c r="O42" s="166">
        <f t="shared" ref="O42" si="20">SUM(O30:O41)</f>
        <v>108</v>
      </c>
      <c r="P42" s="166">
        <f t="shared" ref="P42" si="21">SUM(P30:P41)</f>
        <v>143</v>
      </c>
      <c r="Q42" s="166">
        <f t="shared" ref="Q42" si="22">SUM(Q30:Q41)</f>
        <v>95</v>
      </c>
      <c r="R42" s="166">
        <f t="shared" ref="R42" si="23">SUM(R30:R41)</f>
        <v>1681</v>
      </c>
      <c r="S42" s="2"/>
      <c r="T42" s="2"/>
      <c r="U42" s="2"/>
      <c r="V42" s="28"/>
      <c r="W42" s="79"/>
      <c r="X42" s="2"/>
    </row>
    <row r="43" spans="2:24" s="12" customFormat="1" ht="15.6" x14ac:dyDescent="0.25">
      <c r="B43" s="18"/>
      <c r="C43" s="180">
        <v>4500458453</v>
      </c>
      <c r="D43" s="180" t="s">
        <v>67</v>
      </c>
      <c r="E43" s="124">
        <v>522196</v>
      </c>
      <c r="F43" s="124" t="s">
        <v>51</v>
      </c>
      <c r="G43" s="198">
        <v>44556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>
        <f>SUM(H43:Q43)</f>
        <v>0</v>
      </c>
      <c r="S43" s="2"/>
      <c r="T43" s="2"/>
      <c r="U43" s="2"/>
      <c r="V43" s="28"/>
      <c r="W43" s="79"/>
      <c r="X43" s="2"/>
    </row>
    <row r="44" spans="2:24" s="12" customFormat="1" ht="15.6" x14ac:dyDescent="0.25">
      <c r="B44" s="18"/>
      <c r="C44" s="181"/>
      <c r="D44" s="181"/>
      <c r="E44" s="143"/>
      <c r="F44" s="143" t="s">
        <v>52</v>
      </c>
      <c r="G44" s="199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>
        <f t="shared" ref="R44:R54" si="24">SUM(H44:Q44)</f>
        <v>0</v>
      </c>
      <c r="S44" s="2"/>
      <c r="T44" s="2"/>
      <c r="U44" s="2"/>
      <c r="V44" s="28"/>
      <c r="W44" s="79"/>
      <c r="X44" s="2"/>
    </row>
    <row r="45" spans="2:24" s="12" customFormat="1" ht="15.6" x14ac:dyDescent="0.25">
      <c r="B45" s="18"/>
      <c r="C45" s="181"/>
      <c r="D45" s="181"/>
      <c r="E45" s="144"/>
      <c r="F45" s="144" t="s">
        <v>53</v>
      </c>
      <c r="G45" s="199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>
        <f t="shared" si="24"/>
        <v>0</v>
      </c>
      <c r="S45" s="2"/>
      <c r="T45" s="2"/>
      <c r="U45" s="2"/>
      <c r="V45" s="28"/>
      <c r="W45" s="79"/>
      <c r="X45" s="2"/>
    </row>
    <row r="46" spans="2:24" s="12" customFormat="1" ht="16.2" thickBot="1" x14ac:dyDescent="0.3">
      <c r="B46" s="18"/>
      <c r="C46" s="181"/>
      <c r="D46" s="197"/>
      <c r="E46" s="108"/>
      <c r="F46" s="108" t="s">
        <v>54</v>
      </c>
      <c r="G46" s="199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>
        <f t="shared" si="24"/>
        <v>0</v>
      </c>
      <c r="S46" s="2"/>
      <c r="T46" s="2"/>
      <c r="U46" s="2"/>
      <c r="V46" s="28"/>
      <c r="W46" s="79"/>
      <c r="X46" s="2"/>
    </row>
    <row r="47" spans="2:24" s="12" customFormat="1" ht="15.6" x14ac:dyDescent="0.25">
      <c r="B47" s="18"/>
      <c r="C47" s="181"/>
      <c r="D47" s="180" t="s">
        <v>68</v>
      </c>
      <c r="E47" s="124">
        <v>522204</v>
      </c>
      <c r="F47" s="124" t="s">
        <v>51</v>
      </c>
      <c r="G47" s="199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>
        <f t="shared" si="24"/>
        <v>0</v>
      </c>
      <c r="S47" s="2"/>
      <c r="T47" s="2"/>
      <c r="U47" s="2"/>
      <c r="V47" s="28"/>
      <c r="W47" s="79"/>
      <c r="X47" s="2"/>
    </row>
    <row r="48" spans="2:24" s="12" customFormat="1" ht="15.6" x14ac:dyDescent="0.25">
      <c r="B48" s="18"/>
      <c r="C48" s="181"/>
      <c r="D48" s="181"/>
      <c r="E48" s="143"/>
      <c r="F48" s="143" t="s">
        <v>52</v>
      </c>
      <c r="G48" s="199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>
        <f t="shared" si="24"/>
        <v>0</v>
      </c>
      <c r="S48" s="2"/>
      <c r="T48" s="2"/>
      <c r="U48" s="2"/>
      <c r="V48" s="28"/>
      <c r="W48" s="79"/>
      <c r="X48" s="2"/>
    </row>
    <row r="49" spans="2:24" s="12" customFormat="1" ht="15.6" x14ac:dyDescent="0.25">
      <c r="B49" s="18"/>
      <c r="C49" s="181"/>
      <c r="D49" s="181"/>
      <c r="E49" s="144"/>
      <c r="F49" s="144" t="s">
        <v>53</v>
      </c>
      <c r="G49" s="199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>
        <f t="shared" si="24"/>
        <v>0</v>
      </c>
      <c r="S49" s="2"/>
      <c r="T49" s="2"/>
      <c r="U49" s="2"/>
      <c r="V49" s="28"/>
      <c r="W49" s="79"/>
      <c r="X49" s="2"/>
    </row>
    <row r="50" spans="2:24" s="12" customFormat="1" ht="16.2" thickBot="1" x14ac:dyDescent="0.3">
      <c r="B50" s="18"/>
      <c r="C50" s="181"/>
      <c r="D50" s="197"/>
      <c r="E50" s="108"/>
      <c r="F50" s="108" t="s">
        <v>54</v>
      </c>
      <c r="G50" s="199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>
        <f t="shared" si="24"/>
        <v>0</v>
      </c>
      <c r="S50" s="2"/>
      <c r="T50" s="2"/>
      <c r="U50" s="2"/>
      <c r="V50" s="28"/>
      <c r="W50" s="79"/>
      <c r="X50" s="2"/>
    </row>
    <row r="51" spans="2:24" s="12" customFormat="1" ht="15.6" x14ac:dyDescent="0.25">
      <c r="B51" s="18"/>
      <c r="C51" s="181"/>
      <c r="D51" s="180" t="s">
        <v>69</v>
      </c>
      <c r="E51" s="124">
        <v>522213</v>
      </c>
      <c r="F51" s="124" t="s">
        <v>51</v>
      </c>
      <c r="G51" s="199"/>
      <c r="H51" s="35">
        <v>14</v>
      </c>
      <c r="I51" s="35">
        <v>31</v>
      </c>
      <c r="J51" s="35">
        <v>34</v>
      </c>
      <c r="K51" s="35">
        <v>41</v>
      </c>
      <c r="L51" s="35">
        <v>108</v>
      </c>
      <c r="M51" s="35">
        <v>112</v>
      </c>
      <c r="N51" s="35"/>
      <c r="O51" s="35"/>
      <c r="P51" s="35"/>
      <c r="Q51" s="35"/>
      <c r="R51" s="35">
        <f t="shared" si="24"/>
        <v>340</v>
      </c>
      <c r="S51" s="2"/>
      <c r="T51" s="2"/>
      <c r="U51" s="2"/>
      <c r="V51" s="28"/>
      <c r="W51" s="79"/>
      <c r="X51" s="2"/>
    </row>
    <row r="52" spans="2:24" s="12" customFormat="1" ht="15.6" x14ac:dyDescent="0.25">
      <c r="B52" s="18"/>
      <c r="C52" s="181"/>
      <c r="D52" s="181"/>
      <c r="E52" s="143"/>
      <c r="F52" s="143" t="s">
        <v>52</v>
      </c>
      <c r="G52" s="199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>
        <f t="shared" si="24"/>
        <v>0</v>
      </c>
      <c r="S52" s="2"/>
      <c r="T52" s="2"/>
      <c r="U52" s="2"/>
      <c r="V52" s="28"/>
      <c r="W52" s="79"/>
      <c r="X52" s="2"/>
    </row>
    <row r="53" spans="2:24" s="12" customFormat="1" ht="15.6" x14ac:dyDescent="0.25">
      <c r="B53" s="18"/>
      <c r="C53" s="181"/>
      <c r="D53" s="181"/>
      <c r="E53" s="144"/>
      <c r="F53" s="144" t="s">
        <v>53</v>
      </c>
      <c r="G53" s="199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>
        <f t="shared" si="24"/>
        <v>0</v>
      </c>
      <c r="S53" s="2"/>
      <c r="T53" s="2"/>
      <c r="U53" s="2"/>
      <c r="V53" s="28"/>
      <c r="W53" s="79"/>
      <c r="X53" s="2"/>
    </row>
    <row r="54" spans="2:24" s="12" customFormat="1" ht="16.2" thickBot="1" x14ac:dyDescent="0.3">
      <c r="B54" s="18"/>
      <c r="C54" s="181"/>
      <c r="D54" s="197"/>
      <c r="E54" s="108"/>
      <c r="F54" s="108" t="s">
        <v>54</v>
      </c>
      <c r="G54" s="199"/>
      <c r="H54" s="35">
        <v>10</v>
      </c>
      <c r="I54" s="35">
        <v>20</v>
      </c>
      <c r="J54" s="35">
        <v>23</v>
      </c>
      <c r="K54" s="35">
        <v>27</v>
      </c>
      <c r="L54" s="35">
        <v>72</v>
      </c>
      <c r="M54" s="35">
        <v>74</v>
      </c>
      <c r="N54" s="35"/>
      <c r="O54" s="35"/>
      <c r="P54" s="35"/>
      <c r="Q54" s="35"/>
      <c r="R54" s="35">
        <f t="shared" si="24"/>
        <v>226</v>
      </c>
      <c r="S54" s="2"/>
      <c r="T54" s="2"/>
      <c r="U54" s="2"/>
      <c r="V54" s="28"/>
      <c r="W54" s="79"/>
      <c r="X54" s="2"/>
    </row>
    <row r="55" spans="2:24" s="12" customFormat="1" ht="16.2" thickBot="1" x14ac:dyDescent="0.3">
      <c r="B55" s="18"/>
      <c r="C55" s="155"/>
      <c r="D55" s="155"/>
      <c r="E55" s="160"/>
      <c r="F55" s="164"/>
      <c r="G55" s="165"/>
      <c r="H55" s="166">
        <f>SUM(H43:H54)</f>
        <v>24</v>
      </c>
      <c r="I55" s="166">
        <f t="shared" ref="I55" si="25">SUM(I43:I54)</f>
        <v>51</v>
      </c>
      <c r="J55" s="166">
        <f t="shared" ref="J55" si="26">SUM(J43:J54)</f>
        <v>57</v>
      </c>
      <c r="K55" s="166">
        <f t="shared" ref="K55" si="27">SUM(K43:K54)</f>
        <v>68</v>
      </c>
      <c r="L55" s="166">
        <f t="shared" ref="L55" si="28">SUM(L43:L54)</f>
        <v>180</v>
      </c>
      <c r="M55" s="166">
        <f t="shared" ref="M55" si="29">SUM(M43:M54)</f>
        <v>186</v>
      </c>
      <c r="N55" s="166">
        <f t="shared" ref="N55" si="30">SUM(N43:N54)</f>
        <v>0</v>
      </c>
      <c r="O55" s="166">
        <f t="shared" ref="O55" si="31">SUM(O43:O54)</f>
        <v>0</v>
      </c>
      <c r="P55" s="166">
        <f t="shared" ref="P55" si="32">SUM(P43:P54)</f>
        <v>0</v>
      </c>
      <c r="Q55" s="166">
        <f t="shared" ref="Q55" si="33">SUM(Q43:Q54)</f>
        <v>0</v>
      </c>
      <c r="R55" s="166">
        <f t="shared" ref="R55" si="34">SUM(R43:R54)</f>
        <v>566</v>
      </c>
      <c r="S55" s="2"/>
      <c r="T55" s="27" t="s">
        <v>71</v>
      </c>
      <c r="U55" s="2"/>
      <c r="V55" s="28"/>
      <c r="W55" s="79"/>
      <c r="X55" s="2"/>
    </row>
    <row r="56" spans="2:24" ht="15.6" x14ac:dyDescent="0.25">
      <c r="B56" s="18"/>
      <c r="C56" s="180">
        <v>4500458429</v>
      </c>
      <c r="D56" s="180" t="s">
        <v>67</v>
      </c>
      <c r="E56" s="124">
        <v>522196</v>
      </c>
      <c r="F56" s="124" t="s">
        <v>51</v>
      </c>
      <c r="G56" s="198">
        <v>44215</v>
      </c>
      <c r="H56" s="35"/>
      <c r="I56" s="35"/>
      <c r="J56" s="35"/>
      <c r="K56" s="35"/>
      <c r="L56" s="35"/>
      <c r="M56" s="35"/>
      <c r="N56" s="35"/>
      <c r="O56" s="35">
        <v>330</v>
      </c>
      <c r="P56" s="35">
        <v>503</v>
      </c>
      <c r="Q56" s="35">
        <v>348</v>
      </c>
      <c r="R56" s="35">
        <f>SUM(H56:Q56)</f>
        <v>1181</v>
      </c>
      <c r="T56" s="27"/>
    </row>
    <row r="57" spans="2:24" ht="15.6" x14ac:dyDescent="0.25">
      <c r="B57" s="18"/>
      <c r="C57" s="181"/>
      <c r="D57" s="181"/>
      <c r="E57" s="143"/>
      <c r="F57" s="143" t="s">
        <v>52</v>
      </c>
      <c r="G57" s="199"/>
      <c r="H57" s="35"/>
      <c r="I57" s="35"/>
      <c r="J57" s="35"/>
      <c r="K57" s="35"/>
      <c r="L57" s="35"/>
      <c r="M57" s="35"/>
      <c r="N57" s="35"/>
      <c r="O57" s="35">
        <v>265</v>
      </c>
      <c r="P57" s="35">
        <v>347</v>
      </c>
      <c r="Q57" s="35">
        <v>215</v>
      </c>
      <c r="R57" s="35">
        <f t="shared" ref="R57:R67" si="35">SUM(H57:Q57)</f>
        <v>827</v>
      </c>
      <c r="T57" s="27"/>
    </row>
    <row r="58" spans="2:24" ht="15.6" x14ac:dyDescent="0.25">
      <c r="B58" s="18"/>
      <c r="C58" s="181"/>
      <c r="D58" s="181"/>
      <c r="E58" s="144"/>
      <c r="F58" s="144" t="s">
        <v>53</v>
      </c>
      <c r="G58" s="199"/>
      <c r="H58" s="35"/>
      <c r="I58" s="35"/>
      <c r="J58" s="35"/>
      <c r="K58" s="35"/>
      <c r="L58" s="35"/>
      <c r="M58" s="35"/>
      <c r="N58" s="35"/>
      <c r="O58" s="35">
        <v>89</v>
      </c>
      <c r="P58" s="35">
        <v>97</v>
      </c>
      <c r="Q58" s="35">
        <v>52</v>
      </c>
      <c r="R58" s="35">
        <f t="shared" si="35"/>
        <v>238</v>
      </c>
    </row>
    <row r="59" spans="2:24" ht="16.2" thickBot="1" x14ac:dyDescent="0.3">
      <c r="B59" s="18"/>
      <c r="C59" s="181"/>
      <c r="D59" s="197"/>
      <c r="E59" s="108"/>
      <c r="F59" s="108" t="s">
        <v>54</v>
      </c>
      <c r="G59" s="199"/>
      <c r="H59" s="35"/>
      <c r="I59" s="35"/>
      <c r="J59" s="35"/>
      <c r="K59" s="35"/>
      <c r="L59" s="35"/>
      <c r="M59" s="35"/>
      <c r="N59" s="35"/>
      <c r="O59" s="35">
        <v>182</v>
      </c>
      <c r="P59" s="35">
        <v>202</v>
      </c>
      <c r="Q59" s="35">
        <v>108</v>
      </c>
      <c r="R59" s="35">
        <f t="shared" si="35"/>
        <v>492</v>
      </c>
    </row>
    <row r="60" spans="2:24" ht="15.6" x14ac:dyDescent="0.25">
      <c r="B60" s="18"/>
      <c r="C60" s="181"/>
      <c r="D60" s="180" t="s">
        <v>68</v>
      </c>
      <c r="E60" s="124">
        <v>522204</v>
      </c>
      <c r="F60" s="124" t="s">
        <v>51</v>
      </c>
      <c r="G60" s="199"/>
      <c r="H60" s="35"/>
      <c r="I60" s="35"/>
      <c r="J60" s="35">
        <v>158</v>
      </c>
      <c r="K60" s="35">
        <v>220</v>
      </c>
      <c r="L60" s="35">
        <v>139</v>
      </c>
      <c r="M60" s="35">
        <v>100</v>
      </c>
      <c r="N60" s="35"/>
      <c r="O60" s="35"/>
      <c r="P60" s="35"/>
      <c r="Q60" s="35"/>
      <c r="R60" s="35">
        <f t="shared" si="35"/>
        <v>617</v>
      </c>
    </row>
    <row r="61" spans="2:24" ht="15.6" x14ac:dyDescent="0.25">
      <c r="B61" s="18"/>
      <c r="C61" s="181"/>
      <c r="D61" s="181"/>
      <c r="E61" s="143"/>
      <c r="F61" s="143" t="s">
        <v>52</v>
      </c>
      <c r="G61" s="199"/>
      <c r="H61" s="35"/>
      <c r="I61" s="35"/>
      <c r="J61" s="35">
        <v>84</v>
      </c>
      <c r="K61" s="35">
        <v>218</v>
      </c>
      <c r="L61" s="35">
        <v>246</v>
      </c>
      <c r="M61" s="35">
        <v>148</v>
      </c>
      <c r="N61" s="35"/>
      <c r="O61" s="35"/>
      <c r="P61" s="35"/>
      <c r="Q61" s="35"/>
      <c r="R61" s="35">
        <f t="shared" si="35"/>
        <v>696</v>
      </c>
    </row>
    <row r="62" spans="2:24" ht="15.6" x14ac:dyDescent="0.25">
      <c r="B62" s="18"/>
      <c r="C62" s="181"/>
      <c r="D62" s="181"/>
      <c r="E62" s="144"/>
      <c r="F62" s="144" t="s">
        <v>53</v>
      </c>
      <c r="G62" s="199"/>
      <c r="H62" s="35"/>
      <c r="I62" s="35"/>
      <c r="J62" s="35">
        <v>38</v>
      </c>
      <c r="K62" s="35">
        <v>88</v>
      </c>
      <c r="L62" s="35">
        <v>56</v>
      </c>
      <c r="M62" s="35">
        <v>28</v>
      </c>
      <c r="N62" s="35"/>
      <c r="O62" s="35"/>
      <c r="P62" s="35"/>
      <c r="Q62" s="35"/>
      <c r="R62" s="35">
        <f t="shared" si="35"/>
        <v>210</v>
      </c>
    </row>
    <row r="63" spans="2:24" ht="16.2" thickBot="1" x14ac:dyDescent="0.3">
      <c r="B63" s="18"/>
      <c r="C63" s="181"/>
      <c r="D63" s="197"/>
      <c r="E63" s="108"/>
      <c r="F63" s="108" t="s">
        <v>54</v>
      </c>
      <c r="G63" s="199"/>
      <c r="H63" s="35"/>
      <c r="I63" s="35"/>
      <c r="J63" s="35">
        <v>51</v>
      </c>
      <c r="K63" s="35">
        <v>127</v>
      </c>
      <c r="L63" s="35">
        <v>131</v>
      </c>
      <c r="M63" s="35">
        <v>54</v>
      </c>
      <c r="N63" s="35"/>
      <c r="O63" s="35"/>
      <c r="P63" s="35"/>
      <c r="Q63" s="35"/>
      <c r="R63" s="35">
        <f t="shared" si="35"/>
        <v>363</v>
      </c>
    </row>
    <row r="64" spans="2:24" ht="15.6" x14ac:dyDescent="0.25">
      <c r="B64" s="18"/>
      <c r="C64" s="181"/>
      <c r="D64" s="180" t="s">
        <v>69</v>
      </c>
      <c r="E64" s="124">
        <v>522213</v>
      </c>
      <c r="F64" s="124" t="s">
        <v>51</v>
      </c>
      <c r="G64" s="199"/>
      <c r="H64" s="35">
        <v>38</v>
      </c>
      <c r="I64" s="35">
        <v>126</v>
      </c>
      <c r="J64" s="35">
        <v>484</v>
      </c>
      <c r="K64" s="35">
        <v>482</v>
      </c>
      <c r="L64" s="35">
        <v>872</v>
      </c>
      <c r="M64" s="35">
        <v>921</v>
      </c>
      <c r="N64" s="35">
        <v>419</v>
      </c>
      <c r="O64" s="35"/>
      <c r="P64" s="35"/>
      <c r="Q64" s="35"/>
      <c r="R64" s="35">
        <f t="shared" si="35"/>
        <v>3342</v>
      </c>
    </row>
    <row r="65" spans="2:24" ht="15.6" x14ac:dyDescent="0.25">
      <c r="B65" s="18"/>
      <c r="C65" s="181"/>
      <c r="D65" s="181"/>
      <c r="E65" s="143"/>
      <c r="F65" s="143" t="s">
        <v>52</v>
      </c>
      <c r="G65" s="199"/>
      <c r="H65" s="35">
        <v>123</v>
      </c>
      <c r="I65" s="35">
        <v>255</v>
      </c>
      <c r="J65" s="35">
        <v>430</v>
      </c>
      <c r="K65" s="35">
        <v>423</v>
      </c>
      <c r="L65" s="35">
        <v>651</v>
      </c>
      <c r="M65" s="35">
        <v>712</v>
      </c>
      <c r="N65" s="35">
        <v>236</v>
      </c>
      <c r="O65" s="35"/>
      <c r="P65" s="35"/>
      <c r="Q65" s="35"/>
      <c r="R65" s="35">
        <f t="shared" si="35"/>
        <v>2830</v>
      </c>
    </row>
    <row r="66" spans="2:24" ht="15.6" x14ac:dyDescent="0.25">
      <c r="B66" s="18"/>
      <c r="C66" s="181"/>
      <c r="D66" s="181"/>
      <c r="E66" s="144"/>
      <c r="F66" s="144" t="s">
        <v>53</v>
      </c>
      <c r="G66" s="199"/>
      <c r="H66" s="35">
        <v>21</v>
      </c>
      <c r="I66" s="35">
        <v>111</v>
      </c>
      <c r="J66" s="35">
        <v>192</v>
      </c>
      <c r="K66" s="35">
        <v>188</v>
      </c>
      <c r="L66" s="35">
        <v>241</v>
      </c>
      <c r="M66" s="35">
        <v>156</v>
      </c>
      <c r="N66" s="35">
        <v>43</v>
      </c>
      <c r="O66" s="35"/>
      <c r="P66" s="35"/>
      <c r="Q66" s="35"/>
      <c r="R66" s="35">
        <f t="shared" si="35"/>
        <v>952</v>
      </c>
      <c r="U66" s="2" t="s">
        <v>38</v>
      </c>
    </row>
    <row r="67" spans="2:24" s="12" customFormat="1" ht="16.2" thickBot="1" x14ac:dyDescent="0.3">
      <c r="B67" s="18"/>
      <c r="C67" s="181"/>
      <c r="D67" s="197"/>
      <c r="E67" s="108"/>
      <c r="F67" s="108" t="s">
        <v>54</v>
      </c>
      <c r="G67" s="199"/>
      <c r="H67" s="35">
        <v>75</v>
      </c>
      <c r="I67" s="35">
        <v>194</v>
      </c>
      <c r="J67" s="35">
        <v>345</v>
      </c>
      <c r="K67" s="35">
        <v>331</v>
      </c>
      <c r="L67" s="35">
        <v>434</v>
      </c>
      <c r="M67" s="35">
        <v>281</v>
      </c>
      <c r="N67" s="35">
        <v>76</v>
      </c>
      <c r="O67" s="35"/>
      <c r="P67" s="35"/>
      <c r="Q67" s="35"/>
      <c r="R67" s="35">
        <f t="shared" si="35"/>
        <v>1736</v>
      </c>
      <c r="S67" s="2"/>
      <c r="T67" s="2"/>
      <c r="U67" s="2" t="s">
        <v>49</v>
      </c>
      <c r="V67" s="28">
        <f>SUM(R194:R205)+SUM(R210:R221)</f>
        <v>67238</v>
      </c>
      <c r="W67" s="79">
        <f>V67*1.03</f>
        <v>69255.14</v>
      </c>
      <c r="X67" s="2"/>
    </row>
    <row r="68" spans="2:24" s="12" customFormat="1" ht="16.2" thickBot="1" x14ac:dyDescent="0.3">
      <c r="B68" s="18"/>
      <c r="C68" s="155"/>
      <c r="D68" s="155"/>
      <c r="E68" s="160"/>
      <c r="F68" s="164"/>
      <c r="G68" s="165"/>
      <c r="H68" s="166">
        <f>SUM(H56:H67)</f>
        <v>257</v>
      </c>
      <c r="I68" s="166">
        <f t="shared" ref="I68" si="36">SUM(I56:I67)</f>
        <v>686</v>
      </c>
      <c r="J68" s="166">
        <f t="shared" ref="J68" si="37">SUM(J56:J67)</f>
        <v>1782</v>
      </c>
      <c r="K68" s="166">
        <f t="shared" ref="K68" si="38">SUM(K56:K67)</f>
        <v>2077</v>
      </c>
      <c r="L68" s="166">
        <f t="shared" ref="L68" si="39">SUM(L56:L67)</f>
        <v>2770</v>
      </c>
      <c r="M68" s="166">
        <f t="shared" ref="M68" si="40">SUM(M56:M67)</f>
        <v>2400</v>
      </c>
      <c r="N68" s="166">
        <f t="shared" ref="N68" si="41">SUM(N56:N67)</f>
        <v>774</v>
      </c>
      <c r="O68" s="166">
        <f t="shared" ref="O68" si="42">SUM(O56:O67)</f>
        <v>866</v>
      </c>
      <c r="P68" s="166">
        <f t="shared" ref="P68" si="43">SUM(P56:P67)</f>
        <v>1149</v>
      </c>
      <c r="Q68" s="166">
        <f t="shared" ref="Q68" si="44">SUM(Q56:Q67)</f>
        <v>723</v>
      </c>
      <c r="R68" s="166">
        <f t="shared" ref="R68" si="45">SUM(R56:R67)</f>
        <v>13484</v>
      </c>
      <c r="S68" s="2"/>
      <c r="T68" s="27" t="s">
        <v>71</v>
      </c>
      <c r="U68" s="2"/>
      <c r="V68" s="28"/>
      <c r="W68" s="79"/>
      <c r="X68" s="2"/>
    </row>
    <row r="69" spans="2:24" ht="15.6" x14ac:dyDescent="0.25">
      <c r="B69" s="18"/>
      <c r="C69" s="180">
        <v>4500458427</v>
      </c>
      <c r="D69" s="180" t="s">
        <v>67</v>
      </c>
      <c r="E69" s="124">
        <v>522196</v>
      </c>
      <c r="F69" s="124" t="s">
        <v>51</v>
      </c>
      <c r="G69" s="198">
        <v>44552</v>
      </c>
      <c r="H69" s="35"/>
      <c r="I69" s="35"/>
      <c r="J69" s="35"/>
      <c r="K69" s="35"/>
      <c r="L69" s="35"/>
      <c r="M69" s="35"/>
      <c r="N69" s="35"/>
      <c r="O69" s="35">
        <v>757</v>
      </c>
      <c r="P69" s="35">
        <v>1154</v>
      </c>
      <c r="Q69" s="35">
        <v>799</v>
      </c>
      <c r="R69" s="35">
        <f>SUM(H69:Q69)</f>
        <v>2710</v>
      </c>
      <c r="T69" s="27">
        <v>3.59</v>
      </c>
    </row>
    <row r="70" spans="2:24" ht="15.6" x14ac:dyDescent="0.25">
      <c r="B70" s="18"/>
      <c r="C70" s="181"/>
      <c r="D70" s="181"/>
      <c r="E70" s="143"/>
      <c r="F70" s="143" t="s">
        <v>52</v>
      </c>
      <c r="G70" s="199"/>
      <c r="H70" s="35"/>
      <c r="I70" s="35"/>
      <c r="J70" s="35"/>
      <c r="K70" s="35"/>
      <c r="L70" s="35"/>
      <c r="M70" s="35"/>
      <c r="N70" s="35"/>
      <c r="O70" s="35">
        <v>607</v>
      </c>
      <c r="P70" s="35">
        <v>796</v>
      </c>
      <c r="Q70" s="35">
        <v>493</v>
      </c>
      <c r="R70" s="35">
        <f t="shared" ref="R70:R80" si="46">SUM(H70:Q70)</f>
        <v>1896</v>
      </c>
      <c r="T70" s="27">
        <v>3.78</v>
      </c>
    </row>
    <row r="71" spans="2:24" ht="15.6" x14ac:dyDescent="0.25">
      <c r="B71" s="18"/>
      <c r="C71" s="181"/>
      <c r="D71" s="181"/>
      <c r="E71" s="144"/>
      <c r="F71" s="144" t="s">
        <v>53</v>
      </c>
      <c r="G71" s="199"/>
      <c r="H71" s="35"/>
      <c r="I71" s="35"/>
      <c r="J71" s="35"/>
      <c r="K71" s="35"/>
      <c r="L71" s="35"/>
      <c r="M71" s="35"/>
      <c r="N71" s="35"/>
      <c r="O71" s="35">
        <v>205</v>
      </c>
      <c r="P71" s="35">
        <v>221</v>
      </c>
      <c r="Q71" s="35">
        <v>119</v>
      </c>
      <c r="R71" s="35">
        <f t="shared" si="46"/>
        <v>545</v>
      </c>
      <c r="T71" s="27">
        <v>3.72</v>
      </c>
    </row>
    <row r="72" spans="2:24" ht="16.2" thickBot="1" x14ac:dyDescent="0.3">
      <c r="B72" s="18"/>
      <c r="C72" s="181"/>
      <c r="D72" s="197"/>
      <c r="E72" s="108"/>
      <c r="F72" s="108" t="s">
        <v>54</v>
      </c>
      <c r="G72" s="199"/>
      <c r="H72" s="35"/>
      <c r="I72" s="35"/>
      <c r="J72" s="35"/>
      <c r="K72" s="35"/>
      <c r="L72" s="35"/>
      <c r="M72" s="35"/>
      <c r="N72" s="35"/>
      <c r="O72" s="35">
        <v>417</v>
      </c>
      <c r="P72" s="35">
        <v>463</v>
      </c>
      <c r="Q72" s="35">
        <v>248</v>
      </c>
      <c r="R72" s="35">
        <f t="shared" si="46"/>
        <v>1128</v>
      </c>
      <c r="T72" s="27">
        <v>3.69</v>
      </c>
    </row>
    <row r="73" spans="2:24" ht="15.6" x14ac:dyDescent="0.25">
      <c r="B73" s="18"/>
      <c r="C73" s="181"/>
      <c r="D73" s="180" t="s">
        <v>68</v>
      </c>
      <c r="E73" s="124">
        <v>522204</v>
      </c>
      <c r="F73" s="124" t="s">
        <v>51</v>
      </c>
      <c r="G73" s="199"/>
      <c r="H73" s="35"/>
      <c r="I73" s="35"/>
      <c r="J73" s="35">
        <v>361</v>
      </c>
      <c r="K73" s="35">
        <v>505</v>
      </c>
      <c r="L73" s="35">
        <v>318</v>
      </c>
      <c r="M73" s="35">
        <v>230</v>
      </c>
      <c r="N73" s="35"/>
      <c r="O73" s="35"/>
      <c r="P73" s="35"/>
      <c r="Q73" s="35"/>
      <c r="R73" s="35">
        <f t="shared" si="46"/>
        <v>1414</v>
      </c>
      <c r="T73" s="27"/>
    </row>
    <row r="74" spans="2:24" ht="15.6" x14ac:dyDescent="0.25">
      <c r="B74" s="18"/>
      <c r="C74" s="181"/>
      <c r="D74" s="181"/>
      <c r="E74" s="143"/>
      <c r="F74" s="143" t="s">
        <v>52</v>
      </c>
      <c r="G74" s="199"/>
      <c r="H74" s="35"/>
      <c r="I74" s="35"/>
      <c r="J74" s="35">
        <v>194</v>
      </c>
      <c r="K74" s="35">
        <v>500</v>
      </c>
      <c r="L74" s="35">
        <v>565</v>
      </c>
      <c r="M74" s="35">
        <v>339</v>
      </c>
      <c r="N74" s="35"/>
      <c r="O74" s="35"/>
      <c r="P74" s="35"/>
      <c r="Q74" s="35"/>
      <c r="R74" s="35">
        <f t="shared" si="46"/>
        <v>1598</v>
      </c>
      <c r="T74" s="27"/>
    </row>
    <row r="75" spans="2:24" ht="15.6" x14ac:dyDescent="0.25">
      <c r="B75" s="18"/>
      <c r="C75" s="181"/>
      <c r="D75" s="181"/>
      <c r="E75" s="144"/>
      <c r="F75" s="144" t="s">
        <v>53</v>
      </c>
      <c r="G75" s="199"/>
      <c r="H75" s="35"/>
      <c r="I75" s="35"/>
      <c r="J75" s="35">
        <v>88</v>
      </c>
      <c r="K75" s="35">
        <v>202</v>
      </c>
      <c r="L75" s="35">
        <v>128</v>
      </c>
      <c r="M75" s="35">
        <v>63</v>
      </c>
      <c r="N75" s="35"/>
      <c r="O75" s="35"/>
      <c r="P75" s="35"/>
      <c r="Q75" s="35"/>
      <c r="R75" s="35">
        <f t="shared" si="46"/>
        <v>481</v>
      </c>
      <c r="T75" s="27"/>
    </row>
    <row r="76" spans="2:24" ht="16.2" thickBot="1" x14ac:dyDescent="0.3">
      <c r="B76" s="18"/>
      <c r="C76" s="181"/>
      <c r="D76" s="197"/>
      <c r="E76" s="108"/>
      <c r="F76" s="108" t="s">
        <v>54</v>
      </c>
      <c r="G76" s="199"/>
      <c r="H76" s="35"/>
      <c r="I76" s="35"/>
      <c r="J76" s="35">
        <v>116</v>
      </c>
      <c r="K76" s="35">
        <v>291</v>
      </c>
      <c r="L76" s="35">
        <v>299</v>
      </c>
      <c r="M76" s="35">
        <v>125</v>
      </c>
      <c r="N76" s="35"/>
      <c r="O76" s="35"/>
      <c r="P76" s="35"/>
      <c r="Q76" s="35"/>
      <c r="R76" s="35">
        <f t="shared" si="46"/>
        <v>831</v>
      </c>
      <c r="T76" s="27"/>
    </row>
    <row r="77" spans="2:24" ht="15.6" x14ac:dyDescent="0.25">
      <c r="B77" s="18"/>
      <c r="C77" s="181"/>
      <c r="D77" s="180" t="s">
        <v>69</v>
      </c>
      <c r="E77" s="124">
        <v>522213</v>
      </c>
      <c r="F77" s="124" t="s">
        <v>51</v>
      </c>
      <c r="G77" s="199"/>
      <c r="H77" s="35">
        <v>86</v>
      </c>
      <c r="I77" s="35">
        <v>289</v>
      </c>
      <c r="J77" s="35">
        <v>1109</v>
      </c>
      <c r="K77" s="35">
        <v>1105</v>
      </c>
      <c r="L77" s="35">
        <v>1998</v>
      </c>
      <c r="M77" s="35">
        <v>2110</v>
      </c>
      <c r="N77" s="35">
        <v>959</v>
      </c>
      <c r="O77" s="35"/>
      <c r="P77" s="35"/>
      <c r="Q77" s="35"/>
      <c r="R77" s="35">
        <f t="shared" si="46"/>
        <v>7656</v>
      </c>
      <c r="T77" s="27">
        <v>3.37</v>
      </c>
    </row>
    <row r="78" spans="2:24" ht="15.6" x14ac:dyDescent="0.25">
      <c r="B78" s="18"/>
      <c r="C78" s="181"/>
      <c r="D78" s="181"/>
      <c r="E78" s="143"/>
      <c r="F78" s="143" t="s">
        <v>52</v>
      </c>
      <c r="G78" s="199"/>
      <c r="H78" s="35">
        <v>281</v>
      </c>
      <c r="I78" s="35">
        <v>584</v>
      </c>
      <c r="J78" s="35">
        <v>986</v>
      </c>
      <c r="K78" s="35">
        <v>970</v>
      </c>
      <c r="L78" s="35">
        <v>1493</v>
      </c>
      <c r="M78" s="35">
        <v>1632</v>
      </c>
      <c r="N78" s="35">
        <v>541</v>
      </c>
      <c r="O78" s="35"/>
      <c r="P78" s="35"/>
      <c r="Q78" s="35"/>
      <c r="R78" s="35">
        <f t="shared" si="46"/>
        <v>6487</v>
      </c>
      <c r="T78" s="27">
        <v>3.54</v>
      </c>
    </row>
    <row r="79" spans="2:24" ht="15.6" x14ac:dyDescent="0.25">
      <c r="B79" s="18"/>
      <c r="C79" s="181"/>
      <c r="D79" s="181"/>
      <c r="E79" s="144"/>
      <c r="F79" s="144" t="s">
        <v>53</v>
      </c>
      <c r="G79" s="199"/>
      <c r="H79" s="35">
        <v>48</v>
      </c>
      <c r="I79" s="35">
        <v>253</v>
      </c>
      <c r="J79" s="35">
        <v>441</v>
      </c>
      <c r="K79" s="35">
        <v>430</v>
      </c>
      <c r="L79" s="35">
        <v>552</v>
      </c>
      <c r="M79" s="35">
        <v>357</v>
      </c>
      <c r="N79" s="35">
        <v>99</v>
      </c>
      <c r="O79" s="35"/>
      <c r="P79" s="35"/>
      <c r="Q79" s="35"/>
      <c r="R79" s="35">
        <f t="shared" si="46"/>
        <v>2180</v>
      </c>
      <c r="T79" s="27">
        <v>3.48</v>
      </c>
      <c r="U79" s="2" t="s">
        <v>38</v>
      </c>
    </row>
    <row r="80" spans="2:24" s="12" customFormat="1" ht="16.2" thickBot="1" x14ac:dyDescent="0.3">
      <c r="B80" s="18"/>
      <c r="C80" s="181"/>
      <c r="D80" s="197"/>
      <c r="E80" s="108"/>
      <c r="F80" s="108" t="s">
        <v>54</v>
      </c>
      <c r="G80" s="199"/>
      <c r="H80" s="35">
        <v>173</v>
      </c>
      <c r="I80" s="35">
        <v>445</v>
      </c>
      <c r="J80" s="35">
        <v>790</v>
      </c>
      <c r="K80" s="35">
        <v>759</v>
      </c>
      <c r="L80" s="35">
        <v>995</v>
      </c>
      <c r="M80" s="35">
        <v>643</v>
      </c>
      <c r="N80" s="35">
        <v>174</v>
      </c>
      <c r="O80" s="35"/>
      <c r="P80" s="35"/>
      <c r="Q80" s="35"/>
      <c r="R80" s="35">
        <f t="shared" si="46"/>
        <v>3979</v>
      </c>
      <c r="S80" s="2"/>
      <c r="T80" s="27">
        <v>3.45</v>
      </c>
      <c r="U80" s="2" t="s">
        <v>49</v>
      </c>
      <c r="V80" s="28">
        <f>SUM(R206:R217)+SUM(R222:R233)</f>
        <v>175641</v>
      </c>
      <c r="W80" s="79">
        <f>V80*1.03</f>
        <v>180910.23</v>
      </c>
      <c r="X80" s="2"/>
    </row>
    <row r="81" spans="2:24" s="12" customFormat="1" ht="16.2" thickBot="1" x14ac:dyDescent="0.3">
      <c r="B81" s="18"/>
      <c r="C81" s="155"/>
      <c r="D81" s="155"/>
      <c r="E81" s="160"/>
      <c r="F81" s="164"/>
      <c r="G81" s="165"/>
      <c r="H81" s="166">
        <f>SUM(H69:H80)</f>
        <v>588</v>
      </c>
      <c r="I81" s="166">
        <f t="shared" ref="I81" si="47">SUM(I69:I80)</f>
        <v>1571</v>
      </c>
      <c r="J81" s="166">
        <f t="shared" ref="J81" si="48">SUM(J69:J80)</f>
        <v>4085</v>
      </c>
      <c r="K81" s="166">
        <f t="shared" ref="K81" si="49">SUM(K69:K80)</f>
        <v>4762</v>
      </c>
      <c r="L81" s="166">
        <f t="shared" ref="L81" si="50">SUM(L69:L80)</f>
        <v>6348</v>
      </c>
      <c r="M81" s="166">
        <f t="shared" ref="M81" si="51">SUM(M69:M80)</f>
        <v>5499</v>
      </c>
      <c r="N81" s="166">
        <f t="shared" ref="N81" si="52">SUM(N69:N80)</f>
        <v>1773</v>
      </c>
      <c r="O81" s="166">
        <f t="shared" ref="O81" si="53">SUM(O69:O80)</f>
        <v>1986</v>
      </c>
      <c r="P81" s="166">
        <f t="shared" ref="P81" si="54">SUM(P69:P80)</f>
        <v>2634</v>
      </c>
      <c r="Q81" s="166">
        <f t="shared" ref="Q81" si="55">SUM(Q69:Q80)</f>
        <v>1659</v>
      </c>
      <c r="R81" s="166">
        <f t="shared" ref="R81" si="56">SUM(R69:R80)</f>
        <v>30905</v>
      </c>
      <c r="S81" s="2"/>
      <c r="T81" s="27" t="s">
        <v>71</v>
      </c>
      <c r="U81" s="2"/>
      <c r="V81" s="28"/>
      <c r="W81" s="79"/>
      <c r="X81" s="2"/>
    </row>
    <row r="82" spans="2:24" ht="15.6" x14ac:dyDescent="0.25">
      <c r="B82" s="18"/>
      <c r="C82" s="180">
        <v>4500458420</v>
      </c>
      <c r="D82" s="180" t="s">
        <v>67</v>
      </c>
      <c r="E82" s="124">
        <v>522196</v>
      </c>
      <c r="F82" s="124" t="s">
        <v>51</v>
      </c>
      <c r="G82" s="198">
        <v>44468</v>
      </c>
      <c r="H82" s="35"/>
      <c r="I82" s="35"/>
      <c r="J82" s="35"/>
      <c r="K82" s="35"/>
      <c r="L82" s="35"/>
      <c r="M82" s="35"/>
      <c r="N82" s="35"/>
      <c r="O82" s="35">
        <v>96</v>
      </c>
      <c r="P82" s="35">
        <v>147</v>
      </c>
      <c r="Q82" s="35">
        <v>102</v>
      </c>
      <c r="R82" s="35">
        <f>SUM(H82:Q82)</f>
        <v>345</v>
      </c>
      <c r="T82" s="27"/>
    </row>
    <row r="83" spans="2:24" ht="15.6" x14ac:dyDescent="0.25">
      <c r="B83" s="18"/>
      <c r="C83" s="181"/>
      <c r="D83" s="181"/>
      <c r="E83" s="143"/>
      <c r="F83" s="143" t="s">
        <v>52</v>
      </c>
      <c r="G83" s="199"/>
      <c r="H83" s="35"/>
      <c r="I83" s="35"/>
      <c r="J83" s="35"/>
      <c r="K83" s="35"/>
      <c r="L83" s="35"/>
      <c r="M83" s="35"/>
      <c r="N83" s="35"/>
      <c r="O83" s="35">
        <v>77</v>
      </c>
      <c r="P83" s="35">
        <v>101</v>
      </c>
      <c r="Q83" s="35">
        <v>63</v>
      </c>
      <c r="R83" s="35">
        <f t="shared" ref="R83:R93" si="57">SUM(H83:Q83)</f>
        <v>241</v>
      </c>
      <c r="T83" s="27"/>
    </row>
    <row r="84" spans="2:24" ht="15.6" x14ac:dyDescent="0.25">
      <c r="B84" s="18"/>
      <c r="C84" s="181"/>
      <c r="D84" s="181"/>
      <c r="E84" s="144"/>
      <c r="F84" s="144" t="s">
        <v>53</v>
      </c>
      <c r="G84" s="199"/>
      <c r="H84" s="35"/>
      <c r="I84" s="35"/>
      <c r="J84" s="35"/>
      <c r="K84" s="35"/>
      <c r="L84" s="35"/>
      <c r="M84" s="35"/>
      <c r="N84" s="35"/>
      <c r="O84" s="35">
        <v>26</v>
      </c>
      <c r="P84" s="35">
        <v>28</v>
      </c>
      <c r="Q84" s="35">
        <v>15</v>
      </c>
      <c r="R84" s="35">
        <f t="shared" si="57"/>
        <v>69</v>
      </c>
    </row>
    <row r="85" spans="2:24" ht="16.2" thickBot="1" x14ac:dyDescent="0.3">
      <c r="B85" s="18"/>
      <c r="C85" s="181"/>
      <c r="D85" s="197"/>
      <c r="E85" s="108"/>
      <c r="F85" s="108" t="s">
        <v>54</v>
      </c>
      <c r="G85" s="199"/>
      <c r="H85" s="35"/>
      <c r="I85" s="35"/>
      <c r="J85" s="35"/>
      <c r="K85" s="35"/>
      <c r="L85" s="35"/>
      <c r="M85" s="35"/>
      <c r="N85" s="35"/>
      <c r="O85" s="35">
        <v>53</v>
      </c>
      <c r="P85" s="35">
        <v>59</v>
      </c>
      <c r="Q85" s="35">
        <v>32</v>
      </c>
      <c r="R85" s="35">
        <f t="shared" si="57"/>
        <v>144</v>
      </c>
    </row>
    <row r="86" spans="2:24" ht="15.6" x14ac:dyDescent="0.25">
      <c r="B86" s="18"/>
      <c r="C86" s="181"/>
      <c r="D86" s="180" t="s">
        <v>68</v>
      </c>
      <c r="E86" s="124">
        <v>522204</v>
      </c>
      <c r="F86" s="124" t="s">
        <v>51</v>
      </c>
      <c r="G86" s="199"/>
      <c r="H86" s="35"/>
      <c r="I86" s="35"/>
      <c r="J86" s="35">
        <v>46</v>
      </c>
      <c r="K86" s="35">
        <v>64</v>
      </c>
      <c r="L86" s="35">
        <v>41</v>
      </c>
      <c r="M86" s="35">
        <v>29</v>
      </c>
      <c r="N86" s="35"/>
      <c r="O86" s="35"/>
      <c r="P86" s="35"/>
      <c r="Q86" s="35"/>
      <c r="R86" s="35">
        <f t="shared" si="57"/>
        <v>180</v>
      </c>
    </row>
    <row r="87" spans="2:24" ht="15.6" x14ac:dyDescent="0.25">
      <c r="B87" s="18"/>
      <c r="C87" s="181"/>
      <c r="D87" s="181"/>
      <c r="E87" s="143"/>
      <c r="F87" s="143" t="s">
        <v>52</v>
      </c>
      <c r="G87" s="199"/>
      <c r="H87" s="35"/>
      <c r="I87" s="35"/>
      <c r="J87" s="35">
        <v>25</v>
      </c>
      <c r="K87" s="35">
        <v>64</v>
      </c>
      <c r="L87" s="35">
        <v>72</v>
      </c>
      <c r="M87" s="35">
        <v>43</v>
      </c>
      <c r="N87" s="35"/>
      <c r="O87" s="35"/>
      <c r="P87" s="35"/>
      <c r="Q87" s="35"/>
      <c r="R87" s="35">
        <f t="shared" si="57"/>
        <v>204</v>
      </c>
    </row>
    <row r="88" spans="2:24" ht="15.6" x14ac:dyDescent="0.25">
      <c r="B88" s="18"/>
      <c r="C88" s="181"/>
      <c r="D88" s="181"/>
      <c r="E88" s="144"/>
      <c r="F88" s="144" t="s">
        <v>53</v>
      </c>
      <c r="G88" s="199"/>
      <c r="H88" s="35"/>
      <c r="I88" s="35"/>
      <c r="J88" s="35">
        <v>16</v>
      </c>
      <c r="K88" s="35">
        <v>37</v>
      </c>
      <c r="L88" s="35">
        <v>23</v>
      </c>
      <c r="M88" s="35">
        <v>11</v>
      </c>
      <c r="N88" s="35"/>
      <c r="O88" s="35"/>
      <c r="P88" s="35"/>
      <c r="Q88" s="35"/>
      <c r="R88" s="35">
        <f t="shared" si="57"/>
        <v>87</v>
      </c>
    </row>
    <row r="89" spans="2:24" ht="16.2" thickBot="1" x14ac:dyDescent="0.3">
      <c r="B89" s="18"/>
      <c r="C89" s="181"/>
      <c r="D89" s="197"/>
      <c r="E89" s="108"/>
      <c r="F89" s="108" t="s">
        <v>54</v>
      </c>
      <c r="G89" s="199"/>
      <c r="H89" s="35"/>
      <c r="I89" s="35"/>
      <c r="J89" s="35">
        <v>15</v>
      </c>
      <c r="K89" s="35">
        <v>37</v>
      </c>
      <c r="L89" s="35">
        <v>38</v>
      </c>
      <c r="M89" s="35">
        <v>16</v>
      </c>
      <c r="N89" s="35"/>
      <c r="O89" s="35"/>
      <c r="P89" s="35"/>
      <c r="Q89" s="35"/>
      <c r="R89" s="35">
        <f t="shared" si="57"/>
        <v>106</v>
      </c>
    </row>
    <row r="90" spans="2:24" ht="15.6" x14ac:dyDescent="0.25">
      <c r="B90" s="18"/>
      <c r="C90" s="181"/>
      <c r="D90" s="180" t="s">
        <v>69</v>
      </c>
      <c r="E90" s="124">
        <v>522213</v>
      </c>
      <c r="F90" s="124" t="s">
        <v>51</v>
      </c>
      <c r="G90" s="199"/>
      <c r="H90" s="35">
        <v>11</v>
      </c>
      <c r="I90" s="35">
        <v>37</v>
      </c>
      <c r="J90" s="35">
        <v>141</v>
      </c>
      <c r="K90" s="35">
        <v>141</v>
      </c>
      <c r="L90" s="35">
        <v>254</v>
      </c>
      <c r="M90" s="35">
        <v>268</v>
      </c>
      <c r="N90" s="35">
        <v>122</v>
      </c>
      <c r="O90" s="35"/>
      <c r="P90" s="35"/>
      <c r="Q90" s="35"/>
      <c r="R90" s="35">
        <f t="shared" si="57"/>
        <v>974</v>
      </c>
    </row>
    <row r="91" spans="2:24" ht="15.6" x14ac:dyDescent="0.25">
      <c r="B91" s="18"/>
      <c r="C91" s="181"/>
      <c r="D91" s="181"/>
      <c r="E91" s="143"/>
      <c r="F91" s="143" t="s">
        <v>52</v>
      </c>
      <c r="G91" s="199"/>
      <c r="H91" s="35">
        <v>36</v>
      </c>
      <c r="I91" s="35">
        <v>74</v>
      </c>
      <c r="J91" s="35">
        <v>126</v>
      </c>
      <c r="K91" s="35">
        <v>123</v>
      </c>
      <c r="L91" s="35">
        <v>190</v>
      </c>
      <c r="M91" s="35">
        <v>208</v>
      </c>
      <c r="N91" s="35">
        <v>69</v>
      </c>
      <c r="O91" s="35"/>
      <c r="P91" s="35"/>
      <c r="Q91" s="35"/>
      <c r="R91" s="35">
        <f t="shared" si="57"/>
        <v>826</v>
      </c>
    </row>
    <row r="92" spans="2:24" ht="15.6" x14ac:dyDescent="0.25">
      <c r="B92" s="18"/>
      <c r="C92" s="181"/>
      <c r="D92" s="181"/>
      <c r="E92" s="144"/>
      <c r="F92" s="144" t="s">
        <v>53</v>
      </c>
      <c r="G92" s="199"/>
      <c r="H92" s="35">
        <v>10</v>
      </c>
      <c r="I92" s="35">
        <v>32</v>
      </c>
      <c r="J92" s="35">
        <v>56</v>
      </c>
      <c r="K92" s="35">
        <v>55</v>
      </c>
      <c r="L92" s="35">
        <v>70</v>
      </c>
      <c r="M92" s="35">
        <v>45</v>
      </c>
      <c r="N92" s="35">
        <v>13</v>
      </c>
      <c r="O92" s="35"/>
      <c r="P92" s="35"/>
      <c r="Q92" s="35"/>
      <c r="R92" s="35">
        <f t="shared" si="57"/>
        <v>281</v>
      </c>
      <c r="U92" s="2" t="s">
        <v>38</v>
      </c>
    </row>
    <row r="93" spans="2:24" s="12" customFormat="1" ht="16.2" thickBot="1" x14ac:dyDescent="0.3">
      <c r="B93" s="18"/>
      <c r="C93" s="181"/>
      <c r="D93" s="197"/>
      <c r="E93" s="108"/>
      <c r="F93" s="108" t="s">
        <v>54</v>
      </c>
      <c r="G93" s="199"/>
      <c r="H93" s="35">
        <v>22</v>
      </c>
      <c r="I93" s="35">
        <v>57</v>
      </c>
      <c r="J93" s="35">
        <v>101</v>
      </c>
      <c r="K93" s="35">
        <v>97</v>
      </c>
      <c r="L93" s="35">
        <v>127</v>
      </c>
      <c r="M93" s="35">
        <v>82</v>
      </c>
      <c r="N93" s="35">
        <v>22</v>
      </c>
      <c r="O93" s="35"/>
      <c r="P93" s="35"/>
      <c r="Q93" s="35"/>
      <c r="R93" s="35">
        <f t="shared" si="57"/>
        <v>508</v>
      </c>
      <c r="S93" s="2"/>
      <c r="T93" s="2"/>
      <c r="U93" s="2" t="s">
        <v>49</v>
      </c>
      <c r="V93" s="28">
        <f>SUM(R218:R229)+SUM(R234:R245)</f>
        <v>185257</v>
      </c>
      <c r="W93" s="79">
        <f>V93*1.03</f>
        <v>190814.71</v>
      </c>
      <c r="X93" s="2"/>
    </row>
    <row r="94" spans="2:24" s="12" customFormat="1" ht="16.2" thickBot="1" x14ac:dyDescent="0.3">
      <c r="B94" s="18"/>
      <c r="C94" s="155"/>
      <c r="D94" s="155"/>
      <c r="E94" s="160"/>
      <c r="F94" s="164"/>
      <c r="G94" s="165"/>
      <c r="H94" s="166">
        <f>SUM(H82:H93)</f>
        <v>79</v>
      </c>
      <c r="I94" s="166">
        <f t="shared" ref="I94" si="58">SUM(I82:I93)</f>
        <v>200</v>
      </c>
      <c r="J94" s="166">
        <f t="shared" ref="J94" si="59">SUM(J82:J93)</f>
        <v>526</v>
      </c>
      <c r="K94" s="166">
        <f t="shared" ref="K94" si="60">SUM(K82:K93)</f>
        <v>618</v>
      </c>
      <c r="L94" s="166">
        <f t="shared" ref="L94" si="61">SUM(L82:L93)</f>
        <v>815</v>
      </c>
      <c r="M94" s="166">
        <f t="shared" ref="M94" si="62">SUM(M82:M93)</f>
        <v>702</v>
      </c>
      <c r="N94" s="166">
        <f t="shared" ref="N94" si="63">SUM(N82:N93)</f>
        <v>226</v>
      </c>
      <c r="O94" s="166">
        <f t="shared" ref="O94" si="64">SUM(O82:O93)</f>
        <v>252</v>
      </c>
      <c r="P94" s="166">
        <f t="shared" ref="P94" si="65">SUM(P82:P93)</f>
        <v>335</v>
      </c>
      <c r="Q94" s="166">
        <f t="shared" ref="Q94" si="66">SUM(Q82:Q93)</f>
        <v>212</v>
      </c>
      <c r="R94" s="166">
        <f t="shared" ref="R94" si="67">SUM(R82:R93)</f>
        <v>3965</v>
      </c>
      <c r="S94" s="2"/>
      <c r="T94" s="2"/>
      <c r="U94" s="2"/>
      <c r="V94" s="28"/>
      <c r="W94" s="79"/>
      <c r="X94" s="2"/>
    </row>
    <row r="95" spans="2:24" s="12" customFormat="1" ht="15.6" x14ac:dyDescent="0.25">
      <c r="B95" s="18"/>
      <c r="C95" s="180">
        <v>4500458535</v>
      </c>
      <c r="D95" s="180" t="s">
        <v>67</v>
      </c>
      <c r="E95" s="124">
        <v>522196</v>
      </c>
      <c r="F95" s="124" t="s">
        <v>51</v>
      </c>
      <c r="G95" s="198">
        <v>44468</v>
      </c>
      <c r="H95" s="35"/>
      <c r="I95" s="35"/>
      <c r="J95" s="35"/>
      <c r="K95" s="35"/>
      <c r="L95" s="35"/>
      <c r="M95" s="35"/>
      <c r="N95" s="35"/>
      <c r="O95" s="35">
        <v>120</v>
      </c>
      <c r="P95" s="35">
        <v>183</v>
      </c>
      <c r="Q95" s="35">
        <v>127</v>
      </c>
      <c r="R95" s="35">
        <f>SUM(H95:Q95)</f>
        <v>430</v>
      </c>
      <c r="S95" s="2"/>
      <c r="T95" s="2"/>
      <c r="U95" s="2"/>
      <c r="V95" s="28"/>
      <c r="W95" s="79"/>
      <c r="X95" s="2"/>
    </row>
    <row r="96" spans="2:24" s="12" customFormat="1" ht="15.6" x14ac:dyDescent="0.25">
      <c r="B96" s="18"/>
      <c r="C96" s="181"/>
      <c r="D96" s="181"/>
      <c r="E96" s="143"/>
      <c r="F96" s="143" t="s">
        <v>52</v>
      </c>
      <c r="G96" s="199"/>
      <c r="H96" s="35"/>
      <c r="I96" s="35"/>
      <c r="J96" s="35"/>
      <c r="K96" s="35"/>
      <c r="L96" s="35"/>
      <c r="M96" s="35"/>
      <c r="N96" s="35"/>
      <c r="O96" s="35">
        <v>85</v>
      </c>
      <c r="P96" s="35">
        <v>130</v>
      </c>
      <c r="Q96" s="35">
        <v>90</v>
      </c>
      <c r="R96" s="35">
        <f t="shared" ref="R96:R106" si="68">SUM(H96:Q96)</f>
        <v>305</v>
      </c>
      <c r="S96" s="2"/>
      <c r="T96" s="2"/>
      <c r="U96" s="2"/>
      <c r="V96" s="28"/>
      <c r="W96" s="79"/>
      <c r="X96" s="2"/>
    </row>
    <row r="97" spans="2:25" s="12" customFormat="1" ht="15.6" x14ac:dyDescent="0.25">
      <c r="B97" s="18"/>
      <c r="C97" s="181"/>
      <c r="D97" s="181"/>
      <c r="E97" s="144"/>
      <c r="F97" s="144" t="s">
        <v>53</v>
      </c>
      <c r="G97" s="199"/>
      <c r="H97" s="35"/>
      <c r="I97" s="35"/>
      <c r="J97" s="35"/>
      <c r="K97" s="35"/>
      <c r="L97" s="35"/>
      <c r="M97" s="35"/>
      <c r="N97" s="35"/>
      <c r="O97" s="35">
        <v>93</v>
      </c>
      <c r="P97" s="35">
        <v>142</v>
      </c>
      <c r="Q97" s="35">
        <v>99</v>
      </c>
      <c r="R97" s="35">
        <f t="shared" si="68"/>
        <v>334</v>
      </c>
      <c r="S97" s="2"/>
      <c r="T97" s="2"/>
      <c r="U97" s="2"/>
      <c r="V97" s="28"/>
      <c r="W97" s="79"/>
      <c r="X97" s="2"/>
    </row>
    <row r="98" spans="2:25" s="12" customFormat="1" ht="16.2" thickBot="1" x14ac:dyDescent="0.3">
      <c r="B98" s="18"/>
      <c r="C98" s="181"/>
      <c r="D98" s="197"/>
      <c r="E98" s="108"/>
      <c r="F98" s="108" t="s">
        <v>54</v>
      </c>
      <c r="G98" s="199"/>
      <c r="H98" s="35"/>
      <c r="I98" s="35"/>
      <c r="J98" s="35"/>
      <c r="K98" s="35"/>
      <c r="L98" s="35"/>
      <c r="M98" s="35"/>
      <c r="N98" s="35"/>
      <c r="O98" s="35">
        <v>78</v>
      </c>
      <c r="P98" s="35">
        <v>119</v>
      </c>
      <c r="Q98" s="35">
        <v>82</v>
      </c>
      <c r="R98" s="35">
        <f t="shared" si="68"/>
        <v>279</v>
      </c>
      <c r="S98" s="2"/>
      <c r="T98" s="2"/>
      <c r="U98" s="2"/>
      <c r="V98" s="28"/>
      <c r="W98" s="79"/>
      <c r="X98" s="2"/>
    </row>
    <row r="99" spans="2:25" s="12" customFormat="1" ht="15.6" x14ac:dyDescent="0.25">
      <c r="B99" s="18"/>
      <c r="C99" s="181"/>
      <c r="D99" s="180" t="s">
        <v>68</v>
      </c>
      <c r="E99" s="124">
        <v>522204</v>
      </c>
      <c r="F99" s="124" t="s">
        <v>51</v>
      </c>
      <c r="G99" s="199"/>
      <c r="H99" s="35"/>
      <c r="I99" s="35"/>
      <c r="J99" s="35">
        <v>56</v>
      </c>
      <c r="K99" s="35">
        <v>78</v>
      </c>
      <c r="L99" s="35">
        <v>50</v>
      </c>
      <c r="M99" s="35">
        <v>35</v>
      </c>
      <c r="N99" s="35"/>
      <c r="O99" s="35"/>
      <c r="P99" s="35"/>
      <c r="Q99" s="35"/>
      <c r="R99" s="35">
        <f t="shared" si="68"/>
        <v>219</v>
      </c>
      <c r="S99" s="2"/>
      <c r="T99" s="2"/>
      <c r="U99" s="2"/>
      <c r="V99" s="28"/>
      <c r="W99" s="79"/>
      <c r="X99" s="2"/>
    </row>
    <row r="100" spans="2:25" s="12" customFormat="1" ht="15.6" x14ac:dyDescent="0.25">
      <c r="B100" s="18"/>
      <c r="C100" s="181"/>
      <c r="D100" s="181"/>
      <c r="E100" s="143"/>
      <c r="F100" s="143" t="s">
        <v>52</v>
      </c>
      <c r="G100" s="199"/>
      <c r="H100" s="35"/>
      <c r="I100" s="35"/>
      <c r="J100" s="35">
        <v>40</v>
      </c>
      <c r="K100" s="35">
        <v>55</v>
      </c>
      <c r="L100" s="35">
        <v>35</v>
      </c>
      <c r="M100" s="35">
        <v>25</v>
      </c>
      <c r="N100" s="35"/>
      <c r="O100" s="35"/>
      <c r="P100" s="35"/>
      <c r="Q100" s="35"/>
      <c r="R100" s="35">
        <f t="shared" si="68"/>
        <v>155</v>
      </c>
      <c r="S100" s="2"/>
      <c r="T100" s="2"/>
      <c r="U100" s="2"/>
      <c r="V100" s="28"/>
      <c r="W100" s="79"/>
      <c r="X100" s="2"/>
    </row>
    <row r="101" spans="2:25" s="12" customFormat="1" ht="15.6" x14ac:dyDescent="0.25">
      <c r="B101" s="18"/>
      <c r="C101" s="181"/>
      <c r="D101" s="181"/>
      <c r="E101" s="144"/>
      <c r="F101" s="144" t="s">
        <v>53</v>
      </c>
      <c r="G101" s="199"/>
      <c r="H101" s="35"/>
      <c r="I101" s="35"/>
      <c r="J101" s="35">
        <v>43</v>
      </c>
      <c r="K101" s="35">
        <v>61</v>
      </c>
      <c r="L101" s="35">
        <v>39</v>
      </c>
      <c r="M101" s="35">
        <v>27</v>
      </c>
      <c r="N101" s="35"/>
      <c r="O101" s="35"/>
      <c r="P101" s="35"/>
      <c r="Q101" s="35"/>
      <c r="R101" s="35">
        <f t="shared" si="68"/>
        <v>170</v>
      </c>
      <c r="S101" s="2"/>
      <c r="T101" s="2"/>
      <c r="U101" s="2"/>
      <c r="V101" s="28"/>
      <c r="W101" s="79"/>
      <c r="X101" s="2"/>
    </row>
    <row r="102" spans="2:25" s="12" customFormat="1" ht="16.2" thickBot="1" x14ac:dyDescent="0.3">
      <c r="B102" s="18"/>
      <c r="C102" s="181"/>
      <c r="D102" s="197"/>
      <c r="E102" s="108"/>
      <c r="F102" s="108" t="s">
        <v>54</v>
      </c>
      <c r="G102" s="199"/>
      <c r="H102" s="35"/>
      <c r="I102" s="35"/>
      <c r="J102" s="35">
        <v>36</v>
      </c>
      <c r="K102" s="35">
        <v>51</v>
      </c>
      <c r="L102" s="35">
        <v>32</v>
      </c>
      <c r="M102" s="35">
        <v>23</v>
      </c>
      <c r="N102" s="35"/>
      <c r="O102" s="35"/>
      <c r="P102" s="35"/>
      <c r="Q102" s="35"/>
      <c r="R102" s="35">
        <f t="shared" si="68"/>
        <v>142</v>
      </c>
      <c r="S102" s="2"/>
      <c r="T102" s="2"/>
      <c r="U102" s="2"/>
      <c r="V102" s="28"/>
      <c r="W102" s="79"/>
      <c r="X102" s="2"/>
    </row>
    <row r="103" spans="2:25" s="12" customFormat="1" ht="15.6" x14ac:dyDescent="0.25">
      <c r="B103" s="18"/>
      <c r="C103" s="181"/>
      <c r="D103" s="180" t="s">
        <v>69</v>
      </c>
      <c r="E103" s="124">
        <v>522213</v>
      </c>
      <c r="F103" s="124" t="s">
        <v>51</v>
      </c>
      <c r="G103" s="199"/>
      <c r="H103" s="35">
        <v>10</v>
      </c>
      <c r="I103" s="35">
        <v>34</v>
      </c>
      <c r="J103" s="35">
        <v>130</v>
      </c>
      <c r="K103" s="35">
        <v>130</v>
      </c>
      <c r="L103" s="35">
        <v>234</v>
      </c>
      <c r="M103" s="35">
        <v>247</v>
      </c>
      <c r="N103" s="35">
        <v>112</v>
      </c>
      <c r="O103" s="35"/>
      <c r="P103" s="35"/>
      <c r="Q103" s="35"/>
      <c r="R103" s="35">
        <f t="shared" si="68"/>
        <v>897</v>
      </c>
      <c r="S103" s="2"/>
      <c r="T103" s="2"/>
      <c r="U103" s="35"/>
      <c r="V103" s="35">
        <v>56</v>
      </c>
      <c r="W103" s="35">
        <v>78</v>
      </c>
      <c r="X103" s="35">
        <v>50</v>
      </c>
      <c r="Y103" s="35">
        <v>35</v>
      </c>
    </row>
    <row r="104" spans="2:25" s="12" customFormat="1" ht="15.6" x14ac:dyDescent="0.25">
      <c r="B104" s="18"/>
      <c r="C104" s="181"/>
      <c r="D104" s="181"/>
      <c r="E104" s="143"/>
      <c r="F104" s="143" t="s">
        <v>52</v>
      </c>
      <c r="G104" s="199"/>
      <c r="H104" s="35">
        <v>7</v>
      </c>
      <c r="I104" s="35">
        <v>24</v>
      </c>
      <c r="J104" s="35">
        <v>92</v>
      </c>
      <c r="K104" s="35">
        <v>92</v>
      </c>
      <c r="L104" s="35">
        <v>166</v>
      </c>
      <c r="M104" s="35">
        <v>175</v>
      </c>
      <c r="N104" s="35">
        <v>80</v>
      </c>
      <c r="O104" s="35"/>
      <c r="P104" s="35"/>
      <c r="Q104" s="35"/>
      <c r="R104" s="35">
        <f t="shared" si="68"/>
        <v>636</v>
      </c>
      <c r="S104" s="2"/>
      <c r="T104" s="2"/>
      <c r="U104" s="35"/>
      <c r="V104" s="35">
        <v>40</v>
      </c>
      <c r="W104" s="35">
        <v>55</v>
      </c>
      <c r="X104" s="35">
        <v>35</v>
      </c>
      <c r="Y104" s="35">
        <v>25</v>
      </c>
    </row>
    <row r="105" spans="2:25" s="12" customFormat="1" ht="15.6" x14ac:dyDescent="0.25">
      <c r="B105" s="18"/>
      <c r="C105" s="181"/>
      <c r="D105" s="181"/>
      <c r="E105" s="144"/>
      <c r="F105" s="144" t="s">
        <v>53</v>
      </c>
      <c r="G105" s="199"/>
      <c r="H105" s="35">
        <v>8</v>
      </c>
      <c r="I105" s="35">
        <v>26</v>
      </c>
      <c r="J105" s="35">
        <v>101</v>
      </c>
      <c r="K105" s="35">
        <v>101</v>
      </c>
      <c r="L105" s="35">
        <v>181</v>
      </c>
      <c r="M105" s="35">
        <v>191</v>
      </c>
      <c r="N105" s="35">
        <v>87</v>
      </c>
      <c r="O105" s="35"/>
      <c r="P105" s="35"/>
      <c r="Q105" s="35"/>
      <c r="R105" s="35">
        <f t="shared" si="68"/>
        <v>695</v>
      </c>
      <c r="S105" s="2"/>
      <c r="T105" s="2"/>
      <c r="U105" s="35"/>
      <c r="V105" s="35">
        <v>43</v>
      </c>
      <c r="W105" s="35">
        <v>61</v>
      </c>
      <c r="X105" s="35">
        <v>39</v>
      </c>
      <c r="Y105" s="35">
        <v>27</v>
      </c>
    </row>
    <row r="106" spans="2:25" s="12" customFormat="1" ht="16.2" thickBot="1" x14ac:dyDescent="0.3">
      <c r="B106" s="18"/>
      <c r="C106" s="181"/>
      <c r="D106" s="197"/>
      <c r="E106" s="108"/>
      <c r="F106" s="108" t="s">
        <v>54</v>
      </c>
      <c r="G106" s="199"/>
      <c r="H106" s="35">
        <v>7</v>
      </c>
      <c r="I106" s="35">
        <v>22</v>
      </c>
      <c r="J106" s="35">
        <v>84</v>
      </c>
      <c r="K106" s="35">
        <v>84</v>
      </c>
      <c r="L106" s="35">
        <v>152</v>
      </c>
      <c r="M106" s="35">
        <v>160</v>
      </c>
      <c r="N106" s="35">
        <v>73</v>
      </c>
      <c r="O106" s="35"/>
      <c r="P106" s="35"/>
      <c r="Q106" s="35"/>
      <c r="R106" s="35">
        <f t="shared" si="68"/>
        <v>582</v>
      </c>
      <c r="S106" s="2"/>
      <c r="T106" s="2"/>
      <c r="U106" s="35"/>
      <c r="V106" s="35">
        <v>36</v>
      </c>
      <c r="W106" s="35">
        <v>51</v>
      </c>
      <c r="X106" s="35">
        <v>32</v>
      </c>
      <c r="Y106" s="35">
        <v>23</v>
      </c>
    </row>
    <row r="107" spans="2:25" s="12" customFormat="1" ht="16.2" thickBot="1" x14ac:dyDescent="0.3">
      <c r="B107" s="18"/>
      <c r="C107" s="159"/>
      <c r="D107" s="159"/>
      <c r="E107" s="160"/>
      <c r="F107" s="164"/>
      <c r="G107" s="165"/>
      <c r="H107" s="166">
        <f>SUM(H95:H106)</f>
        <v>32</v>
      </c>
      <c r="I107" s="166">
        <f t="shared" ref="I107:R107" si="69">SUM(I95:I106)</f>
        <v>106</v>
      </c>
      <c r="J107" s="166">
        <f t="shared" si="69"/>
        <v>582</v>
      </c>
      <c r="K107" s="166">
        <f t="shared" si="69"/>
        <v>652</v>
      </c>
      <c r="L107" s="166">
        <f t="shared" si="69"/>
        <v>889</v>
      </c>
      <c r="M107" s="166">
        <f t="shared" si="69"/>
        <v>883</v>
      </c>
      <c r="N107" s="166">
        <f t="shared" si="69"/>
        <v>352</v>
      </c>
      <c r="O107" s="166">
        <f t="shared" si="69"/>
        <v>376</v>
      </c>
      <c r="P107" s="166">
        <f t="shared" si="69"/>
        <v>574</v>
      </c>
      <c r="Q107" s="166">
        <f t="shared" si="69"/>
        <v>398</v>
      </c>
      <c r="R107" s="166">
        <f t="shared" si="69"/>
        <v>4844</v>
      </c>
      <c r="S107" s="2"/>
      <c r="T107" s="2"/>
      <c r="U107" s="2"/>
      <c r="V107" s="28"/>
      <c r="W107" s="79"/>
      <c r="X107" s="2"/>
    </row>
    <row r="108" spans="2:25" ht="15.6" x14ac:dyDescent="0.25">
      <c r="B108" s="18"/>
      <c r="C108" s="180" t="s">
        <v>70</v>
      </c>
      <c r="D108" s="180" t="s">
        <v>67</v>
      </c>
      <c r="E108" s="124">
        <v>522196</v>
      </c>
      <c r="F108" s="124" t="s">
        <v>51</v>
      </c>
      <c r="G108" s="198"/>
      <c r="H108" s="35">
        <f>H4+H30+H56+H69+H82+H17+H43</f>
        <v>0</v>
      </c>
      <c r="I108" s="35">
        <f t="shared" ref="I108:N108" si="70">I4+I30+I56+I69+I82+I17+I43</f>
        <v>0</v>
      </c>
      <c r="J108" s="35">
        <f t="shared" si="70"/>
        <v>0</v>
      </c>
      <c r="K108" s="35">
        <f t="shared" si="70"/>
        <v>0</v>
      </c>
      <c r="L108" s="35">
        <f t="shared" si="70"/>
        <v>0</v>
      </c>
      <c r="M108" s="35">
        <f t="shared" si="70"/>
        <v>0</v>
      </c>
      <c r="N108" s="35">
        <f t="shared" si="70"/>
        <v>0</v>
      </c>
      <c r="O108" s="35">
        <f t="shared" ref="O108:Q111" si="71">O4+O30+O56+O69+O82+O17+O43+O95</f>
        <v>1495</v>
      </c>
      <c r="P108" s="35">
        <f t="shared" si="71"/>
        <v>2281</v>
      </c>
      <c r="Q108" s="35">
        <f t="shared" si="71"/>
        <v>1580</v>
      </c>
      <c r="R108" s="35">
        <f>SUM(H108:Q108)</f>
        <v>5356</v>
      </c>
      <c r="T108" s="27"/>
    </row>
    <row r="109" spans="2:25" ht="15.6" x14ac:dyDescent="0.25">
      <c r="B109" s="18"/>
      <c r="C109" s="181"/>
      <c r="D109" s="181"/>
      <c r="E109" s="143"/>
      <c r="F109" s="143" t="s">
        <v>52</v>
      </c>
      <c r="G109" s="199"/>
      <c r="H109" s="35">
        <f t="shared" ref="H109:N109" si="72">H5+H31+H57+H70+H83+H18+H44</f>
        <v>0</v>
      </c>
      <c r="I109" s="35">
        <f t="shared" si="72"/>
        <v>0</v>
      </c>
      <c r="J109" s="35">
        <f t="shared" si="72"/>
        <v>0</v>
      </c>
      <c r="K109" s="35">
        <f t="shared" si="72"/>
        <v>0</v>
      </c>
      <c r="L109" s="35">
        <f t="shared" si="72"/>
        <v>0</v>
      </c>
      <c r="M109" s="35">
        <f t="shared" si="72"/>
        <v>0</v>
      </c>
      <c r="N109" s="35">
        <f t="shared" si="72"/>
        <v>0</v>
      </c>
      <c r="O109" s="35">
        <f t="shared" si="71"/>
        <v>1188</v>
      </c>
      <c r="P109" s="35">
        <f t="shared" si="71"/>
        <v>1576</v>
      </c>
      <c r="Q109" s="35">
        <f t="shared" si="71"/>
        <v>987</v>
      </c>
      <c r="R109" s="35">
        <f t="shared" ref="R109:R119" si="73">SUM(H109:Q109)</f>
        <v>3751</v>
      </c>
      <c r="T109" s="27"/>
    </row>
    <row r="110" spans="2:25" ht="15.6" x14ac:dyDescent="0.25">
      <c r="B110" s="18"/>
      <c r="C110" s="181"/>
      <c r="D110" s="181"/>
      <c r="E110" s="144"/>
      <c r="F110" s="144" t="s">
        <v>53</v>
      </c>
      <c r="G110" s="199"/>
      <c r="H110" s="35">
        <f t="shared" ref="H110:N110" si="74">H6+H32+H58+H71+H84+H19+H45</f>
        <v>0</v>
      </c>
      <c r="I110" s="35">
        <f t="shared" si="74"/>
        <v>0</v>
      </c>
      <c r="J110" s="35">
        <f t="shared" si="74"/>
        <v>0</v>
      </c>
      <c r="K110" s="35">
        <f t="shared" si="74"/>
        <v>0</v>
      </c>
      <c r="L110" s="35">
        <f t="shared" si="74"/>
        <v>0</v>
      </c>
      <c r="M110" s="35">
        <f t="shared" si="74"/>
        <v>0</v>
      </c>
      <c r="N110" s="35">
        <f t="shared" si="74"/>
        <v>0</v>
      </c>
      <c r="O110" s="35">
        <f t="shared" si="71"/>
        <v>465</v>
      </c>
      <c r="P110" s="35">
        <f t="shared" si="71"/>
        <v>544</v>
      </c>
      <c r="Q110" s="35">
        <f t="shared" si="71"/>
        <v>319</v>
      </c>
      <c r="R110" s="35">
        <f t="shared" si="73"/>
        <v>1328</v>
      </c>
    </row>
    <row r="111" spans="2:25" ht="16.2" thickBot="1" x14ac:dyDescent="0.3">
      <c r="B111" s="18"/>
      <c r="C111" s="181"/>
      <c r="D111" s="197"/>
      <c r="E111" s="108"/>
      <c r="F111" s="108" t="s">
        <v>54</v>
      </c>
      <c r="G111" s="199"/>
      <c r="H111" s="35">
        <f t="shared" ref="H111:N111" si="75">H7+H33+H59+H72+H85+H20+H46</f>
        <v>0</v>
      </c>
      <c r="I111" s="35">
        <f t="shared" si="75"/>
        <v>0</v>
      </c>
      <c r="J111" s="35">
        <f t="shared" si="75"/>
        <v>0</v>
      </c>
      <c r="K111" s="35">
        <f t="shared" si="75"/>
        <v>0</v>
      </c>
      <c r="L111" s="35">
        <f t="shared" si="75"/>
        <v>0</v>
      </c>
      <c r="M111" s="35">
        <f t="shared" si="75"/>
        <v>0</v>
      </c>
      <c r="N111" s="35">
        <f t="shared" si="75"/>
        <v>0</v>
      </c>
      <c r="O111" s="35">
        <f t="shared" si="71"/>
        <v>837</v>
      </c>
      <c r="P111" s="35">
        <f t="shared" si="71"/>
        <v>961</v>
      </c>
      <c r="Q111" s="35">
        <f t="shared" si="71"/>
        <v>534</v>
      </c>
      <c r="R111" s="35">
        <f t="shared" si="73"/>
        <v>2332</v>
      </c>
    </row>
    <row r="112" spans="2:25" ht="15.6" x14ac:dyDescent="0.25">
      <c r="B112" s="18"/>
      <c r="C112" s="181"/>
      <c r="D112" s="180" t="s">
        <v>68</v>
      </c>
      <c r="E112" s="124">
        <v>522204</v>
      </c>
      <c r="F112" s="124" t="s">
        <v>51</v>
      </c>
      <c r="G112" s="199"/>
      <c r="H112" s="35">
        <f t="shared" ref="H112:Q112" si="76">H8+H34+H60+H73+H86+H21+H47</f>
        <v>0</v>
      </c>
      <c r="I112" s="35">
        <f t="shared" si="76"/>
        <v>0</v>
      </c>
      <c r="J112" s="35">
        <f t="shared" ref="J112:M119" si="77">J8+J34+J60+J73+J86+J21+J47+J99</f>
        <v>713</v>
      </c>
      <c r="K112" s="35">
        <f t="shared" si="77"/>
        <v>995</v>
      </c>
      <c r="L112" s="35">
        <f t="shared" si="77"/>
        <v>629</v>
      </c>
      <c r="M112" s="35">
        <f t="shared" si="77"/>
        <v>453</v>
      </c>
      <c r="N112" s="35">
        <f t="shared" si="76"/>
        <v>0</v>
      </c>
      <c r="O112" s="35">
        <f t="shared" si="76"/>
        <v>0</v>
      </c>
      <c r="P112" s="35">
        <f t="shared" si="76"/>
        <v>0</v>
      </c>
      <c r="Q112" s="35">
        <f t="shared" si="76"/>
        <v>0</v>
      </c>
      <c r="R112" s="35">
        <f t="shared" si="73"/>
        <v>2790</v>
      </c>
    </row>
    <row r="113" spans="2:24" ht="15.6" x14ac:dyDescent="0.25">
      <c r="B113" s="18"/>
      <c r="C113" s="181"/>
      <c r="D113" s="181"/>
      <c r="E113" s="143"/>
      <c r="F113" s="143" t="s">
        <v>52</v>
      </c>
      <c r="G113" s="199"/>
      <c r="H113" s="35">
        <f t="shared" ref="H113:Q113" si="78">H9+H35+H61+H74+H87+H22+H48</f>
        <v>0</v>
      </c>
      <c r="I113" s="35">
        <f t="shared" si="78"/>
        <v>0</v>
      </c>
      <c r="J113" s="35">
        <f t="shared" si="77"/>
        <v>393</v>
      </c>
      <c r="K113" s="35">
        <f t="shared" si="77"/>
        <v>964</v>
      </c>
      <c r="L113" s="35">
        <f t="shared" si="77"/>
        <v>1062</v>
      </c>
      <c r="M113" s="35">
        <f t="shared" si="77"/>
        <v>641</v>
      </c>
      <c r="N113" s="35">
        <f t="shared" si="78"/>
        <v>0</v>
      </c>
      <c r="O113" s="35">
        <f t="shared" si="78"/>
        <v>0</v>
      </c>
      <c r="P113" s="35">
        <f t="shared" si="78"/>
        <v>0</v>
      </c>
      <c r="Q113" s="35">
        <f t="shared" si="78"/>
        <v>0</v>
      </c>
      <c r="R113" s="35">
        <f t="shared" si="73"/>
        <v>3060</v>
      </c>
    </row>
    <row r="114" spans="2:24" ht="15.6" x14ac:dyDescent="0.25">
      <c r="B114" s="18"/>
      <c r="C114" s="181"/>
      <c r="D114" s="181"/>
      <c r="E114" s="144"/>
      <c r="F114" s="144" t="s">
        <v>53</v>
      </c>
      <c r="G114" s="199"/>
      <c r="H114" s="35">
        <f t="shared" ref="H114:Q114" si="79">H10+H36+H62+H75+H88+H23+H49</f>
        <v>0</v>
      </c>
      <c r="I114" s="35">
        <f t="shared" si="79"/>
        <v>0</v>
      </c>
      <c r="J114" s="35">
        <f t="shared" si="77"/>
        <v>202</v>
      </c>
      <c r="K114" s="35">
        <f t="shared" si="77"/>
        <v>428</v>
      </c>
      <c r="L114" s="35">
        <f t="shared" si="77"/>
        <v>272</v>
      </c>
      <c r="M114" s="35">
        <f t="shared" si="77"/>
        <v>142</v>
      </c>
      <c r="N114" s="35">
        <f t="shared" si="79"/>
        <v>0</v>
      </c>
      <c r="O114" s="35">
        <f t="shared" si="79"/>
        <v>0</v>
      </c>
      <c r="P114" s="35">
        <f t="shared" si="79"/>
        <v>0</v>
      </c>
      <c r="Q114" s="35">
        <f t="shared" si="79"/>
        <v>0</v>
      </c>
      <c r="R114" s="35">
        <f t="shared" si="73"/>
        <v>1044</v>
      </c>
    </row>
    <row r="115" spans="2:24" ht="16.2" thickBot="1" x14ac:dyDescent="0.3">
      <c r="B115" s="18"/>
      <c r="C115" s="181"/>
      <c r="D115" s="197"/>
      <c r="E115" s="108"/>
      <c r="F115" s="108" t="s">
        <v>54</v>
      </c>
      <c r="G115" s="199"/>
      <c r="H115" s="35">
        <f t="shared" ref="H115:Q115" si="80">H11+H37+H63+H76+H89+H24+H50</f>
        <v>0</v>
      </c>
      <c r="I115" s="35">
        <f t="shared" si="80"/>
        <v>0</v>
      </c>
      <c r="J115" s="35">
        <f t="shared" si="77"/>
        <v>251</v>
      </c>
      <c r="K115" s="35">
        <f t="shared" si="77"/>
        <v>580</v>
      </c>
      <c r="L115" s="35">
        <f t="shared" si="77"/>
        <v>576</v>
      </c>
      <c r="M115" s="35">
        <f t="shared" si="77"/>
        <v>253</v>
      </c>
      <c r="N115" s="35">
        <f t="shared" si="80"/>
        <v>0</v>
      </c>
      <c r="O115" s="35">
        <f t="shared" si="80"/>
        <v>0</v>
      </c>
      <c r="P115" s="35">
        <f t="shared" si="80"/>
        <v>0</v>
      </c>
      <c r="Q115" s="35">
        <f t="shared" si="80"/>
        <v>0</v>
      </c>
      <c r="R115" s="35">
        <f t="shared" si="73"/>
        <v>1660</v>
      </c>
    </row>
    <row r="116" spans="2:24" ht="15.6" x14ac:dyDescent="0.25">
      <c r="B116" s="18"/>
      <c r="C116" s="181"/>
      <c r="D116" s="180" t="s">
        <v>69</v>
      </c>
      <c r="E116" s="124">
        <v>522213</v>
      </c>
      <c r="F116" s="124" t="s">
        <v>51</v>
      </c>
      <c r="G116" s="199"/>
      <c r="H116" s="35">
        <f t="shared" ref="H116:I119" si="81">H12+H38+H64+H77+H90+H25+H51+H103</f>
        <v>197</v>
      </c>
      <c r="I116" s="35">
        <f t="shared" si="81"/>
        <v>615</v>
      </c>
      <c r="J116" s="35">
        <f t="shared" si="77"/>
        <v>2207</v>
      </c>
      <c r="K116" s="35">
        <f t="shared" si="77"/>
        <v>2212</v>
      </c>
      <c r="L116" s="35">
        <f t="shared" si="77"/>
        <v>4058</v>
      </c>
      <c r="M116" s="35">
        <f t="shared" si="77"/>
        <v>4282</v>
      </c>
      <c r="N116" s="35">
        <f>N12+N38+N64+N77+N90+N25+N51+N103</f>
        <v>1856</v>
      </c>
      <c r="O116" s="35">
        <f t="shared" ref="O116:Q116" si="82">O12+O38+O64+O77+O90+O25+O51</f>
        <v>0</v>
      </c>
      <c r="P116" s="35">
        <f t="shared" si="82"/>
        <v>0</v>
      </c>
      <c r="Q116" s="35">
        <f t="shared" si="82"/>
        <v>0</v>
      </c>
      <c r="R116" s="35">
        <f t="shared" si="73"/>
        <v>15427</v>
      </c>
    </row>
    <row r="117" spans="2:24" ht="15.6" x14ac:dyDescent="0.25">
      <c r="B117" s="18"/>
      <c r="C117" s="181"/>
      <c r="D117" s="181"/>
      <c r="E117" s="143"/>
      <c r="F117" s="143" t="s">
        <v>52</v>
      </c>
      <c r="G117" s="199"/>
      <c r="H117" s="35">
        <f t="shared" si="81"/>
        <v>518</v>
      </c>
      <c r="I117" s="35">
        <f t="shared" si="81"/>
        <v>1086</v>
      </c>
      <c r="J117" s="35">
        <f t="shared" si="77"/>
        <v>1885</v>
      </c>
      <c r="K117" s="35">
        <f t="shared" si="77"/>
        <v>1855</v>
      </c>
      <c r="L117" s="35">
        <f t="shared" si="77"/>
        <v>2880</v>
      </c>
      <c r="M117" s="35">
        <f t="shared" si="77"/>
        <v>3142</v>
      </c>
      <c r="N117" s="35">
        <f>N13+N39+N65+N78+N91+N26+N52+N104</f>
        <v>1064</v>
      </c>
      <c r="O117" s="35">
        <f t="shared" ref="O117:Q117" si="83">O13+O39+O65+O78+O91+O26+O52</f>
        <v>0</v>
      </c>
      <c r="P117" s="35">
        <f t="shared" si="83"/>
        <v>0</v>
      </c>
      <c r="Q117" s="35">
        <f t="shared" si="83"/>
        <v>0</v>
      </c>
      <c r="R117" s="35">
        <f t="shared" si="73"/>
        <v>12430</v>
      </c>
    </row>
    <row r="118" spans="2:24" ht="15.6" x14ac:dyDescent="0.25">
      <c r="B118" s="18"/>
      <c r="C118" s="181"/>
      <c r="D118" s="181"/>
      <c r="E118" s="144"/>
      <c r="F118" s="144" t="s">
        <v>53</v>
      </c>
      <c r="G118" s="199"/>
      <c r="H118" s="35">
        <f t="shared" si="81"/>
        <v>107</v>
      </c>
      <c r="I118" s="35">
        <f t="shared" si="81"/>
        <v>487</v>
      </c>
      <c r="J118" s="35">
        <f t="shared" si="77"/>
        <v>902</v>
      </c>
      <c r="K118" s="35">
        <f t="shared" si="77"/>
        <v>883</v>
      </c>
      <c r="L118" s="35">
        <f t="shared" si="77"/>
        <v>1184</v>
      </c>
      <c r="M118" s="35">
        <f t="shared" si="77"/>
        <v>839</v>
      </c>
      <c r="N118" s="35">
        <f>N14+N40+N66+N79+N92+N27+N53+N105</f>
        <v>267</v>
      </c>
      <c r="O118" s="35">
        <f t="shared" ref="O118:Q118" si="84">O14+O40+O66+O79+O92+O27+O53</f>
        <v>0</v>
      </c>
      <c r="P118" s="35">
        <f t="shared" si="84"/>
        <v>0</v>
      </c>
      <c r="Q118" s="35">
        <f t="shared" si="84"/>
        <v>0</v>
      </c>
      <c r="R118" s="35">
        <f t="shared" si="73"/>
        <v>4669</v>
      </c>
      <c r="U118" s="2" t="s">
        <v>38</v>
      </c>
    </row>
    <row r="119" spans="2:24" s="12" customFormat="1" ht="16.2" thickBot="1" x14ac:dyDescent="0.3">
      <c r="B119" s="18"/>
      <c r="C119" s="181"/>
      <c r="D119" s="197"/>
      <c r="E119" s="108"/>
      <c r="F119" s="108" t="s">
        <v>54</v>
      </c>
      <c r="G119" s="199"/>
      <c r="H119" s="35">
        <f t="shared" si="81"/>
        <v>342</v>
      </c>
      <c r="I119" s="35">
        <f t="shared" si="81"/>
        <v>867</v>
      </c>
      <c r="J119" s="35">
        <f t="shared" si="77"/>
        <v>1562</v>
      </c>
      <c r="K119" s="35">
        <f t="shared" si="77"/>
        <v>1512</v>
      </c>
      <c r="L119" s="35">
        <f t="shared" si="77"/>
        <v>2089</v>
      </c>
      <c r="M119" s="35">
        <f t="shared" si="77"/>
        <v>1462</v>
      </c>
      <c r="N119" s="35">
        <f>N15+N41+N67+N80+N93+N28+N54+N106</f>
        <v>390</v>
      </c>
      <c r="O119" s="35">
        <f t="shared" ref="O119:Q119" si="85">O15+O41+O67+O80+O93+O28+O54</f>
        <v>0</v>
      </c>
      <c r="P119" s="35">
        <f t="shared" si="85"/>
        <v>0</v>
      </c>
      <c r="Q119" s="35">
        <f t="shared" si="85"/>
        <v>0</v>
      </c>
      <c r="R119" s="35">
        <f t="shared" si="73"/>
        <v>8224</v>
      </c>
      <c r="S119" s="2"/>
      <c r="T119" s="2"/>
      <c r="U119" s="2" t="s">
        <v>49</v>
      </c>
      <c r="V119" s="28">
        <f>SUM(R230:R241)+SUM(R246:R257)</f>
        <v>122696.3</v>
      </c>
      <c r="W119" s="79">
        <f>V119*1.03</f>
        <v>126377.18900000001</v>
      </c>
      <c r="X119" s="2"/>
    </row>
    <row r="120" spans="2:24" s="12" customFormat="1" x14ac:dyDescent="0.25">
      <c r="B120" s="18"/>
      <c r="C120" s="161"/>
      <c r="D120" s="13"/>
      <c r="E120" s="162"/>
      <c r="F120" s="13"/>
      <c r="G120" s="163"/>
      <c r="H120" s="16">
        <f>SUM(H108:H119)</f>
        <v>1164</v>
      </c>
      <c r="I120" s="16">
        <f t="shared" ref="I120:R120" si="86">SUM(I108:I119)</f>
        <v>3055</v>
      </c>
      <c r="J120" s="16">
        <f t="shared" si="86"/>
        <v>8115</v>
      </c>
      <c r="K120" s="16">
        <f t="shared" si="86"/>
        <v>9429</v>
      </c>
      <c r="L120" s="16">
        <f t="shared" si="86"/>
        <v>12750</v>
      </c>
      <c r="M120" s="16">
        <f t="shared" si="86"/>
        <v>11214</v>
      </c>
      <c r="N120" s="16">
        <f t="shared" si="86"/>
        <v>3577</v>
      </c>
      <c r="O120" s="16">
        <f t="shared" si="86"/>
        <v>3985</v>
      </c>
      <c r="P120" s="16">
        <f t="shared" si="86"/>
        <v>5362</v>
      </c>
      <c r="Q120" s="16">
        <f t="shared" si="86"/>
        <v>3420</v>
      </c>
      <c r="R120" s="16">
        <f t="shared" si="86"/>
        <v>62071</v>
      </c>
      <c r="S120" s="2"/>
      <c r="T120" s="2"/>
      <c r="U120" s="2" t="s">
        <v>23</v>
      </c>
      <c r="V120" s="28">
        <f>SUM(R194:R197)</f>
        <v>1009</v>
      </c>
      <c r="W120" s="79">
        <f>V120*1.03</f>
        <v>1039.27</v>
      </c>
      <c r="X120" s="2"/>
    </row>
    <row r="121" spans="2:24" s="12" customFormat="1" x14ac:dyDescent="0.25">
      <c r="B121" s="18"/>
      <c r="C121" s="158"/>
      <c r="D121" s="157"/>
      <c r="E121" s="11"/>
      <c r="F121" s="4"/>
      <c r="G121" s="15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2"/>
      <c r="T121" s="2"/>
      <c r="U121" s="2"/>
      <c r="V121" s="28"/>
      <c r="W121" s="79"/>
      <c r="X121" s="2"/>
    </row>
    <row r="122" spans="2:24" s="12" customFormat="1" x14ac:dyDescent="0.25">
      <c r="B122" s="18"/>
      <c r="C122" s="8"/>
      <c r="D122" s="8"/>
      <c r="E122" s="10"/>
      <c r="F122" s="4"/>
      <c r="G122" s="9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2"/>
      <c r="T122" s="2"/>
      <c r="U122" s="2"/>
      <c r="V122" s="28"/>
      <c r="W122" s="79"/>
      <c r="X122" s="2"/>
    </row>
    <row r="123" spans="2:24" x14ac:dyDescent="0.25">
      <c r="B123" s="21"/>
      <c r="C123" s="14"/>
      <c r="D123" s="14"/>
      <c r="E123" s="13"/>
      <c r="F123" s="13"/>
      <c r="G123" s="15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2:24" x14ac:dyDescent="0.25">
      <c r="B124" s="18"/>
      <c r="C124" s="185"/>
      <c r="D124" s="187"/>
      <c r="E124" s="45"/>
      <c r="F124" s="46"/>
      <c r="G124" s="188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T124" s="27"/>
    </row>
    <row r="125" spans="2:24" x14ac:dyDescent="0.25">
      <c r="B125" s="18"/>
      <c r="C125" s="186"/>
      <c r="D125" s="187"/>
      <c r="E125" s="45"/>
      <c r="F125" s="46"/>
      <c r="G125" s="189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T125" s="27"/>
    </row>
    <row r="126" spans="2:24" x14ac:dyDescent="0.25">
      <c r="B126" s="18"/>
      <c r="C126" s="186"/>
      <c r="D126" s="187"/>
      <c r="E126" s="45"/>
      <c r="F126" s="48"/>
      <c r="G126" s="189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T126" s="27"/>
    </row>
    <row r="127" spans="2:24" x14ac:dyDescent="0.25">
      <c r="B127" s="18"/>
      <c r="C127" s="186"/>
      <c r="D127" s="187"/>
      <c r="E127" s="45"/>
      <c r="F127" s="48"/>
      <c r="G127" s="189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T127" s="27"/>
      <c r="U127" s="34"/>
    </row>
    <row r="128" spans="2:24" s="12" customFormat="1" x14ac:dyDescent="0.25">
      <c r="B128" s="18"/>
      <c r="C128" s="49"/>
      <c r="D128" s="49"/>
      <c r="E128" s="50"/>
      <c r="F128" s="48"/>
      <c r="G128" s="51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2"/>
      <c r="T128" s="2"/>
      <c r="U128" s="2"/>
      <c r="V128" s="2"/>
      <c r="W128" s="2"/>
      <c r="X128" s="2"/>
    </row>
    <row r="129" spans="2:24" x14ac:dyDescent="0.25">
      <c r="B129" s="21"/>
      <c r="C129" s="52"/>
      <c r="D129" s="52"/>
      <c r="E129" s="48"/>
      <c r="F129" s="48"/>
      <c r="G129" s="51"/>
      <c r="H129" s="47"/>
      <c r="I129" s="47"/>
      <c r="J129" s="47"/>
      <c r="K129" s="47"/>
      <c r="L129" s="47"/>
      <c r="M129" s="47"/>
      <c r="N129" s="47"/>
      <c r="O129" s="47"/>
      <c r="P129" s="47"/>
      <c r="Q129" s="47">
        <v>13484</v>
      </c>
      <c r="R129" s="47"/>
    </row>
    <row r="130" spans="2:24" hidden="1" x14ac:dyDescent="0.25">
      <c r="B130" s="18"/>
      <c r="C130" s="167">
        <v>66801</v>
      </c>
      <c r="D130" s="169" t="s">
        <v>33</v>
      </c>
      <c r="E130" s="36">
        <v>517199</v>
      </c>
      <c r="F130" s="37" t="s">
        <v>16</v>
      </c>
      <c r="G130" s="170">
        <v>44175</v>
      </c>
      <c r="H130" s="38"/>
      <c r="I130" s="38">
        <v>120</v>
      </c>
      <c r="J130" s="38">
        <v>120</v>
      </c>
      <c r="K130" s="38">
        <v>60</v>
      </c>
      <c r="L130" s="38">
        <v>60</v>
      </c>
      <c r="M130" s="38"/>
      <c r="N130" s="38"/>
      <c r="O130" s="38"/>
      <c r="P130" s="38"/>
      <c r="Q130" s="38"/>
      <c r="R130" s="38">
        <f>SUM(H130:Q130)</f>
        <v>360</v>
      </c>
      <c r="T130" s="27"/>
    </row>
    <row r="131" spans="2:24" hidden="1" x14ac:dyDescent="0.25">
      <c r="B131" s="18"/>
      <c r="C131" s="168"/>
      <c r="D131" s="169"/>
      <c r="E131" s="36">
        <v>517199</v>
      </c>
      <c r="F131" s="37" t="s">
        <v>22</v>
      </c>
      <c r="G131" s="171"/>
      <c r="H131" s="38"/>
      <c r="I131" s="38">
        <v>104</v>
      </c>
      <c r="J131" s="38">
        <v>104</v>
      </c>
      <c r="K131" s="38">
        <v>52</v>
      </c>
      <c r="L131" s="38">
        <v>52</v>
      </c>
      <c r="M131" s="38"/>
      <c r="N131" s="38"/>
      <c r="O131" s="38"/>
      <c r="P131" s="38"/>
      <c r="Q131" s="38"/>
      <c r="R131" s="38">
        <f t="shared" ref="R131:R133" si="87">SUM(H131:Q131)</f>
        <v>312</v>
      </c>
      <c r="T131" s="27"/>
    </row>
    <row r="132" spans="2:24" hidden="1" x14ac:dyDescent="0.25">
      <c r="B132" s="18"/>
      <c r="C132" s="168"/>
      <c r="D132" s="169"/>
      <c r="E132" s="36">
        <v>517199</v>
      </c>
      <c r="F132" s="39" t="s">
        <v>17</v>
      </c>
      <c r="G132" s="171"/>
      <c r="H132" s="38"/>
      <c r="I132" s="38">
        <v>216</v>
      </c>
      <c r="J132" s="38">
        <v>216</v>
      </c>
      <c r="K132" s="38">
        <v>108</v>
      </c>
      <c r="L132" s="38">
        <v>108</v>
      </c>
      <c r="M132" s="38"/>
      <c r="N132" s="38"/>
      <c r="O132" s="38"/>
      <c r="P132" s="38"/>
      <c r="Q132" s="38"/>
      <c r="R132" s="38">
        <f t="shared" si="87"/>
        <v>648</v>
      </c>
      <c r="T132" s="27"/>
    </row>
    <row r="133" spans="2:24" hidden="1" x14ac:dyDescent="0.25">
      <c r="B133" s="18"/>
      <c r="C133" s="168"/>
      <c r="D133" s="169"/>
      <c r="E133" s="36">
        <v>517199</v>
      </c>
      <c r="F133" s="39" t="s">
        <v>21</v>
      </c>
      <c r="G133" s="171"/>
      <c r="H133" s="38"/>
      <c r="I133" s="38">
        <v>92</v>
      </c>
      <c r="J133" s="38">
        <v>92</v>
      </c>
      <c r="K133" s="38">
        <v>46</v>
      </c>
      <c r="L133" s="38">
        <v>46</v>
      </c>
      <c r="M133" s="38"/>
      <c r="N133" s="38"/>
      <c r="O133" s="38"/>
      <c r="P133" s="38"/>
      <c r="Q133" s="38"/>
      <c r="R133" s="38">
        <f t="shared" si="87"/>
        <v>276</v>
      </c>
      <c r="T133" s="27"/>
      <c r="U133" s="34"/>
    </row>
    <row r="134" spans="2:24" s="12" customFormat="1" hidden="1" x14ac:dyDescent="0.25">
      <c r="B134" s="18"/>
      <c r="C134" s="40"/>
      <c r="D134" s="40"/>
      <c r="E134" s="41"/>
      <c r="F134" s="39"/>
      <c r="G134" s="42" t="s">
        <v>10</v>
      </c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2"/>
      <c r="T134" s="2"/>
      <c r="U134" s="2"/>
      <c r="V134" s="2"/>
      <c r="W134" s="2"/>
      <c r="X134" s="2"/>
    </row>
    <row r="135" spans="2:24" hidden="1" x14ac:dyDescent="0.25">
      <c r="B135" s="21"/>
      <c r="C135" s="43" t="s">
        <v>11</v>
      </c>
      <c r="D135" s="43"/>
      <c r="E135" s="39" t="s">
        <v>9</v>
      </c>
      <c r="F135" s="39"/>
      <c r="G135" s="42" t="s">
        <v>12</v>
      </c>
      <c r="H135" s="38">
        <f t="shared" ref="H135:R135" si="88">SUM(H130:H134)</f>
        <v>0</v>
      </c>
      <c r="I135" s="38">
        <f t="shared" si="88"/>
        <v>532</v>
      </c>
      <c r="J135" s="38">
        <f t="shared" si="88"/>
        <v>532</v>
      </c>
      <c r="K135" s="38">
        <f t="shared" si="88"/>
        <v>266</v>
      </c>
      <c r="L135" s="38">
        <f t="shared" si="88"/>
        <v>266</v>
      </c>
      <c r="M135" s="38">
        <f t="shared" si="88"/>
        <v>0</v>
      </c>
      <c r="N135" s="38">
        <f t="shared" si="88"/>
        <v>0</v>
      </c>
      <c r="O135" s="38">
        <f t="shared" si="88"/>
        <v>0</v>
      </c>
      <c r="P135" s="38">
        <f t="shared" si="88"/>
        <v>0</v>
      </c>
      <c r="Q135" s="38">
        <f t="shared" si="88"/>
        <v>0</v>
      </c>
      <c r="R135" s="38">
        <f t="shared" si="88"/>
        <v>1596</v>
      </c>
    </row>
    <row r="136" spans="2:24" hidden="1" x14ac:dyDescent="0.25">
      <c r="B136" s="18"/>
      <c r="C136" s="167">
        <v>66806</v>
      </c>
      <c r="D136" s="169" t="s">
        <v>33</v>
      </c>
      <c r="E136" s="36">
        <v>517199</v>
      </c>
      <c r="F136" s="37" t="s">
        <v>16</v>
      </c>
      <c r="G136" s="170">
        <v>44175</v>
      </c>
      <c r="H136" s="38"/>
      <c r="I136" s="38">
        <v>52</v>
      </c>
      <c r="J136" s="38">
        <v>52</v>
      </c>
      <c r="K136" s="38">
        <v>26</v>
      </c>
      <c r="L136" s="38">
        <v>26</v>
      </c>
      <c r="M136" s="38"/>
      <c r="N136" s="38"/>
      <c r="O136" s="38"/>
      <c r="P136" s="38"/>
      <c r="Q136" s="38"/>
      <c r="R136" s="38">
        <f>SUM(H136:Q136)</f>
        <v>156</v>
      </c>
      <c r="T136" s="27"/>
    </row>
    <row r="137" spans="2:24" hidden="1" x14ac:dyDescent="0.25">
      <c r="B137" s="18"/>
      <c r="C137" s="168"/>
      <c r="D137" s="169"/>
      <c r="E137" s="36">
        <v>517199</v>
      </c>
      <c r="F137" s="37" t="s">
        <v>22</v>
      </c>
      <c r="G137" s="171"/>
      <c r="H137" s="38"/>
      <c r="I137" s="38">
        <v>46</v>
      </c>
      <c r="J137" s="38">
        <v>46</v>
      </c>
      <c r="K137" s="38">
        <v>23</v>
      </c>
      <c r="L137" s="38">
        <v>23</v>
      </c>
      <c r="M137" s="38"/>
      <c r="N137" s="38"/>
      <c r="O137" s="38"/>
      <c r="P137" s="38"/>
      <c r="Q137" s="38"/>
      <c r="R137" s="38">
        <f t="shared" ref="R137:R139" si="89">SUM(H137:Q137)</f>
        <v>138</v>
      </c>
      <c r="T137" s="27"/>
    </row>
    <row r="138" spans="2:24" hidden="1" x14ac:dyDescent="0.25">
      <c r="B138" s="18"/>
      <c r="C138" s="168"/>
      <c r="D138" s="169"/>
      <c r="E138" s="36">
        <v>517199</v>
      </c>
      <c r="F138" s="39" t="s">
        <v>17</v>
      </c>
      <c r="G138" s="171"/>
      <c r="H138" s="38"/>
      <c r="I138" s="38">
        <v>94</v>
      </c>
      <c r="J138" s="38">
        <v>94</v>
      </c>
      <c r="K138" s="38">
        <v>47</v>
      </c>
      <c r="L138" s="38">
        <v>47</v>
      </c>
      <c r="M138" s="38"/>
      <c r="N138" s="38"/>
      <c r="O138" s="38"/>
      <c r="P138" s="38"/>
      <c r="Q138" s="38"/>
      <c r="R138" s="38">
        <f t="shared" si="89"/>
        <v>282</v>
      </c>
      <c r="T138" s="27"/>
    </row>
    <row r="139" spans="2:24" hidden="1" x14ac:dyDescent="0.25">
      <c r="B139" s="18"/>
      <c r="C139" s="168"/>
      <c r="D139" s="169"/>
      <c r="E139" s="36">
        <v>517199</v>
      </c>
      <c r="F139" s="39" t="s">
        <v>21</v>
      </c>
      <c r="G139" s="171"/>
      <c r="H139" s="38"/>
      <c r="I139" s="38">
        <v>40</v>
      </c>
      <c r="J139" s="38">
        <v>40</v>
      </c>
      <c r="K139" s="38">
        <v>20</v>
      </c>
      <c r="L139" s="38">
        <v>20</v>
      </c>
      <c r="M139" s="38"/>
      <c r="N139" s="38"/>
      <c r="O139" s="38"/>
      <c r="P139" s="38"/>
      <c r="Q139" s="38"/>
      <c r="R139" s="38">
        <f t="shared" si="89"/>
        <v>120</v>
      </c>
      <c r="T139" s="27"/>
      <c r="U139" s="34"/>
    </row>
    <row r="140" spans="2:24" s="12" customFormat="1" hidden="1" x14ac:dyDescent="0.25">
      <c r="B140" s="18"/>
      <c r="C140" s="40"/>
      <c r="D140" s="40"/>
      <c r="E140" s="41"/>
      <c r="F140" s="39"/>
      <c r="G140" s="42" t="s">
        <v>10</v>
      </c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2"/>
      <c r="T140" s="2"/>
      <c r="U140" s="2"/>
      <c r="V140" s="2"/>
      <c r="W140" s="2"/>
      <c r="X140" s="2"/>
    </row>
    <row r="141" spans="2:24" hidden="1" x14ac:dyDescent="0.25">
      <c r="B141" s="21"/>
      <c r="C141" s="43" t="s">
        <v>11</v>
      </c>
      <c r="D141" s="43"/>
      <c r="E141" s="39" t="s">
        <v>9</v>
      </c>
      <c r="F141" s="39"/>
      <c r="G141" s="42" t="s">
        <v>12</v>
      </c>
      <c r="H141" s="38">
        <f t="shared" ref="H141:R141" si="90">SUM(H136:H140)</f>
        <v>0</v>
      </c>
      <c r="I141" s="38">
        <f t="shared" si="90"/>
        <v>232</v>
      </c>
      <c r="J141" s="38">
        <f t="shared" si="90"/>
        <v>232</v>
      </c>
      <c r="K141" s="38">
        <f t="shared" si="90"/>
        <v>116</v>
      </c>
      <c r="L141" s="38">
        <f t="shared" si="90"/>
        <v>116</v>
      </c>
      <c r="M141" s="38">
        <f t="shared" si="90"/>
        <v>0</v>
      </c>
      <c r="N141" s="38">
        <f t="shared" si="90"/>
        <v>0</v>
      </c>
      <c r="O141" s="38">
        <f t="shared" si="90"/>
        <v>0</v>
      </c>
      <c r="P141" s="38">
        <f t="shared" si="90"/>
        <v>0</v>
      </c>
      <c r="Q141" s="38">
        <f t="shared" si="90"/>
        <v>0</v>
      </c>
      <c r="R141" s="38">
        <f t="shared" si="90"/>
        <v>696</v>
      </c>
    </row>
    <row r="142" spans="2:24" hidden="1" x14ac:dyDescent="0.25">
      <c r="B142" s="18"/>
      <c r="C142" s="167">
        <v>66807</v>
      </c>
      <c r="D142" s="169" t="s">
        <v>33</v>
      </c>
      <c r="E142" s="36">
        <v>517199</v>
      </c>
      <c r="F142" s="37" t="s">
        <v>16</v>
      </c>
      <c r="G142" s="170">
        <v>44175</v>
      </c>
      <c r="H142" s="38"/>
      <c r="I142" s="38">
        <v>52</v>
      </c>
      <c r="J142" s="38">
        <v>52</v>
      </c>
      <c r="K142" s="38">
        <v>26</v>
      </c>
      <c r="L142" s="38">
        <v>26</v>
      </c>
      <c r="M142" s="38"/>
      <c r="N142" s="38"/>
      <c r="O142" s="38"/>
      <c r="P142" s="38"/>
      <c r="Q142" s="38"/>
      <c r="R142" s="38">
        <f>SUM(H142:Q142)</f>
        <v>156</v>
      </c>
      <c r="T142" s="27"/>
    </row>
    <row r="143" spans="2:24" hidden="1" x14ac:dyDescent="0.25">
      <c r="B143" s="18"/>
      <c r="C143" s="168"/>
      <c r="D143" s="169"/>
      <c r="E143" s="36">
        <v>517199</v>
      </c>
      <c r="F143" s="37" t="s">
        <v>22</v>
      </c>
      <c r="G143" s="171"/>
      <c r="H143" s="38"/>
      <c r="I143" s="38">
        <v>46</v>
      </c>
      <c r="J143" s="38">
        <v>46</v>
      </c>
      <c r="K143" s="38">
        <v>23</v>
      </c>
      <c r="L143" s="38">
        <v>23</v>
      </c>
      <c r="M143" s="38"/>
      <c r="N143" s="38"/>
      <c r="O143" s="38"/>
      <c r="P143" s="38"/>
      <c r="Q143" s="38"/>
      <c r="R143" s="38">
        <f t="shared" ref="R143:R145" si="91">SUM(H143:Q143)</f>
        <v>138</v>
      </c>
      <c r="T143" s="27"/>
    </row>
    <row r="144" spans="2:24" hidden="1" x14ac:dyDescent="0.25">
      <c r="B144" s="18"/>
      <c r="C144" s="168"/>
      <c r="D144" s="169"/>
      <c r="E144" s="36">
        <v>517199</v>
      </c>
      <c r="F144" s="39" t="s">
        <v>17</v>
      </c>
      <c r="G144" s="171"/>
      <c r="H144" s="38"/>
      <c r="I144" s="38">
        <v>94</v>
      </c>
      <c r="J144" s="38">
        <v>94</v>
      </c>
      <c r="K144" s="38">
        <v>47</v>
      </c>
      <c r="L144" s="38">
        <v>47</v>
      </c>
      <c r="M144" s="38"/>
      <c r="N144" s="38"/>
      <c r="O144" s="38"/>
      <c r="P144" s="38"/>
      <c r="Q144" s="38"/>
      <c r="R144" s="38">
        <f t="shared" si="91"/>
        <v>282</v>
      </c>
      <c r="T144" s="27"/>
    </row>
    <row r="145" spans="2:24" hidden="1" x14ac:dyDescent="0.25">
      <c r="B145" s="18"/>
      <c r="C145" s="168"/>
      <c r="D145" s="169"/>
      <c r="E145" s="36">
        <v>517199</v>
      </c>
      <c r="F145" s="39" t="s">
        <v>21</v>
      </c>
      <c r="G145" s="171"/>
      <c r="H145" s="38"/>
      <c r="I145" s="38">
        <v>40</v>
      </c>
      <c r="J145" s="38">
        <v>40</v>
      </c>
      <c r="K145" s="38">
        <v>20</v>
      </c>
      <c r="L145" s="38">
        <v>20</v>
      </c>
      <c r="M145" s="38"/>
      <c r="N145" s="38"/>
      <c r="O145" s="38"/>
      <c r="P145" s="38"/>
      <c r="Q145" s="38"/>
      <c r="R145" s="38">
        <f t="shared" si="91"/>
        <v>120</v>
      </c>
      <c r="T145" s="27"/>
      <c r="U145" s="34"/>
    </row>
    <row r="146" spans="2:24" s="12" customFormat="1" hidden="1" x14ac:dyDescent="0.25">
      <c r="B146" s="18"/>
      <c r="C146" s="40"/>
      <c r="D146" s="40"/>
      <c r="E146" s="41"/>
      <c r="F146" s="39"/>
      <c r="G146" s="42" t="s">
        <v>10</v>
      </c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2"/>
      <c r="T146" s="2"/>
      <c r="U146" s="2"/>
      <c r="V146" s="2"/>
      <c r="W146" s="2"/>
      <c r="X146" s="2"/>
    </row>
    <row r="147" spans="2:24" hidden="1" x14ac:dyDescent="0.25">
      <c r="B147" s="21"/>
      <c r="C147" s="43" t="s">
        <v>11</v>
      </c>
      <c r="D147" s="43"/>
      <c r="E147" s="39" t="s">
        <v>9</v>
      </c>
      <c r="F147" s="39"/>
      <c r="G147" s="42" t="s">
        <v>12</v>
      </c>
      <c r="H147" s="38">
        <f t="shared" ref="H147:R147" si="92">SUM(H142:H146)</f>
        <v>0</v>
      </c>
      <c r="I147" s="38">
        <f t="shared" si="92"/>
        <v>232</v>
      </c>
      <c r="J147" s="38">
        <f t="shared" si="92"/>
        <v>232</v>
      </c>
      <c r="K147" s="38">
        <f t="shared" si="92"/>
        <v>116</v>
      </c>
      <c r="L147" s="38">
        <f t="shared" si="92"/>
        <v>116</v>
      </c>
      <c r="M147" s="38">
        <f t="shared" si="92"/>
        <v>0</v>
      </c>
      <c r="N147" s="38">
        <f t="shared" si="92"/>
        <v>0</v>
      </c>
      <c r="O147" s="38">
        <f t="shared" si="92"/>
        <v>0</v>
      </c>
      <c r="P147" s="38">
        <f t="shared" si="92"/>
        <v>0</v>
      </c>
      <c r="Q147" s="38">
        <f t="shared" si="92"/>
        <v>0</v>
      </c>
      <c r="R147" s="38">
        <f t="shared" si="92"/>
        <v>696</v>
      </c>
    </row>
    <row r="148" spans="2:24" hidden="1" x14ac:dyDescent="0.25">
      <c r="B148" s="18"/>
      <c r="C148" s="167">
        <v>66847</v>
      </c>
      <c r="D148" s="169" t="s">
        <v>33</v>
      </c>
      <c r="E148" s="36">
        <v>517199</v>
      </c>
      <c r="F148" s="37" t="s">
        <v>16</v>
      </c>
      <c r="G148" s="170">
        <v>44175</v>
      </c>
      <c r="H148" s="38">
        <v>100</v>
      </c>
      <c r="I148" s="38">
        <v>200</v>
      </c>
      <c r="J148" s="38">
        <v>200</v>
      </c>
      <c r="K148" s="38">
        <v>200</v>
      </c>
      <c r="L148" s="38">
        <v>100</v>
      </c>
      <c r="M148" s="38"/>
      <c r="N148" s="38"/>
      <c r="O148" s="38"/>
      <c r="P148" s="38"/>
      <c r="Q148" s="38"/>
      <c r="R148" s="38">
        <f>SUM(H148:Q148)</f>
        <v>800</v>
      </c>
      <c r="T148" s="27"/>
    </row>
    <row r="149" spans="2:24" hidden="1" x14ac:dyDescent="0.25">
      <c r="B149" s="18"/>
      <c r="C149" s="168"/>
      <c r="D149" s="169"/>
      <c r="E149" s="36">
        <v>517199</v>
      </c>
      <c r="F149" s="37" t="s">
        <v>22</v>
      </c>
      <c r="G149" s="171"/>
      <c r="H149" s="38">
        <v>100</v>
      </c>
      <c r="I149" s="38">
        <v>200</v>
      </c>
      <c r="J149" s="38">
        <v>200</v>
      </c>
      <c r="K149" s="38">
        <v>200</v>
      </c>
      <c r="L149" s="38">
        <v>100</v>
      </c>
      <c r="M149" s="38"/>
      <c r="N149" s="38"/>
      <c r="O149" s="38"/>
      <c r="P149" s="38"/>
      <c r="Q149" s="38"/>
      <c r="R149" s="38">
        <f t="shared" ref="R149:R151" si="93">SUM(H149:Q149)</f>
        <v>800</v>
      </c>
      <c r="T149" s="27"/>
    </row>
    <row r="150" spans="2:24" hidden="1" x14ac:dyDescent="0.25">
      <c r="B150" s="18"/>
      <c r="C150" s="168"/>
      <c r="D150" s="169"/>
      <c r="E150" s="36">
        <v>517199</v>
      </c>
      <c r="F150" s="39" t="s">
        <v>17</v>
      </c>
      <c r="G150" s="171"/>
      <c r="H150" s="38">
        <v>100</v>
      </c>
      <c r="I150" s="38">
        <v>200</v>
      </c>
      <c r="J150" s="38">
        <v>200</v>
      </c>
      <c r="K150" s="38">
        <v>200</v>
      </c>
      <c r="L150" s="38">
        <v>100</v>
      </c>
      <c r="M150" s="38"/>
      <c r="N150" s="38"/>
      <c r="O150" s="38"/>
      <c r="P150" s="38"/>
      <c r="Q150" s="38"/>
      <c r="R150" s="38">
        <f t="shared" si="93"/>
        <v>800</v>
      </c>
      <c r="T150" s="27"/>
    </row>
    <row r="151" spans="2:24" hidden="1" x14ac:dyDescent="0.25">
      <c r="B151" s="18"/>
      <c r="C151" s="168"/>
      <c r="D151" s="169"/>
      <c r="E151" s="36">
        <v>517199</v>
      </c>
      <c r="F151" s="39" t="s">
        <v>21</v>
      </c>
      <c r="G151" s="171"/>
      <c r="H151" s="38">
        <v>100</v>
      </c>
      <c r="I151" s="38">
        <v>200</v>
      </c>
      <c r="J151" s="38">
        <v>200</v>
      </c>
      <c r="K151" s="38">
        <v>200</v>
      </c>
      <c r="L151" s="38">
        <v>100</v>
      </c>
      <c r="M151" s="38"/>
      <c r="N151" s="38"/>
      <c r="O151" s="38"/>
      <c r="P151" s="38"/>
      <c r="Q151" s="38"/>
      <c r="R151" s="38">
        <f t="shared" si="93"/>
        <v>800</v>
      </c>
      <c r="T151" s="27"/>
      <c r="U151" s="34"/>
    </row>
    <row r="152" spans="2:24" s="12" customFormat="1" hidden="1" x14ac:dyDescent="0.25">
      <c r="B152" s="18"/>
      <c r="C152" s="40"/>
      <c r="D152" s="40"/>
      <c r="E152" s="41"/>
      <c r="F152" s="39"/>
      <c r="G152" s="42" t="s">
        <v>10</v>
      </c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2"/>
      <c r="T152" s="2"/>
      <c r="U152" s="2"/>
      <c r="V152" s="2"/>
      <c r="W152" s="2"/>
      <c r="X152" s="2"/>
    </row>
    <row r="153" spans="2:24" hidden="1" x14ac:dyDescent="0.25">
      <c r="B153" s="21"/>
      <c r="C153" s="43" t="s">
        <v>11</v>
      </c>
      <c r="D153" s="43"/>
      <c r="E153" s="39" t="s">
        <v>9</v>
      </c>
      <c r="F153" s="39"/>
      <c r="G153" s="42" t="s">
        <v>12</v>
      </c>
      <c r="H153" s="38">
        <f t="shared" ref="H153:R153" si="94">SUM(H148:H152)</f>
        <v>400</v>
      </c>
      <c r="I153" s="38">
        <f t="shared" si="94"/>
        <v>800</v>
      </c>
      <c r="J153" s="38">
        <f t="shared" si="94"/>
        <v>800</v>
      </c>
      <c r="K153" s="38">
        <f t="shared" si="94"/>
        <v>800</v>
      </c>
      <c r="L153" s="38">
        <f t="shared" si="94"/>
        <v>400</v>
      </c>
      <c r="M153" s="38">
        <f t="shared" si="94"/>
        <v>0</v>
      </c>
      <c r="N153" s="38">
        <f t="shared" si="94"/>
        <v>0</v>
      </c>
      <c r="O153" s="38">
        <f t="shared" si="94"/>
        <v>0</v>
      </c>
      <c r="P153" s="38">
        <f t="shared" si="94"/>
        <v>0</v>
      </c>
      <c r="Q153" s="38">
        <f t="shared" si="94"/>
        <v>0</v>
      </c>
      <c r="R153" s="38">
        <f t="shared" si="94"/>
        <v>3200</v>
      </c>
    </row>
    <row r="154" spans="2:24" hidden="1" x14ac:dyDescent="0.25">
      <c r="B154" s="18"/>
      <c r="C154" s="167">
        <v>66844</v>
      </c>
      <c r="D154" s="169" t="s">
        <v>33</v>
      </c>
      <c r="E154" s="36">
        <v>517199</v>
      </c>
      <c r="F154" s="37" t="s">
        <v>16</v>
      </c>
      <c r="G154" s="170">
        <v>44175</v>
      </c>
      <c r="H154" s="38">
        <v>50</v>
      </c>
      <c r="I154" s="38">
        <v>100</v>
      </c>
      <c r="J154" s="38">
        <v>100</v>
      </c>
      <c r="K154" s="38">
        <v>100</v>
      </c>
      <c r="L154" s="38">
        <v>50</v>
      </c>
      <c r="M154" s="38"/>
      <c r="N154" s="38"/>
      <c r="O154" s="38"/>
      <c r="P154" s="38"/>
      <c r="Q154" s="38"/>
      <c r="R154" s="38">
        <f>SUM(H154:Q154)</f>
        <v>400</v>
      </c>
      <c r="T154" s="27"/>
    </row>
    <row r="155" spans="2:24" hidden="1" x14ac:dyDescent="0.25">
      <c r="B155" s="18"/>
      <c r="C155" s="168"/>
      <c r="D155" s="169"/>
      <c r="E155" s="36">
        <v>517199</v>
      </c>
      <c r="F155" s="37" t="s">
        <v>22</v>
      </c>
      <c r="G155" s="171"/>
      <c r="H155" s="38">
        <v>50</v>
      </c>
      <c r="I155" s="38">
        <v>100</v>
      </c>
      <c r="J155" s="38">
        <v>100</v>
      </c>
      <c r="K155" s="38">
        <v>100</v>
      </c>
      <c r="L155" s="38">
        <v>50</v>
      </c>
      <c r="M155" s="38"/>
      <c r="N155" s="38"/>
      <c r="O155" s="38"/>
      <c r="P155" s="38"/>
      <c r="Q155" s="38"/>
      <c r="R155" s="38">
        <f t="shared" ref="R155:R157" si="95">SUM(H155:Q155)</f>
        <v>400</v>
      </c>
      <c r="T155" s="27"/>
    </row>
    <row r="156" spans="2:24" hidden="1" x14ac:dyDescent="0.25">
      <c r="B156" s="18"/>
      <c r="C156" s="168"/>
      <c r="D156" s="169"/>
      <c r="E156" s="36">
        <v>517199</v>
      </c>
      <c r="F156" s="39" t="s">
        <v>17</v>
      </c>
      <c r="G156" s="171"/>
      <c r="H156" s="38">
        <v>50</v>
      </c>
      <c r="I156" s="38">
        <v>100</v>
      </c>
      <c r="J156" s="38">
        <v>100</v>
      </c>
      <c r="K156" s="38">
        <v>100</v>
      </c>
      <c r="L156" s="38">
        <v>50</v>
      </c>
      <c r="M156" s="38"/>
      <c r="N156" s="38"/>
      <c r="O156" s="38"/>
      <c r="P156" s="38"/>
      <c r="Q156" s="38"/>
      <c r="R156" s="38">
        <f t="shared" si="95"/>
        <v>400</v>
      </c>
      <c r="T156" s="27"/>
    </row>
    <row r="157" spans="2:24" hidden="1" x14ac:dyDescent="0.25">
      <c r="B157" s="18"/>
      <c r="C157" s="168"/>
      <c r="D157" s="169"/>
      <c r="E157" s="36">
        <v>517199</v>
      </c>
      <c r="F157" s="39" t="s">
        <v>21</v>
      </c>
      <c r="G157" s="171"/>
      <c r="H157" s="38">
        <v>50</v>
      </c>
      <c r="I157" s="38">
        <v>100</v>
      </c>
      <c r="J157" s="38">
        <v>100</v>
      </c>
      <c r="K157" s="38">
        <v>100</v>
      </c>
      <c r="L157" s="38">
        <v>50</v>
      </c>
      <c r="M157" s="38"/>
      <c r="N157" s="38"/>
      <c r="O157" s="38"/>
      <c r="P157" s="38"/>
      <c r="Q157" s="38"/>
      <c r="R157" s="38">
        <f t="shared" si="95"/>
        <v>400</v>
      </c>
      <c r="T157" s="27"/>
      <c r="U157" s="34"/>
    </row>
    <row r="158" spans="2:24" s="12" customFormat="1" hidden="1" x14ac:dyDescent="0.25">
      <c r="B158" s="18"/>
      <c r="C158" s="40"/>
      <c r="D158" s="40"/>
      <c r="E158" s="41"/>
      <c r="F158" s="39"/>
      <c r="G158" s="42" t="s">
        <v>10</v>
      </c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2"/>
      <c r="T158" s="2"/>
      <c r="U158" s="2"/>
      <c r="V158" s="2"/>
      <c r="W158" s="2"/>
      <c r="X158" s="2"/>
    </row>
    <row r="159" spans="2:24" hidden="1" x14ac:dyDescent="0.25">
      <c r="B159" s="21"/>
      <c r="C159" s="43" t="s">
        <v>11</v>
      </c>
      <c r="D159" s="43"/>
      <c r="E159" s="39" t="s">
        <v>9</v>
      </c>
      <c r="F159" s="39"/>
      <c r="G159" s="42" t="s">
        <v>12</v>
      </c>
      <c r="H159" s="38">
        <f t="shared" ref="H159:R159" si="96">SUM(H154:H158)</f>
        <v>200</v>
      </c>
      <c r="I159" s="38">
        <f t="shared" si="96"/>
        <v>400</v>
      </c>
      <c r="J159" s="38">
        <f t="shared" si="96"/>
        <v>400</v>
      </c>
      <c r="K159" s="38">
        <f t="shared" si="96"/>
        <v>400</v>
      </c>
      <c r="L159" s="38">
        <f t="shared" si="96"/>
        <v>200</v>
      </c>
      <c r="M159" s="38">
        <f t="shared" si="96"/>
        <v>0</v>
      </c>
      <c r="N159" s="38">
        <f t="shared" si="96"/>
        <v>0</v>
      </c>
      <c r="O159" s="38">
        <f t="shared" si="96"/>
        <v>0</v>
      </c>
      <c r="P159" s="38">
        <f t="shared" si="96"/>
        <v>0</v>
      </c>
      <c r="Q159" s="38">
        <f t="shared" si="96"/>
        <v>0</v>
      </c>
      <c r="R159" s="38">
        <f t="shared" si="96"/>
        <v>1600</v>
      </c>
    </row>
    <row r="160" spans="2:24" hidden="1" x14ac:dyDescent="0.25">
      <c r="B160" s="18"/>
      <c r="C160" s="167">
        <v>66726</v>
      </c>
      <c r="D160" s="169" t="s">
        <v>33</v>
      </c>
      <c r="E160" s="36">
        <v>517199</v>
      </c>
      <c r="F160" s="37" t="s">
        <v>16</v>
      </c>
      <c r="G160" s="170">
        <v>44175</v>
      </c>
      <c r="H160" s="38">
        <v>12</v>
      </c>
      <c r="I160" s="38">
        <v>36</v>
      </c>
      <c r="J160" s="38">
        <v>60</v>
      </c>
      <c r="K160" s="38">
        <v>30</v>
      </c>
      <c r="L160" s="38">
        <v>18</v>
      </c>
      <c r="M160" s="38"/>
      <c r="N160" s="38"/>
      <c r="O160" s="38"/>
      <c r="P160" s="38"/>
      <c r="Q160" s="38"/>
      <c r="R160" s="38">
        <f>SUM(H160:Q160)</f>
        <v>156</v>
      </c>
      <c r="T160" s="27"/>
    </row>
    <row r="161" spans="2:24" hidden="1" x14ac:dyDescent="0.25">
      <c r="B161" s="18"/>
      <c r="C161" s="168"/>
      <c r="D161" s="169"/>
      <c r="E161" s="36">
        <v>517199</v>
      </c>
      <c r="F161" s="37" t="s">
        <v>22</v>
      </c>
      <c r="G161" s="171"/>
      <c r="H161" s="38">
        <v>6</v>
      </c>
      <c r="I161" s="38">
        <v>36</v>
      </c>
      <c r="J161" s="38">
        <v>48</v>
      </c>
      <c r="K161" s="38">
        <v>30</v>
      </c>
      <c r="L161" s="38">
        <v>18</v>
      </c>
      <c r="M161" s="38"/>
      <c r="N161" s="38"/>
      <c r="O161" s="38"/>
      <c r="P161" s="38"/>
      <c r="Q161" s="38"/>
      <c r="R161" s="38">
        <f t="shared" ref="R161:R163" si="97">SUM(H161:Q161)</f>
        <v>138</v>
      </c>
      <c r="T161" s="27"/>
    </row>
    <row r="162" spans="2:24" hidden="1" x14ac:dyDescent="0.25">
      <c r="B162" s="18"/>
      <c r="C162" s="168"/>
      <c r="D162" s="169"/>
      <c r="E162" s="36">
        <v>517199</v>
      </c>
      <c r="F162" s="39" t="s">
        <v>17</v>
      </c>
      <c r="G162" s="171"/>
      <c r="H162" s="38">
        <v>18</v>
      </c>
      <c r="I162" s="38">
        <v>66</v>
      </c>
      <c r="J162" s="38">
        <v>102</v>
      </c>
      <c r="K162" s="38">
        <v>60</v>
      </c>
      <c r="L162" s="38">
        <v>36</v>
      </c>
      <c r="M162" s="38"/>
      <c r="N162" s="38"/>
      <c r="O162" s="38"/>
      <c r="P162" s="38"/>
      <c r="Q162" s="38"/>
      <c r="R162" s="38">
        <f t="shared" si="97"/>
        <v>282</v>
      </c>
      <c r="T162" s="27"/>
    </row>
    <row r="163" spans="2:24" hidden="1" x14ac:dyDescent="0.25">
      <c r="B163" s="18"/>
      <c r="C163" s="168"/>
      <c r="D163" s="169"/>
      <c r="E163" s="36">
        <v>517199</v>
      </c>
      <c r="F163" s="39" t="s">
        <v>21</v>
      </c>
      <c r="G163" s="171"/>
      <c r="H163" s="38">
        <v>6</v>
      </c>
      <c r="I163" s="38">
        <v>30</v>
      </c>
      <c r="J163" s="38">
        <v>42</v>
      </c>
      <c r="K163" s="38">
        <v>18</v>
      </c>
      <c r="L163" s="38">
        <v>24</v>
      </c>
      <c r="M163" s="38"/>
      <c r="N163" s="38"/>
      <c r="O163" s="38"/>
      <c r="P163" s="38"/>
      <c r="Q163" s="38"/>
      <c r="R163" s="38">
        <f t="shared" si="97"/>
        <v>120</v>
      </c>
      <c r="T163" s="27"/>
      <c r="U163" s="34"/>
    </row>
    <row r="164" spans="2:24" s="12" customFormat="1" hidden="1" x14ac:dyDescent="0.25">
      <c r="B164" s="18"/>
      <c r="C164" s="40"/>
      <c r="D164" s="40"/>
      <c r="E164" s="41"/>
      <c r="F164" s="39"/>
      <c r="G164" s="42" t="s">
        <v>10</v>
      </c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2"/>
      <c r="T164" s="2"/>
      <c r="U164" s="2"/>
      <c r="V164" s="2"/>
      <c r="W164" s="2"/>
      <c r="X164" s="2"/>
    </row>
    <row r="165" spans="2:24" hidden="1" x14ac:dyDescent="0.25">
      <c r="B165" s="21"/>
      <c r="C165" s="43" t="s">
        <v>11</v>
      </c>
      <c r="D165" s="43"/>
      <c r="E165" s="39" t="s">
        <v>9</v>
      </c>
      <c r="F165" s="39"/>
      <c r="G165" s="42" t="s">
        <v>12</v>
      </c>
      <c r="H165" s="38">
        <f t="shared" ref="H165:R165" si="98">SUM(H160:H164)</f>
        <v>42</v>
      </c>
      <c r="I165" s="38">
        <f t="shared" si="98"/>
        <v>168</v>
      </c>
      <c r="J165" s="38">
        <f t="shared" si="98"/>
        <v>252</v>
      </c>
      <c r="K165" s="38">
        <f t="shared" si="98"/>
        <v>138</v>
      </c>
      <c r="L165" s="38">
        <f t="shared" si="98"/>
        <v>96</v>
      </c>
      <c r="M165" s="38">
        <f t="shared" si="98"/>
        <v>0</v>
      </c>
      <c r="N165" s="38">
        <f t="shared" si="98"/>
        <v>0</v>
      </c>
      <c r="O165" s="38">
        <f t="shared" si="98"/>
        <v>0</v>
      </c>
      <c r="P165" s="38">
        <f t="shared" si="98"/>
        <v>0</v>
      </c>
      <c r="Q165" s="38">
        <f t="shared" si="98"/>
        <v>0</v>
      </c>
      <c r="R165" s="38">
        <f t="shared" si="98"/>
        <v>696</v>
      </c>
    </row>
    <row r="166" spans="2:24" ht="13.95" hidden="1" customHeight="1" x14ac:dyDescent="0.25">
      <c r="B166" s="21"/>
      <c r="C166" s="167">
        <v>66724</v>
      </c>
      <c r="D166" s="169" t="s">
        <v>33</v>
      </c>
      <c r="E166" s="36">
        <v>517199</v>
      </c>
      <c r="F166" s="37" t="s">
        <v>16</v>
      </c>
      <c r="G166" s="170">
        <v>44175</v>
      </c>
      <c r="H166" s="38">
        <v>18</v>
      </c>
      <c r="I166" s="38">
        <v>66</v>
      </c>
      <c r="J166" s="38">
        <v>102</v>
      </c>
      <c r="K166" s="38">
        <v>54</v>
      </c>
      <c r="L166" s="38">
        <v>30</v>
      </c>
      <c r="M166" s="38"/>
      <c r="N166" s="38"/>
      <c r="O166" s="38"/>
      <c r="P166" s="38"/>
      <c r="Q166" s="38"/>
      <c r="R166" s="38">
        <f>SUM(H166:Q166)</f>
        <v>270</v>
      </c>
    </row>
    <row r="167" spans="2:24" hidden="1" x14ac:dyDescent="0.25">
      <c r="B167" s="18"/>
      <c r="C167" s="168"/>
      <c r="D167" s="169"/>
      <c r="E167" s="36">
        <v>517199</v>
      </c>
      <c r="F167" s="37" t="s">
        <v>22</v>
      </c>
      <c r="G167" s="171"/>
      <c r="H167" s="38">
        <v>18</v>
      </c>
      <c r="I167" s="38">
        <v>54</v>
      </c>
      <c r="J167" s="38">
        <v>84</v>
      </c>
      <c r="K167" s="38">
        <v>48</v>
      </c>
      <c r="L167" s="38">
        <v>30</v>
      </c>
      <c r="M167" s="38"/>
      <c r="N167" s="38"/>
      <c r="O167" s="38"/>
      <c r="P167" s="38"/>
      <c r="Q167" s="38"/>
      <c r="R167" s="38">
        <f t="shared" ref="R167:R169" si="99">SUM(H167:Q167)</f>
        <v>234</v>
      </c>
      <c r="T167" s="27"/>
    </row>
    <row r="168" spans="2:24" hidden="1" x14ac:dyDescent="0.25">
      <c r="B168" s="18"/>
      <c r="C168" s="168"/>
      <c r="D168" s="169"/>
      <c r="E168" s="36">
        <v>517199</v>
      </c>
      <c r="F168" s="39" t="s">
        <v>17</v>
      </c>
      <c r="G168" s="171"/>
      <c r="H168" s="38">
        <v>30</v>
      </c>
      <c r="I168" s="38">
        <v>114</v>
      </c>
      <c r="J168" s="38">
        <v>180</v>
      </c>
      <c r="K168" s="38">
        <v>102</v>
      </c>
      <c r="L168" s="38">
        <v>60</v>
      </c>
      <c r="M168" s="38"/>
      <c r="N168" s="38"/>
      <c r="O168" s="38"/>
      <c r="P168" s="38"/>
      <c r="Q168" s="38"/>
      <c r="R168" s="38">
        <f t="shared" si="99"/>
        <v>486</v>
      </c>
      <c r="T168" s="27"/>
    </row>
    <row r="169" spans="2:24" hidden="1" x14ac:dyDescent="0.25">
      <c r="B169" s="18"/>
      <c r="C169" s="168"/>
      <c r="D169" s="169"/>
      <c r="E169" s="36">
        <v>517199</v>
      </c>
      <c r="F169" s="39" t="s">
        <v>21</v>
      </c>
      <c r="G169" s="171"/>
      <c r="H169" s="38">
        <v>12</v>
      </c>
      <c r="I169" s="38">
        <v>48</v>
      </c>
      <c r="J169" s="38">
        <v>78</v>
      </c>
      <c r="K169" s="38">
        <v>42</v>
      </c>
      <c r="L169" s="38">
        <v>30</v>
      </c>
      <c r="M169" s="38"/>
      <c r="N169" s="38"/>
      <c r="O169" s="38"/>
      <c r="P169" s="38"/>
      <c r="Q169" s="38"/>
      <c r="R169" s="38">
        <f t="shared" si="99"/>
        <v>210</v>
      </c>
      <c r="T169" s="27"/>
    </row>
    <row r="170" spans="2:24" hidden="1" x14ac:dyDescent="0.25">
      <c r="B170" s="18"/>
      <c r="C170" s="40"/>
      <c r="D170" s="40"/>
      <c r="E170" s="41"/>
      <c r="F170" s="39"/>
      <c r="G170" s="42" t="s">
        <v>10</v>
      </c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T170" s="27"/>
      <c r="U170" s="34"/>
    </row>
    <row r="171" spans="2:24" s="12" customFormat="1" hidden="1" x14ac:dyDescent="0.25">
      <c r="B171" s="18"/>
      <c r="C171" s="43" t="s">
        <v>11</v>
      </c>
      <c r="D171" s="43"/>
      <c r="E171" s="39" t="s">
        <v>9</v>
      </c>
      <c r="F171" s="39"/>
      <c r="G171" s="42" t="s">
        <v>12</v>
      </c>
      <c r="H171" s="38">
        <f t="shared" ref="H171:R171" si="100">SUM(H166:H170)</f>
        <v>78</v>
      </c>
      <c r="I171" s="38">
        <f t="shared" si="100"/>
        <v>282</v>
      </c>
      <c r="J171" s="38">
        <f t="shared" si="100"/>
        <v>444</v>
      </c>
      <c r="K171" s="38">
        <f t="shared" si="100"/>
        <v>246</v>
      </c>
      <c r="L171" s="38">
        <f t="shared" si="100"/>
        <v>150</v>
      </c>
      <c r="M171" s="38">
        <f t="shared" si="100"/>
        <v>0</v>
      </c>
      <c r="N171" s="38">
        <f t="shared" si="100"/>
        <v>0</v>
      </c>
      <c r="O171" s="38">
        <f t="shared" si="100"/>
        <v>0</v>
      </c>
      <c r="P171" s="38">
        <f t="shared" si="100"/>
        <v>0</v>
      </c>
      <c r="Q171" s="38">
        <f t="shared" si="100"/>
        <v>0</v>
      </c>
      <c r="R171" s="38">
        <f t="shared" si="100"/>
        <v>1200</v>
      </c>
      <c r="S171" s="2"/>
      <c r="T171" s="2"/>
      <c r="U171" s="2"/>
      <c r="V171" s="2"/>
      <c r="W171" s="2"/>
      <c r="X171" s="2"/>
    </row>
    <row r="172" spans="2:24" hidden="1" x14ac:dyDescent="0.25">
      <c r="B172" s="21"/>
      <c r="C172" s="22" t="s">
        <v>34</v>
      </c>
      <c r="D172" s="43"/>
      <c r="E172" s="39"/>
      <c r="F172" s="39"/>
      <c r="G172" s="8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</row>
    <row r="173" spans="2:24" hidden="1" x14ac:dyDescent="0.25">
      <c r="C173" s="167"/>
      <c r="D173" s="169"/>
      <c r="E173" s="36">
        <v>517199</v>
      </c>
      <c r="F173" s="37" t="s">
        <v>16</v>
      </c>
      <c r="G173" s="170">
        <v>44175</v>
      </c>
      <c r="H173" s="38">
        <f>H154+H148+H142+H136+H130+H160+H166</f>
        <v>180</v>
      </c>
      <c r="I173" s="38">
        <f t="shared" ref="I173:L173" si="101">I154+I148+I142+I136+I130+I160+I166</f>
        <v>626</v>
      </c>
      <c r="J173" s="38">
        <f t="shared" si="101"/>
        <v>686</v>
      </c>
      <c r="K173" s="38">
        <f t="shared" si="101"/>
        <v>496</v>
      </c>
      <c r="L173" s="38">
        <f t="shared" si="101"/>
        <v>310</v>
      </c>
      <c r="M173" s="38"/>
      <c r="N173" s="38"/>
      <c r="O173" s="38"/>
      <c r="P173" s="38"/>
      <c r="Q173" s="38"/>
      <c r="R173" s="38">
        <f>SUM(H173:Q173)</f>
        <v>2298</v>
      </c>
    </row>
    <row r="174" spans="2:24" hidden="1" x14ac:dyDescent="0.25">
      <c r="C174" s="168"/>
      <c r="D174" s="169"/>
      <c r="E174" s="36">
        <v>517199</v>
      </c>
      <c r="F174" s="37" t="s">
        <v>22</v>
      </c>
      <c r="G174" s="171"/>
      <c r="H174" s="38">
        <f t="shared" ref="H174:L176" si="102">H155+H149+H143+H137+H131+H161+H167</f>
        <v>174</v>
      </c>
      <c r="I174" s="38">
        <f t="shared" si="102"/>
        <v>586</v>
      </c>
      <c r="J174" s="38">
        <f t="shared" si="102"/>
        <v>628</v>
      </c>
      <c r="K174" s="38">
        <f t="shared" si="102"/>
        <v>476</v>
      </c>
      <c r="L174" s="38">
        <f t="shared" si="102"/>
        <v>296</v>
      </c>
      <c r="M174" s="38"/>
      <c r="N174" s="38"/>
      <c r="O174" s="38"/>
      <c r="P174" s="38"/>
      <c r="Q174" s="38"/>
      <c r="R174" s="38">
        <f>SUM(H174:Q174)</f>
        <v>2160</v>
      </c>
    </row>
    <row r="175" spans="2:24" hidden="1" x14ac:dyDescent="0.25">
      <c r="C175" s="168"/>
      <c r="D175" s="169"/>
      <c r="E175" s="36">
        <v>517199</v>
      </c>
      <c r="F175" s="39" t="s">
        <v>17</v>
      </c>
      <c r="G175" s="171"/>
      <c r="H175" s="38">
        <f t="shared" si="102"/>
        <v>198</v>
      </c>
      <c r="I175" s="38">
        <f t="shared" si="102"/>
        <v>884</v>
      </c>
      <c r="J175" s="38">
        <f t="shared" si="102"/>
        <v>986</v>
      </c>
      <c r="K175" s="38">
        <f t="shared" si="102"/>
        <v>664</v>
      </c>
      <c r="L175" s="38">
        <f t="shared" si="102"/>
        <v>448</v>
      </c>
      <c r="M175" s="38"/>
      <c r="N175" s="38"/>
      <c r="O175" s="38"/>
      <c r="P175" s="38"/>
      <c r="Q175" s="38"/>
      <c r="R175" s="38">
        <f>SUM(H175:Q175)</f>
        <v>3180</v>
      </c>
    </row>
    <row r="176" spans="2:24" hidden="1" x14ac:dyDescent="0.25">
      <c r="C176" s="168"/>
      <c r="D176" s="169"/>
      <c r="E176" s="36">
        <v>517199</v>
      </c>
      <c r="F176" s="39" t="s">
        <v>21</v>
      </c>
      <c r="G176" s="171"/>
      <c r="H176" s="38">
        <f t="shared" si="102"/>
        <v>168</v>
      </c>
      <c r="I176" s="38">
        <f t="shared" si="102"/>
        <v>550</v>
      </c>
      <c r="J176" s="38">
        <f t="shared" si="102"/>
        <v>592</v>
      </c>
      <c r="K176" s="38">
        <f t="shared" si="102"/>
        <v>446</v>
      </c>
      <c r="L176" s="38">
        <f t="shared" si="102"/>
        <v>290</v>
      </c>
      <c r="M176" s="38"/>
      <c r="N176" s="38"/>
      <c r="O176" s="38"/>
      <c r="P176" s="38"/>
      <c r="Q176" s="38"/>
      <c r="R176" s="38">
        <f>SUM(H176:Q176)</f>
        <v>2046</v>
      </c>
    </row>
    <row r="177" spans="3:24" hidden="1" x14ac:dyDescent="0.25">
      <c r="C177" s="40"/>
      <c r="D177" s="40"/>
      <c r="E177" s="41"/>
      <c r="F177" s="39"/>
      <c r="G177" s="42" t="s">
        <v>10</v>
      </c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T177" s="22"/>
      <c r="U177" s="22"/>
      <c r="V177" s="22"/>
      <c r="W177" s="22"/>
      <c r="X177" s="22"/>
    </row>
    <row r="178" spans="3:24" hidden="1" x14ac:dyDescent="0.25">
      <c r="C178" s="43" t="s">
        <v>11</v>
      </c>
      <c r="D178" s="43"/>
      <c r="E178" s="39" t="s">
        <v>9</v>
      </c>
      <c r="F178" s="39"/>
      <c r="G178" s="42" t="s">
        <v>12</v>
      </c>
      <c r="H178" s="38">
        <f t="shared" ref="H178:R178" si="103">SUM(H173:H177)</f>
        <v>720</v>
      </c>
      <c r="I178" s="38">
        <f t="shared" si="103"/>
        <v>2646</v>
      </c>
      <c r="J178" s="38">
        <f t="shared" si="103"/>
        <v>2892</v>
      </c>
      <c r="K178" s="38">
        <f t="shared" si="103"/>
        <v>2082</v>
      </c>
      <c r="L178" s="38">
        <f t="shared" si="103"/>
        <v>1344</v>
      </c>
      <c r="M178" s="38">
        <f t="shared" si="103"/>
        <v>0</v>
      </c>
      <c r="N178" s="38">
        <f t="shared" si="103"/>
        <v>0</v>
      </c>
      <c r="O178" s="38">
        <f t="shared" si="103"/>
        <v>0</v>
      </c>
      <c r="P178" s="38">
        <f t="shared" si="103"/>
        <v>0</v>
      </c>
      <c r="Q178" s="38">
        <f t="shared" si="103"/>
        <v>0</v>
      </c>
      <c r="R178" s="38">
        <f t="shared" si="103"/>
        <v>9684</v>
      </c>
      <c r="S178" s="24" t="s">
        <v>24</v>
      </c>
      <c r="T178" s="23"/>
      <c r="U178" s="23"/>
      <c r="V178" s="23"/>
      <c r="W178" s="23"/>
      <c r="X178" s="23"/>
    </row>
    <row r="179" spans="3:24" x14ac:dyDescent="0.25">
      <c r="M179" s="2">
        <v>3965</v>
      </c>
      <c r="N179" s="2">
        <v>1681</v>
      </c>
      <c r="O179" s="2">
        <v>6183</v>
      </c>
      <c r="P179" s="2">
        <v>30905</v>
      </c>
      <c r="Q179" s="2">
        <v>13484</v>
      </c>
      <c r="R179" s="2">
        <v>1009</v>
      </c>
      <c r="S179" s="2">
        <v>4844</v>
      </c>
      <c r="T179" s="25">
        <f>SUM(L179:S179)</f>
        <v>62071</v>
      </c>
      <c r="U179" s="25"/>
      <c r="V179" s="25"/>
      <c r="W179" s="25"/>
      <c r="X179" s="25"/>
    </row>
    <row r="180" spans="3:24" ht="17.399999999999999" x14ac:dyDescent="0.25">
      <c r="C180" s="77" t="s">
        <v>35</v>
      </c>
    </row>
    <row r="181" spans="3:24" ht="21" customHeight="1" thickBot="1" x14ac:dyDescent="0.3">
      <c r="C181" s="61"/>
      <c r="D181" s="136"/>
      <c r="E181" s="136"/>
      <c r="F181" s="136"/>
      <c r="G181" s="136"/>
      <c r="H181" s="55" t="s">
        <v>40</v>
      </c>
      <c r="I181" s="55" t="s">
        <v>42</v>
      </c>
      <c r="J181" s="55" t="s">
        <v>43</v>
      </c>
      <c r="K181" s="55" t="s">
        <v>41</v>
      </c>
      <c r="L181" s="55" t="s">
        <v>6</v>
      </c>
      <c r="M181" s="55" t="s">
        <v>7</v>
      </c>
      <c r="N181" s="55" t="s">
        <v>8</v>
      </c>
      <c r="O181" s="55" t="s">
        <v>6</v>
      </c>
      <c r="P181" s="55" t="s">
        <v>7</v>
      </c>
      <c r="Q181" s="55" t="s">
        <v>8</v>
      </c>
      <c r="R181" s="56" t="s">
        <v>9</v>
      </c>
    </row>
    <row r="182" spans="3:24" ht="13.5" customHeight="1" x14ac:dyDescent="0.25">
      <c r="C182" s="175"/>
      <c r="D182" s="172" t="s">
        <v>55</v>
      </c>
      <c r="E182" s="62"/>
      <c r="F182" s="142" t="s">
        <v>51</v>
      </c>
      <c r="G182" s="69"/>
      <c r="H182" s="58">
        <f>11+10+17+86+38</f>
        <v>162</v>
      </c>
      <c r="I182" s="58">
        <f>37+16+58+289+126</f>
        <v>526</v>
      </c>
      <c r="J182" s="58">
        <f>141+61+222+1109+484</f>
        <v>2017</v>
      </c>
      <c r="K182" s="58">
        <f>141+60+221+1105+482</f>
        <v>2009</v>
      </c>
      <c r="L182" s="58">
        <f>254+109+399+1998+872</f>
        <v>3632</v>
      </c>
      <c r="M182" s="58">
        <f>268+115+422+2110+921</f>
        <v>3836</v>
      </c>
      <c r="N182" s="58">
        <f>122+52+192+959+419</f>
        <v>1744</v>
      </c>
      <c r="O182" s="58"/>
      <c r="P182" s="58"/>
      <c r="Q182" s="58"/>
      <c r="R182" s="58">
        <f t="shared" ref="R182:R221" si="104">SUM(H182:Q182)</f>
        <v>13926</v>
      </c>
    </row>
    <row r="183" spans="3:24" ht="15.6" x14ac:dyDescent="0.25">
      <c r="C183" s="176"/>
      <c r="D183" s="173"/>
      <c r="E183" s="63"/>
      <c r="F183" s="143" t="s">
        <v>52</v>
      </c>
      <c r="G183" s="64"/>
      <c r="H183" s="65">
        <f>36+15+56+281+123</f>
        <v>511</v>
      </c>
      <c r="I183" s="65">
        <f>74+32+117+584+255</f>
        <v>1062</v>
      </c>
      <c r="J183" s="65">
        <f>126+54+197+986+430</f>
        <v>1793</v>
      </c>
      <c r="K183" s="65">
        <f>123+53+194+970+423</f>
        <v>1763</v>
      </c>
      <c r="L183" s="65">
        <f>190+81+299+1493+651</f>
        <v>2714</v>
      </c>
      <c r="M183" s="65">
        <f>208+89+326+1632+712</f>
        <v>2967</v>
      </c>
      <c r="N183" s="65">
        <f>69+30+108+541+236</f>
        <v>984</v>
      </c>
      <c r="O183" s="65"/>
      <c r="P183" s="65"/>
      <c r="Q183" s="65"/>
      <c r="R183" s="65">
        <f t="shared" si="104"/>
        <v>11794</v>
      </c>
    </row>
    <row r="184" spans="3:24" ht="13.5" customHeight="1" x14ac:dyDescent="0.25">
      <c r="C184" s="176"/>
      <c r="D184" s="173"/>
      <c r="E184" s="59"/>
      <c r="F184" s="144" t="s">
        <v>53</v>
      </c>
      <c r="G184" s="60"/>
      <c r="H184" s="57">
        <f>10+10+10+48+21</f>
        <v>99</v>
      </c>
      <c r="I184" s="57">
        <f>32+14+51+253+111</f>
        <v>461</v>
      </c>
      <c r="J184" s="57">
        <f>56+24+88+441+192</f>
        <v>801</v>
      </c>
      <c r="K184" s="57">
        <f>55+23+86+430+188</f>
        <v>782</v>
      </c>
      <c r="L184" s="57">
        <f>70+30+110+552+241</f>
        <v>1003</v>
      </c>
      <c r="M184" s="57">
        <f>45+19+71+357+156</f>
        <v>648</v>
      </c>
      <c r="N184" s="57">
        <f>13+5+20+99+43</f>
        <v>180</v>
      </c>
      <c r="O184" s="57"/>
      <c r="P184" s="57"/>
      <c r="Q184" s="57"/>
      <c r="R184" s="57">
        <f t="shared" si="104"/>
        <v>3974</v>
      </c>
    </row>
    <row r="185" spans="3:24" ht="16.2" thickBot="1" x14ac:dyDescent="0.3">
      <c r="C185" s="176"/>
      <c r="D185" s="174"/>
      <c r="E185" s="70"/>
      <c r="F185" s="108" t="s">
        <v>54</v>
      </c>
      <c r="G185" s="71"/>
      <c r="H185" s="72">
        <f>22+10+35+173+75</f>
        <v>315</v>
      </c>
      <c r="I185" s="72">
        <f>57+24+89+445+194</f>
        <v>809</v>
      </c>
      <c r="J185" s="72">
        <f>101+43+158+790+345</f>
        <v>1437</v>
      </c>
      <c r="K185" s="72">
        <f>97+41+152+759+331</f>
        <v>1380</v>
      </c>
      <c r="L185" s="72">
        <f>127+54+199+995+434</f>
        <v>1809</v>
      </c>
      <c r="M185" s="72">
        <f>82+35+129+643+281</f>
        <v>1170</v>
      </c>
      <c r="N185" s="72">
        <f>22+10+35+174+76</f>
        <v>317</v>
      </c>
      <c r="O185" s="72"/>
      <c r="P185" s="72"/>
      <c r="Q185" s="72"/>
      <c r="R185" s="72">
        <f t="shared" si="104"/>
        <v>7237</v>
      </c>
    </row>
    <row r="186" spans="3:24" ht="13.5" customHeight="1" x14ac:dyDescent="0.25">
      <c r="C186" s="176"/>
      <c r="D186" s="172" t="s">
        <v>56</v>
      </c>
      <c r="E186" s="66"/>
      <c r="F186" s="145" t="s">
        <v>51</v>
      </c>
      <c r="G186" s="67"/>
      <c r="H186" s="68"/>
      <c r="I186" s="68"/>
      <c r="J186" s="68"/>
      <c r="K186" s="68"/>
      <c r="L186" s="68"/>
      <c r="M186" s="68"/>
      <c r="N186" s="68"/>
      <c r="O186" s="68">
        <f>96+41+151+757+330</f>
        <v>1375</v>
      </c>
      <c r="P186" s="68">
        <f>147+63+231+1154+503</f>
        <v>2098</v>
      </c>
      <c r="Q186" s="68">
        <f>102+44+160+799+348</f>
        <v>1453</v>
      </c>
      <c r="R186" s="68">
        <f t="shared" si="104"/>
        <v>4926</v>
      </c>
    </row>
    <row r="187" spans="3:24" ht="15.6" x14ac:dyDescent="0.25">
      <c r="C187" s="176"/>
      <c r="D187" s="173"/>
      <c r="E187" s="63"/>
      <c r="F187" s="143" t="s">
        <v>52</v>
      </c>
      <c r="G187" s="64"/>
      <c r="H187" s="65"/>
      <c r="I187" s="65"/>
      <c r="J187" s="65"/>
      <c r="K187" s="65"/>
      <c r="L187" s="65"/>
      <c r="M187" s="65"/>
      <c r="N187" s="65"/>
      <c r="O187" s="65">
        <f>77+33+121+607+265</f>
        <v>1103</v>
      </c>
      <c r="P187" s="65">
        <f>101+43+159+796+347</f>
        <v>1446</v>
      </c>
      <c r="Q187" s="65">
        <f>63+27+99+493+215</f>
        <v>897</v>
      </c>
      <c r="R187" s="65">
        <f t="shared" si="104"/>
        <v>3446</v>
      </c>
    </row>
    <row r="188" spans="3:24" ht="13.5" customHeight="1" x14ac:dyDescent="0.25">
      <c r="C188" s="176"/>
      <c r="D188" s="173"/>
      <c r="E188" s="59"/>
      <c r="F188" s="144" t="s">
        <v>53</v>
      </c>
      <c r="G188" s="60"/>
      <c r="H188" s="57"/>
      <c r="I188" s="57"/>
      <c r="J188" s="57"/>
      <c r="K188" s="57"/>
      <c r="L188" s="57"/>
      <c r="M188" s="57"/>
      <c r="N188" s="57"/>
      <c r="O188" s="57">
        <f>26+11+41+205+89</f>
        <v>372</v>
      </c>
      <c r="P188" s="57">
        <f>28+12+44+221+97</f>
        <v>402</v>
      </c>
      <c r="Q188" s="57">
        <f>15+10+24+119+52</f>
        <v>220</v>
      </c>
      <c r="R188" s="57">
        <f t="shared" si="104"/>
        <v>994</v>
      </c>
    </row>
    <row r="189" spans="3:24" ht="16.2" thickBot="1" x14ac:dyDescent="0.3">
      <c r="C189" s="176"/>
      <c r="D189" s="174"/>
      <c r="E189" s="70"/>
      <c r="F189" s="89" t="s">
        <v>54</v>
      </c>
      <c r="G189" s="71"/>
      <c r="H189" s="72"/>
      <c r="I189" s="72"/>
      <c r="J189" s="72"/>
      <c r="K189" s="72"/>
      <c r="L189" s="72"/>
      <c r="M189" s="72"/>
      <c r="N189" s="72"/>
      <c r="O189" s="72">
        <f>53+23+84+417+182</f>
        <v>759</v>
      </c>
      <c r="P189" s="72">
        <f>59+25+93+463+202</f>
        <v>842</v>
      </c>
      <c r="Q189" s="72">
        <f>32+14+50+248+108</f>
        <v>452</v>
      </c>
      <c r="R189" s="72">
        <f t="shared" si="104"/>
        <v>2053</v>
      </c>
    </row>
    <row r="190" spans="3:24" ht="13.5" customHeight="1" x14ac:dyDescent="0.25">
      <c r="C190" s="176"/>
      <c r="D190" s="172" t="s">
        <v>57</v>
      </c>
      <c r="E190" s="62"/>
      <c r="F190" s="142" t="s">
        <v>51</v>
      </c>
      <c r="G190" s="69"/>
      <c r="H190" s="58"/>
      <c r="I190" s="58"/>
      <c r="J190" s="58">
        <f>46+20+72+361+158</f>
        <v>657</v>
      </c>
      <c r="K190" s="58">
        <f>64+27+101+505+220</f>
        <v>917</v>
      </c>
      <c r="L190" s="58">
        <f>41+17+64+318+139</f>
        <v>579</v>
      </c>
      <c r="M190" s="58">
        <f>29+13+46+230+100</f>
        <v>418</v>
      </c>
      <c r="N190" s="58"/>
      <c r="O190" s="58"/>
      <c r="P190" s="58"/>
      <c r="Q190" s="58"/>
      <c r="R190" s="58">
        <f t="shared" si="104"/>
        <v>2571</v>
      </c>
    </row>
    <row r="191" spans="3:24" ht="15.6" x14ac:dyDescent="0.25">
      <c r="C191" s="176"/>
      <c r="D191" s="173"/>
      <c r="E191" s="63"/>
      <c r="F191" s="143" t="s">
        <v>52</v>
      </c>
      <c r="G191" s="64"/>
      <c r="H191" s="65"/>
      <c r="I191" s="65"/>
      <c r="J191" s="65">
        <f>25+11+39+194+84</f>
        <v>353</v>
      </c>
      <c r="K191" s="65">
        <f>64+27+100+500+218</f>
        <v>909</v>
      </c>
      <c r="L191" s="65">
        <f>72+31+113+565+246</f>
        <v>1027</v>
      </c>
      <c r="M191" s="65">
        <f>43+18+68+339+148</f>
        <v>616</v>
      </c>
      <c r="N191" s="65"/>
      <c r="O191" s="65"/>
      <c r="P191" s="65"/>
      <c r="Q191" s="65"/>
      <c r="R191" s="65">
        <f t="shared" si="104"/>
        <v>2905</v>
      </c>
    </row>
    <row r="192" spans="3:24" ht="13.5" customHeight="1" x14ac:dyDescent="0.25">
      <c r="C192" s="176"/>
      <c r="D192" s="173"/>
      <c r="E192" s="59"/>
      <c r="F192" s="144" t="s">
        <v>53</v>
      </c>
      <c r="G192" s="60"/>
      <c r="H192" s="57"/>
      <c r="I192" s="57"/>
      <c r="J192" s="57">
        <f>16+17+88+38</f>
        <v>159</v>
      </c>
      <c r="K192" s="57">
        <f>37+40+202+88</f>
        <v>367</v>
      </c>
      <c r="L192" s="57">
        <f>23+26+128+56</f>
        <v>233</v>
      </c>
      <c r="M192" s="57">
        <f>11+13+63+28</f>
        <v>115</v>
      </c>
      <c r="N192" s="57"/>
      <c r="O192" s="57"/>
      <c r="P192" s="57"/>
      <c r="Q192" s="57"/>
      <c r="R192" s="57">
        <f t="shared" si="104"/>
        <v>874</v>
      </c>
    </row>
    <row r="193" spans="3:20" ht="16.2" thickBot="1" x14ac:dyDescent="0.3">
      <c r="C193" s="176"/>
      <c r="D193" s="174"/>
      <c r="E193" s="70"/>
      <c r="F193" s="108" t="s">
        <v>54</v>
      </c>
      <c r="G193" s="71"/>
      <c r="H193" s="72"/>
      <c r="I193" s="72"/>
      <c r="J193" s="72">
        <f>15+10+23+116+51</f>
        <v>215</v>
      </c>
      <c r="K193" s="72">
        <f>37+16+58+291+127</f>
        <v>529</v>
      </c>
      <c r="L193" s="72">
        <f>38+16+60+299+131</f>
        <v>544</v>
      </c>
      <c r="M193" s="72">
        <f>16+10+25+125+54</f>
        <v>230</v>
      </c>
      <c r="N193" s="72"/>
      <c r="O193" s="72"/>
      <c r="P193" s="72"/>
      <c r="Q193" s="72"/>
      <c r="R193" s="72">
        <f t="shared" si="104"/>
        <v>1518</v>
      </c>
      <c r="T193" s="137">
        <f>SUM(G182:Q193)</f>
        <v>56218</v>
      </c>
    </row>
    <row r="194" spans="3:20" ht="13.5" customHeight="1" x14ac:dyDescent="0.25">
      <c r="C194" s="176"/>
      <c r="D194" s="172" t="s">
        <v>58</v>
      </c>
      <c r="E194" s="62"/>
      <c r="F194" s="142" t="s">
        <v>51</v>
      </c>
      <c r="G194" s="69"/>
      <c r="H194" s="58">
        <f>11+14</f>
        <v>25</v>
      </c>
      <c r="I194" s="58">
        <f>24+31</f>
        <v>55</v>
      </c>
      <c r="J194" s="58">
        <f>26+34</f>
        <v>60</v>
      </c>
      <c r="K194" s="58">
        <f>32+41</f>
        <v>73</v>
      </c>
      <c r="L194" s="58">
        <f>84+108</f>
        <v>192</v>
      </c>
      <c r="M194" s="58">
        <f>87+112</f>
        <v>199</v>
      </c>
      <c r="N194" s="58">
        <f>0</f>
        <v>0</v>
      </c>
      <c r="O194" s="58"/>
      <c r="P194" s="58"/>
      <c r="Q194" s="58"/>
      <c r="R194" s="58">
        <f t="shared" si="104"/>
        <v>604</v>
      </c>
    </row>
    <row r="195" spans="3:20" ht="15.6" x14ac:dyDescent="0.25">
      <c r="C195" s="176"/>
      <c r="D195" s="173"/>
      <c r="E195" s="63"/>
      <c r="F195" s="143" t="s">
        <v>52</v>
      </c>
      <c r="G195" s="64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>
        <f t="shared" si="104"/>
        <v>0</v>
      </c>
    </row>
    <row r="196" spans="3:20" ht="13.5" customHeight="1" x14ac:dyDescent="0.25">
      <c r="C196" s="176"/>
      <c r="D196" s="173"/>
      <c r="E196" s="59"/>
      <c r="F196" s="144" t="s">
        <v>53</v>
      </c>
      <c r="G196" s="60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>
        <f t="shared" si="104"/>
        <v>0</v>
      </c>
    </row>
    <row r="197" spans="3:20" ht="16.2" thickBot="1" x14ac:dyDescent="0.3">
      <c r="C197" s="176"/>
      <c r="D197" s="174"/>
      <c r="E197" s="70"/>
      <c r="F197" s="108" t="s">
        <v>54</v>
      </c>
      <c r="G197" s="71"/>
      <c r="H197" s="72">
        <f>10+10</f>
        <v>20</v>
      </c>
      <c r="I197" s="72">
        <f>16+20</f>
        <v>36</v>
      </c>
      <c r="J197" s="72">
        <f>18+23</f>
        <v>41</v>
      </c>
      <c r="K197" s="72">
        <f>21+27</f>
        <v>48</v>
      </c>
      <c r="L197" s="72">
        <f>56+72</f>
        <v>128</v>
      </c>
      <c r="M197" s="72">
        <f>58+74</f>
        <v>132</v>
      </c>
      <c r="N197" s="72">
        <f>0</f>
        <v>0</v>
      </c>
      <c r="O197" s="72"/>
      <c r="P197" s="72"/>
      <c r="Q197" s="72"/>
      <c r="R197" s="72">
        <f t="shared" si="104"/>
        <v>405</v>
      </c>
    </row>
    <row r="198" spans="3:20" ht="13.5" customHeight="1" x14ac:dyDescent="0.25">
      <c r="C198" s="176"/>
      <c r="D198" s="172" t="s">
        <v>59</v>
      </c>
      <c r="E198" s="62"/>
      <c r="F198" s="142" t="s">
        <v>51</v>
      </c>
      <c r="G198" s="69"/>
      <c r="H198" s="58">
        <v>10</v>
      </c>
      <c r="I198" s="58">
        <v>34</v>
      </c>
      <c r="J198" s="58">
        <v>130</v>
      </c>
      <c r="K198" s="58">
        <v>130</v>
      </c>
      <c r="L198" s="58">
        <v>234</v>
      </c>
      <c r="M198" s="58">
        <v>247</v>
      </c>
      <c r="N198" s="58">
        <v>112</v>
      </c>
      <c r="O198" s="58"/>
      <c r="P198" s="58"/>
      <c r="Q198" s="58"/>
      <c r="R198" s="58">
        <f t="shared" si="104"/>
        <v>897</v>
      </c>
    </row>
    <row r="199" spans="3:20" ht="15.6" x14ac:dyDescent="0.25">
      <c r="C199" s="176"/>
      <c r="D199" s="173"/>
      <c r="E199" s="63"/>
      <c r="F199" s="143" t="s">
        <v>52</v>
      </c>
      <c r="G199" s="64"/>
      <c r="H199" s="65">
        <v>7</v>
      </c>
      <c r="I199" s="65">
        <v>24</v>
      </c>
      <c r="J199" s="65">
        <v>92</v>
      </c>
      <c r="K199" s="65">
        <v>92</v>
      </c>
      <c r="L199" s="65">
        <v>166</v>
      </c>
      <c r="M199" s="65">
        <v>175</v>
      </c>
      <c r="N199" s="65">
        <v>80</v>
      </c>
      <c r="O199" s="65"/>
      <c r="P199" s="65"/>
      <c r="Q199" s="65"/>
      <c r="R199" s="65">
        <f t="shared" si="104"/>
        <v>636</v>
      </c>
    </row>
    <row r="200" spans="3:20" ht="13.5" customHeight="1" x14ac:dyDescent="0.25">
      <c r="C200" s="176"/>
      <c r="D200" s="173"/>
      <c r="E200" s="59"/>
      <c r="F200" s="144" t="s">
        <v>53</v>
      </c>
      <c r="G200" s="60"/>
      <c r="H200" s="57">
        <v>8</v>
      </c>
      <c r="I200" s="57">
        <v>26</v>
      </c>
      <c r="J200" s="57">
        <v>101</v>
      </c>
      <c r="K200" s="57">
        <v>101</v>
      </c>
      <c r="L200" s="57">
        <v>181</v>
      </c>
      <c r="M200" s="57">
        <v>191</v>
      </c>
      <c r="N200" s="57">
        <v>87</v>
      </c>
      <c r="O200" s="57"/>
      <c r="P200" s="57"/>
      <c r="Q200" s="57"/>
      <c r="R200" s="57">
        <f t="shared" si="104"/>
        <v>695</v>
      </c>
    </row>
    <row r="201" spans="3:20" ht="16.2" thickBot="1" x14ac:dyDescent="0.3">
      <c r="C201" s="176"/>
      <c r="D201" s="174"/>
      <c r="E201" s="70"/>
      <c r="F201" s="108" t="s">
        <v>54</v>
      </c>
      <c r="G201" s="71"/>
      <c r="H201" s="72">
        <v>7</v>
      </c>
      <c r="I201" s="72">
        <v>22</v>
      </c>
      <c r="J201" s="72">
        <v>84</v>
      </c>
      <c r="K201" s="72">
        <v>84</v>
      </c>
      <c r="L201" s="72">
        <v>152</v>
      </c>
      <c r="M201" s="72">
        <v>160</v>
      </c>
      <c r="N201" s="72">
        <v>73</v>
      </c>
      <c r="O201" s="72"/>
      <c r="P201" s="72"/>
      <c r="Q201" s="72"/>
      <c r="R201" s="72">
        <f t="shared" si="104"/>
        <v>582</v>
      </c>
    </row>
    <row r="202" spans="3:20" ht="13.5" customHeight="1" x14ac:dyDescent="0.25">
      <c r="C202" s="176"/>
      <c r="D202" s="172" t="s">
        <v>60</v>
      </c>
      <c r="E202" s="66"/>
      <c r="F202" s="145" t="s">
        <v>51</v>
      </c>
      <c r="G202" s="67"/>
      <c r="H202" s="68"/>
      <c r="I202" s="68"/>
      <c r="J202" s="68"/>
      <c r="K202" s="68"/>
      <c r="L202" s="68"/>
      <c r="M202" s="68"/>
      <c r="N202" s="68"/>
      <c r="O202" s="68">
        <v>120</v>
      </c>
      <c r="P202" s="68">
        <v>183</v>
      </c>
      <c r="Q202" s="68">
        <v>127</v>
      </c>
      <c r="R202" s="68">
        <f t="shared" si="104"/>
        <v>430</v>
      </c>
    </row>
    <row r="203" spans="3:20" ht="15.6" x14ac:dyDescent="0.25">
      <c r="C203" s="176"/>
      <c r="D203" s="173"/>
      <c r="E203" s="63"/>
      <c r="F203" s="143" t="s">
        <v>52</v>
      </c>
      <c r="G203" s="64"/>
      <c r="H203" s="65"/>
      <c r="I203" s="65"/>
      <c r="J203" s="65"/>
      <c r="K203" s="65"/>
      <c r="L203" s="65"/>
      <c r="M203" s="65"/>
      <c r="N203" s="65"/>
      <c r="O203" s="65">
        <v>85</v>
      </c>
      <c r="P203" s="65">
        <v>130</v>
      </c>
      <c r="Q203" s="65">
        <v>90</v>
      </c>
      <c r="R203" s="65">
        <f t="shared" si="104"/>
        <v>305</v>
      </c>
    </row>
    <row r="204" spans="3:20" ht="13.5" customHeight="1" x14ac:dyDescent="0.25">
      <c r="C204" s="176"/>
      <c r="D204" s="173"/>
      <c r="E204" s="59"/>
      <c r="F204" s="144" t="s">
        <v>53</v>
      </c>
      <c r="G204" s="60"/>
      <c r="H204" s="57"/>
      <c r="I204" s="57"/>
      <c r="J204" s="57"/>
      <c r="K204" s="57"/>
      <c r="L204" s="57"/>
      <c r="M204" s="57"/>
      <c r="N204" s="57"/>
      <c r="O204" s="57">
        <v>93</v>
      </c>
      <c r="P204" s="57">
        <v>142</v>
      </c>
      <c r="Q204" s="57">
        <v>99</v>
      </c>
      <c r="R204" s="57">
        <f t="shared" si="104"/>
        <v>334</v>
      </c>
    </row>
    <row r="205" spans="3:20" ht="16.2" thickBot="1" x14ac:dyDescent="0.3">
      <c r="C205" s="176"/>
      <c r="D205" s="174"/>
      <c r="E205" s="70"/>
      <c r="F205" s="89" t="s">
        <v>54</v>
      </c>
      <c r="G205" s="71"/>
      <c r="H205" s="72"/>
      <c r="I205" s="72"/>
      <c r="J205" s="72"/>
      <c r="K205" s="72"/>
      <c r="L205" s="72"/>
      <c r="M205" s="72"/>
      <c r="N205" s="72"/>
      <c r="O205" s="72">
        <v>78</v>
      </c>
      <c r="P205" s="72">
        <v>119</v>
      </c>
      <c r="Q205" s="72">
        <v>82</v>
      </c>
      <c r="R205" s="72">
        <f t="shared" si="104"/>
        <v>279</v>
      </c>
    </row>
    <row r="206" spans="3:20" ht="13.5" customHeight="1" x14ac:dyDescent="0.25">
      <c r="C206" s="176"/>
      <c r="D206" s="172" t="s">
        <v>61</v>
      </c>
      <c r="E206" s="62"/>
      <c r="F206" s="142" t="s">
        <v>51</v>
      </c>
      <c r="G206" s="69"/>
      <c r="H206" s="58"/>
      <c r="I206" s="58"/>
      <c r="J206" s="58">
        <v>56</v>
      </c>
      <c r="K206" s="58">
        <v>78</v>
      </c>
      <c r="L206" s="58">
        <v>50</v>
      </c>
      <c r="M206" s="58">
        <v>35</v>
      </c>
      <c r="N206" s="58"/>
      <c r="O206" s="58"/>
      <c r="P206" s="58"/>
      <c r="Q206" s="58"/>
      <c r="R206" s="58">
        <f t="shared" si="104"/>
        <v>219</v>
      </c>
    </row>
    <row r="207" spans="3:20" ht="15.6" x14ac:dyDescent="0.25">
      <c r="C207" s="176"/>
      <c r="D207" s="173"/>
      <c r="E207" s="63"/>
      <c r="F207" s="143" t="s">
        <v>52</v>
      </c>
      <c r="G207" s="64"/>
      <c r="H207" s="65"/>
      <c r="I207" s="65"/>
      <c r="J207" s="65">
        <v>40</v>
      </c>
      <c r="K207" s="65">
        <v>55</v>
      </c>
      <c r="L207" s="65">
        <v>35</v>
      </c>
      <c r="M207" s="65">
        <v>25</v>
      </c>
      <c r="N207" s="65"/>
      <c r="O207" s="65"/>
      <c r="P207" s="65"/>
      <c r="Q207" s="65"/>
      <c r="R207" s="65">
        <f t="shared" si="104"/>
        <v>155</v>
      </c>
    </row>
    <row r="208" spans="3:20" ht="13.5" customHeight="1" x14ac:dyDescent="0.25">
      <c r="C208" s="176"/>
      <c r="D208" s="173"/>
      <c r="E208" s="59"/>
      <c r="F208" s="144" t="s">
        <v>53</v>
      </c>
      <c r="G208" s="60"/>
      <c r="H208" s="57"/>
      <c r="I208" s="57"/>
      <c r="J208" s="57">
        <v>43</v>
      </c>
      <c r="K208" s="57">
        <v>61</v>
      </c>
      <c r="L208" s="57">
        <v>39</v>
      </c>
      <c r="M208" s="57">
        <v>27</v>
      </c>
      <c r="N208" s="57"/>
      <c r="O208" s="57"/>
      <c r="P208" s="57"/>
      <c r="Q208" s="57"/>
      <c r="R208" s="57">
        <f t="shared" si="104"/>
        <v>170</v>
      </c>
    </row>
    <row r="209" spans="3:22" ht="16.2" thickBot="1" x14ac:dyDescent="0.3">
      <c r="C209" s="176"/>
      <c r="D209" s="174"/>
      <c r="E209" s="70"/>
      <c r="F209" s="108" t="s">
        <v>54</v>
      </c>
      <c r="G209" s="71"/>
      <c r="H209" s="72"/>
      <c r="I209" s="72"/>
      <c r="J209" s="72">
        <v>36</v>
      </c>
      <c r="K209" s="72">
        <v>51</v>
      </c>
      <c r="L209" s="72">
        <v>32</v>
      </c>
      <c r="M209" s="72">
        <v>23</v>
      </c>
      <c r="N209" s="72"/>
      <c r="O209" s="72"/>
      <c r="P209" s="72"/>
      <c r="Q209" s="72"/>
      <c r="R209" s="72">
        <f t="shared" si="104"/>
        <v>142</v>
      </c>
      <c r="T209" s="137">
        <f>SUM(G198:Q209)</f>
        <v>4844</v>
      </c>
    </row>
    <row r="210" spans="3:22" ht="13.5" customHeight="1" x14ac:dyDescent="0.25">
      <c r="C210" s="176"/>
      <c r="D210" s="177" t="s">
        <v>62</v>
      </c>
      <c r="E210" s="90"/>
      <c r="F210" s="146" t="s">
        <v>51</v>
      </c>
      <c r="G210" s="91"/>
      <c r="H210" s="150">
        <f>H182+H186+H194+H198</f>
        <v>197</v>
      </c>
      <c r="I210" s="150">
        <f t="shared" ref="I210:N210" si="105">I182+I186+I194+I198</f>
        <v>615</v>
      </c>
      <c r="J210" s="150">
        <f t="shared" si="105"/>
        <v>2207</v>
      </c>
      <c r="K210" s="150">
        <f t="shared" si="105"/>
        <v>2212</v>
      </c>
      <c r="L210" s="150">
        <f t="shared" si="105"/>
        <v>4058</v>
      </c>
      <c r="M210" s="150">
        <f t="shared" si="105"/>
        <v>4282</v>
      </c>
      <c r="N210" s="150">
        <f t="shared" si="105"/>
        <v>1856</v>
      </c>
      <c r="O210" s="150"/>
      <c r="P210" s="150"/>
      <c r="Q210" s="150"/>
      <c r="R210" s="92">
        <f t="shared" si="104"/>
        <v>15427</v>
      </c>
    </row>
    <row r="211" spans="3:22" ht="15.6" x14ac:dyDescent="0.25">
      <c r="C211" s="176"/>
      <c r="D211" s="178"/>
      <c r="E211" s="138"/>
      <c r="F211" s="147" t="s">
        <v>52</v>
      </c>
      <c r="G211" s="139"/>
      <c r="H211" s="93">
        <f t="shared" ref="H211:N213" si="106">H183+H187+H195+H199</f>
        <v>518</v>
      </c>
      <c r="I211" s="93">
        <f t="shared" si="106"/>
        <v>1086</v>
      </c>
      <c r="J211" s="93">
        <f t="shared" si="106"/>
        <v>1885</v>
      </c>
      <c r="K211" s="93">
        <f t="shared" si="106"/>
        <v>1855</v>
      </c>
      <c r="L211" s="93">
        <f t="shared" si="106"/>
        <v>2880</v>
      </c>
      <c r="M211" s="93">
        <f t="shared" si="106"/>
        <v>3142</v>
      </c>
      <c r="N211" s="93">
        <f t="shared" si="106"/>
        <v>1064</v>
      </c>
      <c r="O211" s="93"/>
      <c r="P211" s="93"/>
      <c r="Q211" s="93"/>
      <c r="R211" s="140">
        <f t="shared" si="104"/>
        <v>12430</v>
      </c>
    </row>
    <row r="212" spans="3:22" ht="13.5" customHeight="1" x14ac:dyDescent="0.25">
      <c r="C212" s="176"/>
      <c r="D212" s="178"/>
      <c r="E212" s="94"/>
      <c r="F212" s="148" t="s">
        <v>53</v>
      </c>
      <c r="G212" s="96"/>
      <c r="H212" s="93">
        <f t="shared" si="106"/>
        <v>107</v>
      </c>
      <c r="I212" s="93">
        <f t="shared" si="106"/>
        <v>487</v>
      </c>
      <c r="J212" s="93">
        <f t="shared" si="106"/>
        <v>902</v>
      </c>
      <c r="K212" s="93">
        <f t="shared" si="106"/>
        <v>883</v>
      </c>
      <c r="L212" s="93">
        <f t="shared" si="106"/>
        <v>1184</v>
      </c>
      <c r="M212" s="93">
        <f t="shared" si="106"/>
        <v>839</v>
      </c>
      <c r="N212" s="93">
        <f t="shared" si="106"/>
        <v>267</v>
      </c>
      <c r="O212" s="93"/>
      <c r="P212" s="93"/>
      <c r="Q212" s="93"/>
      <c r="R212" s="93">
        <f t="shared" si="104"/>
        <v>4669</v>
      </c>
    </row>
    <row r="213" spans="3:22" ht="16.2" thickBot="1" x14ac:dyDescent="0.3">
      <c r="C213" s="176"/>
      <c r="D213" s="179"/>
      <c r="E213" s="97"/>
      <c r="F213" s="109" t="s">
        <v>54</v>
      </c>
      <c r="G213" s="98"/>
      <c r="H213" s="140">
        <f t="shared" si="106"/>
        <v>342</v>
      </c>
      <c r="I213" s="140">
        <f t="shared" si="106"/>
        <v>867</v>
      </c>
      <c r="J213" s="140">
        <f t="shared" si="106"/>
        <v>1562</v>
      </c>
      <c r="K213" s="140">
        <f t="shared" si="106"/>
        <v>1512</v>
      </c>
      <c r="L213" s="140">
        <f t="shared" si="106"/>
        <v>2089</v>
      </c>
      <c r="M213" s="140">
        <f t="shared" si="106"/>
        <v>1462</v>
      </c>
      <c r="N213" s="140">
        <f t="shared" si="106"/>
        <v>390</v>
      </c>
      <c r="O213" s="140"/>
      <c r="P213" s="140"/>
      <c r="Q213" s="140"/>
      <c r="R213" s="99">
        <f t="shared" si="104"/>
        <v>8224</v>
      </c>
    </row>
    <row r="214" spans="3:22" ht="13.5" customHeight="1" x14ac:dyDescent="0.25">
      <c r="C214" s="176"/>
      <c r="D214" s="177" t="s">
        <v>63</v>
      </c>
      <c r="E214" s="100"/>
      <c r="F214" s="149" t="s">
        <v>51</v>
      </c>
      <c r="G214" s="101"/>
      <c r="H214" s="92"/>
      <c r="I214" s="92"/>
      <c r="J214" s="92"/>
      <c r="K214" s="92"/>
      <c r="L214" s="92"/>
      <c r="M214" s="92"/>
      <c r="N214" s="92"/>
      <c r="O214" s="92">
        <f>O186+O202</f>
        <v>1495</v>
      </c>
      <c r="P214" s="92">
        <f t="shared" ref="P214:Q214" si="107">P186+P202</f>
        <v>2281</v>
      </c>
      <c r="Q214" s="92">
        <f t="shared" si="107"/>
        <v>1580</v>
      </c>
      <c r="R214" s="102">
        <f t="shared" si="104"/>
        <v>5356</v>
      </c>
    </row>
    <row r="215" spans="3:22" ht="15.6" x14ac:dyDescent="0.25">
      <c r="C215" s="176"/>
      <c r="D215" s="178"/>
      <c r="E215" s="138"/>
      <c r="F215" s="147" t="s">
        <v>52</v>
      </c>
      <c r="G215" s="139"/>
      <c r="H215" s="93"/>
      <c r="I215" s="93"/>
      <c r="J215" s="93"/>
      <c r="K215" s="93"/>
      <c r="L215" s="93"/>
      <c r="M215" s="93"/>
      <c r="N215" s="93"/>
      <c r="O215" s="93">
        <f t="shared" ref="O215:Q217" si="108">O187+O203</f>
        <v>1188</v>
      </c>
      <c r="P215" s="93">
        <f t="shared" si="108"/>
        <v>1576</v>
      </c>
      <c r="Q215" s="93">
        <f t="shared" si="108"/>
        <v>987</v>
      </c>
      <c r="R215" s="140">
        <f t="shared" si="104"/>
        <v>3751</v>
      </c>
    </row>
    <row r="216" spans="3:22" ht="13.5" customHeight="1" x14ac:dyDescent="0.25">
      <c r="C216" s="176"/>
      <c r="D216" s="178"/>
      <c r="E216" s="94"/>
      <c r="F216" s="148" t="s">
        <v>53</v>
      </c>
      <c r="G216" s="96"/>
      <c r="H216" s="93"/>
      <c r="I216" s="93"/>
      <c r="J216" s="93"/>
      <c r="K216" s="93"/>
      <c r="L216" s="93"/>
      <c r="M216" s="93"/>
      <c r="N216" s="93"/>
      <c r="O216" s="93">
        <f t="shared" si="108"/>
        <v>465</v>
      </c>
      <c r="P216" s="93">
        <f t="shared" si="108"/>
        <v>544</v>
      </c>
      <c r="Q216" s="93">
        <f t="shared" si="108"/>
        <v>319</v>
      </c>
      <c r="R216" s="93">
        <f t="shared" si="104"/>
        <v>1328</v>
      </c>
    </row>
    <row r="217" spans="3:22" ht="16.2" thickBot="1" x14ac:dyDescent="0.3">
      <c r="C217" s="176"/>
      <c r="D217" s="179"/>
      <c r="E217" s="97"/>
      <c r="F217" s="95" t="s">
        <v>54</v>
      </c>
      <c r="G217" s="98"/>
      <c r="H217" s="99"/>
      <c r="I217" s="99"/>
      <c r="J217" s="99"/>
      <c r="K217" s="99"/>
      <c r="L217" s="99"/>
      <c r="M217" s="99"/>
      <c r="N217" s="99"/>
      <c r="O217" s="99">
        <f t="shared" si="108"/>
        <v>837</v>
      </c>
      <c r="P217" s="99">
        <f t="shared" si="108"/>
        <v>961</v>
      </c>
      <c r="Q217" s="99">
        <f t="shared" si="108"/>
        <v>534</v>
      </c>
      <c r="R217" s="99">
        <f t="shared" si="104"/>
        <v>2332</v>
      </c>
    </row>
    <row r="218" spans="3:22" ht="13.5" customHeight="1" x14ac:dyDescent="0.25">
      <c r="C218" s="176"/>
      <c r="D218" s="177" t="s">
        <v>64</v>
      </c>
      <c r="E218" s="90"/>
      <c r="F218" s="146" t="s">
        <v>51</v>
      </c>
      <c r="G218" s="91"/>
      <c r="H218" s="102"/>
      <c r="I218" s="102"/>
      <c r="J218" s="102">
        <f>J190+J206</f>
        <v>713</v>
      </c>
      <c r="K218" s="102">
        <f t="shared" ref="K218:M218" si="109">K190+K206</f>
        <v>995</v>
      </c>
      <c r="L218" s="102">
        <f t="shared" si="109"/>
        <v>629</v>
      </c>
      <c r="M218" s="102">
        <f t="shared" si="109"/>
        <v>453</v>
      </c>
      <c r="N218" s="102"/>
      <c r="O218" s="102"/>
      <c r="P218" s="102"/>
      <c r="Q218" s="102"/>
      <c r="R218" s="92">
        <f t="shared" si="104"/>
        <v>2790</v>
      </c>
    </row>
    <row r="219" spans="3:22" ht="15.6" x14ac:dyDescent="0.25">
      <c r="C219" s="176"/>
      <c r="D219" s="178"/>
      <c r="E219" s="138"/>
      <c r="F219" s="147" t="s">
        <v>52</v>
      </c>
      <c r="G219" s="139"/>
      <c r="H219" s="93"/>
      <c r="I219" s="93"/>
      <c r="J219" s="93">
        <f t="shared" ref="J219:M221" si="110">J191+J207</f>
        <v>393</v>
      </c>
      <c r="K219" s="93">
        <f t="shared" si="110"/>
        <v>964</v>
      </c>
      <c r="L219" s="93">
        <f t="shared" si="110"/>
        <v>1062</v>
      </c>
      <c r="M219" s="93">
        <f t="shared" si="110"/>
        <v>641</v>
      </c>
      <c r="N219" s="93"/>
      <c r="O219" s="93"/>
      <c r="P219" s="93"/>
      <c r="Q219" s="93"/>
      <c r="R219" s="140">
        <f t="shared" si="104"/>
        <v>3060</v>
      </c>
    </row>
    <row r="220" spans="3:22" ht="13.5" customHeight="1" x14ac:dyDescent="0.25">
      <c r="C220" s="176"/>
      <c r="D220" s="178"/>
      <c r="E220" s="94"/>
      <c r="F220" s="148" t="s">
        <v>53</v>
      </c>
      <c r="G220" s="96"/>
      <c r="H220" s="93"/>
      <c r="I220" s="93"/>
      <c r="J220" s="93">
        <f t="shared" si="110"/>
        <v>202</v>
      </c>
      <c r="K220" s="93">
        <f t="shared" si="110"/>
        <v>428</v>
      </c>
      <c r="L220" s="93">
        <f t="shared" si="110"/>
        <v>272</v>
      </c>
      <c r="M220" s="93">
        <f t="shared" si="110"/>
        <v>142</v>
      </c>
      <c r="N220" s="93"/>
      <c r="O220" s="93"/>
      <c r="P220" s="93"/>
      <c r="Q220" s="93"/>
      <c r="R220" s="93">
        <f t="shared" si="104"/>
        <v>1044</v>
      </c>
    </row>
    <row r="221" spans="3:22" ht="16.2" thickBot="1" x14ac:dyDescent="0.3">
      <c r="C221" s="176"/>
      <c r="D221" s="179"/>
      <c r="E221" s="97"/>
      <c r="F221" s="109" t="s">
        <v>54</v>
      </c>
      <c r="G221" s="98"/>
      <c r="H221" s="140"/>
      <c r="I221" s="140"/>
      <c r="J221" s="140">
        <f t="shared" si="110"/>
        <v>251</v>
      </c>
      <c r="K221" s="140">
        <f t="shared" si="110"/>
        <v>580</v>
      </c>
      <c r="L221" s="140">
        <f t="shared" si="110"/>
        <v>576</v>
      </c>
      <c r="M221" s="140">
        <f t="shared" si="110"/>
        <v>253</v>
      </c>
      <c r="N221" s="140"/>
      <c r="O221" s="140"/>
      <c r="P221" s="140"/>
      <c r="Q221" s="140"/>
      <c r="R221" s="99">
        <f t="shared" si="104"/>
        <v>1660</v>
      </c>
      <c r="T221" s="137">
        <f>SUM(G210:Q221)</f>
        <v>62071</v>
      </c>
    </row>
    <row r="222" spans="3:22" ht="15" thickBot="1" x14ac:dyDescent="0.3">
      <c r="C222" s="176"/>
      <c r="D222" s="103"/>
      <c r="E222" s="104"/>
      <c r="F222" s="105" t="s">
        <v>46</v>
      </c>
      <c r="G222" s="106"/>
      <c r="H222" s="151">
        <f>SUM(H210:H221)</f>
        <v>1164</v>
      </c>
      <c r="I222" s="151">
        <f t="shared" ref="I222:Q222" si="111">SUM(I210:I221)</f>
        <v>3055</v>
      </c>
      <c r="J222" s="151">
        <f t="shared" si="111"/>
        <v>8115</v>
      </c>
      <c r="K222" s="151">
        <f t="shared" si="111"/>
        <v>9429</v>
      </c>
      <c r="L222" s="151">
        <f t="shared" si="111"/>
        <v>12750</v>
      </c>
      <c r="M222" s="151">
        <f t="shared" si="111"/>
        <v>11214</v>
      </c>
      <c r="N222" s="151">
        <f t="shared" si="111"/>
        <v>3577</v>
      </c>
      <c r="O222" s="151">
        <f t="shared" si="111"/>
        <v>3985</v>
      </c>
      <c r="P222" s="151">
        <f t="shared" si="111"/>
        <v>5362</v>
      </c>
      <c r="Q222" s="151">
        <f t="shared" si="111"/>
        <v>3420</v>
      </c>
      <c r="R222" s="107">
        <f t="shared" ref="R222" si="112">SUM(H222:Q222)</f>
        <v>62071</v>
      </c>
    </row>
    <row r="223" spans="3:22" ht="16.2" thickBot="1" x14ac:dyDescent="0.3">
      <c r="C223" s="78" t="s">
        <v>44</v>
      </c>
      <c r="D223" s="80"/>
      <c r="E223" s="74"/>
      <c r="F223" s="80"/>
      <c r="G223" s="75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76"/>
      <c r="S223" s="53"/>
      <c r="V223" s="26"/>
    </row>
    <row r="224" spans="3:22" ht="13.5" customHeight="1" x14ac:dyDescent="0.25">
      <c r="C224" s="78"/>
      <c r="D224" s="172" t="s">
        <v>62</v>
      </c>
      <c r="E224" s="85"/>
      <c r="F224" s="124" t="s">
        <v>51</v>
      </c>
      <c r="G224" s="110"/>
      <c r="H224" s="124">
        <v>197</v>
      </c>
      <c r="I224" s="125">
        <v>615</v>
      </c>
      <c r="J224" s="125">
        <v>2207</v>
      </c>
      <c r="K224" s="125">
        <v>2212</v>
      </c>
      <c r="L224" s="125">
        <v>4058</v>
      </c>
      <c r="M224" s="125">
        <v>4282</v>
      </c>
      <c r="N224" s="124">
        <v>1856</v>
      </c>
      <c r="O224" s="125"/>
      <c r="P224" s="124"/>
      <c r="Q224" s="124"/>
      <c r="R224" s="111">
        <f t="shared" ref="R224:R236" si="113">SUM(H224:Q224)</f>
        <v>15427</v>
      </c>
    </row>
    <row r="225" spans="3:22" ht="15.6" x14ac:dyDescent="0.25">
      <c r="C225" s="78"/>
      <c r="D225" s="173"/>
      <c r="E225" s="80"/>
      <c r="F225" s="143" t="s">
        <v>52</v>
      </c>
      <c r="G225" s="75"/>
      <c r="H225" s="89">
        <v>518</v>
      </c>
      <c r="I225" s="128">
        <v>1086</v>
      </c>
      <c r="J225" s="128">
        <v>1885</v>
      </c>
      <c r="K225" s="128">
        <v>1855</v>
      </c>
      <c r="L225" s="128">
        <v>2880</v>
      </c>
      <c r="M225" s="128">
        <v>3142</v>
      </c>
      <c r="N225" s="89">
        <v>1064</v>
      </c>
      <c r="O225" s="128"/>
      <c r="P225" s="89"/>
      <c r="Q225" s="89"/>
      <c r="R225" s="76">
        <f t="shared" si="113"/>
        <v>12430</v>
      </c>
    </row>
    <row r="226" spans="3:22" ht="13.5" customHeight="1" x14ac:dyDescent="0.25">
      <c r="C226" s="78"/>
      <c r="D226" s="173"/>
      <c r="E226" s="83"/>
      <c r="F226" s="144" t="s">
        <v>53</v>
      </c>
      <c r="G226" s="116"/>
      <c r="H226" s="89">
        <v>107</v>
      </c>
      <c r="I226" s="128">
        <v>487</v>
      </c>
      <c r="J226" s="128">
        <v>902</v>
      </c>
      <c r="K226" s="128">
        <v>883</v>
      </c>
      <c r="L226" s="128">
        <v>1184</v>
      </c>
      <c r="M226" s="128">
        <v>839</v>
      </c>
      <c r="N226" s="89">
        <v>267</v>
      </c>
      <c r="O226" s="128"/>
      <c r="P226" s="89"/>
      <c r="Q226" s="89"/>
      <c r="R226" s="117">
        <f t="shared" si="113"/>
        <v>4669</v>
      </c>
    </row>
    <row r="227" spans="3:22" ht="16.2" thickBot="1" x14ac:dyDescent="0.3">
      <c r="C227" s="78"/>
      <c r="D227" s="174"/>
      <c r="E227" s="84"/>
      <c r="F227" s="108" t="s">
        <v>54</v>
      </c>
      <c r="G227" s="112"/>
      <c r="H227" s="108">
        <v>342</v>
      </c>
      <c r="I227" s="126">
        <v>867</v>
      </c>
      <c r="J227" s="126">
        <v>1562</v>
      </c>
      <c r="K227" s="126">
        <v>1512</v>
      </c>
      <c r="L227" s="126">
        <v>2089</v>
      </c>
      <c r="M227" s="126">
        <v>1462</v>
      </c>
      <c r="N227" s="108">
        <v>390</v>
      </c>
      <c r="O227" s="126"/>
      <c r="P227" s="108"/>
      <c r="Q227" s="108"/>
      <c r="R227" s="113">
        <f t="shared" si="113"/>
        <v>8224</v>
      </c>
    </row>
    <row r="228" spans="3:22" ht="13.5" customHeight="1" x14ac:dyDescent="0.25">
      <c r="C228" s="78"/>
      <c r="D228" s="172" t="s">
        <v>63</v>
      </c>
      <c r="E228" s="82"/>
      <c r="F228" s="123" t="s">
        <v>51</v>
      </c>
      <c r="G228" s="114"/>
      <c r="H228" s="115"/>
      <c r="I228" s="115"/>
      <c r="J228" s="115"/>
      <c r="K228" s="115"/>
      <c r="L228" s="115"/>
      <c r="M228" s="115"/>
      <c r="N228" s="115"/>
      <c r="O228" s="127">
        <v>1495</v>
      </c>
      <c r="P228" s="127">
        <v>2281</v>
      </c>
      <c r="Q228" s="127">
        <v>1580</v>
      </c>
      <c r="R228" s="115">
        <f t="shared" si="113"/>
        <v>5356</v>
      </c>
    </row>
    <row r="229" spans="3:22" ht="15.6" x14ac:dyDescent="0.25">
      <c r="C229" s="78"/>
      <c r="D229" s="173"/>
      <c r="E229" s="80"/>
      <c r="F229" s="143" t="s">
        <v>52</v>
      </c>
      <c r="G229" s="75"/>
      <c r="H229" s="76"/>
      <c r="I229" s="76"/>
      <c r="J229" s="76"/>
      <c r="K229" s="76"/>
      <c r="L229" s="76"/>
      <c r="M229" s="76"/>
      <c r="N229" s="76"/>
      <c r="O229" s="128">
        <v>1188</v>
      </c>
      <c r="P229" s="128">
        <v>1576</v>
      </c>
      <c r="Q229" s="128">
        <v>987</v>
      </c>
      <c r="R229" s="76">
        <f t="shared" si="113"/>
        <v>3751</v>
      </c>
    </row>
    <row r="230" spans="3:22" ht="13.5" customHeight="1" x14ac:dyDescent="0.25">
      <c r="C230" s="78"/>
      <c r="D230" s="173"/>
      <c r="E230" s="83"/>
      <c r="F230" s="144" t="s">
        <v>53</v>
      </c>
      <c r="G230" s="116"/>
      <c r="H230" s="117"/>
      <c r="I230" s="117"/>
      <c r="J230" s="117"/>
      <c r="K230" s="117"/>
      <c r="L230" s="117"/>
      <c r="M230" s="117"/>
      <c r="N230" s="117"/>
      <c r="O230" s="128">
        <v>465</v>
      </c>
      <c r="P230" s="128">
        <v>544</v>
      </c>
      <c r="Q230" s="128">
        <v>319</v>
      </c>
      <c r="R230" s="117">
        <f t="shared" si="113"/>
        <v>1328</v>
      </c>
    </row>
    <row r="231" spans="3:22" ht="16.2" thickBot="1" x14ac:dyDescent="0.3">
      <c r="C231" s="78"/>
      <c r="D231" s="174"/>
      <c r="E231" s="84"/>
      <c r="F231" s="89" t="s">
        <v>54</v>
      </c>
      <c r="G231" s="112"/>
      <c r="H231" s="113"/>
      <c r="I231" s="113"/>
      <c r="J231" s="113"/>
      <c r="K231" s="113"/>
      <c r="L231" s="113"/>
      <c r="M231" s="113"/>
      <c r="N231" s="113"/>
      <c r="O231" s="128">
        <v>837</v>
      </c>
      <c r="P231" s="128">
        <v>961</v>
      </c>
      <c r="Q231" s="128">
        <v>534</v>
      </c>
      <c r="R231" s="113">
        <f t="shared" si="113"/>
        <v>2332</v>
      </c>
    </row>
    <row r="232" spans="3:22" ht="13.5" customHeight="1" x14ac:dyDescent="0.25">
      <c r="C232" s="78"/>
      <c r="D232" s="172" t="s">
        <v>64</v>
      </c>
      <c r="E232" s="85"/>
      <c r="F232" s="124" t="s">
        <v>51</v>
      </c>
      <c r="G232" s="110"/>
      <c r="H232" s="111"/>
      <c r="I232" s="111"/>
      <c r="J232" s="125">
        <v>713</v>
      </c>
      <c r="K232" s="125">
        <v>995</v>
      </c>
      <c r="L232" s="125">
        <v>629</v>
      </c>
      <c r="M232" s="125">
        <v>453</v>
      </c>
      <c r="N232" s="125"/>
      <c r="O232" s="125"/>
      <c r="P232" s="111"/>
      <c r="Q232" s="111"/>
      <c r="R232" s="111">
        <f t="shared" si="113"/>
        <v>2790</v>
      </c>
    </row>
    <row r="233" spans="3:22" ht="15.6" x14ac:dyDescent="0.25">
      <c r="C233" s="78"/>
      <c r="D233" s="173"/>
      <c r="E233" s="80"/>
      <c r="F233" s="143" t="s">
        <v>52</v>
      </c>
      <c r="G233" s="75"/>
      <c r="H233" s="76"/>
      <c r="I233" s="76"/>
      <c r="J233" s="128">
        <v>393</v>
      </c>
      <c r="K233" s="128">
        <v>964</v>
      </c>
      <c r="L233" s="128">
        <v>1062</v>
      </c>
      <c r="M233" s="128">
        <v>641</v>
      </c>
      <c r="N233" s="128"/>
      <c r="O233" s="128"/>
      <c r="P233" s="76"/>
      <c r="Q233" s="76"/>
      <c r="R233" s="76">
        <f t="shared" si="113"/>
        <v>3060</v>
      </c>
    </row>
    <row r="234" spans="3:22" ht="13.5" customHeight="1" x14ac:dyDescent="0.25">
      <c r="C234" s="78"/>
      <c r="D234" s="173"/>
      <c r="E234" s="83"/>
      <c r="F234" s="144" t="s">
        <v>53</v>
      </c>
      <c r="G234" s="116"/>
      <c r="H234" s="117"/>
      <c r="I234" s="117"/>
      <c r="J234" s="128">
        <v>202</v>
      </c>
      <c r="K234" s="128">
        <v>428</v>
      </c>
      <c r="L234" s="128">
        <v>272</v>
      </c>
      <c r="M234" s="128">
        <v>142</v>
      </c>
      <c r="N234" s="128"/>
      <c r="O234" s="128"/>
      <c r="P234" s="117"/>
      <c r="Q234" s="117"/>
      <c r="R234" s="117">
        <f t="shared" si="113"/>
        <v>1044</v>
      </c>
    </row>
    <row r="235" spans="3:22" ht="16.2" thickBot="1" x14ac:dyDescent="0.3">
      <c r="C235" s="78"/>
      <c r="D235" s="174"/>
      <c r="E235" s="84"/>
      <c r="F235" s="108" t="s">
        <v>54</v>
      </c>
      <c r="G235" s="112"/>
      <c r="H235" s="113"/>
      <c r="I235" s="113"/>
      <c r="J235" s="126">
        <v>251</v>
      </c>
      <c r="K235" s="126">
        <v>580</v>
      </c>
      <c r="L235" s="126">
        <v>576</v>
      </c>
      <c r="M235" s="126">
        <v>253</v>
      </c>
      <c r="N235" s="126"/>
      <c r="O235" s="126"/>
      <c r="P235" s="113"/>
      <c r="Q235" s="113"/>
      <c r="R235" s="113">
        <f t="shared" si="113"/>
        <v>1660</v>
      </c>
      <c r="T235" s="137">
        <f>SUM(G224:Q235)</f>
        <v>62071</v>
      </c>
    </row>
    <row r="236" spans="3:22" ht="15" thickBot="1" x14ac:dyDescent="0.3">
      <c r="C236" s="78"/>
      <c r="D236" s="118"/>
      <c r="E236" s="119"/>
      <c r="F236" s="120" t="s">
        <v>46</v>
      </c>
      <c r="G236" s="121"/>
      <c r="H236" s="122">
        <f>SUM(H224:H235)</f>
        <v>1164</v>
      </c>
      <c r="I236" s="122">
        <f t="shared" ref="I236:Q236" si="114">SUM(I224:I235)</f>
        <v>3055</v>
      </c>
      <c r="J236" s="122">
        <f t="shared" si="114"/>
        <v>8115</v>
      </c>
      <c r="K236" s="122">
        <f t="shared" si="114"/>
        <v>9429</v>
      </c>
      <c r="L236" s="122">
        <f t="shared" si="114"/>
        <v>12750</v>
      </c>
      <c r="M236" s="122">
        <f t="shared" si="114"/>
        <v>11214</v>
      </c>
      <c r="N236" s="122">
        <f t="shared" si="114"/>
        <v>3577</v>
      </c>
      <c r="O236" s="122">
        <f t="shared" si="114"/>
        <v>3985</v>
      </c>
      <c r="P236" s="122">
        <f t="shared" si="114"/>
        <v>5362</v>
      </c>
      <c r="Q236" s="122">
        <f t="shared" si="114"/>
        <v>3420</v>
      </c>
      <c r="R236" s="122">
        <f t="shared" si="113"/>
        <v>62071</v>
      </c>
    </row>
    <row r="237" spans="3:22" ht="15.6" x14ac:dyDescent="0.25">
      <c r="C237" s="78" t="s">
        <v>45</v>
      </c>
      <c r="D237" s="80"/>
      <c r="E237" s="74"/>
      <c r="F237" s="80"/>
      <c r="G237" s="75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53"/>
      <c r="V237" s="26"/>
    </row>
    <row r="238" spans="3:22" ht="16.2" thickBot="1" x14ac:dyDescent="0.3">
      <c r="C238" s="78"/>
      <c r="D238" s="80"/>
      <c r="E238" s="74"/>
      <c r="F238" s="80"/>
      <c r="G238" s="75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53"/>
      <c r="V238" s="26"/>
    </row>
    <row r="239" spans="3:22" ht="13.5" customHeight="1" x14ac:dyDescent="0.25">
      <c r="C239" s="78"/>
      <c r="D239" s="192" t="s">
        <v>62</v>
      </c>
      <c r="E239" s="85"/>
      <c r="F239" s="124" t="s">
        <v>51</v>
      </c>
      <c r="G239" s="110"/>
      <c r="H239" s="111">
        <f>H224-H210</f>
        <v>0</v>
      </c>
      <c r="I239" s="111">
        <f t="shared" ref="I239:Q239" si="115">I224-I210</f>
        <v>0</v>
      </c>
      <c r="J239" s="111">
        <f t="shared" si="115"/>
        <v>0</v>
      </c>
      <c r="K239" s="111">
        <f t="shared" si="115"/>
        <v>0</v>
      </c>
      <c r="L239" s="111">
        <f t="shared" si="115"/>
        <v>0</v>
      </c>
      <c r="M239" s="111">
        <f t="shared" si="115"/>
        <v>0</v>
      </c>
      <c r="N239" s="111">
        <f t="shared" si="115"/>
        <v>0</v>
      </c>
      <c r="O239" s="111">
        <f t="shared" si="115"/>
        <v>0</v>
      </c>
      <c r="P239" s="111">
        <f t="shared" si="115"/>
        <v>0</v>
      </c>
      <c r="Q239" s="111">
        <f t="shared" si="115"/>
        <v>0</v>
      </c>
      <c r="R239" s="111">
        <f t="shared" ref="R239:R251" si="116">SUM(H239:Q239)</f>
        <v>0</v>
      </c>
    </row>
    <row r="240" spans="3:22" ht="15.6" x14ac:dyDescent="0.25">
      <c r="C240" s="78"/>
      <c r="D240" s="193"/>
      <c r="E240" s="83"/>
      <c r="F240" s="144" t="s">
        <v>52</v>
      </c>
      <c r="G240" s="116"/>
      <c r="H240" s="117">
        <f t="shared" ref="H240:Q250" si="117">H225-H211</f>
        <v>0</v>
      </c>
      <c r="I240" s="117">
        <f t="shared" si="117"/>
        <v>0</v>
      </c>
      <c r="J240" s="117">
        <f t="shared" si="117"/>
        <v>0</v>
      </c>
      <c r="K240" s="117">
        <f t="shared" si="117"/>
        <v>0</v>
      </c>
      <c r="L240" s="117">
        <f t="shared" si="117"/>
        <v>0</v>
      </c>
      <c r="M240" s="117">
        <f t="shared" si="117"/>
        <v>0</v>
      </c>
      <c r="N240" s="117">
        <f t="shared" si="117"/>
        <v>0</v>
      </c>
      <c r="O240" s="117">
        <f t="shared" si="117"/>
        <v>0</v>
      </c>
      <c r="P240" s="117">
        <f t="shared" si="117"/>
        <v>0</v>
      </c>
      <c r="Q240" s="117">
        <f t="shared" si="117"/>
        <v>0</v>
      </c>
      <c r="R240" s="117">
        <f t="shared" si="116"/>
        <v>0</v>
      </c>
    </row>
    <row r="241" spans="3:22" ht="13.5" customHeight="1" x14ac:dyDescent="0.25">
      <c r="C241" s="78"/>
      <c r="D241" s="193"/>
      <c r="E241" s="83"/>
      <c r="F241" s="144" t="s">
        <v>53</v>
      </c>
      <c r="G241" s="116"/>
      <c r="H241" s="117">
        <f t="shared" si="117"/>
        <v>0</v>
      </c>
      <c r="I241" s="117">
        <f t="shared" si="117"/>
        <v>0</v>
      </c>
      <c r="J241" s="117">
        <f t="shared" si="117"/>
        <v>0</v>
      </c>
      <c r="K241" s="117">
        <f t="shared" si="117"/>
        <v>0</v>
      </c>
      <c r="L241" s="117">
        <f t="shared" si="117"/>
        <v>0</v>
      </c>
      <c r="M241" s="117">
        <f t="shared" si="117"/>
        <v>0</v>
      </c>
      <c r="N241" s="117">
        <f t="shared" si="117"/>
        <v>0</v>
      </c>
      <c r="O241" s="117">
        <f t="shared" si="117"/>
        <v>0</v>
      </c>
      <c r="P241" s="117">
        <f t="shared" si="117"/>
        <v>0</v>
      </c>
      <c r="Q241" s="117">
        <f t="shared" si="117"/>
        <v>0</v>
      </c>
      <c r="R241" s="117">
        <f t="shared" si="116"/>
        <v>0</v>
      </c>
    </row>
    <row r="242" spans="3:22" ht="16.2" thickBot="1" x14ac:dyDescent="0.3">
      <c r="C242" s="78"/>
      <c r="D242" s="194"/>
      <c r="E242" s="84"/>
      <c r="F242" s="108" t="s">
        <v>54</v>
      </c>
      <c r="G242" s="112"/>
      <c r="H242" s="113">
        <f t="shared" si="117"/>
        <v>0</v>
      </c>
      <c r="I242" s="113">
        <f t="shared" si="117"/>
        <v>0</v>
      </c>
      <c r="J242" s="113">
        <f t="shared" si="117"/>
        <v>0</v>
      </c>
      <c r="K242" s="113">
        <f t="shared" si="117"/>
        <v>0</v>
      </c>
      <c r="L242" s="113">
        <f t="shared" si="117"/>
        <v>0</v>
      </c>
      <c r="M242" s="113">
        <f t="shared" si="117"/>
        <v>0</v>
      </c>
      <c r="N242" s="113">
        <f t="shared" si="117"/>
        <v>0</v>
      </c>
      <c r="O242" s="113">
        <f t="shared" si="117"/>
        <v>0</v>
      </c>
      <c r="P242" s="113">
        <f t="shared" si="117"/>
        <v>0</v>
      </c>
      <c r="Q242" s="113">
        <f t="shared" si="117"/>
        <v>0</v>
      </c>
      <c r="R242" s="113">
        <f t="shared" si="116"/>
        <v>0</v>
      </c>
    </row>
    <row r="243" spans="3:22" ht="13.5" customHeight="1" x14ac:dyDescent="0.25">
      <c r="C243" s="78"/>
      <c r="D243" s="195" t="s">
        <v>63</v>
      </c>
      <c r="E243" s="82"/>
      <c r="F243" s="123" t="s">
        <v>51</v>
      </c>
      <c r="G243" s="114"/>
      <c r="H243" s="115">
        <f t="shared" si="117"/>
        <v>0</v>
      </c>
      <c r="I243" s="115">
        <f t="shared" si="117"/>
        <v>0</v>
      </c>
      <c r="J243" s="115">
        <f t="shared" si="117"/>
        <v>0</v>
      </c>
      <c r="K243" s="115">
        <f t="shared" si="117"/>
        <v>0</v>
      </c>
      <c r="L243" s="115">
        <f t="shared" si="117"/>
        <v>0</v>
      </c>
      <c r="M243" s="115">
        <f t="shared" si="117"/>
        <v>0</v>
      </c>
      <c r="N243" s="115">
        <f t="shared" si="117"/>
        <v>0</v>
      </c>
      <c r="O243" s="115">
        <f t="shared" si="117"/>
        <v>0</v>
      </c>
      <c r="P243" s="115">
        <f t="shared" si="117"/>
        <v>0</v>
      </c>
      <c r="Q243" s="115">
        <f t="shared" si="117"/>
        <v>0</v>
      </c>
      <c r="R243" s="115">
        <f t="shared" si="116"/>
        <v>0</v>
      </c>
    </row>
    <row r="244" spans="3:22" ht="15.6" x14ac:dyDescent="0.25">
      <c r="C244" s="78"/>
      <c r="D244" s="193"/>
      <c r="E244" s="83"/>
      <c r="F244" s="144" t="s">
        <v>52</v>
      </c>
      <c r="G244" s="116"/>
      <c r="H244" s="117">
        <f t="shared" si="117"/>
        <v>0</v>
      </c>
      <c r="I244" s="117">
        <f t="shared" si="117"/>
        <v>0</v>
      </c>
      <c r="J244" s="117">
        <f t="shared" si="117"/>
        <v>0</v>
      </c>
      <c r="K244" s="117">
        <f t="shared" si="117"/>
        <v>0</v>
      </c>
      <c r="L244" s="117">
        <f t="shared" si="117"/>
        <v>0</v>
      </c>
      <c r="M244" s="117">
        <f t="shared" si="117"/>
        <v>0</v>
      </c>
      <c r="N244" s="117">
        <f t="shared" si="117"/>
        <v>0</v>
      </c>
      <c r="O244" s="117">
        <f t="shared" si="117"/>
        <v>0</v>
      </c>
      <c r="P244" s="117">
        <f t="shared" si="117"/>
        <v>0</v>
      </c>
      <c r="Q244" s="117">
        <f t="shared" si="117"/>
        <v>0</v>
      </c>
      <c r="R244" s="117">
        <f t="shared" si="116"/>
        <v>0</v>
      </c>
    </row>
    <row r="245" spans="3:22" ht="13.5" customHeight="1" x14ac:dyDescent="0.25">
      <c r="C245" s="78"/>
      <c r="D245" s="193"/>
      <c r="E245" s="83"/>
      <c r="F245" s="144" t="s">
        <v>53</v>
      </c>
      <c r="G245" s="116"/>
      <c r="H245" s="117">
        <f t="shared" si="117"/>
        <v>0</v>
      </c>
      <c r="I245" s="117">
        <f t="shared" si="117"/>
        <v>0</v>
      </c>
      <c r="J245" s="117">
        <f t="shared" si="117"/>
        <v>0</v>
      </c>
      <c r="K245" s="117">
        <f t="shared" si="117"/>
        <v>0</v>
      </c>
      <c r="L245" s="117">
        <f t="shared" si="117"/>
        <v>0</v>
      </c>
      <c r="M245" s="117">
        <f t="shared" si="117"/>
        <v>0</v>
      </c>
      <c r="N245" s="117">
        <f t="shared" si="117"/>
        <v>0</v>
      </c>
      <c r="O245" s="117">
        <f t="shared" si="117"/>
        <v>0</v>
      </c>
      <c r="P245" s="117">
        <f t="shared" si="117"/>
        <v>0</v>
      </c>
      <c r="Q245" s="117">
        <f t="shared" si="117"/>
        <v>0</v>
      </c>
      <c r="R245" s="117">
        <f t="shared" si="116"/>
        <v>0</v>
      </c>
    </row>
    <row r="246" spans="3:22" ht="16.2" thickBot="1" x14ac:dyDescent="0.3">
      <c r="C246" s="78"/>
      <c r="D246" s="196"/>
      <c r="E246" s="80"/>
      <c r="F246" s="130" t="s">
        <v>54</v>
      </c>
      <c r="G246" s="75"/>
      <c r="H246" s="76">
        <f t="shared" si="117"/>
        <v>0</v>
      </c>
      <c r="I246" s="76">
        <f t="shared" si="117"/>
        <v>0</v>
      </c>
      <c r="J246" s="76">
        <f t="shared" si="117"/>
        <v>0</v>
      </c>
      <c r="K246" s="76">
        <f t="shared" si="117"/>
        <v>0</v>
      </c>
      <c r="L246" s="76">
        <f t="shared" si="117"/>
        <v>0</v>
      </c>
      <c r="M246" s="76">
        <f t="shared" si="117"/>
        <v>0</v>
      </c>
      <c r="N246" s="76">
        <f t="shared" si="117"/>
        <v>0</v>
      </c>
      <c r="O246" s="76">
        <f t="shared" si="117"/>
        <v>0</v>
      </c>
      <c r="P246" s="76">
        <f t="shared" si="117"/>
        <v>0</v>
      </c>
      <c r="Q246" s="76">
        <f t="shared" si="117"/>
        <v>0</v>
      </c>
      <c r="R246" s="76">
        <f t="shared" si="116"/>
        <v>0</v>
      </c>
    </row>
    <row r="247" spans="3:22" ht="13.5" customHeight="1" x14ac:dyDescent="0.25">
      <c r="C247" s="78"/>
      <c r="D247" s="192" t="s">
        <v>64</v>
      </c>
      <c r="E247" s="85"/>
      <c r="F247" s="124" t="s">
        <v>51</v>
      </c>
      <c r="G247" s="110"/>
      <c r="H247" s="111">
        <f t="shared" si="117"/>
        <v>0</v>
      </c>
      <c r="I247" s="111">
        <f t="shared" si="117"/>
        <v>0</v>
      </c>
      <c r="J247" s="111">
        <f t="shared" si="117"/>
        <v>0</v>
      </c>
      <c r="K247" s="111">
        <f t="shared" si="117"/>
        <v>0</v>
      </c>
      <c r="L247" s="111">
        <f t="shared" si="117"/>
        <v>0</v>
      </c>
      <c r="M247" s="111">
        <f t="shared" si="117"/>
        <v>0</v>
      </c>
      <c r="N247" s="111">
        <f t="shared" si="117"/>
        <v>0</v>
      </c>
      <c r="O247" s="111">
        <f t="shared" si="117"/>
        <v>0</v>
      </c>
      <c r="P247" s="111">
        <f t="shared" si="117"/>
        <v>0</v>
      </c>
      <c r="Q247" s="111">
        <f t="shared" si="117"/>
        <v>0</v>
      </c>
      <c r="R247" s="111">
        <f t="shared" si="116"/>
        <v>0</v>
      </c>
    </row>
    <row r="248" spans="3:22" ht="15.6" x14ac:dyDescent="0.25">
      <c r="C248" s="78"/>
      <c r="D248" s="193"/>
      <c r="E248" s="83"/>
      <c r="F248" s="144" t="s">
        <v>52</v>
      </c>
      <c r="G248" s="116"/>
      <c r="H248" s="117">
        <f t="shared" si="117"/>
        <v>0</v>
      </c>
      <c r="I248" s="117">
        <f t="shared" si="117"/>
        <v>0</v>
      </c>
      <c r="J248" s="117">
        <f t="shared" si="117"/>
        <v>0</v>
      </c>
      <c r="K248" s="117">
        <f t="shared" si="117"/>
        <v>0</v>
      </c>
      <c r="L248" s="117">
        <f t="shared" si="117"/>
        <v>0</v>
      </c>
      <c r="M248" s="117">
        <f t="shared" si="117"/>
        <v>0</v>
      </c>
      <c r="N248" s="117">
        <f t="shared" si="117"/>
        <v>0</v>
      </c>
      <c r="O248" s="117">
        <f t="shared" si="117"/>
        <v>0</v>
      </c>
      <c r="P248" s="117">
        <f t="shared" si="117"/>
        <v>0</v>
      </c>
      <c r="Q248" s="117">
        <f t="shared" si="117"/>
        <v>0</v>
      </c>
      <c r="R248" s="117">
        <f t="shared" si="116"/>
        <v>0</v>
      </c>
    </row>
    <row r="249" spans="3:22" ht="13.5" customHeight="1" x14ac:dyDescent="0.25">
      <c r="C249" s="78"/>
      <c r="D249" s="193"/>
      <c r="E249" s="83"/>
      <c r="F249" s="144" t="s">
        <v>53</v>
      </c>
      <c r="G249" s="116"/>
      <c r="H249" s="117">
        <f t="shared" si="117"/>
        <v>0</v>
      </c>
      <c r="I249" s="117">
        <f t="shared" si="117"/>
        <v>0</v>
      </c>
      <c r="J249" s="117">
        <f t="shared" si="117"/>
        <v>0</v>
      </c>
      <c r="K249" s="117">
        <f t="shared" si="117"/>
        <v>0</v>
      </c>
      <c r="L249" s="117">
        <f t="shared" si="117"/>
        <v>0</v>
      </c>
      <c r="M249" s="117">
        <f t="shared" si="117"/>
        <v>0</v>
      </c>
      <c r="N249" s="117">
        <f t="shared" si="117"/>
        <v>0</v>
      </c>
      <c r="O249" s="117">
        <f t="shared" si="117"/>
        <v>0</v>
      </c>
      <c r="P249" s="117">
        <f t="shared" si="117"/>
        <v>0</v>
      </c>
      <c r="Q249" s="117">
        <f t="shared" si="117"/>
        <v>0</v>
      </c>
      <c r="R249" s="117">
        <f t="shared" si="116"/>
        <v>0</v>
      </c>
    </row>
    <row r="250" spans="3:22" ht="16.2" thickBot="1" x14ac:dyDescent="0.3">
      <c r="C250" s="78"/>
      <c r="D250" s="194"/>
      <c r="E250" s="84"/>
      <c r="F250" s="108" t="s">
        <v>54</v>
      </c>
      <c r="G250" s="112"/>
      <c r="H250" s="113">
        <f t="shared" si="117"/>
        <v>0</v>
      </c>
      <c r="I250" s="113">
        <f t="shared" si="117"/>
        <v>0</v>
      </c>
      <c r="J250" s="113">
        <f t="shared" si="117"/>
        <v>0</v>
      </c>
      <c r="K250" s="113">
        <f t="shared" si="117"/>
        <v>0</v>
      </c>
      <c r="L250" s="113">
        <f t="shared" si="117"/>
        <v>0</v>
      </c>
      <c r="M250" s="113">
        <f t="shared" si="117"/>
        <v>0</v>
      </c>
      <c r="N250" s="113">
        <f t="shared" si="117"/>
        <v>0</v>
      </c>
      <c r="O250" s="113">
        <f t="shared" si="117"/>
        <v>0</v>
      </c>
      <c r="P250" s="113">
        <f t="shared" si="117"/>
        <v>0</v>
      </c>
      <c r="Q250" s="113">
        <f t="shared" si="117"/>
        <v>0</v>
      </c>
      <c r="R250" s="113">
        <f t="shared" si="116"/>
        <v>0</v>
      </c>
      <c r="T250" s="137">
        <f>SUM(G239:Q250)</f>
        <v>0</v>
      </c>
    </row>
    <row r="251" spans="3:22" x14ac:dyDescent="0.25">
      <c r="C251" s="78"/>
      <c r="D251" s="129"/>
      <c r="E251" s="82"/>
      <c r="F251" s="152" t="s">
        <v>46</v>
      </c>
      <c r="G251" s="114"/>
      <c r="H251" s="115">
        <f>SUM(H239:H250)</f>
        <v>0</v>
      </c>
      <c r="I251" s="115">
        <f t="shared" ref="I251:Q251" si="118">SUM(I239:I250)</f>
        <v>0</v>
      </c>
      <c r="J251" s="115">
        <f t="shared" si="118"/>
        <v>0</v>
      </c>
      <c r="K251" s="115">
        <f t="shared" si="118"/>
        <v>0</v>
      </c>
      <c r="L251" s="115">
        <f t="shared" si="118"/>
        <v>0</v>
      </c>
      <c r="M251" s="115">
        <f t="shared" si="118"/>
        <v>0</v>
      </c>
      <c r="N251" s="115">
        <f t="shared" si="118"/>
        <v>0</v>
      </c>
      <c r="O251" s="115">
        <f t="shared" si="118"/>
        <v>0</v>
      </c>
      <c r="P251" s="115">
        <f t="shared" si="118"/>
        <v>0</v>
      </c>
      <c r="Q251" s="115">
        <f t="shared" si="118"/>
        <v>0</v>
      </c>
      <c r="R251" s="115">
        <f t="shared" si="116"/>
        <v>0</v>
      </c>
    </row>
    <row r="252" spans="3:22" ht="16.2" thickBot="1" x14ac:dyDescent="0.3">
      <c r="C252" s="190" t="s">
        <v>37</v>
      </c>
      <c r="D252" s="190"/>
      <c r="E252" s="191"/>
      <c r="F252" s="81"/>
      <c r="G252" s="86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53"/>
      <c r="V252" s="26"/>
    </row>
    <row r="253" spans="3:22" ht="13.5" customHeight="1" x14ac:dyDescent="0.25">
      <c r="C253" s="153"/>
      <c r="D253" s="172" t="s">
        <v>62</v>
      </c>
      <c r="E253" s="85"/>
      <c r="F253" s="124" t="s">
        <v>51</v>
      </c>
      <c r="G253" s="110"/>
      <c r="H253" s="135">
        <f>H210*1.05</f>
        <v>206.85000000000002</v>
      </c>
      <c r="I253" s="135">
        <f t="shared" ref="I253:Q253" si="119">I210*1.05</f>
        <v>645.75</v>
      </c>
      <c r="J253" s="135">
        <f t="shared" si="119"/>
        <v>2317.35</v>
      </c>
      <c r="K253" s="135">
        <f t="shared" si="119"/>
        <v>2322.6</v>
      </c>
      <c r="L253" s="135">
        <f t="shared" si="119"/>
        <v>4260.9000000000005</v>
      </c>
      <c r="M253" s="135">
        <f t="shared" si="119"/>
        <v>4496.1000000000004</v>
      </c>
      <c r="N253" s="135">
        <f t="shared" si="119"/>
        <v>1948.8000000000002</v>
      </c>
      <c r="O253" s="135">
        <f t="shared" si="119"/>
        <v>0</v>
      </c>
      <c r="P253" s="135">
        <f t="shared" si="119"/>
        <v>0</v>
      </c>
      <c r="Q253" s="135">
        <f t="shared" si="119"/>
        <v>0</v>
      </c>
      <c r="R253" s="111">
        <f t="shared" ref="R253:R264" si="120">SUM(H253:Q253)</f>
        <v>16198.350000000002</v>
      </c>
    </row>
    <row r="254" spans="3:22" ht="15.6" x14ac:dyDescent="0.25">
      <c r="C254" s="153"/>
      <c r="D254" s="173"/>
      <c r="E254" s="80"/>
      <c r="F254" s="143" t="s">
        <v>52</v>
      </c>
      <c r="G254" s="75"/>
      <c r="H254" s="117">
        <f t="shared" ref="H254:Q264" si="121">H211*1.05</f>
        <v>543.9</v>
      </c>
      <c r="I254" s="117">
        <f t="shared" si="121"/>
        <v>1140.3</v>
      </c>
      <c r="J254" s="117">
        <f t="shared" si="121"/>
        <v>1979.25</v>
      </c>
      <c r="K254" s="117">
        <f t="shared" si="121"/>
        <v>1947.75</v>
      </c>
      <c r="L254" s="117">
        <f t="shared" si="121"/>
        <v>3024</v>
      </c>
      <c r="M254" s="117">
        <f t="shared" si="121"/>
        <v>3299.1000000000004</v>
      </c>
      <c r="N254" s="117">
        <f t="shared" si="121"/>
        <v>1117.2</v>
      </c>
      <c r="O254" s="117">
        <f t="shared" si="121"/>
        <v>0</v>
      </c>
      <c r="P254" s="117">
        <f t="shared" si="121"/>
        <v>0</v>
      </c>
      <c r="Q254" s="117">
        <f t="shared" si="121"/>
        <v>0</v>
      </c>
      <c r="R254" s="76">
        <f t="shared" si="120"/>
        <v>13051.500000000002</v>
      </c>
    </row>
    <row r="255" spans="3:22" ht="13.5" customHeight="1" x14ac:dyDescent="0.25">
      <c r="C255" s="153"/>
      <c r="D255" s="173"/>
      <c r="E255" s="83"/>
      <c r="F255" s="144" t="s">
        <v>53</v>
      </c>
      <c r="G255" s="116"/>
      <c r="H255" s="117">
        <f t="shared" si="121"/>
        <v>112.35000000000001</v>
      </c>
      <c r="I255" s="117">
        <f t="shared" si="121"/>
        <v>511.35</v>
      </c>
      <c r="J255" s="117">
        <f t="shared" si="121"/>
        <v>947.1</v>
      </c>
      <c r="K255" s="117">
        <f t="shared" si="121"/>
        <v>927.15000000000009</v>
      </c>
      <c r="L255" s="117">
        <f t="shared" si="121"/>
        <v>1243.2</v>
      </c>
      <c r="M255" s="117">
        <f t="shared" si="121"/>
        <v>880.95</v>
      </c>
      <c r="N255" s="117">
        <f t="shared" si="121"/>
        <v>280.35000000000002</v>
      </c>
      <c r="O255" s="117">
        <f t="shared" si="121"/>
        <v>0</v>
      </c>
      <c r="P255" s="117">
        <f t="shared" si="121"/>
        <v>0</v>
      </c>
      <c r="Q255" s="117">
        <f t="shared" si="121"/>
        <v>0</v>
      </c>
      <c r="R255" s="117">
        <f t="shared" si="120"/>
        <v>4902.4500000000007</v>
      </c>
    </row>
    <row r="256" spans="3:22" ht="16.2" thickBot="1" x14ac:dyDescent="0.3">
      <c r="C256" s="153"/>
      <c r="D256" s="173"/>
      <c r="E256" s="80"/>
      <c r="F256" s="130" t="s">
        <v>54</v>
      </c>
      <c r="G256" s="75"/>
      <c r="H256" s="76">
        <f t="shared" si="121"/>
        <v>359.1</v>
      </c>
      <c r="I256" s="76">
        <f t="shared" si="121"/>
        <v>910.35</v>
      </c>
      <c r="J256" s="76">
        <f t="shared" si="121"/>
        <v>1640.1000000000001</v>
      </c>
      <c r="K256" s="76">
        <f t="shared" si="121"/>
        <v>1587.6000000000001</v>
      </c>
      <c r="L256" s="76">
        <f t="shared" si="121"/>
        <v>2193.4500000000003</v>
      </c>
      <c r="M256" s="76">
        <f t="shared" si="121"/>
        <v>1535.1000000000001</v>
      </c>
      <c r="N256" s="76">
        <f t="shared" si="121"/>
        <v>409.5</v>
      </c>
      <c r="O256" s="76">
        <f t="shared" si="121"/>
        <v>0</v>
      </c>
      <c r="P256" s="76">
        <f t="shared" si="121"/>
        <v>0</v>
      </c>
      <c r="Q256" s="76">
        <f t="shared" si="121"/>
        <v>0</v>
      </c>
      <c r="R256" s="76">
        <f t="shared" si="120"/>
        <v>8635.2000000000007</v>
      </c>
    </row>
    <row r="257" spans="3:22" ht="13.5" customHeight="1" x14ac:dyDescent="0.25">
      <c r="C257" s="153"/>
      <c r="D257" s="172" t="s">
        <v>63</v>
      </c>
      <c r="E257" s="85"/>
      <c r="F257" s="124" t="s">
        <v>51</v>
      </c>
      <c r="G257" s="110"/>
      <c r="H257" s="111">
        <f t="shared" si="121"/>
        <v>0</v>
      </c>
      <c r="I257" s="111">
        <f t="shared" si="121"/>
        <v>0</v>
      </c>
      <c r="J257" s="111">
        <f t="shared" si="121"/>
        <v>0</v>
      </c>
      <c r="K257" s="111">
        <f t="shared" si="121"/>
        <v>0</v>
      </c>
      <c r="L257" s="111">
        <f t="shared" si="121"/>
        <v>0</v>
      </c>
      <c r="M257" s="111">
        <f t="shared" si="121"/>
        <v>0</v>
      </c>
      <c r="N257" s="111">
        <f t="shared" si="121"/>
        <v>0</v>
      </c>
      <c r="O257" s="111">
        <f t="shared" si="121"/>
        <v>1569.75</v>
      </c>
      <c r="P257" s="111">
        <f t="shared" si="121"/>
        <v>2395.0500000000002</v>
      </c>
      <c r="Q257" s="111">
        <f t="shared" si="121"/>
        <v>1659</v>
      </c>
      <c r="R257" s="111">
        <f t="shared" si="120"/>
        <v>5623.8</v>
      </c>
    </row>
    <row r="258" spans="3:22" ht="15.6" x14ac:dyDescent="0.25">
      <c r="C258" s="153"/>
      <c r="D258" s="173"/>
      <c r="E258" s="80"/>
      <c r="F258" s="143" t="s">
        <v>52</v>
      </c>
      <c r="G258" s="75"/>
      <c r="H258" s="117">
        <f t="shared" si="121"/>
        <v>0</v>
      </c>
      <c r="I258" s="117">
        <f t="shared" si="121"/>
        <v>0</v>
      </c>
      <c r="J258" s="117">
        <f t="shared" si="121"/>
        <v>0</v>
      </c>
      <c r="K258" s="117">
        <f t="shared" si="121"/>
        <v>0</v>
      </c>
      <c r="L258" s="117">
        <f t="shared" si="121"/>
        <v>0</v>
      </c>
      <c r="M258" s="117">
        <f t="shared" si="121"/>
        <v>0</v>
      </c>
      <c r="N258" s="117">
        <f t="shared" si="121"/>
        <v>0</v>
      </c>
      <c r="O258" s="117">
        <f t="shared" si="121"/>
        <v>1247.4000000000001</v>
      </c>
      <c r="P258" s="117">
        <f t="shared" si="121"/>
        <v>1654.8000000000002</v>
      </c>
      <c r="Q258" s="117">
        <f t="shared" si="121"/>
        <v>1036.3500000000001</v>
      </c>
      <c r="R258" s="76">
        <f t="shared" si="120"/>
        <v>3938.55</v>
      </c>
    </row>
    <row r="259" spans="3:22" ht="13.5" customHeight="1" x14ac:dyDescent="0.25">
      <c r="C259" s="153"/>
      <c r="D259" s="173"/>
      <c r="E259" s="83"/>
      <c r="F259" s="144" t="s">
        <v>53</v>
      </c>
      <c r="G259" s="116"/>
      <c r="H259" s="117">
        <f t="shared" si="121"/>
        <v>0</v>
      </c>
      <c r="I259" s="117">
        <f t="shared" si="121"/>
        <v>0</v>
      </c>
      <c r="J259" s="117">
        <f t="shared" si="121"/>
        <v>0</v>
      </c>
      <c r="K259" s="117">
        <f t="shared" si="121"/>
        <v>0</v>
      </c>
      <c r="L259" s="117">
        <f t="shared" si="121"/>
        <v>0</v>
      </c>
      <c r="M259" s="117">
        <f t="shared" si="121"/>
        <v>0</v>
      </c>
      <c r="N259" s="117">
        <f t="shared" si="121"/>
        <v>0</v>
      </c>
      <c r="O259" s="117">
        <f t="shared" si="121"/>
        <v>488.25</v>
      </c>
      <c r="P259" s="117">
        <f t="shared" si="121"/>
        <v>571.20000000000005</v>
      </c>
      <c r="Q259" s="117">
        <f t="shared" si="121"/>
        <v>334.95</v>
      </c>
      <c r="R259" s="117">
        <f t="shared" si="120"/>
        <v>1394.4</v>
      </c>
    </row>
    <row r="260" spans="3:22" ht="16.2" thickBot="1" x14ac:dyDescent="0.3">
      <c r="C260" s="153"/>
      <c r="D260" s="174"/>
      <c r="E260" s="84"/>
      <c r="F260" s="108" t="s">
        <v>54</v>
      </c>
      <c r="G260" s="112"/>
      <c r="H260" s="113">
        <f t="shared" si="121"/>
        <v>0</v>
      </c>
      <c r="I260" s="113">
        <f t="shared" si="121"/>
        <v>0</v>
      </c>
      <c r="J260" s="113">
        <f t="shared" si="121"/>
        <v>0</v>
      </c>
      <c r="K260" s="113">
        <f t="shared" si="121"/>
        <v>0</v>
      </c>
      <c r="L260" s="113">
        <f t="shared" si="121"/>
        <v>0</v>
      </c>
      <c r="M260" s="113">
        <f t="shared" si="121"/>
        <v>0</v>
      </c>
      <c r="N260" s="113">
        <f t="shared" si="121"/>
        <v>0</v>
      </c>
      <c r="O260" s="113">
        <f t="shared" si="121"/>
        <v>878.85</v>
      </c>
      <c r="P260" s="113">
        <f t="shared" si="121"/>
        <v>1009.0500000000001</v>
      </c>
      <c r="Q260" s="113">
        <f t="shared" si="121"/>
        <v>560.70000000000005</v>
      </c>
      <c r="R260" s="113">
        <f t="shared" si="120"/>
        <v>2448.6000000000004</v>
      </c>
    </row>
    <row r="261" spans="3:22" ht="13.5" customHeight="1" x14ac:dyDescent="0.25">
      <c r="C261" s="153"/>
      <c r="D261" s="173" t="s">
        <v>64</v>
      </c>
      <c r="E261" s="82"/>
      <c r="F261" s="123" t="s">
        <v>51</v>
      </c>
      <c r="G261" s="114"/>
      <c r="H261" s="115">
        <f t="shared" si="121"/>
        <v>0</v>
      </c>
      <c r="I261" s="115">
        <f t="shared" si="121"/>
        <v>0</v>
      </c>
      <c r="J261" s="115">
        <f t="shared" si="121"/>
        <v>748.65</v>
      </c>
      <c r="K261" s="115">
        <f t="shared" si="121"/>
        <v>1044.75</v>
      </c>
      <c r="L261" s="115">
        <f t="shared" si="121"/>
        <v>660.45</v>
      </c>
      <c r="M261" s="115">
        <f t="shared" si="121"/>
        <v>475.65000000000003</v>
      </c>
      <c r="N261" s="115">
        <f t="shared" si="121"/>
        <v>0</v>
      </c>
      <c r="O261" s="115">
        <f t="shared" si="121"/>
        <v>0</v>
      </c>
      <c r="P261" s="115">
        <f t="shared" si="121"/>
        <v>0</v>
      </c>
      <c r="Q261" s="115">
        <f t="shared" si="121"/>
        <v>0</v>
      </c>
      <c r="R261" s="115">
        <f t="shared" si="120"/>
        <v>2929.5000000000005</v>
      </c>
    </row>
    <row r="262" spans="3:22" ht="15.6" x14ac:dyDescent="0.25">
      <c r="C262" s="153"/>
      <c r="D262" s="173"/>
      <c r="E262" s="80"/>
      <c r="F262" s="143" t="s">
        <v>52</v>
      </c>
      <c r="G262" s="75"/>
      <c r="H262" s="117">
        <f t="shared" si="121"/>
        <v>0</v>
      </c>
      <c r="I262" s="117">
        <f t="shared" si="121"/>
        <v>0</v>
      </c>
      <c r="J262" s="117">
        <f t="shared" si="121"/>
        <v>412.65000000000003</v>
      </c>
      <c r="K262" s="117">
        <f t="shared" si="121"/>
        <v>1012.2</v>
      </c>
      <c r="L262" s="117">
        <f t="shared" si="121"/>
        <v>1115.1000000000001</v>
      </c>
      <c r="M262" s="117">
        <f t="shared" si="121"/>
        <v>673.05000000000007</v>
      </c>
      <c r="N262" s="117">
        <f t="shared" si="121"/>
        <v>0</v>
      </c>
      <c r="O262" s="117">
        <f t="shared" si="121"/>
        <v>0</v>
      </c>
      <c r="P262" s="117">
        <f t="shared" si="121"/>
        <v>0</v>
      </c>
      <c r="Q262" s="117">
        <f t="shared" si="121"/>
        <v>0</v>
      </c>
      <c r="R262" s="76">
        <f t="shared" si="120"/>
        <v>3213.0000000000005</v>
      </c>
    </row>
    <row r="263" spans="3:22" ht="13.5" customHeight="1" x14ac:dyDescent="0.25">
      <c r="C263" s="153"/>
      <c r="D263" s="173"/>
      <c r="E263" s="83"/>
      <c r="F263" s="144" t="s">
        <v>53</v>
      </c>
      <c r="G263" s="116"/>
      <c r="H263" s="117">
        <f t="shared" si="121"/>
        <v>0</v>
      </c>
      <c r="I263" s="117">
        <f t="shared" si="121"/>
        <v>0</v>
      </c>
      <c r="J263" s="117">
        <f t="shared" si="121"/>
        <v>212.10000000000002</v>
      </c>
      <c r="K263" s="117">
        <f t="shared" si="121"/>
        <v>449.40000000000003</v>
      </c>
      <c r="L263" s="117">
        <f t="shared" si="121"/>
        <v>285.60000000000002</v>
      </c>
      <c r="M263" s="117">
        <f t="shared" si="121"/>
        <v>149.1</v>
      </c>
      <c r="N263" s="117">
        <f t="shared" si="121"/>
        <v>0</v>
      </c>
      <c r="O263" s="117">
        <f t="shared" si="121"/>
        <v>0</v>
      </c>
      <c r="P263" s="117">
        <f t="shared" si="121"/>
        <v>0</v>
      </c>
      <c r="Q263" s="117">
        <f t="shared" si="121"/>
        <v>0</v>
      </c>
      <c r="R263" s="117">
        <f t="shared" si="120"/>
        <v>1096.2</v>
      </c>
    </row>
    <row r="264" spans="3:22" ht="16.2" thickBot="1" x14ac:dyDescent="0.3">
      <c r="C264" s="153"/>
      <c r="D264" s="173"/>
      <c r="E264" s="80"/>
      <c r="F264" s="130" t="s">
        <v>54</v>
      </c>
      <c r="G264" s="75"/>
      <c r="H264" s="76">
        <f t="shared" si="121"/>
        <v>0</v>
      </c>
      <c r="I264" s="76">
        <f t="shared" si="121"/>
        <v>0</v>
      </c>
      <c r="J264" s="76">
        <f t="shared" si="121"/>
        <v>263.55</v>
      </c>
      <c r="K264" s="76">
        <f t="shared" si="121"/>
        <v>609</v>
      </c>
      <c r="L264" s="76">
        <f t="shared" si="121"/>
        <v>604.80000000000007</v>
      </c>
      <c r="M264" s="76">
        <f t="shared" si="121"/>
        <v>265.65000000000003</v>
      </c>
      <c r="N264" s="76">
        <f t="shared" si="121"/>
        <v>0</v>
      </c>
      <c r="O264" s="76">
        <f t="shared" si="121"/>
        <v>0</v>
      </c>
      <c r="P264" s="76">
        <f t="shared" si="121"/>
        <v>0</v>
      </c>
      <c r="Q264" s="76">
        <f t="shared" si="121"/>
        <v>0</v>
      </c>
      <c r="R264" s="76">
        <f t="shared" si="120"/>
        <v>1743</v>
      </c>
      <c r="T264" s="137">
        <f>SUM(G253:Q264)</f>
        <v>65174.549999999988</v>
      </c>
    </row>
    <row r="265" spans="3:22" ht="15" thickBot="1" x14ac:dyDescent="0.3">
      <c r="C265" s="153"/>
      <c r="D265" s="154"/>
      <c r="E265" s="131"/>
      <c r="F265" s="132" t="s">
        <v>46</v>
      </c>
      <c r="G265" s="133"/>
      <c r="H265" s="134">
        <f>SUM(H253:H264)</f>
        <v>1222.2</v>
      </c>
      <c r="I265" s="134">
        <f t="shared" ref="I265:Q265" si="122">SUM(I253:I264)</f>
        <v>3207.75</v>
      </c>
      <c r="J265" s="134">
        <f t="shared" si="122"/>
        <v>8520.75</v>
      </c>
      <c r="K265" s="134">
        <f t="shared" si="122"/>
        <v>9900.4500000000007</v>
      </c>
      <c r="L265" s="134">
        <f t="shared" si="122"/>
        <v>13387.500000000002</v>
      </c>
      <c r="M265" s="134">
        <f t="shared" si="122"/>
        <v>11774.7</v>
      </c>
      <c r="N265" s="134">
        <f t="shared" si="122"/>
        <v>3755.85</v>
      </c>
      <c r="O265" s="134">
        <f t="shared" si="122"/>
        <v>4184.25</v>
      </c>
      <c r="P265" s="134">
        <f t="shared" si="122"/>
        <v>5630.1</v>
      </c>
      <c r="Q265" s="134">
        <f t="shared" si="122"/>
        <v>3591</v>
      </c>
      <c r="R265" s="134">
        <f t="shared" ref="R265" si="123">SUM(H265:Q265)</f>
        <v>65174.55</v>
      </c>
    </row>
    <row r="266" spans="3:22" ht="15.6" x14ac:dyDescent="0.25">
      <c r="C266" s="82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V266" s="26"/>
    </row>
    <row r="267" spans="3:22" ht="15.6" x14ac:dyDescent="0.25">
      <c r="V267" s="26"/>
    </row>
  </sheetData>
  <mergeCells count="93">
    <mergeCell ref="G43:G54"/>
    <mergeCell ref="D47:D50"/>
    <mergeCell ref="D51:D54"/>
    <mergeCell ref="C124:C127"/>
    <mergeCell ref="D124:D127"/>
    <mergeCell ref="G124:G127"/>
    <mergeCell ref="D82:D85"/>
    <mergeCell ref="G82:G93"/>
    <mergeCell ref="D86:D89"/>
    <mergeCell ref="D90:D93"/>
    <mergeCell ref="C69:C80"/>
    <mergeCell ref="D69:D72"/>
    <mergeCell ref="G69:G80"/>
    <mergeCell ref="D73:D76"/>
    <mergeCell ref="D77:D80"/>
    <mergeCell ref="C108:C119"/>
    <mergeCell ref="C130:C133"/>
    <mergeCell ref="D130:D133"/>
    <mergeCell ref="G130:G133"/>
    <mergeCell ref="C136:C139"/>
    <mergeCell ref="D136:D139"/>
    <mergeCell ref="G136:G139"/>
    <mergeCell ref="C142:C145"/>
    <mergeCell ref="D142:D145"/>
    <mergeCell ref="G142:G145"/>
    <mergeCell ref="C148:C151"/>
    <mergeCell ref="D148:D151"/>
    <mergeCell ref="G148:G151"/>
    <mergeCell ref="C154:C157"/>
    <mergeCell ref="D154:D157"/>
    <mergeCell ref="G154:G157"/>
    <mergeCell ref="C160:C163"/>
    <mergeCell ref="D160:D163"/>
    <mergeCell ref="G160:G163"/>
    <mergeCell ref="C166:C169"/>
    <mergeCell ref="D166:D169"/>
    <mergeCell ref="G166:G169"/>
    <mergeCell ref="G173:G176"/>
    <mergeCell ref="C182:C222"/>
    <mergeCell ref="D182:D185"/>
    <mergeCell ref="D186:D189"/>
    <mergeCell ref="D190:D193"/>
    <mergeCell ref="D194:D197"/>
    <mergeCell ref="D198:D201"/>
    <mergeCell ref="D202:D205"/>
    <mergeCell ref="D214:D217"/>
    <mergeCell ref="D218:D221"/>
    <mergeCell ref="D224:D227"/>
    <mergeCell ref="D228:D231"/>
    <mergeCell ref="C173:C176"/>
    <mergeCell ref="D173:D176"/>
    <mergeCell ref="D257:D260"/>
    <mergeCell ref="D261:D264"/>
    <mergeCell ref="D4:D7"/>
    <mergeCell ref="D8:D11"/>
    <mergeCell ref="D12:D15"/>
    <mergeCell ref="D30:D33"/>
    <mergeCell ref="D34:D37"/>
    <mergeCell ref="D38:D41"/>
    <mergeCell ref="D232:D235"/>
    <mergeCell ref="D239:D242"/>
    <mergeCell ref="D243:D246"/>
    <mergeCell ref="D247:D250"/>
    <mergeCell ref="C252:E252"/>
    <mergeCell ref="D253:D256"/>
    <mergeCell ref="D206:D209"/>
    <mergeCell ref="D210:D213"/>
    <mergeCell ref="C82:C93"/>
    <mergeCell ref="G4:G15"/>
    <mergeCell ref="G30:G41"/>
    <mergeCell ref="C56:C67"/>
    <mergeCell ref="D56:D59"/>
    <mergeCell ref="G56:G67"/>
    <mergeCell ref="D60:D63"/>
    <mergeCell ref="D64:D67"/>
    <mergeCell ref="C4:C15"/>
    <mergeCell ref="C30:C41"/>
    <mergeCell ref="C17:C28"/>
    <mergeCell ref="D17:D20"/>
    <mergeCell ref="G17:G28"/>
    <mergeCell ref="D21:D24"/>
    <mergeCell ref="D25:D28"/>
    <mergeCell ref="C43:C54"/>
    <mergeCell ref="D43:D46"/>
    <mergeCell ref="D108:D111"/>
    <mergeCell ref="G108:G119"/>
    <mergeCell ref="D112:D115"/>
    <mergeCell ref="D116:D119"/>
    <mergeCell ref="C95:C106"/>
    <mergeCell ref="D95:D98"/>
    <mergeCell ref="G95:G106"/>
    <mergeCell ref="D99:D102"/>
    <mergeCell ref="D103:D106"/>
  </mergeCells>
  <phoneticPr fontId="2" type="noConversion"/>
  <pageMargins left="0.25" right="0.25" top="0.75" bottom="0.75" header="0.3" footer="0.3"/>
  <pageSetup paperSize="9" scale="41" fitToHeight="0" orientation="portrait" r:id="rId1"/>
  <headerFooter alignWithMargins="0"/>
  <rowBreaks count="1" manualBreakCount="1">
    <brk id="251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SS22</vt:lpstr>
      <vt:lpstr>SS22 (2)</vt:lpstr>
      <vt:lpstr>'SS22'!Print_Area</vt:lpstr>
      <vt:lpstr>'SS22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변재영</dc:creator>
  <cp:lastModifiedBy>amand</cp:lastModifiedBy>
  <cp:lastPrinted>2021-08-24T01:09:35Z</cp:lastPrinted>
  <dcterms:created xsi:type="dcterms:W3CDTF">2019-09-30T05:29:53Z</dcterms:created>
  <dcterms:modified xsi:type="dcterms:W3CDTF">2021-10-18T09:23:23Z</dcterms:modified>
</cp:coreProperties>
</file>