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HG Sales#1\3. LIFUNG\2. commit  PO\KIDS\PO\SS22\"/>
    </mc:Choice>
  </mc:AlternateContent>
  <xr:revisionPtr revIDLastSave="0" documentId="13_ncr:1_{9D2291C2-F92C-4298-9417-767146BA5797}" xr6:coauthVersionLast="47" xr6:coauthVersionMax="47" xr10:uidLastSave="{00000000-0000-0000-0000-000000000000}"/>
  <bookViews>
    <workbookView xWindow="22932" yWindow="-108" windowWidth="23256" windowHeight="12576" xr2:uid="{1161C41A-3B37-40CA-ABB7-CCB67799BEF3}"/>
  </bookViews>
  <sheets>
    <sheet name="SS22" sheetId="1" r:id="rId1"/>
  </sheets>
  <definedNames>
    <definedName name="_xlnm.Print_Area" localSheetId="0">'SS22'!$A$1:$X$1228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22" i="1" l="1"/>
  <c r="I722" i="1"/>
  <c r="J729" i="1"/>
  <c r="K729" i="1"/>
  <c r="L729" i="1"/>
  <c r="M729" i="1"/>
  <c r="N729" i="1"/>
  <c r="O729" i="1"/>
  <c r="I729" i="1"/>
  <c r="I730" i="1"/>
  <c r="J724" i="1"/>
  <c r="K724" i="1"/>
  <c r="L724" i="1"/>
  <c r="M724" i="1"/>
  <c r="N724" i="1"/>
  <c r="O724" i="1"/>
  <c r="I724" i="1"/>
  <c r="U324" i="1"/>
  <c r="J733" i="1" l="1"/>
  <c r="K733" i="1"/>
  <c r="L733" i="1"/>
  <c r="M733" i="1"/>
  <c r="N733" i="1"/>
  <c r="O733" i="1"/>
  <c r="P733" i="1"/>
  <c r="Q733" i="1"/>
  <c r="I733" i="1"/>
  <c r="J732" i="1"/>
  <c r="K732" i="1"/>
  <c r="L732" i="1"/>
  <c r="M732" i="1"/>
  <c r="N732" i="1"/>
  <c r="O732" i="1"/>
  <c r="I732" i="1"/>
  <c r="J731" i="1"/>
  <c r="K731" i="1"/>
  <c r="L731" i="1"/>
  <c r="M731" i="1"/>
  <c r="N731" i="1"/>
  <c r="O731" i="1"/>
  <c r="I731" i="1"/>
  <c r="J730" i="1"/>
  <c r="K730" i="1"/>
  <c r="L730" i="1"/>
  <c r="M730" i="1"/>
  <c r="N730" i="1"/>
  <c r="O730" i="1"/>
  <c r="J728" i="1"/>
  <c r="K728" i="1"/>
  <c r="L728" i="1"/>
  <c r="M728" i="1"/>
  <c r="N728" i="1"/>
  <c r="O728" i="1"/>
  <c r="I728" i="1"/>
  <c r="J727" i="1"/>
  <c r="K727" i="1"/>
  <c r="L727" i="1"/>
  <c r="M727" i="1"/>
  <c r="N727" i="1"/>
  <c r="O727" i="1"/>
  <c r="I727" i="1"/>
  <c r="J726" i="1"/>
  <c r="K726" i="1"/>
  <c r="L726" i="1"/>
  <c r="M726" i="1"/>
  <c r="N726" i="1"/>
  <c r="O726" i="1"/>
  <c r="I726" i="1"/>
  <c r="J725" i="1"/>
  <c r="K725" i="1"/>
  <c r="L725" i="1"/>
  <c r="M725" i="1"/>
  <c r="N725" i="1"/>
  <c r="O725" i="1"/>
  <c r="I725" i="1"/>
  <c r="J722" i="1"/>
  <c r="J723" i="1"/>
  <c r="K723" i="1"/>
  <c r="L723" i="1"/>
  <c r="M723" i="1"/>
  <c r="N723" i="1"/>
  <c r="O723" i="1"/>
  <c r="I723" i="1"/>
  <c r="J721" i="1"/>
  <c r="K721" i="1"/>
  <c r="L721" i="1"/>
  <c r="M721" i="1"/>
  <c r="N721" i="1"/>
  <c r="O721" i="1"/>
  <c r="I721" i="1"/>
  <c r="K722" i="1"/>
  <c r="L722" i="1"/>
  <c r="M722" i="1"/>
  <c r="N722" i="1"/>
  <c r="O722" i="1"/>
  <c r="U657" i="1"/>
  <c r="R670" i="1"/>
  <c r="Q670" i="1"/>
  <c r="P670" i="1"/>
  <c r="O670" i="1"/>
  <c r="N670" i="1"/>
  <c r="M670" i="1"/>
  <c r="L670" i="1"/>
  <c r="K670" i="1"/>
  <c r="J670" i="1"/>
  <c r="I670" i="1"/>
  <c r="S668" i="1"/>
  <c r="S667" i="1"/>
  <c r="S666" i="1"/>
  <c r="S665" i="1"/>
  <c r="S664" i="1"/>
  <c r="S662" i="1"/>
  <c r="S661" i="1"/>
  <c r="S660" i="1"/>
  <c r="S659" i="1"/>
  <c r="S658" i="1"/>
  <c r="S657" i="1"/>
  <c r="S656" i="1"/>
  <c r="N654" i="1"/>
  <c r="M654" i="1"/>
  <c r="L654" i="1"/>
  <c r="K654" i="1"/>
  <c r="S653" i="1"/>
  <c r="S652" i="1"/>
  <c r="S651" i="1"/>
  <c r="S650" i="1"/>
  <c r="S647" i="1"/>
  <c r="S646" i="1"/>
  <c r="S645" i="1"/>
  <c r="S643" i="1"/>
  <c r="S654" i="1" s="1"/>
  <c r="S642" i="1"/>
  <c r="R639" i="1"/>
  <c r="Q639" i="1"/>
  <c r="P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39" i="1" s="1"/>
  <c r="S625" i="1"/>
  <c r="S624" i="1"/>
  <c r="R622" i="1"/>
  <c r="Q622" i="1"/>
  <c r="P622" i="1"/>
  <c r="O622" i="1"/>
  <c r="N622" i="1"/>
  <c r="M622" i="1"/>
  <c r="L622" i="1"/>
  <c r="K622" i="1"/>
  <c r="J622" i="1"/>
  <c r="I622" i="1"/>
  <c r="S620" i="1"/>
  <c r="S619" i="1"/>
  <c r="S618" i="1"/>
  <c r="S617" i="1"/>
  <c r="S616" i="1"/>
  <c r="S614" i="1"/>
  <c r="S613" i="1"/>
  <c r="S612" i="1"/>
  <c r="S611" i="1"/>
  <c r="S610" i="1"/>
  <c r="S609" i="1"/>
  <c r="S608" i="1"/>
  <c r="N606" i="1"/>
  <c r="M606" i="1"/>
  <c r="L606" i="1"/>
  <c r="K606" i="1"/>
  <c r="S605" i="1"/>
  <c r="S604" i="1"/>
  <c r="S603" i="1"/>
  <c r="S602" i="1"/>
  <c r="S599" i="1"/>
  <c r="S598" i="1"/>
  <c r="S597" i="1"/>
  <c r="S595" i="1"/>
  <c r="S594" i="1"/>
  <c r="R591" i="1"/>
  <c r="Q591" i="1"/>
  <c r="P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68" i="1"/>
  <c r="S560" i="1"/>
  <c r="S670" i="1" l="1"/>
  <c r="S591" i="1"/>
  <c r="S606" i="1"/>
  <c r="S622" i="1"/>
  <c r="U620" i="1" s="1"/>
  <c r="R574" i="1"/>
  <c r="Q574" i="1"/>
  <c r="P574" i="1"/>
  <c r="O574" i="1"/>
  <c r="N574" i="1"/>
  <c r="M574" i="1"/>
  <c r="L574" i="1"/>
  <c r="K574" i="1"/>
  <c r="J574" i="1"/>
  <c r="I574" i="1"/>
  <c r="S572" i="1"/>
  <c r="S571" i="1"/>
  <c r="S570" i="1"/>
  <c r="S569" i="1"/>
  <c r="S566" i="1"/>
  <c r="S565" i="1"/>
  <c r="S564" i="1"/>
  <c r="S563" i="1"/>
  <c r="S562" i="1"/>
  <c r="S561" i="1"/>
  <c r="N558" i="1"/>
  <c r="M558" i="1"/>
  <c r="L558" i="1"/>
  <c r="K558" i="1"/>
  <c r="S557" i="1"/>
  <c r="S556" i="1"/>
  <c r="S555" i="1"/>
  <c r="S554" i="1"/>
  <c r="S551" i="1"/>
  <c r="S550" i="1"/>
  <c r="S549" i="1"/>
  <c r="S547" i="1"/>
  <c r="S546" i="1"/>
  <c r="R543" i="1"/>
  <c r="Q543" i="1"/>
  <c r="P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15" i="1"/>
  <c r="R526" i="1"/>
  <c r="Q526" i="1"/>
  <c r="P526" i="1"/>
  <c r="O526" i="1"/>
  <c r="N526" i="1"/>
  <c r="M526" i="1"/>
  <c r="L526" i="1"/>
  <c r="K526" i="1"/>
  <c r="J526" i="1"/>
  <c r="I526" i="1"/>
  <c r="S524" i="1"/>
  <c r="S523" i="1"/>
  <c r="S522" i="1"/>
  <c r="S521" i="1"/>
  <c r="S518" i="1"/>
  <c r="S517" i="1"/>
  <c r="S516" i="1"/>
  <c r="S514" i="1"/>
  <c r="S513" i="1"/>
  <c r="N510" i="1"/>
  <c r="M510" i="1"/>
  <c r="L510" i="1"/>
  <c r="K510" i="1"/>
  <c r="S509" i="1"/>
  <c r="S508" i="1"/>
  <c r="S507" i="1"/>
  <c r="S506" i="1"/>
  <c r="S503" i="1"/>
  <c r="S502" i="1"/>
  <c r="S501" i="1"/>
  <c r="S499" i="1"/>
  <c r="S498" i="1"/>
  <c r="R495" i="1"/>
  <c r="Q495" i="1"/>
  <c r="P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3" i="1"/>
  <c r="S474" i="1"/>
  <c r="S470" i="1"/>
  <c r="S469" i="1"/>
  <c r="S466" i="1"/>
  <c r="R478" i="1"/>
  <c r="Q478" i="1"/>
  <c r="P478" i="1"/>
  <c r="O478" i="1"/>
  <c r="N478" i="1"/>
  <c r="M478" i="1"/>
  <c r="L478" i="1"/>
  <c r="K478" i="1"/>
  <c r="J478" i="1"/>
  <c r="I478" i="1"/>
  <c r="S476" i="1"/>
  <c r="S475" i="1"/>
  <c r="S468" i="1"/>
  <c r="S465" i="1"/>
  <c r="N462" i="1"/>
  <c r="M462" i="1"/>
  <c r="L462" i="1"/>
  <c r="K462" i="1"/>
  <c r="S461" i="1"/>
  <c r="S460" i="1"/>
  <c r="S459" i="1"/>
  <c r="S458" i="1"/>
  <c r="S455" i="1"/>
  <c r="S454" i="1"/>
  <c r="S453" i="1"/>
  <c r="S451" i="1"/>
  <c r="S450" i="1"/>
  <c r="R447" i="1"/>
  <c r="Q447" i="1"/>
  <c r="P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R430" i="1"/>
  <c r="Q430" i="1"/>
  <c r="P430" i="1"/>
  <c r="O430" i="1"/>
  <c r="N430" i="1"/>
  <c r="M430" i="1"/>
  <c r="L430" i="1"/>
  <c r="K430" i="1"/>
  <c r="J430" i="1"/>
  <c r="I430" i="1"/>
  <c r="S428" i="1"/>
  <c r="S427" i="1"/>
  <c r="S426" i="1"/>
  <c r="S422" i="1"/>
  <c r="S421" i="1"/>
  <c r="S420" i="1"/>
  <c r="S418" i="1"/>
  <c r="S417" i="1"/>
  <c r="N414" i="1"/>
  <c r="M414" i="1"/>
  <c r="L414" i="1"/>
  <c r="K414" i="1"/>
  <c r="S413" i="1"/>
  <c r="S412" i="1"/>
  <c r="S411" i="1"/>
  <c r="S410" i="1"/>
  <c r="S407" i="1"/>
  <c r="S406" i="1"/>
  <c r="S405" i="1"/>
  <c r="S403" i="1"/>
  <c r="S402" i="1"/>
  <c r="R399" i="1"/>
  <c r="Q399" i="1"/>
  <c r="P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T781" i="1"/>
  <c r="S558" i="1" l="1"/>
  <c r="S543" i="1"/>
  <c r="S526" i="1"/>
  <c r="U522" i="1" s="1"/>
  <c r="S574" i="1"/>
  <c r="U572" i="1" s="1"/>
  <c r="S495" i="1"/>
  <c r="S510" i="1"/>
  <c r="S478" i="1"/>
  <c r="U469" i="1" s="1"/>
  <c r="S447" i="1"/>
  <c r="S462" i="1"/>
  <c r="S399" i="1"/>
  <c r="S430" i="1"/>
  <c r="U420" i="1" s="1"/>
  <c r="S414" i="1"/>
  <c r="N717" i="1"/>
  <c r="M717" i="1"/>
  <c r="L717" i="1"/>
  <c r="K717" i="1"/>
  <c r="N716" i="1"/>
  <c r="M716" i="1"/>
  <c r="L716" i="1"/>
  <c r="K716" i="1"/>
  <c r="N715" i="1"/>
  <c r="M715" i="1"/>
  <c r="L715" i="1"/>
  <c r="K715" i="1"/>
  <c r="N712" i="1"/>
  <c r="M712" i="1"/>
  <c r="L712" i="1"/>
  <c r="K712" i="1"/>
  <c r="N710" i="1"/>
  <c r="M710" i="1"/>
  <c r="L710" i="1"/>
  <c r="K710" i="1"/>
  <c r="N708" i="1"/>
  <c r="M708" i="1"/>
  <c r="L708" i="1"/>
  <c r="K708" i="1"/>
  <c r="N707" i="1"/>
  <c r="M707" i="1"/>
  <c r="L707" i="1"/>
  <c r="K707" i="1"/>
  <c r="R701" i="1"/>
  <c r="Q701" i="1"/>
  <c r="P701" i="1"/>
  <c r="P702" i="1"/>
  <c r="Q702" i="1"/>
  <c r="R702" i="1"/>
  <c r="R700" i="1"/>
  <c r="Q700" i="1"/>
  <c r="P700" i="1"/>
  <c r="R699" i="1"/>
  <c r="Q699" i="1"/>
  <c r="P699" i="1"/>
  <c r="R696" i="1"/>
  <c r="Q696" i="1"/>
  <c r="P696" i="1"/>
  <c r="R695" i="1"/>
  <c r="Q695" i="1"/>
  <c r="P695" i="1"/>
  <c r="R694" i="1"/>
  <c r="Q694" i="1"/>
  <c r="P694" i="1"/>
  <c r="R692" i="1"/>
  <c r="Q692" i="1"/>
  <c r="P692" i="1"/>
  <c r="R691" i="1"/>
  <c r="Q691" i="1"/>
  <c r="P691" i="1"/>
  <c r="R351" i="1"/>
  <c r="Q351" i="1"/>
  <c r="P351" i="1"/>
  <c r="N711" i="1"/>
  <c r="M711" i="1"/>
  <c r="L711" i="1"/>
  <c r="K711" i="1"/>
  <c r="R693" i="1"/>
  <c r="Q693" i="1"/>
  <c r="P693" i="1"/>
  <c r="L382" i="1"/>
  <c r="M382" i="1"/>
  <c r="N382" i="1"/>
  <c r="O382" i="1"/>
  <c r="P382" i="1"/>
  <c r="Q382" i="1"/>
  <c r="R382" i="1"/>
  <c r="K382" i="1"/>
  <c r="J382" i="1"/>
  <c r="I382" i="1"/>
  <c r="S370" i="1"/>
  <c r="S372" i="1"/>
  <c r="S369" i="1"/>
  <c r="S378" i="1"/>
  <c r="S379" i="1"/>
  <c r="S380" i="1"/>
  <c r="S374" i="1"/>
  <c r="S373" i="1"/>
  <c r="N366" i="1"/>
  <c r="M366" i="1"/>
  <c r="L366" i="1"/>
  <c r="K366" i="1"/>
  <c r="S365" i="1"/>
  <c r="S364" i="1"/>
  <c r="S363" i="1"/>
  <c r="S362" i="1"/>
  <c r="S359" i="1"/>
  <c r="S358" i="1"/>
  <c r="S357" i="1"/>
  <c r="S355" i="1"/>
  <c r="S354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66" i="1" l="1"/>
  <c r="S382" i="1"/>
  <c r="S351" i="1"/>
  <c r="P721" i="1"/>
  <c r="Q721" i="1"/>
  <c r="R721" i="1"/>
  <c r="P722" i="1"/>
  <c r="Q722" i="1"/>
  <c r="R722" i="1"/>
  <c r="P723" i="1"/>
  <c r="Q723" i="1"/>
  <c r="R723" i="1"/>
  <c r="P724" i="1"/>
  <c r="Q724" i="1"/>
  <c r="R724" i="1"/>
  <c r="P725" i="1"/>
  <c r="Q725" i="1"/>
  <c r="R725" i="1"/>
  <c r="P726" i="1"/>
  <c r="Q726" i="1"/>
  <c r="R726" i="1"/>
  <c r="P727" i="1"/>
  <c r="Q727" i="1"/>
  <c r="R727" i="1"/>
  <c r="P728" i="1"/>
  <c r="Q728" i="1"/>
  <c r="R728" i="1"/>
  <c r="P729" i="1"/>
  <c r="Q729" i="1"/>
  <c r="R729" i="1"/>
  <c r="P730" i="1"/>
  <c r="Q730" i="1"/>
  <c r="R730" i="1"/>
  <c r="P731" i="1"/>
  <c r="Q731" i="1"/>
  <c r="R731" i="1"/>
  <c r="P732" i="1"/>
  <c r="Q732" i="1"/>
  <c r="R732" i="1"/>
  <c r="R733" i="1"/>
  <c r="J720" i="1"/>
  <c r="K720" i="1"/>
  <c r="L720" i="1"/>
  <c r="M720" i="1"/>
  <c r="N720" i="1"/>
  <c r="O720" i="1"/>
  <c r="P720" i="1"/>
  <c r="Q720" i="1"/>
  <c r="R720" i="1"/>
  <c r="I720" i="1"/>
  <c r="I735" i="1" s="1"/>
  <c r="I706" i="1"/>
  <c r="J706" i="1"/>
  <c r="K706" i="1"/>
  <c r="L706" i="1"/>
  <c r="M706" i="1"/>
  <c r="N706" i="1"/>
  <c r="O706" i="1"/>
  <c r="P706" i="1"/>
  <c r="Q706" i="1"/>
  <c r="R706" i="1"/>
  <c r="I707" i="1"/>
  <c r="J707" i="1"/>
  <c r="O707" i="1"/>
  <c r="P707" i="1"/>
  <c r="Q707" i="1"/>
  <c r="R707" i="1"/>
  <c r="I708" i="1"/>
  <c r="J708" i="1"/>
  <c r="O708" i="1"/>
  <c r="P708" i="1"/>
  <c r="Q708" i="1"/>
  <c r="R708" i="1"/>
  <c r="I709" i="1"/>
  <c r="J709" i="1"/>
  <c r="K709" i="1"/>
  <c r="L709" i="1"/>
  <c r="M709" i="1"/>
  <c r="N709" i="1"/>
  <c r="O709" i="1"/>
  <c r="P709" i="1"/>
  <c r="Q709" i="1"/>
  <c r="R709" i="1"/>
  <c r="I710" i="1"/>
  <c r="J710" i="1"/>
  <c r="O710" i="1"/>
  <c r="P710" i="1"/>
  <c r="Q710" i="1"/>
  <c r="R710" i="1"/>
  <c r="I711" i="1"/>
  <c r="J711" i="1"/>
  <c r="O711" i="1"/>
  <c r="P711" i="1"/>
  <c r="Q711" i="1"/>
  <c r="R711" i="1"/>
  <c r="I712" i="1"/>
  <c r="J712" i="1"/>
  <c r="O712" i="1"/>
  <c r="P712" i="1"/>
  <c r="Q712" i="1"/>
  <c r="R712" i="1"/>
  <c r="I713" i="1"/>
  <c r="J713" i="1"/>
  <c r="K713" i="1"/>
  <c r="L713" i="1"/>
  <c r="M713" i="1"/>
  <c r="N713" i="1"/>
  <c r="O713" i="1"/>
  <c r="P713" i="1"/>
  <c r="Q713" i="1"/>
  <c r="R713" i="1"/>
  <c r="I714" i="1"/>
  <c r="J714" i="1"/>
  <c r="K714" i="1"/>
  <c r="L714" i="1"/>
  <c r="M714" i="1"/>
  <c r="N714" i="1"/>
  <c r="O714" i="1"/>
  <c r="P714" i="1"/>
  <c r="Q714" i="1"/>
  <c r="R714" i="1"/>
  <c r="I715" i="1"/>
  <c r="J715" i="1"/>
  <c r="O715" i="1"/>
  <c r="P715" i="1"/>
  <c r="Q715" i="1"/>
  <c r="R715" i="1"/>
  <c r="I716" i="1"/>
  <c r="J716" i="1"/>
  <c r="O716" i="1"/>
  <c r="P716" i="1"/>
  <c r="Q716" i="1"/>
  <c r="R716" i="1"/>
  <c r="I717" i="1"/>
  <c r="J717" i="1"/>
  <c r="O717" i="1"/>
  <c r="P717" i="1"/>
  <c r="Q717" i="1"/>
  <c r="R717" i="1"/>
  <c r="I718" i="1"/>
  <c r="J718" i="1"/>
  <c r="K718" i="1"/>
  <c r="L718" i="1"/>
  <c r="M718" i="1"/>
  <c r="N718" i="1"/>
  <c r="O718" i="1"/>
  <c r="P718" i="1"/>
  <c r="Q718" i="1"/>
  <c r="R718" i="1"/>
  <c r="J705" i="1"/>
  <c r="K705" i="1"/>
  <c r="L705" i="1"/>
  <c r="M705" i="1"/>
  <c r="N705" i="1"/>
  <c r="O705" i="1"/>
  <c r="P705" i="1"/>
  <c r="Q705" i="1"/>
  <c r="R705" i="1"/>
  <c r="I705" i="1"/>
  <c r="I690" i="1"/>
  <c r="J690" i="1"/>
  <c r="K690" i="1"/>
  <c r="L690" i="1"/>
  <c r="M690" i="1"/>
  <c r="N690" i="1"/>
  <c r="O690" i="1"/>
  <c r="P690" i="1"/>
  <c r="Q690" i="1"/>
  <c r="R690" i="1"/>
  <c r="I691" i="1"/>
  <c r="J691" i="1"/>
  <c r="K691" i="1"/>
  <c r="L691" i="1"/>
  <c r="M691" i="1"/>
  <c r="N691" i="1"/>
  <c r="O691" i="1"/>
  <c r="I692" i="1"/>
  <c r="J692" i="1"/>
  <c r="K692" i="1"/>
  <c r="L692" i="1"/>
  <c r="M692" i="1"/>
  <c r="N692" i="1"/>
  <c r="O692" i="1"/>
  <c r="I693" i="1"/>
  <c r="J693" i="1"/>
  <c r="K693" i="1"/>
  <c r="L693" i="1"/>
  <c r="M693" i="1"/>
  <c r="N693" i="1"/>
  <c r="O693" i="1"/>
  <c r="I694" i="1"/>
  <c r="J694" i="1"/>
  <c r="K694" i="1"/>
  <c r="L694" i="1"/>
  <c r="M694" i="1"/>
  <c r="N694" i="1"/>
  <c r="O694" i="1"/>
  <c r="I695" i="1"/>
  <c r="J695" i="1"/>
  <c r="K695" i="1"/>
  <c r="L695" i="1"/>
  <c r="M695" i="1"/>
  <c r="N695" i="1"/>
  <c r="O695" i="1"/>
  <c r="I696" i="1"/>
  <c r="J696" i="1"/>
  <c r="K696" i="1"/>
  <c r="L696" i="1"/>
  <c r="M696" i="1"/>
  <c r="N696" i="1"/>
  <c r="O696" i="1"/>
  <c r="I697" i="1"/>
  <c r="J697" i="1"/>
  <c r="K697" i="1"/>
  <c r="L697" i="1"/>
  <c r="M697" i="1"/>
  <c r="N697" i="1"/>
  <c r="O697" i="1"/>
  <c r="P697" i="1"/>
  <c r="Q697" i="1"/>
  <c r="R697" i="1"/>
  <c r="I698" i="1"/>
  <c r="J698" i="1"/>
  <c r="K698" i="1"/>
  <c r="L698" i="1"/>
  <c r="M698" i="1"/>
  <c r="N698" i="1"/>
  <c r="O698" i="1"/>
  <c r="P698" i="1"/>
  <c r="Q698" i="1"/>
  <c r="R698" i="1"/>
  <c r="I699" i="1"/>
  <c r="J699" i="1"/>
  <c r="K699" i="1"/>
  <c r="L699" i="1"/>
  <c r="M699" i="1"/>
  <c r="N699" i="1"/>
  <c r="O699" i="1"/>
  <c r="I700" i="1"/>
  <c r="J700" i="1"/>
  <c r="K700" i="1"/>
  <c r="L700" i="1"/>
  <c r="M700" i="1"/>
  <c r="N700" i="1"/>
  <c r="O700" i="1"/>
  <c r="I701" i="1"/>
  <c r="J701" i="1"/>
  <c r="K701" i="1"/>
  <c r="L701" i="1"/>
  <c r="M701" i="1"/>
  <c r="N701" i="1"/>
  <c r="O701" i="1"/>
  <c r="I702" i="1"/>
  <c r="J702" i="1"/>
  <c r="K702" i="1"/>
  <c r="L702" i="1"/>
  <c r="M702" i="1"/>
  <c r="N702" i="1"/>
  <c r="O702" i="1"/>
  <c r="J689" i="1"/>
  <c r="K689" i="1"/>
  <c r="L689" i="1"/>
  <c r="M689" i="1"/>
  <c r="N689" i="1"/>
  <c r="O689" i="1"/>
  <c r="P689" i="1"/>
  <c r="Q689" i="1"/>
  <c r="R689" i="1"/>
  <c r="I689" i="1"/>
  <c r="S703" i="1"/>
  <c r="S322" i="1"/>
  <c r="S321" i="1"/>
  <c r="S330" i="1"/>
  <c r="S332" i="1"/>
  <c r="S331" i="1"/>
  <c r="S326" i="1"/>
  <c r="S325" i="1"/>
  <c r="N334" i="1"/>
  <c r="M334" i="1"/>
  <c r="L334" i="1"/>
  <c r="K334" i="1"/>
  <c r="N318" i="1"/>
  <c r="M318" i="1"/>
  <c r="L318" i="1"/>
  <c r="K318" i="1"/>
  <c r="S317" i="1"/>
  <c r="S316" i="1"/>
  <c r="S315" i="1"/>
  <c r="S314" i="1"/>
  <c r="S311" i="1"/>
  <c r="S310" i="1"/>
  <c r="S309" i="1"/>
  <c r="S307" i="1"/>
  <c r="S306" i="1"/>
  <c r="R303" i="1"/>
  <c r="Q303" i="1"/>
  <c r="P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J286" i="1"/>
  <c r="I286" i="1"/>
  <c r="N286" i="1"/>
  <c r="M286" i="1"/>
  <c r="L286" i="1"/>
  <c r="K286" i="1"/>
  <c r="S285" i="1"/>
  <c r="S284" i="1"/>
  <c r="S283" i="1"/>
  <c r="S282" i="1"/>
  <c r="S279" i="1"/>
  <c r="S278" i="1"/>
  <c r="S277" i="1"/>
  <c r="S275" i="1"/>
  <c r="S274" i="1"/>
  <c r="N271" i="1"/>
  <c r="M271" i="1"/>
  <c r="L271" i="1"/>
  <c r="K271" i="1"/>
  <c r="S270" i="1"/>
  <c r="S269" i="1"/>
  <c r="S268" i="1"/>
  <c r="S267" i="1"/>
  <c r="S264" i="1"/>
  <c r="S263" i="1"/>
  <c r="S262" i="1"/>
  <c r="S260" i="1"/>
  <c r="S259" i="1"/>
  <c r="R256" i="1"/>
  <c r="Q256" i="1"/>
  <c r="P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U363" i="1" l="1"/>
  <c r="L719" i="1"/>
  <c r="K719" i="1"/>
  <c r="M719" i="1"/>
  <c r="S334" i="1"/>
  <c r="R704" i="1"/>
  <c r="N704" i="1"/>
  <c r="J704" i="1"/>
  <c r="S701" i="1"/>
  <c r="S699" i="1"/>
  <c r="S697" i="1"/>
  <c r="S695" i="1"/>
  <c r="S693" i="1"/>
  <c r="S691" i="1"/>
  <c r="R719" i="1"/>
  <c r="N719" i="1"/>
  <c r="J719" i="1"/>
  <c r="S707" i="1"/>
  <c r="Q735" i="1"/>
  <c r="M735" i="1"/>
  <c r="P719" i="1"/>
  <c r="P735" i="1"/>
  <c r="L735" i="1"/>
  <c r="Q719" i="1"/>
  <c r="S705" i="1"/>
  <c r="S731" i="1"/>
  <c r="S729" i="1"/>
  <c r="S727" i="1"/>
  <c r="S725" i="1"/>
  <c r="S723" i="1"/>
  <c r="S721" i="1"/>
  <c r="M704" i="1"/>
  <c r="P704" i="1"/>
  <c r="S718" i="1"/>
  <c r="S716" i="1"/>
  <c r="S714" i="1"/>
  <c r="S712" i="1"/>
  <c r="S710" i="1"/>
  <c r="S708" i="1"/>
  <c r="S706" i="1"/>
  <c r="S720" i="1"/>
  <c r="O735" i="1"/>
  <c r="K735" i="1"/>
  <c r="S717" i="1"/>
  <c r="S715" i="1"/>
  <c r="S713" i="1"/>
  <c r="S711" i="1"/>
  <c r="S709" i="1"/>
  <c r="L704" i="1"/>
  <c r="I704" i="1"/>
  <c r="O704" i="1"/>
  <c r="K704" i="1"/>
  <c r="S700" i="1"/>
  <c r="S698" i="1"/>
  <c r="S696" i="1"/>
  <c r="S694" i="1"/>
  <c r="S692" i="1"/>
  <c r="I719" i="1"/>
  <c r="O719" i="1"/>
  <c r="R735" i="1"/>
  <c r="N735" i="1"/>
  <c r="J735" i="1"/>
  <c r="S733" i="1"/>
  <c r="S732" i="1"/>
  <c r="S730" i="1"/>
  <c r="S728" i="1"/>
  <c r="S726" i="1"/>
  <c r="S724" i="1"/>
  <c r="S689" i="1"/>
  <c r="Q704" i="1"/>
  <c r="S702" i="1"/>
  <c r="S690" i="1"/>
  <c r="S318" i="1"/>
  <c r="S303" i="1"/>
  <c r="S286" i="1"/>
  <c r="U269" i="1" s="1"/>
  <c r="S256" i="1"/>
  <c r="S271" i="1"/>
  <c r="O239" i="1"/>
  <c r="N239" i="1"/>
  <c r="M239" i="1"/>
  <c r="L239" i="1"/>
  <c r="K239" i="1"/>
  <c r="J239" i="1"/>
  <c r="I239" i="1"/>
  <c r="S238" i="1"/>
  <c r="S237" i="1"/>
  <c r="S236" i="1"/>
  <c r="S235" i="1"/>
  <c r="S232" i="1"/>
  <c r="S231" i="1"/>
  <c r="S230" i="1"/>
  <c r="S228" i="1"/>
  <c r="S227" i="1"/>
  <c r="H225" i="1"/>
  <c r="N224" i="1"/>
  <c r="M224" i="1"/>
  <c r="L224" i="1"/>
  <c r="K224" i="1"/>
  <c r="S223" i="1"/>
  <c r="S222" i="1"/>
  <c r="S221" i="1"/>
  <c r="S220" i="1"/>
  <c r="S217" i="1"/>
  <c r="S216" i="1"/>
  <c r="S215" i="1"/>
  <c r="S213" i="1"/>
  <c r="S212" i="1"/>
  <c r="R209" i="1"/>
  <c r="Q209" i="1"/>
  <c r="P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53" i="1"/>
  <c r="H178" i="1"/>
  <c r="O192" i="1"/>
  <c r="N192" i="1"/>
  <c r="M192" i="1"/>
  <c r="L192" i="1"/>
  <c r="K192" i="1"/>
  <c r="J192" i="1"/>
  <c r="I192" i="1"/>
  <c r="S191" i="1"/>
  <c r="S190" i="1"/>
  <c r="S189" i="1"/>
  <c r="S188" i="1"/>
  <c r="S185" i="1"/>
  <c r="S184" i="1"/>
  <c r="S183" i="1"/>
  <c r="S181" i="1"/>
  <c r="S180" i="1"/>
  <c r="N177" i="1"/>
  <c r="M177" i="1"/>
  <c r="L177" i="1"/>
  <c r="K177" i="1"/>
  <c r="S176" i="1"/>
  <c r="S175" i="1"/>
  <c r="S174" i="1"/>
  <c r="S173" i="1"/>
  <c r="S170" i="1"/>
  <c r="S169" i="1"/>
  <c r="S168" i="1"/>
  <c r="S166" i="1"/>
  <c r="S165" i="1"/>
  <c r="R162" i="1"/>
  <c r="Q162" i="1"/>
  <c r="P162" i="1"/>
  <c r="S161" i="1"/>
  <c r="S160" i="1"/>
  <c r="S159" i="1"/>
  <c r="S158" i="1"/>
  <c r="S157" i="1"/>
  <c r="S156" i="1"/>
  <c r="S155" i="1"/>
  <c r="S154" i="1"/>
  <c r="S152" i="1"/>
  <c r="S151" i="1"/>
  <c r="S150" i="1"/>
  <c r="S149" i="1"/>
  <c r="S148" i="1"/>
  <c r="S147" i="1"/>
  <c r="S133" i="1"/>
  <c r="S135" i="1"/>
  <c r="S132" i="1"/>
  <c r="S140" i="1"/>
  <c r="S141" i="1"/>
  <c r="S143" i="1"/>
  <c r="S142" i="1"/>
  <c r="S137" i="1"/>
  <c r="S136" i="1"/>
  <c r="K34" i="1"/>
  <c r="L81" i="1"/>
  <c r="M81" i="1"/>
  <c r="N81" i="1"/>
  <c r="K81" i="1"/>
  <c r="L129" i="1"/>
  <c r="M129" i="1"/>
  <c r="N129" i="1"/>
  <c r="K129" i="1"/>
  <c r="S118" i="1"/>
  <c r="S120" i="1"/>
  <c r="S117" i="1"/>
  <c r="S126" i="1"/>
  <c r="S128" i="1"/>
  <c r="S125" i="1"/>
  <c r="S127" i="1"/>
  <c r="S122" i="1"/>
  <c r="S121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99" i="1"/>
  <c r="O144" i="1"/>
  <c r="N144" i="1"/>
  <c r="M144" i="1"/>
  <c r="L144" i="1"/>
  <c r="K144" i="1"/>
  <c r="J144" i="1"/>
  <c r="I144" i="1"/>
  <c r="R114" i="1"/>
  <c r="Q114" i="1"/>
  <c r="P114" i="1"/>
  <c r="S80" i="1"/>
  <c r="S79" i="1"/>
  <c r="S73" i="1"/>
  <c r="O96" i="1"/>
  <c r="N96" i="1"/>
  <c r="M96" i="1"/>
  <c r="L96" i="1"/>
  <c r="K96" i="1"/>
  <c r="J96" i="1"/>
  <c r="I96" i="1"/>
  <c r="S95" i="1"/>
  <c r="S94" i="1"/>
  <c r="S93" i="1"/>
  <c r="S92" i="1"/>
  <c r="S89" i="1"/>
  <c r="S88" i="1"/>
  <c r="S87" i="1"/>
  <c r="S85" i="1"/>
  <c r="S84" i="1"/>
  <c r="S78" i="1"/>
  <c r="S77" i="1"/>
  <c r="S74" i="1"/>
  <c r="S72" i="1"/>
  <c r="S70" i="1"/>
  <c r="S69" i="1"/>
  <c r="R66" i="1"/>
  <c r="Q66" i="1"/>
  <c r="P66" i="1"/>
  <c r="S64" i="1"/>
  <c r="S63" i="1"/>
  <c r="S62" i="1"/>
  <c r="S61" i="1"/>
  <c r="S58" i="1"/>
  <c r="S57" i="1"/>
  <c r="S56" i="1"/>
  <c r="S54" i="1"/>
  <c r="S53" i="1"/>
  <c r="J49" i="1"/>
  <c r="K49" i="1"/>
  <c r="L49" i="1"/>
  <c r="M49" i="1"/>
  <c r="N49" i="1"/>
  <c r="O49" i="1"/>
  <c r="I49" i="1"/>
  <c r="L34" i="1"/>
  <c r="M34" i="1"/>
  <c r="N34" i="1"/>
  <c r="R19" i="1"/>
  <c r="Q19" i="1"/>
  <c r="P19" i="1"/>
  <c r="S38" i="1"/>
  <c r="S40" i="1"/>
  <c r="S37" i="1"/>
  <c r="S46" i="1"/>
  <c r="S48" i="1"/>
  <c r="S45" i="1"/>
  <c r="S47" i="1"/>
  <c r="S42" i="1"/>
  <c r="S41" i="1"/>
  <c r="S23" i="1"/>
  <c r="S25" i="1"/>
  <c r="S22" i="1"/>
  <c r="S31" i="1"/>
  <c r="S30" i="1"/>
  <c r="S27" i="1"/>
  <c r="S7" i="1"/>
  <c r="S9" i="1"/>
  <c r="S6" i="1"/>
  <c r="S15" i="1"/>
  <c r="S14" i="1"/>
  <c r="S17" i="1"/>
  <c r="S16" i="1"/>
  <c r="S11" i="1"/>
  <c r="S10" i="1"/>
  <c r="Q1216" i="1"/>
  <c r="P1216" i="1"/>
  <c r="O1216" i="1"/>
  <c r="N1216" i="1"/>
  <c r="M1216" i="1"/>
  <c r="L1216" i="1"/>
  <c r="K1216" i="1"/>
  <c r="J1216" i="1"/>
  <c r="I1216" i="1"/>
  <c r="H1216" i="1"/>
  <c r="Q1215" i="1"/>
  <c r="P1215" i="1"/>
  <c r="O1215" i="1"/>
  <c r="N1215" i="1"/>
  <c r="M1215" i="1"/>
  <c r="L1215" i="1"/>
  <c r="K1215" i="1"/>
  <c r="J1215" i="1"/>
  <c r="I1215" i="1"/>
  <c r="H1215" i="1"/>
  <c r="Q1214" i="1"/>
  <c r="P1214" i="1"/>
  <c r="O1214" i="1"/>
  <c r="N1214" i="1"/>
  <c r="M1214" i="1"/>
  <c r="L1214" i="1"/>
  <c r="K1214" i="1"/>
  <c r="J1214" i="1"/>
  <c r="I1214" i="1"/>
  <c r="H1214" i="1"/>
  <c r="Q1213" i="1"/>
  <c r="P1213" i="1"/>
  <c r="O1213" i="1"/>
  <c r="N1213" i="1"/>
  <c r="M1213" i="1"/>
  <c r="L1213" i="1"/>
  <c r="K1213" i="1"/>
  <c r="J1213" i="1"/>
  <c r="I1213" i="1"/>
  <c r="H1213" i="1"/>
  <c r="Q1212" i="1"/>
  <c r="P1212" i="1"/>
  <c r="O1212" i="1"/>
  <c r="N1212" i="1"/>
  <c r="M1212" i="1"/>
  <c r="L1212" i="1"/>
  <c r="K1212" i="1"/>
  <c r="J1212" i="1"/>
  <c r="I1212" i="1"/>
  <c r="H1212" i="1"/>
  <c r="Q1211" i="1"/>
  <c r="P1211" i="1"/>
  <c r="O1211" i="1"/>
  <c r="N1211" i="1"/>
  <c r="M1211" i="1"/>
  <c r="L1211" i="1"/>
  <c r="K1211" i="1"/>
  <c r="J1211" i="1"/>
  <c r="I1211" i="1"/>
  <c r="H1211" i="1"/>
  <c r="Q1210" i="1"/>
  <c r="P1210" i="1"/>
  <c r="O1210" i="1"/>
  <c r="I1210" i="1"/>
  <c r="H1210" i="1"/>
  <c r="Q1209" i="1"/>
  <c r="P1209" i="1"/>
  <c r="O1209" i="1"/>
  <c r="I1209" i="1"/>
  <c r="H1209" i="1"/>
  <c r="Q1208" i="1"/>
  <c r="P1208" i="1"/>
  <c r="O1208" i="1"/>
  <c r="I1208" i="1"/>
  <c r="H1208" i="1"/>
  <c r="Q1207" i="1"/>
  <c r="P1207" i="1"/>
  <c r="O1207" i="1"/>
  <c r="N1207" i="1"/>
  <c r="M1207" i="1"/>
  <c r="L1207" i="1"/>
  <c r="K1207" i="1"/>
  <c r="J1207" i="1"/>
  <c r="I1207" i="1"/>
  <c r="H1207" i="1"/>
  <c r="Q1206" i="1"/>
  <c r="P1206" i="1"/>
  <c r="O1206" i="1"/>
  <c r="N1206" i="1"/>
  <c r="M1206" i="1"/>
  <c r="L1206" i="1"/>
  <c r="K1206" i="1"/>
  <c r="J1206" i="1"/>
  <c r="I1206" i="1"/>
  <c r="H1206" i="1"/>
  <c r="Q1205" i="1"/>
  <c r="P1205" i="1"/>
  <c r="O1205" i="1"/>
  <c r="N1205" i="1"/>
  <c r="M1205" i="1"/>
  <c r="L1205" i="1"/>
  <c r="K1205" i="1"/>
  <c r="J1205" i="1"/>
  <c r="I1205" i="1"/>
  <c r="H1205" i="1"/>
  <c r="Q1204" i="1"/>
  <c r="P1204" i="1"/>
  <c r="O1204" i="1"/>
  <c r="I1204" i="1"/>
  <c r="H1204" i="1"/>
  <c r="Q1203" i="1"/>
  <c r="P1203" i="1"/>
  <c r="O1203" i="1"/>
  <c r="I1203" i="1"/>
  <c r="H1203" i="1"/>
  <c r="Q1202" i="1"/>
  <c r="P1202" i="1"/>
  <c r="O1202" i="1"/>
  <c r="N1202" i="1"/>
  <c r="M1202" i="1"/>
  <c r="L1202" i="1"/>
  <c r="K1202" i="1"/>
  <c r="J1202" i="1"/>
  <c r="I1202" i="1"/>
  <c r="H1202" i="1"/>
  <c r="Q1201" i="1"/>
  <c r="P1201" i="1"/>
  <c r="O1201" i="1"/>
  <c r="I1201" i="1"/>
  <c r="H1201" i="1"/>
  <c r="Q1200" i="1"/>
  <c r="P1200" i="1"/>
  <c r="O1200" i="1"/>
  <c r="I1200" i="1"/>
  <c r="H1200" i="1"/>
  <c r="Q1199" i="1"/>
  <c r="P1199" i="1"/>
  <c r="O1199" i="1"/>
  <c r="N1199" i="1"/>
  <c r="M1199" i="1"/>
  <c r="L1199" i="1"/>
  <c r="K1199" i="1"/>
  <c r="J1199" i="1"/>
  <c r="I1199" i="1"/>
  <c r="H1199" i="1"/>
  <c r="Q1198" i="1"/>
  <c r="P1198" i="1"/>
  <c r="O1198" i="1"/>
  <c r="N1198" i="1"/>
  <c r="M1198" i="1"/>
  <c r="L1198" i="1"/>
  <c r="K1198" i="1"/>
  <c r="J1198" i="1"/>
  <c r="I1198" i="1"/>
  <c r="H1198" i="1"/>
  <c r="Q1196" i="1"/>
  <c r="P1196" i="1"/>
  <c r="O1196" i="1"/>
  <c r="N1196" i="1"/>
  <c r="M1196" i="1"/>
  <c r="L1196" i="1"/>
  <c r="K1196" i="1"/>
  <c r="J1196" i="1"/>
  <c r="I1196" i="1"/>
  <c r="H1196" i="1"/>
  <c r="Q1195" i="1"/>
  <c r="P1195" i="1"/>
  <c r="O1195" i="1"/>
  <c r="N1195" i="1"/>
  <c r="M1195" i="1"/>
  <c r="L1195" i="1"/>
  <c r="K1195" i="1"/>
  <c r="J1195" i="1"/>
  <c r="I1195" i="1"/>
  <c r="H1195" i="1"/>
  <c r="Q1194" i="1"/>
  <c r="P1194" i="1"/>
  <c r="O1194" i="1"/>
  <c r="N1194" i="1"/>
  <c r="M1194" i="1"/>
  <c r="L1194" i="1"/>
  <c r="K1194" i="1"/>
  <c r="J1194" i="1"/>
  <c r="I1194" i="1"/>
  <c r="H1194" i="1"/>
  <c r="Q1193" i="1"/>
  <c r="P1193" i="1"/>
  <c r="O1193" i="1"/>
  <c r="N1193" i="1"/>
  <c r="M1193" i="1"/>
  <c r="L1193" i="1"/>
  <c r="K1193" i="1"/>
  <c r="J1193" i="1"/>
  <c r="I1193" i="1"/>
  <c r="H1193" i="1"/>
  <c r="Q1192" i="1"/>
  <c r="P1192" i="1"/>
  <c r="O1192" i="1"/>
  <c r="N1192" i="1"/>
  <c r="M1192" i="1"/>
  <c r="L1192" i="1"/>
  <c r="K1192" i="1"/>
  <c r="J1192" i="1"/>
  <c r="I1192" i="1"/>
  <c r="H1192" i="1"/>
  <c r="Q1191" i="1"/>
  <c r="P1191" i="1"/>
  <c r="O1191" i="1"/>
  <c r="N1191" i="1"/>
  <c r="M1191" i="1"/>
  <c r="L1191" i="1"/>
  <c r="K1191" i="1"/>
  <c r="J1191" i="1"/>
  <c r="I1191" i="1"/>
  <c r="H1191" i="1"/>
  <c r="Q1190" i="1"/>
  <c r="P1190" i="1"/>
  <c r="O1190" i="1"/>
  <c r="N1190" i="1"/>
  <c r="H1190" i="1"/>
  <c r="Q1189" i="1"/>
  <c r="P1189" i="1"/>
  <c r="O1189" i="1"/>
  <c r="N1189" i="1"/>
  <c r="M1189" i="1"/>
  <c r="L1189" i="1"/>
  <c r="K1189" i="1"/>
  <c r="J1189" i="1"/>
  <c r="I1189" i="1"/>
  <c r="H1189" i="1"/>
  <c r="Q1188" i="1"/>
  <c r="P1188" i="1"/>
  <c r="O1188" i="1"/>
  <c r="N1188" i="1"/>
  <c r="M1188" i="1"/>
  <c r="L1188" i="1"/>
  <c r="K1188" i="1"/>
  <c r="J1188" i="1"/>
  <c r="I1188" i="1"/>
  <c r="H1188" i="1"/>
  <c r="Q1187" i="1"/>
  <c r="P1187" i="1"/>
  <c r="O1187" i="1"/>
  <c r="N1187" i="1"/>
  <c r="M1187" i="1"/>
  <c r="L1187" i="1"/>
  <c r="K1187" i="1"/>
  <c r="J1187" i="1"/>
  <c r="I1187" i="1"/>
  <c r="H1187" i="1"/>
  <c r="Q1186" i="1"/>
  <c r="P1186" i="1"/>
  <c r="O1186" i="1"/>
  <c r="N1186" i="1"/>
  <c r="H1186" i="1"/>
  <c r="Q1185" i="1"/>
  <c r="P1185" i="1"/>
  <c r="O1185" i="1"/>
  <c r="N1185" i="1"/>
  <c r="H1185" i="1"/>
  <c r="Q1184" i="1"/>
  <c r="P1184" i="1"/>
  <c r="O1184" i="1"/>
  <c r="N1184" i="1"/>
  <c r="M1184" i="1"/>
  <c r="L1184" i="1"/>
  <c r="K1184" i="1"/>
  <c r="J1184" i="1"/>
  <c r="I1184" i="1"/>
  <c r="H1184" i="1"/>
  <c r="Q1183" i="1"/>
  <c r="P1183" i="1"/>
  <c r="O1183" i="1"/>
  <c r="N1183" i="1"/>
  <c r="M1183" i="1"/>
  <c r="L1183" i="1"/>
  <c r="K1183" i="1"/>
  <c r="J1183" i="1"/>
  <c r="I1183" i="1"/>
  <c r="H1183" i="1"/>
  <c r="Q1182" i="1"/>
  <c r="P1182" i="1"/>
  <c r="O1182" i="1"/>
  <c r="N1182" i="1"/>
  <c r="H1182" i="1"/>
  <c r="Q1181" i="1"/>
  <c r="P1181" i="1"/>
  <c r="O1181" i="1"/>
  <c r="N1181" i="1"/>
  <c r="M1181" i="1"/>
  <c r="L1181" i="1"/>
  <c r="K1181" i="1"/>
  <c r="J1181" i="1"/>
  <c r="I1181" i="1"/>
  <c r="H1181" i="1"/>
  <c r="Q1180" i="1"/>
  <c r="P1180" i="1"/>
  <c r="O1180" i="1"/>
  <c r="N1180" i="1"/>
  <c r="M1180" i="1"/>
  <c r="L1180" i="1"/>
  <c r="K1180" i="1"/>
  <c r="J1180" i="1"/>
  <c r="I1180" i="1"/>
  <c r="H1180" i="1"/>
  <c r="Q1179" i="1"/>
  <c r="P1179" i="1"/>
  <c r="O1179" i="1"/>
  <c r="N1179" i="1"/>
  <c r="M1179" i="1"/>
  <c r="L1179" i="1"/>
  <c r="K1179" i="1"/>
  <c r="J1179" i="1"/>
  <c r="I1179" i="1"/>
  <c r="H1179" i="1"/>
  <c r="U1147" i="1"/>
  <c r="U1146" i="1"/>
  <c r="Q1121" i="1"/>
  <c r="P1121" i="1"/>
  <c r="O1121" i="1"/>
  <c r="Q1120" i="1"/>
  <c r="P1120" i="1"/>
  <c r="O1120" i="1"/>
  <c r="Q1119" i="1"/>
  <c r="P1119" i="1"/>
  <c r="O1119" i="1"/>
  <c r="Q1118" i="1"/>
  <c r="P1118" i="1"/>
  <c r="O1118" i="1"/>
  <c r="Q1117" i="1"/>
  <c r="P1117" i="1"/>
  <c r="O1117" i="1"/>
  <c r="Q1116" i="1"/>
  <c r="P1116" i="1"/>
  <c r="O1116" i="1"/>
  <c r="Q1115" i="1"/>
  <c r="P1115" i="1"/>
  <c r="O1115" i="1"/>
  <c r="Q1114" i="1"/>
  <c r="P1114" i="1"/>
  <c r="O1114" i="1"/>
  <c r="Q1113" i="1"/>
  <c r="P1113" i="1"/>
  <c r="O1113" i="1"/>
  <c r="Q1112" i="1"/>
  <c r="P1112" i="1"/>
  <c r="O1112" i="1"/>
  <c r="Q1111" i="1"/>
  <c r="P1111" i="1"/>
  <c r="O1111" i="1"/>
  <c r="Q1110" i="1"/>
  <c r="P1110" i="1"/>
  <c r="O1110" i="1"/>
  <c r="Q1109" i="1"/>
  <c r="P1109" i="1"/>
  <c r="O1109" i="1"/>
  <c r="Q1108" i="1"/>
  <c r="P1108" i="1"/>
  <c r="O1108" i="1"/>
  <c r="Q1107" i="1"/>
  <c r="P1107" i="1"/>
  <c r="O1107" i="1"/>
  <c r="Q1106" i="1"/>
  <c r="P1106" i="1"/>
  <c r="O1106" i="1"/>
  <c r="Q1105" i="1"/>
  <c r="P1105" i="1"/>
  <c r="O1105" i="1"/>
  <c r="Q1104" i="1"/>
  <c r="P1104" i="1"/>
  <c r="O1104" i="1"/>
  <c r="N1103" i="1"/>
  <c r="M1103" i="1"/>
  <c r="L1103" i="1"/>
  <c r="K1103" i="1"/>
  <c r="J1103" i="1"/>
  <c r="I1103" i="1"/>
  <c r="H1103" i="1"/>
  <c r="N1102" i="1"/>
  <c r="M1102" i="1"/>
  <c r="L1102" i="1"/>
  <c r="K1102" i="1"/>
  <c r="J1102" i="1"/>
  <c r="I1102" i="1"/>
  <c r="H1102" i="1"/>
  <c r="N1101" i="1"/>
  <c r="M1101" i="1"/>
  <c r="L1101" i="1"/>
  <c r="K1101" i="1"/>
  <c r="J1101" i="1"/>
  <c r="I1101" i="1"/>
  <c r="H1101" i="1"/>
  <c r="N1100" i="1"/>
  <c r="M1100" i="1"/>
  <c r="L1100" i="1"/>
  <c r="K1100" i="1"/>
  <c r="J1100" i="1"/>
  <c r="I1100" i="1"/>
  <c r="H1100" i="1"/>
  <c r="N1099" i="1"/>
  <c r="M1099" i="1"/>
  <c r="L1099" i="1"/>
  <c r="K1099" i="1"/>
  <c r="J1099" i="1"/>
  <c r="I1099" i="1"/>
  <c r="H1099" i="1"/>
  <c r="N1098" i="1"/>
  <c r="M1098" i="1"/>
  <c r="L1098" i="1"/>
  <c r="K1098" i="1"/>
  <c r="J1098" i="1"/>
  <c r="I1098" i="1"/>
  <c r="H1098" i="1"/>
  <c r="N1097" i="1"/>
  <c r="M1097" i="1"/>
  <c r="L1097" i="1"/>
  <c r="K1097" i="1"/>
  <c r="J1097" i="1"/>
  <c r="I1097" i="1"/>
  <c r="H1097" i="1"/>
  <c r="N1096" i="1"/>
  <c r="M1096" i="1"/>
  <c r="L1096" i="1"/>
  <c r="K1096" i="1"/>
  <c r="J1096" i="1"/>
  <c r="I1096" i="1"/>
  <c r="H1096" i="1"/>
  <c r="N1095" i="1"/>
  <c r="M1095" i="1"/>
  <c r="L1095" i="1"/>
  <c r="K1095" i="1"/>
  <c r="J1095" i="1"/>
  <c r="I1095" i="1"/>
  <c r="H1095" i="1"/>
  <c r="N1094" i="1"/>
  <c r="M1094" i="1"/>
  <c r="L1094" i="1"/>
  <c r="K1094" i="1"/>
  <c r="J1094" i="1"/>
  <c r="I1094" i="1"/>
  <c r="H1094" i="1"/>
  <c r="N1093" i="1"/>
  <c r="M1093" i="1"/>
  <c r="L1093" i="1"/>
  <c r="K1093" i="1"/>
  <c r="J1093" i="1"/>
  <c r="I1093" i="1"/>
  <c r="H1093" i="1"/>
  <c r="N1092" i="1"/>
  <c r="M1092" i="1"/>
  <c r="L1092" i="1"/>
  <c r="K1092" i="1"/>
  <c r="J1092" i="1"/>
  <c r="I1092" i="1"/>
  <c r="H1092" i="1"/>
  <c r="N1091" i="1"/>
  <c r="M1091" i="1"/>
  <c r="L1091" i="1"/>
  <c r="K1091" i="1"/>
  <c r="J1091" i="1"/>
  <c r="I1091" i="1"/>
  <c r="H1091" i="1"/>
  <c r="N1090" i="1"/>
  <c r="M1090" i="1"/>
  <c r="L1090" i="1"/>
  <c r="K1090" i="1"/>
  <c r="J1090" i="1"/>
  <c r="I1090" i="1"/>
  <c r="H1090" i="1"/>
  <c r="N1089" i="1"/>
  <c r="M1089" i="1"/>
  <c r="L1089" i="1"/>
  <c r="K1089" i="1"/>
  <c r="J1089" i="1"/>
  <c r="I1089" i="1"/>
  <c r="H1089" i="1"/>
  <c r="N1088" i="1"/>
  <c r="M1088" i="1"/>
  <c r="L1088" i="1"/>
  <c r="K1088" i="1"/>
  <c r="J1088" i="1"/>
  <c r="I1088" i="1"/>
  <c r="H1088" i="1"/>
  <c r="N1087" i="1"/>
  <c r="M1087" i="1"/>
  <c r="L1087" i="1"/>
  <c r="K1087" i="1"/>
  <c r="J1087" i="1"/>
  <c r="I1087" i="1"/>
  <c r="H1087" i="1"/>
  <c r="N1086" i="1"/>
  <c r="M1086" i="1"/>
  <c r="L1086" i="1"/>
  <c r="K1086" i="1"/>
  <c r="J1086" i="1"/>
  <c r="I1086" i="1"/>
  <c r="H1086" i="1"/>
  <c r="Q1085" i="1"/>
  <c r="P1085" i="1"/>
  <c r="O1085" i="1"/>
  <c r="Q1084" i="1"/>
  <c r="P1084" i="1"/>
  <c r="O1084" i="1"/>
  <c r="Q1083" i="1"/>
  <c r="P1083" i="1"/>
  <c r="O1083" i="1"/>
  <c r="Q1082" i="1"/>
  <c r="P1082" i="1"/>
  <c r="O1082" i="1"/>
  <c r="Q1081" i="1"/>
  <c r="P1081" i="1"/>
  <c r="O1081" i="1"/>
  <c r="Q1080" i="1"/>
  <c r="P1080" i="1"/>
  <c r="O1080" i="1"/>
  <c r="Q1079" i="1"/>
  <c r="P1079" i="1"/>
  <c r="O1079" i="1"/>
  <c r="Q1078" i="1"/>
  <c r="P1078" i="1"/>
  <c r="O1078" i="1"/>
  <c r="Q1077" i="1"/>
  <c r="P1077" i="1"/>
  <c r="O1077" i="1"/>
  <c r="Q1076" i="1"/>
  <c r="P1076" i="1"/>
  <c r="O1076" i="1"/>
  <c r="Q1075" i="1"/>
  <c r="P1075" i="1"/>
  <c r="O1075" i="1"/>
  <c r="Q1074" i="1"/>
  <c r="P1074" i="1"/>
  <c r="O1074" i="1"/>
  <c r="Q1073" i="1"/>
  <c r="P1073" i="1"/>
  <c r="O1073" i="1"/>
  <c r="Q1072" i="1"/>
  <c r="P1072" i="1"/>
  <c r="O1072" i="1"/>
  <c r="Q1071" i="1"/>
  <c r="P1071" i="1"/>
  <c r="O1071" i="1"/>
  <c r="Q1070" i="1"/>
  <c r="P1070" i="1"/>
  <c r="O1070" i="1"/>
  <c r="Q1069" i="1"/>
  <c r="P1069" i="1"/>
  <c r="O1069" i="1"/>
  <c r="Q1068" i="1"/>
  <c r="P1068" i="1"/>
  <c r="O1068" i="1"/>
  <c r="Q1067" i="1"/>
  <c r="P1067" i="1"/>
  <c r="O1067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Q1044" i="1"/>
  <c r="P1044" i="1"/>
  <c r="O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N1023" i="1"/>
  <c r="M1023" i="1"/>
  <c r="L1023" i="1"/>
  <c r="K1023" i="1"/>
  <c r="J1023" i="1"/>
  <c r="N1022" i="1"/>
  <c r="M1022" i="1"/>
  <c r="L1022" i="1"/>
  <c r="K1022" i="1"/>
  <c r="J1022" i="1"/>
  <c r="N1021" i="1"/>
  <c r="M1021" i="1"/>
  <c r="L1021" i="1"/>
  <c r="K1021" i="1"/>
  <c r="J1021" i="1"/>
  <c r="R1020" i="1"/>
  <c r="R1019" i="1"/>
  <c r="R1018" i="1"/>
  <c r="N1017" i="1"/>
  <c r="M1017" i="1"/>
  <c r="L1017" i="1"/>
  <c r="K1017" i="1"/>
  <c r="J1017" i="1"/>
  <c r="N1016" i="1"/>
  <c r="M1016" i="1"/>
  <c r="L1016" i="1"/>
  <c r="K1016" i="1"/>
  <c r="J1016" i="1"/>
  <c r="R1015" i="1"/>
  <c r="N1014" i="1"/>
  <c r="M1014" i="1"/>
  <c r="L1014" i="1"/>
  <c r="K1014" i="1"/>
  <c r="J1014" i="1"/>
  <c r="N1013" i="1"/>
  <c r="M1013" i="1"/>
  <c r="L1013" i="1"/>
  <c r="K1013" i="1"/>
  <c r="J1013" i="1"/>
  <c r="R1012" i="1"/>
  <c r="R1011" i="1"/>
  <c r="N1009" i="1"/>
  <c r="M1009" i="1"/>
  <c r="L1009" i="1"/>
  <c r="K1009" i="1"/>
  <c r="J1009" i="1"/>
  <c r="J1176" i="1" s="1"/>
  <c r="I1009" i="1"/>
  <c r="H1009" i="1"/>
  <c r="N1008" i="1"/>
  <c r="M1008" i="1"/>
  <c r="M1175" i="1" s="1"/>
  <c r="L1008" i="1"/>
  <c r="K1008" i="1"/>
  <c r="J1008" i="1"/>
  <c r="J1175" i="1" s="1"/>
  <c r="I1008" i="1"/>
  <c r="I1175" i="1" s="1"/>
  <c r="H1008" i="1"/>
  <c r="N1007" i="1"/>
  <c r="N1174" i="1" s="1"/>
  <c r="M1007" i="1"/>
  <c r="L1007" i="1"/>
  <c r="K1007" i="1"/>
  <c r="J1007" i="1"/>
  <c r="J1174" i="1" s="1"/>
  <c r="I1007" i="1"/>
  <c r="H1007" i="1"/>
  <c r="N1006" i="1"/>
  <c r="M1006" i="1"/>
  <c r="L1006" i="1"/>
  <c r="K1006" i="1"/>
  <c r="K1118" i="1" s="1"/>
  <c r="J1006" i="1"/>
  <c r="J1173" i="1" s="1"/>
  <c r="I1006" i="1"/>
  <c r="H1006" i="1"/>
  <c r="N1005" i="1"/>
  <c r="I1005" i="1"/>
  <c r="H1005" i="1"/>
  <c r="N1004" i="1"/>
  <c r="N1171" i="1" s="1"/>
  <c r="I1004" i="1"/>
  <c r="H1004" i="1"/>
  <c r="N1003" i="1"/>
  <c r="I1003" i="1"/>
  <c r="I1170" i="1" s="1"/>
  <c r="H1003" i="1"/>
  <c r="N1002" i="1"/>
  <c r="I1002" i="1"/>
  <c r="H1002" i="1"/>
  <c r="N1001" i="1"/>
  <c r="M1001" i="1"/>
  <c r="L1001" i="1"/>
  <c r="K1001" i="1"/>
  <c r="K1168" i="1" s="1"/>
  <c r="J1001" i="1"/>
  <c r="I1001" i="1"/>
  <c r="H1001" i="1"/>
  <c r="N1000" i="1"/>
  <c r="N1167" i="1" s="1"/>
  <c r="M1000" i="1"/>
  <c r="L1000" i="1"/>
  <c r="K1000" i="1"/>
  <c r="K1167" i="1" s="1"/>
  <c r="J1000" i="1"/>
  <c r="J1167" i="1" s="1"/>
  <c r="I1000" i="1"/>
  <c r="H1000" i="1"/>
  <c r="N999" i="1"/>
  <c r="I999" i="1"/>
  <c r="I1166" i="1" s="1"/>
  <c r="H999" i="1"/>
  <c r="N998" i="1"/>
  <c r="I998" i="1"/>
  <c r="H998" i="1"/>
  <c r="N997" i="1"/>
  <c r="I997" i="1"/>
  <c r="H997" i="1"/>
  <c r="N996" i="1"/>
  <c r="N1163" i="1" s="1"/>
  <c r="M996" i="1"/>
  <c r="L996" i="1"/>
  <c r="K996" i="1"/>
  <c r="K1163" i="1" s="1"/>
  <c r="J996" i="1"/>
  <c r="J1163" i="1" s="1"/>
  <c r="I996" i="1"/>
  <c r="H996" i="1"/>
  <c r="N995" i="1"/>
  <c r="I995" i="1"/>
  <c r="I1162" i="1" s="1"/>
  <c r="H995" i="1"/>
  <c r="N994" i="1"/>
  <c r="I994" i="1"/>
  <c r="H994" i="1"/>
  <c r="N993" i="1"/>
  <c r="M993" i="1"/>
  <c r="L993" i="1"/>
  <c r="K993" i="1"/>
  <c r="K1160" i="1" s="1"/>
  <c r="J993" i="1"/>
  <c r="I993" i="1"/>
  <c r="H993" i="1"/>
  <c r="N992" i="1"/>
  <c r="N1159" i="1" s="1"/>
  <c r="M992" i="1"/>
  <c r="L992" i="1"/>
  <c r="L1104" i="1" s="1"/>
  <c r="K992" i="1"/>
  <c r="K1159" i="1" s="1"/>
  <c r="J992" i="1"/>
  <c r="J1159" i="1" s="1"/>
  <c r="I992" i="1"/>
  <c r="H992" i="1"/>
  <c r="Q991" i="1"/>
  <c r="Q1158" i="1" s="1"/>
  <c r="P991" i="1"/>
  <c r="O991" i="1"/>
  <c r="Q990" i="1"/>
  <c r="P990" i="1"/>
  <c r="P1157" i="1" s="1"/>
  <c r="O990" i="1"/>
  <c r="Q989" i="1"/>
  <c r="P989" i="1"/>
  <c r="O989" i="1"/>
  <c r="O1156" i="1" s="1"/>
  <c r="Q988" i="1"/>
  <c r="P988" i="1"/>
  <c r="O988" i="1"/>
  <c r="Q983" i="1"/>
  <c r="Q1150" i="1" s="1"/>
  <c r="P983" i="1"/>
  <c r="O983" i="1"/>
  <c r="Q982" i="1"/>
  <c r="P982" i="1"/>
  <c r="P1149" i="1" s="1"/>
  <c r="O982" i="1"/>
  <c r="Q978" i="1"/>
  <c r="Q1145" i="1" s="1"/>
  <c r="P978" i="1"/>
  <c r="P1145" i="1" s="1"/>
  <c r="O978" i="1"/>
  <c r="Q975" i="1"/>
  <c r="Q1142" i="1" s="1"/>
  <c r="P975" i="1"/>
  <c r="O975" i="1"/>
  <c r="Q974" i="1"/>
  <c r="Q1141" i="1" s="1"/>
  <c r="P974" i="1"/>
  <c r="P1086" i="1" s="1"/>
  <c r="O974" i="1"/>
  <c r="N973" i="1"/>
  <c r="N1085" i="1" s="1"/>
  <c r="M973" i="1"/>
  <c r="M1085" i="1" s="1"/>
  <c r="L973" i="1"/>
  <c r="L1085" i="1" s="1"/>
  <c r="K973" i="1"/>
  <c r="K1085" i="1" s="1"/>
  <c r="J973" i="1"/>
  <c r="J1085" i="1" s="1"/>
  <c r="I973" i="1"/>
  <c r="I1085" i="1" s="1"/>
  <c r="H973" i="1"/>
  <c r="N972" i="1"/>
  <c r="N1140" i="1" s="1"/>
  <c r="M972" i="1"/>
  <c r="L972" i="1"/>
  <c r="L1140" i="1" s="1"/>
  <c r="K972" i="1"/>
  <c r="K1140" i="1" s="1"/>
  <c r="J972" i="1"/>
  <c r="J1140" i="1" s="1"/>
  <c r="I972" i="1"/>
  <c r="H972" i="1"/>
  <c r="H1140" i="1" s="1"/>
  <c r="N971" i="1"/>
  <c r="N1139" i="1" s="1"/>
  <c r="M971" i="1"/>
  <c r="M1139" i="1" s="1"/>
  <c r="L971" i="1"/>
  <c r="K971" i="1"/>
  <c r="K1139" i="1" s="1"/>
  <c r="J971" i="1"/>
  <c r="J1139" i="1" s="1"/>
  <c r="I971" i="1"/>
  <c r="I1139" i="1" s="1"/>
  <c r="H971" i="1"/>
  <c r="N970" i="1"/>
  <c r="N1138" i="1" s="1"/>
  <c r="M970" i="1"/>
  <c r="M1138" i="1" s="1"/>
  <c r="L970" i="1"/>
  <c r="L1138" i="1" s="1"/>
  <c r="K970" i="1"/>
  <c r="J970" i="1"/>
  <c r="J1138" i="1" s="1"/>
  <c r="I970" i="1"/>
  <c r="I1138" i="1" s="1"/>
  <c r="H970" i="1"/>
  <c r="H1138" i="1" s="1"/>
  <c r="N969" i="1"/>
  <c r="M969" i="1"/>
  <c r="M1137" i="1" s="1"/>
  <c r="L969" i="1"/>
  <c r="L1137" i="1" s="1"/>
  <c r="K969" i="1"/>
  <c r="K1137" i="1" s="1"/>
  <c r="J969" i="1"/>
  <c r="I969" i="1"/>
  <c r="I1081" i="1" s="1"/>
  <c r="H969" i="1"/>
  <c r="H1137" i="1" s="1"/>
  <c r="N964" i="1"/>
  <c r="N1132" i="1" s="1"/>
  <c r="M964" i="1"/>
  <c r="L964" i="1"/>
  <c r="L1132" i="1" s="1"/>
  <c r="K964" i="1"/>
  <c r="K1132" i="1" s="1"/>
  <c r="J964" i="1"/>
  <c r="J1132" i="1" s="1"/>
  <c r="I964" i="1"/>
  <c r="I1076" i="1" s="1"/>
  <c r="H964" i="1"/>
  <c r="H1132" i="1" s="1"/>
  <c r="N963" i="1"/>
  <c r="N1131" i="1" s="1"/>
  <c r="M963" i="1"/>
  <c r="M1131" i="1" s="1"/>
  <c r="L963" i="1"/>
  <c r="K963" i="1"/>
  <c r="K1131" i="1" s="1"/>
  <c r="J963" i="1"/>
  <c r="J1131" i="1" s="1"/>
  <c r="I963" i="1"/>
  <c r="I1131" i="1" s="1"/>
  <c r="H963" i="1"/>
  <c r="N959" i="1"/>
  <c r="N1127" i="1" s="1"/>
  <c r="M959" i="1"/>
  <c r="M1127" i="1" s="1"/>
  <c r="L959" i="1"/>
  <c r="K959" i="1"/>
  <c r="K1127" i="1" s="1"/>
  <c r="J959" i="1"/>
  <c r="J1127" i="1" s="1"/>
  <c r="I959" i="1"/>
  <c r="I1127" i="1" s="1"/>
  <c r="H959" i="1"/>
  <c r="N956" i="1"/>
  <c r="N1124" i="1" s="1"/>
  <c r="M956" i="1"/>
  <c r="L956" i="1"/>
  <c r="L1124" i="1" s="1"/>
  <c r="K956" i="1"/>
  <c r="K1124" i="1" s="1"/>
  <c r="J956" i="1"/>
  <c r="J1124" i="1" s="1"/>
  <c r="I956" i="1"/>
  <c r="I1068" i="1" s="1"/>
  <c r="H956" i="1"/>
  <c r="H1124" i="1" s="1"/>
  <c r="N955" i="1"/>
  <c r="N1123" i="1" s="1"/>
  <c r="M955" i="1"/>
  <c r="L955" i="1"/>
  <c r="L1123" i="1" s="1"/>
  <c r="K955" i="1"/>
  <c r="K1123" i="1" s="1"/>
  <c r="J955" i="1"/>
  <c r="J1123" i="1" s="1"/>
  <c r="I955" i="1"/>
  <c r="H955" i="1"/>
  <c r="H1067" i="1" s="1"/>
  <c r="R954" i="1"/>
  <c r="R953" i="1"/>
  <c r="R952" i="1"/>
  <c r="R951" i="1"/>
  <c r="R950" i="1"/>
  <c r="R949" i="1"/>
  <c r="M948" i="1"/>
  <c r="M1190" i="1" s="1"/>
  <c r="L948" i="1"/>
  <c r="L1190" i="1" s="1"/>
  <c r="K948" i="1"/>
  <c r="K1190" i="1" s="1"/>
  <c r="J948" i="1"/>
  <c r="J1190" i="1" s="1"/>
  <c r="I948" i="1"/>
  <c r="I1190" i="1" s="1"/>
  <c r="R947" i="1"/>
  <c r="R946" i="1"/>
  <c r="R945" i="1"/>
  <c r="M944" i="1"/>
  <c r="M1186" i="1" s="1"/>
  <c r="L944" i="1"/>
  <c r="L1186" i="1" s="1"/>
  <c r="K944" i="1"/>
  <c r="K1186" i="1" s="1"/>
  <c r="J944" i="1"/>
  <c r="J1186" i="1" s="1"/>
  <c r="I944" i="1"/>
  <c r="I1186" i="1" s="1"/>
  <c r="M943" i="1"/>
  <c r="M1185" i="1" s="1"/>
  <c r="L943" i="1"/>
  <c r="L1185" i="1" s="1"/>
  <c r="K943" i="1"/>
  <c r="K1185" i="1" s="1"/>
  <c r="J943" i="1"/>
  <c r="J1185" i="1" s="1"/>
  <c r="I943" i="1"/>
  <c r="I1185" i="1" s="1"/>
  <c r="R942" i="1"/>
  <c r="R941" i="1"/>
  <c r="M940" i="1"/>
  <c r="M1182" i="1" s="1"/>
  <c r="L940" i="1"/>
  <c r="L1182" i="1" s="1"/>
  <c r="K940" i="1"/>
  <c r="K1182" i="1" s="1"/>
  <c r="J940" i="1"/>
  <c r="J1182" i="1" s="1"/>
  <c r="I940" i="1"/>
  <c r="I1182" i="1" s="1"/>
  <c r="R939" i="1"/>
  <c r="R938" i="1"/>
  <c r="R937" i="1"/>
  <c r="R936" i="1"/>
  <c r="R1216" i="1" s="1"/>
  <c r="R935" i="1"/>
  <c r="R1215" i="1" s="1"/>
  <c r="R934" i="1"/>
  <c r="R1214" i="1" s="1"/>
  <c r="R933" i="1"/>
  <c r="R1213" i="1" s="1"/>
  <c r="R932" i="1"/>
  <c r="R1212" i="1" s="1"/>
  <c r="R931" i="1"/>
  <c r="R1211" i="1" s="1"/>
  <c r="N930" i="1"/>
  <c r="N1210" i="1" s="1"/>
  <c r="M930" i="1"/>
  <c r="M1210" i="1" s="1"/>
  <c r="L930" i="1"/>
  <c r="L1210" i="1" s="1"/>
  <c r="K930" i="1"/>
  <c r="K1210" i="1" s="1"/>
  <c r="J930" i="1"/>
  <c r="J1210" i="1" s="1"/>
  <c r="N929" i="1"/>
  <c r="N1209" i="1" s="1"/>
  <c r="M929" i="1"/>
  <c r="M1209" i="1" s="1"/>
  <c r="L929" i="1"/>
  <c r="L1209" i="1" s="1"/>
  <c r="K929" i="1"/>
  <c r="K1209" i="1" s="1"/>
  <c r="J929" i="1"/>
  <c r="J1209" i="1" s="1"/>
  <c r="N928" i="1"/>
  <c r="N1208" i="1" s="1"/>
  <c r="M928" i="1"/>
  <c r="M1208" i="1" s="1"/>
  <c r="L928" i="1"/>
  <c r="L1208" i="1" s="1"/>
  <c r="K928" i="1"/>
  <c r="K1208" i="1" s="1"/>
  <c r="J928" i="1"/>
  <c r="J1208" i="1" s="1"/>
  <c r="R927" i="1"/>
  <c r="R1207" i="1" s="1"/>
  <c r="R926" i="1"/>
  <c r="R1206" i="1" s="1"/>
  <c r="R925" i="1"/>
  <c r="R1205" i="1" s="1"/>
  <c r="N924" i="1"/>
  <c r="N1204" i="1" s="1"/>
  <c r="M924" i="1"/>
  <c r="M1204" i="1" s="1"/>
  <c r="L924" i="1"/>
  <c r="L1204" i="1" s="1"/>
  <c r="K924" i="1"/>
  <c r="K1204" i="1" s="1"/>
  <c r="J924" i="1"/>
  <c r="J1204" i="1" s="1"/>
  <c r="N923" i="1"/>
  <c r="N1203" i="1" s="1"/>
  <c r="M923" i="1"/>
  <c r="M1203" i="1" s="1"/>
  <c r="L923" i="1"/>
  <c r="L1203" i="1" s="1"/>
  <c r="K923" i="1"/>
  <c r="K1203" i="1" s="1"/>
  <c r="J923" i="1"/>
  <c r="J1203" i="1" s="1"/>
  <c r="R922" i="1"/>
  <c r="R1202" i="1" s="1"/>
  <c r="N921" i="1"/>
  <c r="N1201" i="1" s="1"/>
  <c r="M921" i="1"/>
  <c r="M1201" i="1" s="1"/>
  <c r="L921" i="1"/>
  <c r="L1201" i="1" s="1"/>
  <c r="K921" i="1"/>
  <c r="K1201" i="1" s="1"/>
  <c r="J921" i="1"/>
  <c r="J1201" i="1" s="1"/>
  <c r="N920" i="1"/>
  <c r="N1200" i="1" s="1"/>
  <c r="M920" i="1"/>
  <c r="M1200" i="1" s="1"/>
  <c r="L920" i="1"/>
  <c r="L1200" i="1" s="1"/>
  <c r="K920" i="1"/>
  <c r="K1200" i="1" s="1"/>
  <c r="J920" i="1"/>
  <c r="J1200" i="1" s="1"/>
  <c r="R919" i="1"/>
  <c r="R1199" i="1" s="1"/>
  <c r="R918" i="1"/>
  <c r="R1198" i="1" s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T864" i="1"/>
  <c r="R864" i="1"/>
  <c r="R863" i="1"/>
  <c r="R862" i="1"/>
  <c r="R861" i="1"/>
  <c r="R860" i="1"/>
  <c r="N859" i="1"/>
  <c r="M859" i="1"/>
  <c r="L859" i="1"/>
  <c r="K859" i="1"/>
  <c r="J859" i="1"/>
  <c r="I859" i="1"/>
  <c r="H859" i="1"/>
  <c r="N858" i="1"/>
  <c r="M858" i="1"/>
  <c r="L858" i="1"/>
  <c r="K858" i="1"/>
  <c r="J858" i="1"/>
  <c r="I858" i="1"/>
  <c r="H858" i="1"/>
  <c r="N857" i="1"/>
  <c r="M857" i="1"/>
  <c r="L857" i="1"/>
  <c r="K857" i="1"/>
  <c r="J857" i="1"/>
  <c r="I857" i="1"/>
  <c r="H857" i="1"/>
  <c r="R856" i="1"/>
  <c r="R855" i="1"/>
  <c r="R854" i="1"/>
  <c r="N853" i="1"/>
  <c r="M853" i="1"/>
  <c r="L853" i="1"/>
  <c r="K853" i="1"/>
  <c r="J853" i="1"/>
  <c r="I853" i="1"/>
  <c r="H853" i="1"/>
  <c r="N852" i="1"/>
  <c r="M852" i="1"/>
  <c r="L852" i="1"/>
  <c r="K852" i="1"/>
  <c r="J852" i="1"/>
  <c r="I852" i="1"/>
  <c r="H852" i="1"/>
  <c r="R851" i="1"/>
  <c r="R850" i="1"/>
  <c r="N849" i="1"/>
  <c r="M849" i="1"/>
  <c r="L849" i="1"/>
  <c r="K849" i="1"/>
  <c r="J849" i="1"/>
  <c r="I849" i="1"/>
  <c r="H849" i="1"/>
  <c r="N848" i="1"/>
  <c r="M848" i="1"/>
  <c r="L848" i="1"/>
  <c r="K848" i="1"/>
  <c r="J848" i="1"/>
  <c r="I848" i="1"/>
  <c r="H848" i="1"/>
  <c r="R847" i="1"/>
  <c r="R846" i="1"/>
  <c r="R845" i="1"/>
  <c r="R844" i="1"/>
  <c r="R843" i="1"/>
  <c r="R842" i="1"/>
  <c r="M841" i="1"/>
  <c r="M1005" i="1" s="1"/>
  <c r="L841" i="1"/>
  <c r="L1005" i="1" s="1"/>
  <c r="K841" i="1"/>
  <c r="K1005" i="1" s="1"/>
  <c r="J841" i="1"/>
  <c r="J1005" i="1" s="1"/>
  <c r="M840" i="1"/>
  <c r="M1004" i="1" s="1"/>
  <c r="L840" i="1"/>
  <c r="L1004" i="1" s="1"/>
  <c r="K840" i="1"/>
  <c r="K1004" i="1" s="1"/>
  <c r="J840" i="1"/>
  <c r="J1004" i="1" s="1"/>
  <c r="M839" i="1"/>
  <c r="M1003" i="1" s="1"/>
  <c r="L839" i="1"/>
  <c r="L1003" i="1" s="1"/>
  <c r="K839" i="1"/>
  <c r="K1003" i="1" s="1"/>
  <c r="J839" i="1"/>
  <c r="M838" i="1"/>
  <c r="M1002" i="1" s="1"/>
  <c r="L838" i="1"/>
  <c r="L1002" i="1" s="1"/>
  <c r="K838" i="1"/>
  <c r="K1002" i="1" s="1"/>
  <c r="J838" i="1"/>
  <c r="J1002" i="1" s="1"/>
  <c r="R837" i="1"/>
  <c r="R836" i="1"/>
  <c r="M835" i="1"/>
  <c r="M999" i="1" s="1"/>
  <c r="L835" i="1"/>
  <c r="L999" i="1" s="1"/>
  <c r="K835" i="1"/>
  <c r="K999" i="1" s="1"/>
  <c r="J835" i="1"/>
  <c r="J999" i="1" s="1"/>
  <c r="M834" i="1"/>
  <c r="M998" i="1" s="1"/>
  <c r="L834" i="1"/>
  <c r="L998" i="1" s="1"/>
  <c r="K834" i="1"/>
  <c r="K998" i="1" s="1"/>
  <c r="J834" i="1"/>
  <c r="M833" i="1"/>
  <c r="M997" i="1" s="1"/>
  <c r="L833" i="1"/>
  <c r="L997" i="1" s="1"/>
  <c r="K833" i="1"/>
  <c r="K997" i="1" s="1"/>
  <c r="K1164" i="1" s="1"/>
  <c r="J833" i="1"/>
  <c r="J997" i="1" s="1"/>
  <c r="R832" i="1"/>
  <c r="M831" i="1"/>
  <c r="M995" i="1" s="1"/>
  <c r="M1162" i="1" s="1"/>
  <c r="L831" i="1"/>
  <c r="L995" i="1" s="1"/>
  <c r="K831" i="1"/>
  <c r="K995" i="1" s="1"/>
  <c r="J831" i="1"/>
  <c r="M830" i="1"/>
  <c r="M994" i="1" s="1"/>
  <c r="L830" i="1"/>
  <c r="L994" i="1" s="1"/>
  <c r="K830" i="1"/>
  <c r="K994" i="1" s="1"/>
  <c r="J830" i="1"/>
  <c r="R829" i="1"/>
  <c r="R828" i="1"/>
  <c r="R827" i="1"/>
  <c r="R826" i="1"/>
  <c r="R825" i="1"/>
  <c r="R824" i="1"/>
  <c r="Q823" i="1"/>
  <c r="Q987" i="1" s="1"/>
  <c r="P823" i="1"/>
  <c r="P987" i="1" s="1"/>
  <c r="O823" i="1"/>
  <c r="Q822" i="1"/>
  <c r="Q986" i="1" s="1"/>
  <c r="P822" i="1"/>
  <c r="P986" i="1" s="1"/>
  <c r="O822" i="1"/>
  <c r="Q821" i="1"/>
  <c r="Q985" i="1" s="1"/>
  <c r="P821" i="1"/>
  <c r="P985" i="1" s="1"/>
  <c r="O821" i="1"/>
  <c r="O985" i="1" s="1"/>
  <c r="Q820" i="1"/>
  <c r="Q984" i="1" s="1"/>
  <c r="P820" i="1"/>
  <c r="P984" i="1" s="1"/>
  <c r="O820" i="1"/>
  <c r="R819" i="1"/>
  <c r="R818" i="1"/>
  <c r="Q817" i="1"/>
  <c r="Q981" i="1" s="1"/>
  <c r="P817" i="1"/>
  <c r="P981" i="1" s="1"/>
  <c r="O817" i="1"/>
  <c r="O981" i="1" s="1"/>
  <c r="Q816" i="1"/>
  <c r="Q980" i="1" s="1"/>
  <c r="P816" i="1"/>
  <c r="P980" i="1" s="1"/>
  <c r="O816" i="1"/>
  <c r="O980" i="1" s="1"/>
  <c r="Q815" i="1"/>
  <c r="Q979" i="1" s="1"/>
  <c r="P815" i="1"/>
  <c r="P979" i="1" s="1"/>
  <c r="O815" i="1"/>
  <c r="O979" i="1" s="1"/>
  <c r="R814" i="1"/>
  <c r="Q813" i="1"/>
  <c r="Q977" i="1" s="1"/>
  <c r="P813" i="1"/>
  <c r="O813" i="1"/>
  <c r="O977" i="1" s="1"/>
  <c r="Q812" i="1"/>
  <c r="Q976" i="1" s="1"/>
  <c r="P812" i="1"/>
  <c r="P976" i="1" s="1"/>
  <c r="O812" i="1"/>
  <c r="O976" i="1" s="1"/>
  <c r="R811" i="1"/>
  <c r="R810" i="1"/>
  <c r="R809" i="1"/>
  <c r="R808" i="1"/>
  <c r="R807" i="1"/>
  <c r="R806" i="1"/>
  <c r="N805" i="1"/>
  <c r="M805" i="1"/>
  <c r="L805" i="1"/>
  <c r="K805" i="1"/>
  <c r="J805" i="1"/>
  <c r="I805" i="1"/>
  <c r="H805" i="1"/>
  <c r="N804" i="1"/>
  <c r="M804" i="1"/>
  <c r="L804" i="1"/>
  <c r="K804" i="1"/>
  <c r="J804" i="1"/>
  <c r="I804" i="1"/>
  <c r="H804" i="1"/>
  <c r="N803" i="1"/>
  <c r="M803" i="1"/>
  <c r="L803" i="1"/>
  <c r="K803" i="1"/>
  <c r="J803" i="1"/>
  <c r="I803" i="1"/>
  <c r="H803" i="1"/>
  <c r="N802" i="1"/>
  <c r="M802" i="1"/>
  <c r="L802" i="1"/>
  <c r="L965" i="1" s="1"/>
  <c r="L1133" i="1" s="1"/>
  <c r="K802" i="1"/>
  <c r="K965" i="1" s="1"/>
  <c r="J802" i="1"/>
  <c r="I802" i="1"/>
  <c r="H802" i="1"/>
  <c r="H965" i="1" s="1"/>
  <c r="H1133" i="1" s="1"/>
  <c r="R801" i="1"/>
  <c r="R800" i="1"/>
  <c r="N799" i="1"/>
  <c r="M799" i="1"/>
  <c r="L799" i="1"/>
  <c r="K799" i="1"/>
  <c r="J799" i="1"/>
  <c r="I799" i="1"/>
  <c r="H799" i="1"/>
  <c r="N798" i="1"/>
  <c r="M798" i="1"/>
  <c r="L798" i="1"/>
  <c r="K798" i="1"/>
  <c r="J798" i="1"/>
  <c r="I798" i="1"/>
  <c r="H798" i="1"/>
  <c r="N797" i="1"/>
  <c r="M797" i="1"/>
  <c r="L797" i="1"/>
  <c r="K797" i="1"/>
  <c r="J797" i="1"/>
  <c r="I797" i="1"/>
  <c r="I960" i="1" s="1"/>
  <c r="H797" i="1"/>
  <c r="H960" i="1" s="1"/>
  <c r="H1128" i="1" s="1"/>
  <c r="R796" i="1"/>
  <c r="N795" i="1"/>
  <c r="M795" i="1"/>
  <c r="L795" i="1"/>
  <c r="K795" i="1"/>
  <c r="J795" i="1"/>
  <c r="I795" i="1"/>
  <c r="H795" i="1"/>
  <c r="N794" i="1"/>
  <c r="M794" i="1"/>
  <c r="L794" i="1"/>
  <c r="K794" i="1"/>
  <c r="J794" i="1"/>
  <c r="I794" i="1"/>
  <c r="H794" i="1"/>
  <c r="R793" i="1"/>
  <c r="R792" i="1"/>
  <c r="Q780" i="1"/>
  <c r="P780" i="1"/>
  <c r="O780" i="1"/>
  <c r="N780" i="1"/>
  <c r="M780" i="1"/>
  <c r="L778" i="1"/>
  <c r="K778" i="1"/>
  <c r="J778" i="1"/>
  <c r="I778" i="1"/>
  <c r="H778" i="1"/>
  <c r="L777" i="1"/>
  <c r="K777" i="1"/>
  <c r="J777" i="1"/>
  <c r="I777" i="1"/>
  <c r="H777" i="1"/>
  <c r="L776" i="1"/>
  <c r="K776" i="1"/>
  <c r="J776" i="1"/>
  <c r="I776" i="1"/>
  <c r="H776" i="1"/>
  <c r="L775" i="1"/>
  <c r="K775" i="1"/>
  <c r="J775" i="1"/>
  <c r="I775" i="1"/>
  <c r="H775" i="1"/>
  <c r="Q773" i="1"/>
  <c r="P773" i="1"/>
  <c r="O773" i="1"/>
  <c r="N773" i="1"/>
  <c r="M773" i="1"/>
  <c r="L773" i="1"/>
  <c r="K773" i="1"/>
  <c r="J773" i="1"/>
  <c r="I773" i="1"/>
  <c r="H773" i="1"/>
  <c r="R771" i="1"/>
  <c r="R770" i="1"/>
  <c r="R769" i="1"/>
  <c r="R768" i="1"/>
  <c r="Q767" i="1"/>
  <c r="P767" i="1"/>
  <c r="O767" i="1"/>
  <c r="N767" i="1"/>
  <c r="M767" i="1"/>
  <c r="L767" i="1"/>
  <c r="K767" i="1"/>
  <c r="J767" i="1"/>
  <c r="I767" i="1"/>
  <c r="H767" i="1"/>
  <c r="R765" i="1"/>
  <c r="R764" i="1"/>
  <c r="R763" i="1"/>
  <c r="R762" i="1"/>
  <c r="Q761" i="1"/>
  <c r="P761" i="1"/>
  <c r="O761" i="1"/>
  <c r="N761" i="1"/>
  <c r="M761" i="1"/>
  <c r="L761" i="1"/>
  <c r="K761" i="1"/>
  <c r="J761" i="1"/>
  <c r="I761" i="1"/>
  <c r="H761" i="1"/>
  <c r="R759" i="1"/>
  <c r="R758" i="1"/>
  <c r="R757" i="1"/>
  <c r="R756" i="1"/>
  <c r="Q755" i="1"/>
  <c r="P755" i="1"/>
  <c r="O755" i="1"/>
  <c r="N755" i="1"/>
  <c r="M755" i="1"/>
  <c r="L755" i="1"/>
  <c r="K755" i="1"/>
  <c r="J755" i="1"/>
  <c r="I755" i="1"/>
  <c r="H755" i="1"/>
  <c r="R753" i="1"/>
  <c r="R752" i="1"/>
  <c r="R751" i="1"/>
  <c r="R750" i="1"/>
  <c r="Q749" i="1"/>
  <c r="P749" i="1"/>
  <c r="O749" i="1"/>
  <c r="N749" i="1"/>
  <c r="M749" i="1"/>
  <c r="L749" i="1"/>
  <c r="K749" i="1"/>
  <c r="J749" i="1"/>
  <c r="I749" i="1"/>
  <c r="H749" i="1"/>
  <c r="R747" i="1"/>
  <c r="R746" i="1"/>
  <c r="R745" i="1"/>
  <c r="R744" i="1"/>
  <c r="Q743" i="1"/>
  <c r="P743" i="1"/>
  <c r="O743" i="1"/>
  <c r="N743" i="1"/>
  <c r="M743" i="1"/>
  <c r="L743" i="1"/>
  <c r="K743" i="1"/>
  <c r="J743" i="1"/>
  <c r="I743" i="1"/>
  <c r="H743" i="1"/>
  <c r="R741" i="1"/>
  <c r="R740" i="1"/>
  <c r="R739" i="1"/>
  <c r="R738" i="1"/>
  <c r="S719" i="1" l="1"/>
  <c r="S704" i="1"/>
  <c r="N737" i="1"/>
  <c r="J737" i="1"/>
  <c r="I737" i="1"/>
  <c r="L737" i="1"/>
  <c r="K737" i="1"/>
  <c r="M737" i="1"/>
  <c r="S735" i="1"/>
  <c r="S19" i="1"/>
  <c r="K961" i="1"/>
  <c r="K1129" i="1" s="1"/>
  <c r="H962" i="1"/>
  <c r="H1130" i="1" s="1"/>
  <c r="K960" i="1"/>
  <c r="K1128" i="1" s="1"/>
  <c r="H961" i="1"/>
  <c r="H1129" i="1" s="1"/>
  <c r="L961" i="1"/>
  <c r="L1129" i="1" s="1"/>
  <c r="I962" i="1"/>
  <c r="I1074" i="1" s="1"/>
  <c r="M962" i="1"/>
  <c r="M1130" i="1" s="1"/>
  <c r="H967" i="1"/>
  <c r="H1079" i="1" s="1"/>
  <c r="S66" i="1"/>
  <c r="S81" i="1"/>
  <c r="S49" i="1"/>
  <c r="S129" i="1"/>
  <c r="H968" i="1"/>
  <c r="H1136" i="1" s="1"/>
  <c r="L968" i="1"/>
  <c r="L1136" i="1" s="1"/>
  <c r="S96" i="1"/>
  <c r="S34" i="1"/>
  <c r="I957" i="1"/>
  <c r="I1069" i="1" s="1"/>
  <c r="J958" i="1"/>
  <c r="J1126" i="1" s="1"/>
  <c r="N958" i="1"/>
  <c r="N1126" i="1" s="1"/>
  <c r="R1184" i="1"/>
  <c r="S239" i="1"/>
  <c r="S224" i="1"/>
  <c r="S209" i="1"/>
  <c r="S192" i="1"/>
  <c r="S177" i="1"/>
  <c r="S162" i="1"/>
  <c r="S144" i="1"/>
  <c r="S114" i="1"/>
  <c r="I1111" i="1"/>
  <c r="I780" i="1"/>
  <c r="M957" i="1"/>
  <c r="M1069" i="1" s="1"/>
  <c r="J960" i="1"/>
  <c r="J1128" i="1" s="1"/>
  <c r="N960" i="1"/>
  <c r="N1128" i="1" s="1"/>
  <c r="L962" i="1"/>
  <c r="L1130" i="1" s="1"/>
  <c r="N1068" i="1"/>
  <c r="L960" i="1"/>
  <c r="L1128" i="1" s="1"/>
  <c r="J962" i="1"/>
  <c r="J1130" i="1" s="1"/>
  <c r="N962" i="1"/>
  <c r="N1130" i="1" s="1"/>
  <c r="R823" i="1"/>
  <c r="R839" i="1"/>
  <c r="R849" i="1"/>
  <c r="R1023" i="1"/>
  <c r="L957" i="1"/>
  <c r="L1125" i="1" s="1"/>
  <c r="M960" i="1"/>
  <c r="M1072" i="1" s="1"/>
  <c r="K966" i="1"/>
  <c r="K1078" i="1" s="1"/>
  <c r="L967" i="1"/>
  <c r="L1079" i="1" s="1"/>
  <c r="M968" i="1"/>
  <c r="M1080" i="1" s="1"/>
  <c r="R813" i="1"/>
  <c r="R822" i="1"/>
  <c r="R974" i="1"/>
  <c r="T1011" i="1"/>
  <c r="R1016" i="1"/>
  <c r="P1090" i="1"/>
  <c r="O1101" i="1"/>
  <c r="P1102" i="1"/>
  <c r="Q1103" i="1"/>
  <c r="I1124" i="1"/>
  <c r="H966" i="1"/>
  <c r="H1134" i="1" s="1"/>
  <c r="R804" i="1"/>
  <c r="M967" i="1"/>
  <c r="M1135" i="1" s="1"/>
  <c r="J968" i="1"/>
  <c r="J1136" i="1" s="1"/>
  <c r="N968" i="1"/>
  <c r="N1080" i="1" s="1"/>
  <c r="P1094" i="1"/>
  <c r="Q1095" i="1"/>
  <c r="R761" i="1"/>
  <c r="J780" i="1"/>
  <c r="N957" i="1"/>
  <c r="N1125" i="1" s="1"/>
  <c r="J967" i="1"/>
  <c r="J1079" i="1" s="1"/>
  <c r="K968" i="1"/>
  <c r="K1136" i="1" s="1"/>
  <c r="R830" i="1"/>
  <c r="R848" i="1"/>
  <c r="R859" i="1"/>
  <c r="R1013" i="1"/>
  <c r="R1014" i="1"/>
  <c r="R1044" i="1"/>
  <c r="J1083" i="1"/>
  <c r="N1084" i="1"/>
  <c r="I1132" i="1"/>
  <c r="R1180" i="1"/>
  <c r="R1181" i="1"/>
  <c r="R1192" i="1"/>
  <c r="R1196" i="1"/>
  <c r="P977" i="1"/>
  <c r="P1144" i="1" s="1"/>
  <c r="R776" i="1"/>
  <c r="J957" i="1"/>
  <c r="J1125" i="1" s="1"/>
  <c r="R803" i="1"/>
  <c r="R831" i="1"/>
  <c r="R973" i="1"/>
  <c r="K780" i="1"/>
  <c r="R777" i="1"/>
  <c r="K957" i="1"/>
  <c r="K1069" i="1" s="1"/>
  <c r="R795" i="1"/>
  <c r="L958" i="1"/>
  <c r="L1126" i="1" s="1"/>
  <c r="I961" i="1"/>
  <c r="I1073" i="1" s="1"/>
  <c r="M961" i="1"/>
  <c r="R802" i="1"/>
  <c r="M965" i="1"/>
  <c r="M1133" i="1" s="1"/>
  <c r="J966" i="1"/>
  <c r="J1134" i="1" s="1"/>
  <c r="N966" i="1"/>
  <c r="N1078" i="1" s="1"/>
  <c r="K967" i="1"/>
  <c r="K1079" i="1" s="1"/>
  <c r="R812" i="1"/>
  <c r="R834" i="1"/>
  <c r="R853" i="1"/>
  <c r="R858" i="1"/>
  <c r="R948" i="1"/>
  <c r="J994" i="1"/>
  <c r="R994" i="1" s="1"/>
  <c r="R1021" i="1"/>
  <c r="J1071" i="1"/>
  <c r="J1119" i="1"/>
  <c r="P1141" i="1"/>
  <c r="R1183" i="1"/>
  <c r="R1188" i="1"/>
  <c r="R1191" i="1"/>
  <c r="K1067" i="1"/>
  <c r="K1105" i="1"/>
  <c r="R755" i="1"/>
  <c r="K958" i="1"/>
  <c r="K1126" i="1" s="1"/>
  <c r="M966" i="1"/>
  <c r="M1078" i="1" s="1"/>
  <c r="N967" i="1"/>
  <c r="N1079" i="1" s="1"/>
  <c r="R743" i="1"/>
  <c r="R749" i="1"/>
  <c r="R767" i="1"/>
  <c r="R773" i="1"/>
  <c r="H780" i="1"/>
  <c r="L780" i="1"/>
  <c r="R778" i="1"/>
  <c r="T844" i="1"/>
  <c r="I958" i="1"/>
  <c r="I1126" i="1" s="1"/>
  <c r="M958" i="1"/>
  <c r="M1070" i="1" s="1"/>
  <c r="J961" i="1"/>
  <c r="J1129" i="1" s="1"/>
  <c r="N961" i="1"/>
  <c r="N1073" i="1" s="1"/>
  <c r="K962" i="1"/>
  <c r="K1074" i="1" s="1"/>
  <c r="J965" i="1"/>
  <c r="J1077" i="1" s="1"/>
  <c r="N965" i="1"/>
  <c r="N1133" i="1" s="1"/>
  <c r="R805" i="1"/>
  <c r="R816" i="1"/>
  <c r="R820" i="1"/>
  <c r="R852" i="1"/>
  <c r="R857" i="1"/>
  <c r="R1008" i="1"/>
  <c r="R1022" i="1"/>
  <c r="J1075" i="1"/>
  <c r="N1076" i="1"/>
  <c r="I1107" i="1"/>
  <c r="K1113" i="1"/>
  <c r="R1179" i="1"/>
  <c r="R1187" i="1"/>
  <c r="R1195" i="1"/>
  <c r="O1146" i="1"/>
  <c r="R979" i="1"/>
  <c r="O1091" i="1"/>
  <c r="P1147" i="1"/>
  <c r="P1092" i="1"/>
  <c r="Q1152" i="1"/>
  <c r="Q1097" i="1"/>
  <c r="L1165" i="1"/>
  <c r="L1110" i="1"/>
  <c r="J1171" i="1"/>
  <c r="J1116" i="1"/>
  <c r="Q1143" i="1"/>
  <c r="Q1088" i="1"/>
  <c r="M1165" i="1"/>
  <c r="M1110" i="1"/>
  <c r="P1151" i="1"/>
  <c r="P1096" i="1"/>
  <c r="M1161" i="1"/>
  <c r="M1106" i="1"/>
  <c r="J1169" i="1"/>
  <c r="J1114" i="1"/>
  <c r="J1172" i="1"/>
  <c r="J1117" i="1"/>
  <c r="P1146" i="1"/>
  <c r="P1091" i="1"/>
  <c r="Q1151" i="1"/>
  <c r="Q1096" i="1"/>
  <c r="P1154" i="1"/>
  <c r="P1099" i="1"/>
  <c r="M1164" i="1"/>
  <c r="M1109" i="1"/>
  <c r="Q1146" i="1"/>
  <c r="Q1091" i="1"/>
  <c r="R981" i="1"/>
  <c r="O1148" i="1"/>
  <c r="O1093" i="1"/>
  <c r="R985" i="1"/>
  <c r="O1152" i="1"/>
  <c r="O1097" i="1"/>
  <c r="P1153" i="1"/>
  <c r="P1098" i="1"/>
  <c r="Q1154" i="1"/>
  <c r="Q1099" i="1"/>
  <c r="J1164" i="1"/>
  <c r="J1109" i="1"/>
  <c r="J1166" i="1"/>
  <c r="J1111" i="1"/>
  <c r="L1169" i="1"/>
  <c r="L1114" i="1"/>
  <c r="L1115" i="1"/>
  <c r="L1170" i="1"/>
  <c r="L1172" i="1"/>
  <c r="L1117" i="1"/>
  <c r="K1133" i="1"/>
  <c r="K1077" i="1"/>
  <c r="P1143" i="1"/>
  <c r="P1088" i="1"/>
  <c r="Q1148" i="1"/>
  <c r="Q1093" i="1"/>
  <c r="Q1144" i="1"/>
  <c r="Q1089" i="1"/>
  <c r="Q1147" i="1"/>
  <c r="Q1092" i="1"/>
  <c r="M1166" i="1"/>
  <c r="M1111" i="1"/>
  <c r="I1072" i="1"/>
  <c r="I1128" i="1"/>
  <c r="O1144" i="1"/>
  <c r="O1089" i="1"/>
  <c r="L1161" i="1"/>
  <c r="L1106" i="1"/>
  <c r="L1107" i="1"/>
  <c r="L1162" i="1"/>
  <c r="M1169" i="1"/>
  <c r="M1114" i="1"/>
  <c r="M1170" i="1"/>
  <c r="M1115" i="1"/>
  <c r="M1171" i="1"/>
  <c r="M1116" i="1"/>
  <c r="M1172" i="1"/>
  <c r="M1117" i="1"/>
  <c r="R797" i="1"/>
  <c r="R799" i="1"/>
  <c r="L1075" i="1"/>
  <c r="L1131" i="1"/>
  <c r="L966" i="1"/>
  <c r="H1139" i="1"/>
  <c r="H1083" i="1"/>
  <c r="L1139" i="1"/>
  <c r="L1083" i="1"/>
  <c r="P1148" i="1"/>
  <c r="P1093" i="1"/>
  <c r="Q1153" i="1"/>
  <c r="Q1098" i="1"/>
  <c r="M1160" i="1"/>
  <c r="M1105" i="1"/>
  <c r="H1162" i="1"/>
  <c r="H1107" i="1"/>
  <c r="I1165" i="1"/>
  <c r="I1110" i="1"/>
  <c r="I1167" i="1"/>
  <c r="I1112" i="1"/>
  <c r="J1168" i="1"/>
  <c r="J1113" i="1"/>
  <c r="L1116" i="1"/>
  <c r="L1171" i="1"/>
  <c r="N1172" i="1"/>
  <c r="N1117" i="1"/>
  <c r="K1119" i="1"/>
  <c r="K1174" i="1"/>
  <c r="N1175" i="1"/>
  <c r="N1120" i="1"/>
  <c r="M1176" i="1"/>
  <c r="M1121" i="1"/>
  <c r="K1107" i="1"/>
  <c r="K1162" i="1"/>
  <c r="K1111" i="1"/>
  <c r="K1166" i="1"/>
  <c r="H958" i="1"/>
  <c r="H1131" i="1"/>
  <c r="H1075" i="1"/>
  <c r="Q1149" i="1"/>
  <c r="Q1094" i="1"/>
  <c r="P1152" i="1"/>
  <c r="P1097" i="1"/>
  <c r="Q1157" i="1"/>
  <c r="Q1102" i="1"/>
  <c r="I1160" i="1"/>
  <c r="I1105" i="1"/>
  <c r="L1164" i="1"/>
  <c r="L1109" i="1"/>
  <c r="N1165" i="1"/>
  <c r="N1110" i="1"/>
  <c r="M1167" i="1"/>
  <c r="M1112" i="1"/>
  <c r="N1168" i="1"/>
  <c r="N1113" i="1"/>
  <c r="N1170" i="1"/>
  <c r="N1115" i="1"/>
  <c r="I1172" i="1"/>
  <c r="I1117" i="1"/>
  <c r="R1007" i="1"/>
  <c r="I1176" i="1"/>
  <c r="I1121" i="1"/>
  <c r="H1068" i="1"/>
  <c r="H1076" i="1"/>
  <c r="H1084" i="1"/>
  <c r="I1115" i="1"/>
  <c r="R815" i="1"/>
  <c r="R817" i="1"/>
  <c r="R833" i="1"/>
  <c r="K1171" i="1"/>
  <c r="K1116" i="1"/>
  <c r="R841" i="1"/>
  <c r="T843" i="1"/>
  <c r="T845" i="1"/>
  <c r="R920" i="1"/>
  <c r="R1200" i="1" s="1"/>
  <c r="R928" i="1"/>
  <c r="R1208" i="1" s="1"/>
  <c r="R930" i="1"/>
  <c r="R1210" i="1" s="1"/>
  <c r="R940" i="1"/>
  <c r="R943" i="1"/>
  <c r="M1068" i="1"/>
  <c r="M1124" i="1"/>
  <c r="M1076" i="1"/>
  <c r="M1132" i="1"/>
  <c r="I965" i="1"/>
  <c r="I966" i="1"/>
  <c r="I967" i="1"/>
  <c r="I968" i="1"/>
  <c r="I1084" i="1"/>
  <c r="I1140" i="1"/>
  <c r="M1140" i="1"/>
  <c r="M1084" i="1"/>
  <c r="O1141" i="1"/>
  <c r="O1086" i="1"/>
  <c r="O1142" i="1"/>
  <c r="R975" i="1"/>
  <c r="R983" i="1"/>
  <c r="O1150" i="1"/>
  <c r="O1095" i="1"/>
  <c r="O987" i="1"/>
  <c r="P1155" i="1"/>
  <c r="P1100" i="1"/>
  <c r="Q1156" i="1"/>
  <c r="Q1101" i="1"/>
  <c r="R991" i="1"/>
  <c r="O1158" i="1"/>
  <c r="O1103" i="1"/>
  <c r="I1159" i="1"/>
  <c r="I1104" i="1"/>
  <c r="M1159" i="1"/>
  <c r="M1104" i="1"/>
  <c r="J1160" i="1"/>
  <c r="J1105" i="1"/>
  <c r="N1160" i="1"/>
  <c r="N1105" i="1"/>
  <c r="N1162" i="1"/>
  <c r="N1107" i="1"/>
  <c r="H1164" i="1"/>
  <c r="R997" i="1"/>
  <c r="H1109" i="1"/>
  <c r="J998" i="1"/>
  <c r="R998" i="1" s="1"/>
  <c r="H1166" i="1"/>
  <c r="H1111" i="1"/>
  <c r="R999" i="1"/>
  <c r="H1169" i="1"/>
  <c r="R1002" i="1"/>
  <c r="J1003" i="1"/>
  <c r="R1003" i="1" s="1"/>
  <c r="H1171" i="1"/>
  <c r="R1004" i="1"/>
  <c r="H1116" i="1"/>
  <c r="H1173" i="1"/>
  <c r="H1118" i="1"/>
  <c r="R1006" i="1"/>
  <c r="L1118" i="1"/>
  <c r="L1173" i="1"/>
  <c r="H1174" i="1"/>
  <c r="H1119" i="1"/>
  <c r="L1174" i="1"/>
  <c r="L1119" i="1"/>
  <c r="K1175" i="1"/>
  <c r="K1120" i="1"/>
  <c r="N1176" i="1"/>
  <c r="N1121" i="1"/>
  <c r="R1017" i="1"/>
  <c r="L1067" i="1"/>
  <c r="J1068" i="1"/>
  <c r="K1071" i="1"/>
  <c r="K1075" i="1"/>
  <c r="J1076" i="1"/>
  <c r="H1077" i="1"/>
  <c r="H1081" i="1"/>
  <c r="M1081" i="1"/>
  <c r="H1082" i="1"/>
  <c r="M1082" i="1"/>
  <c r="K1083" i="1"/>
  <c r="J1084" i="1"/>
  <c r="H1085" i="1"/>
  <c r="R1085" i="1" s="1"/>
  <c r="Q1086" i="1"/>
  <c r="Q1090" i="1"/>
  <c r="J1104" i="1"/>
  <c r="M1107" i="1"/>
  <c r="J1108" i="1"/>
  <c r="J1112" i="1"/>
  <c r="I1137" i="1"/>
  <c r="R798" i="1"/>
  <c r="R840" i="1"/>
  <c r="R924" i="1"/>
  <c r="R1204" i="1" s="1"/>
  <c r="I1123" i="1"/>
  <c r="I1067" i="1"/>
  <c r="M1067" i="1"/>
  <c r="M1123" i="1"/>
  <c r="H957" i="1"/>
  <c r="H1127" i="1"/>
  <c r="H1071" i="1"/>
  <c r="L1071" i="1"/>
  <c r="L1127" i="1"/>
  <c r="O1143" i="1"/>
  <c r="R976" i="1"/>
  <c r="O1147" i="1"/>
  <c r="R980" i="1"/>
  <c r="O984" i="1"/>
  <c r="O1155" i="1"/>
  <c r="R988" i="1"/>
  <c r="O1100" i="1"/>
  <c r="H1159" i="1"/>
  <c r="R992" i="1"/>
  <c r="H1104" i="1"/>
  <c r="H1072" i="1"/>
  <c r="L1077" i="1"/>
  <c r="L1081" i="1"/>
  <c r="O1088" i="1"/>
  <c r="R775" i="1"/>
  <c r="T792" i="1"/>
  <c r="R838" i="1"/>
  <c r="K1117" i="1"/>
  <c r="K1172" i="1"/>
  <c r="R923" i="1"/>
  <c r="R1203" i="1" s="1"/>
  <c r="R955" i="1"/>
  <c r="J1137" i="1"/>
  <c r="J1081" i="1"/>
  <c r="N1137" i="1"/>
  <c r="N1081" i="1"/>
  <c r="P1142" i="1"/>
  <c r="P1087" i="1"/>
  <c r="O1145" i="1"/>
  <c r="R1145" i="1" s="1"/>
  <c r="O1090" i="1"/>
  <c r="R978" i="1"/>
  <c r="O1149" i="1"/>
  <c r="O1094" i="1"/>
  <c r="R982" i="1"/>
  <c r="P1150" i="1"/>
  <c r="P1095" i="1"/>
  <c r="O986" i="1"/>
  <c r="Q1155" i="1"/>
  <c r="Q1100" i="1"/>
  <c r="O1157" i="1"/>
  <c r="O1102" i="1"/>
  <c r="R990" i="1"/>
  <c r="P1158" i="1"/>
  <c r="P1103" i="1"/>
  <c r="H1161" i="1"/>
  <c r="J995" i="1"/>
  <c r="R995" i="1" s="1"/>
  <c r="H1163" i="1"/>
  <c r="R996" i="1"/>
  <c r="H1108" i="1"/>
  <c r="L1108" i="1"/>
  <c r="L1163" i="1"/>
  <c r="I1164" i="1"/>
  <c r="I1109" i="1"/>
  <c r="N1164" i="1"/>
  <c r="N1109" i="1"/>
  <c r="N1166" i="1"/>
  <c r="N1111" i="1"/>
  <c r="H1168" i="1"/>
  <c r="R1001" i="1"/>
  <c r="H1113" i="1"/>
  <c r="L1168" i="1"/>
  <c r="L1113" i="1"/>
  <c r="I1169" i="1"/>
  <c r="I1114" i="1"/>
  <c r="N1169" i="1"/>
  <c r="N1114" i="1"/>
  <c r="I1171" i="1"/>
  <c r="I1116" i="1"/>
  <c r="I1173" i="1"/>
  <c r="I1118" i="1"/>
  <c r="M1173" i="1"/>
  <c r="M1118" i="1"/>
  <c r="I1174" i="1"/>
  <c r="I1119" i="1"/>
  <c r="M1174" i="1"/>
  <c r="M1119" i="1"/>
  <c r="H1175" i="1"/>
  <c r="H1120" i="1"/>
  <c r="L1175" i="1"/>
  <c r="L1120" i="1"/>
  <c r="K1121" i="1"/>
  <c r="K1176" i="1"/>
  <c r="R1009" i="1"/>
  <c r="N1067" i="1"/>
  <c r="K1068" i="1"/>
  <c r="M1071" i="1"/>
  <c r="M1075" i="1"/>
  <c r="K1076" i="1"/>
  <c r="I1082" i="1"/>
  <c r="N1082" i="1"/>
  <c r="M1083" i="1"/>
  <c r="K1084" i="1"/>
  <c r="O1087" i="1"/>
  <c r="N1104" i="1"/>
  <c r="N1108" i="1"/>
  <c r="N1112" i="1"/>
  <c r="N1116" i="1"/>
  <c r="K1115" i="1"/>
  <c r="K1170" i="1"/>
  <c r="P1156" i="1"/>
  <c r="P1101" i="1"/>
  <c r="L1111" i="1"/>
  <c r="L1166" i="1"/>
  <c r="L1082" i="1"/>
  <c r="R794" i="1"/>
  <c r="R821" i="1"/>
  <c r="K1161" i="1"/>
  <c r="K1106" i="1"/>
  <c r="K1165" i="1"/>
  <c r="K1110" i="1"/>
  <c r="R835" i="1"/>
  <c r="K1169" i="1"/>
  <c r="K1114" i="1"/>
  <c r="T842" i="1"/>
  <c r="R921" i="1"/>
  <c r="R1201" i="1" s="1"/>
  <c r="R929" i="1"/>
  <c r="R1209" i="1" s="1"/>
  <c r="R944" i="1"/>
  <c r="H1123" i="1"/>
  <c r="R956" i="1"/>
  <c r="R959" i="1"/>
  <c r="R963" i="1"/>
  <c r="R964" i="1"/>
  <c r="R969" i="1"/>
  <c r="K1138" i="1"/>
  <c r="R1138" i="1" s="1"/>
  <c r="K1082" i="1"/>
  <c r="R970" i="1"/>
  <c r="R971" i="1"/>
  <c r="R972" i="1"/>
  <c r="R989" i="1"/>
  <c r="H1160" i="1"/>
  <c r="R993" i="1"/>
  <c r="H1105" i="1"/>
  <c r="L1160" i="1"/>
  <c r="L1105" i="1"/>
  <c r="I1161" i="1"/>
  <c r="I1106" i="1"/>
  <c r="N1161" i="1"/>
  <c r="N1106" i="1"/>
  <c r="I1163" i="1"/>
  <c r="I1108" i="1"/>
  <c r="M1163" i="1"/>
  <c r="M1108" i="1"/>
  <c r="H1165" i="1"/>
  <c r="H1167" i="1"/>
  <c r="R1000" i="1"/>
  <c r="H1112" i="1"/>
  <c r="L1112" i="1"/>
  <c r="L1167" i="1"/>
  <c r="I1168" i="1"/>
  <c r="I1113" i="1"/>
  <c r="M1168" i="1"/>
  <c r="M1113" i="1"/>
  <c r="H1170" i="1"/>
  <c r="H1115" i="1"/>
  <c r="H1172" i="1"/>
  <c r="R1005" i="1"/>
  <c r="H1117" i="1"/>
  <c r="N1173" i="1"/>
  <c r="N1118" i="1"/>
  <c r="J1067" i="1"/>
  <c r="L1068" i="1"/>
  <c r="I1071" i="1"/>
  <c r="N1071" i="1"/>
  <c r="I1075" i="1"/>
  <c r="N1075" i="1"/>
  <c r="L1076" i="1"/>
  <c r="K1081" i="1"/>
  <c r="J1082" i="1"/>
  <c r="I1083" i="1"/>
  <c r="N1083" i="1"/>
  <c r="L1084" i="1"/>
  <c r="Q1087" i="1"/>
  <c r="O1092" i="1"/>
  <c r="H1106" i="1"/>
  <c r="K1109" i="1"/>
  <c r="H1110" i="1"/>
  <c r="H1114" i="1"/>
  <c r="J1118" i="1"/>
  <c r="J1120" i="1"/>
  <c r="J1121" i="1"/>
  <c r="L1159" i="1"/>
  <c r="K1104" i="1"/>
  <c r="K1108" i="1"/>
  <c r="K1112" i="1"/>
  <c r="M1120" i="1"/>
  <c r="N1119" i="1"/>
  <c r="T1179" i="1"/>
  <c r="R1185" i="1"/>
  <c r="H1176" i="1"/>
  <c r="H1121" i="1"/>
  <c r="L1176" i="1"/>
  <c r="L1121" i="1"/>
  <c r="I1120" i="1"/>
  <c r="K1173" i="1"/>
  <c r="T1198" i="1"/>
  <c r="R1189" i="1"/>
  <c r="R1193" i="1"/>
  <c r="R1182" i="1"/>
  <c r="R1186" i="1"/>
  <c r="R1190" i="1"/>
  <c r="R1194" i="1"/>
  <c r="U735" i="1" l="1"/>
  <c r="I1130" i="1"/>
  <c r="K1073" i="1"/>
  <c r="T142" i="1"/>
  <c r="H1074" i="1"/>
  <c r="L1073" i="1"/>
  <c r="S737" i="1"/>
  <c r="M1074" i="1"/>
  <c r="K1072" i="1"/>
  <c r="H1135" i="1"/>
  <c r="N1070" i="1"/>
  <c r="H1073" i="1"/>
  <c r="N1136" i="1"/>
  <c r="N1134" i="1"/>
  <c r="K1080" i="1"/>
  <c r="M1126" i="1"/>
  <c r="H1078" i="1"/>
  <c r="R1144" i="1"/>
  <c r="I1070" i="1"/>
  <c r="J1133" i="1"/>
  <c r="T94" i="1"/>
  <c r="U95" i="1" s="1"/>
  <c r="N1074" i="1"/>
  <c r="K1070" i="1"/>
  <c r="L1074" i="1"/>
  <c r="L1135" i="1"/>
  <c r="L1070" i="1"/>
  <c r="J1069" i="1"/>
  <c r="M1077" i="1"/>
  <c r="K1134" i="1"/>
  <c r="N1072" i="1"/>
  <c r="I1125" i="1"/>
  <c r="R1097" i="1"/>
  <c r="L1080" i="1"/>
  <c r="M1128" i="1"/>
  <c r="R1128" i="1" s="1"/>
  <c r="K1135" i="1"/>
  <c r="J1070" i="1"/>
  <c r="J1135" i="1"/>
  <c r="R1124" i="1"/>
  <c r="K1130" i="1"/>
  <c r="J1074" i="1"/>
  <c r="R962" i="1"/>
  <c r="R1127" i="1"/>
  <c r="J1080" i="1"/>
  <c r="H1080" i="1"/>
  <c r="T47" i="1"/>
  <c r="T238" i="1"/>
  <c r="R1156" i="1"/>
  <c r="R1103" i="1"/>
  <c r="R1095" i="1"/>
  <c r="I1129" i="1"/>
  <c r="R1132" i="1"/>
  <c r="M1125" i="1"/>
  <c r="T191" i="1"/>
  <c r="J1078" i="1"/>
  <c r="N1135" i="1"/>
  <c r="M1079" i="1"/>
  <c r="J1072" i="1"/>
  <c r="L1072" i="1"/>
  <c r="R966" i="1"/>
  <c r="R960" i="1"/>
  <c r="J1161" i="1"/>
  <c r="R1161" i="1" s="1"/>
  <c r="N1129" i="1"/>
  <c r="M1134" i="1"/>
  <c r="R1102" i="1"/>
  <c r="R1094" i="1"/>
  <c r="J1073" i="1"/>
  <c r="K1125" i="1"/>
  <c r="Q1177" i="1"/>
  <c r="R1093" i="1"/>
  <c r="R1105" i="1"/>
  <c r="R965" i="1"/>
  <c r="J1106" i="1"/>
  <c r="R1106" i="1" s="1"/>
  <c r="R780" i="1"/>
  <c r="R1143" i="1"/>
  <c r="R1139" i="1"/>
  <c r="M1136" i="1"/>
  <c r="N1077" i="1"/>
  <c r="L1069" i="1"/>
  <c r="R1101" i="1"/>
  <c r="R1090" i="1"/>
  <c r="R1137" i="1"/>
  <c r="R961" i="1"/>
  <c r="R1087" i="1"/>
  <c r="R1155" i="1"/>
  <c r="T918" i="1"/>
  <c r="N1069" i="1"/>
  <c r="M1073" i="1"/>
  <c r="R1121" i="1"/>
  <c r="R1092" i="1"/>
  <c r="R1157" i="1"/>
  <c r="R1149" i="1"/>
  <c r="R1158" i="1"/>
  <c r="R1150" i="1"/>
  <c r="R1086" i="1"/>
  <c r="R1140" i="1"/>
  <c r="M1129" i="1"/>
  <c r="P1089" i="1"/>
  <c r="R1089" i="1" s="1"/>
  <c r="R967" i="1"/>
  <c r="P1177" i="1"/>
  <c r="R1088" i="1"/>
  <c r="R1100" i="1"/>
  <c r="R977" i="1"/>
  <c r="R1091" i="1"/>
  <c r="R1174" i="1"/>
  <c r="R1118" i="1"/>
  <c r="R1171" i="1"/>
  <c r="R1109" i="1"/>
  <c r="R987" i="1"/>
  <c r="O1154" i="1"/>
  <c r="R1154" i="1" s="1"/>
  <c r="O1099" i="1"/>
  <c r="R1099" i="1" s="1"/>
  <c r="I1080" i="1"/>
  <c r="I1136" i="1"/>
  <c r="R1084" i="1"/>
  <c r="R1176" i="1"/>
  <c r="R1114" i="1"/>
  <c r="R1117" i="1"/>
  <c r="R1112" i="1"/>
  <c r="R1123" i="1"/>
  <c r="R1120" i="1"/>
  <c r="R1168" i="1"/>
  <c r="J1162" i="1"/>
  <c r="J1107" i="1"/>
  <c r="R1107" i="1" s="1"/>
  <c r="R1159" i="1"/>
  <c r="O1151" i="1"/>
  <c r="R1151" i="1" s="1"/>
  <c r="R984" i="1"/>
  <c r="O1096" i="1"/>
  <c r="R1096" i="1" s="1"/>
  <c r="H1125" i="1"/>
  <c r="R957" i="1"/>
  <c r="H1069" i="1"/>
  <c r="R1173" i="1"/>
  <c r="J1170" i="1"/>
  <c r="R1170" i="1" s="1"/>
  <c r="J1115" i="1"/>
  <c r="R1115" i="1" s="1"/>
  <c r="R1111" i="1"/>
  <c r="R1142" i="1"/>
  <c r="I1135" i="1"/>
  <c r="I1079" i="1"/>
  <c r="R1076" i="1"/>
  <c r="L1134" i="1"/>
  <c r="L1078" i="1"/>
  <c r="T846" i="1"/>
  <c r="R1067" i="1"/>
  <c r="R1146" i="1"/>
  <c r="R1081" i="1"/>
  <c r="I1134" i="1"/>
  <c r="I1078" i="1"/>
  <c r="R1075" i="1"/>
  <c r="H1126" i="1"/>
  <c r="R958" i="1"/>
  <c r="H1070" i="1"/>
  <c r="R1148" i="1"/>
  <c r="R1163" i="1"/>
  <c r="R1160" i="1"/>
  <c r="T955" i="1"/>
  <c r="W11" i="1"/>
  <c r="X11" i="1" s="1"/>
  <c r="R1108" i="1"/>
  <c r="R1082" i="1"/>
  <c r="R1116" i="1"/>
  <c r="R1166" i="1"/>
  <c r="R1164" i="1"/>
  <c r="R1172" i="1"/>
  <c r="R1167" i="1"/>
  <c r="R968" i="1"/>
  <c r="R1113" i="1"/>
  <c r="O1153" i="1"/>
  <c r="R1153" i="1" s="1"/>
  <c r="O1098" i="1"/>
  <c r="R1098" i="1" s="1"/>
  <c r="R986" i="1"/>
  <c r="R1104" i="1"/>
  <c r="R1147" i="1"/>
  <c r="R1071" i="1"/>
  <c r="R1119" i="1"/>
  <c r="R1169" i="1"/>
  <c r="J1165" i="1"/>
  <c r="R1165" i="1" s="1"/>
  <c r="J1110" i="1"/>
  <c r="R1110" i="1" s="1"/>
  <c r="R1141" i="1"/>
  <c r="I1077" i="1"/>
  <c r="I1133" i="1"/>
  <c r="T937" i="1"/>
  <c r="R1068" i="1"/>
  <c r="R1131" i="1"/>
  <c r="R1083" i="1"/>
  <c r="R1152" i="1"/>
  <c r="R1130" i="1" l="1"/>
  <c r="U378" i="1"/>
  <c r="R1126" i="1"/>
  <c r="R1072" i="1"/>
  <c r="R1133" i="1"/>
  <c r="R1077" i="1"/>
  <c r="R1074" i="1"/>
  <c r="L1177" i="1"/>
  <c r="R1070" i="1"/>
  <c r="R1080" i="1"/>
  <c r="R1073" i="1"/>
  <c r="K1177" i="1"/>
  <c r="M1177" i="1"/>
  <c r="N1177" i="1"/>
  <c r="R1134" i="1"/>
  <c r="R1135" i="1"/>
  <c r="R1125" i="1"/>
  <c r="R1136" i="1"/>
  <c r="R1079" i="1"/>
  <c r="R1129" i="1"/>
  <c r="O1177" i="1"/>
  <c r="T973" i="1"/>
  <c r="R1078" i="1"/>
  <c r="J1177" i="1"/>
  <c r="R1162" i="1"/>
  <c r="T914" i="1"/>
  <c r="R1069" i="1"/>
  <c r="T1123" i="1"/>
  <c r="T916" i="1"/>
  <c r="T1067" i="1"/>
  <c r="I1177" i="1"/>
  <c r="T917" i="1"/>
  <c r="H1177" i="1"/>
  <c r="T915" i="1"/>
  <c r="T1063" i="1" l="1"/>
  <c r="R1177" i="1"/>
  <c r="T1062" i="1"/>
  <c r="T1174" i="1"/>
  <c r="T1006" i="1"/>
  <c r="T1118" i="1"/>
  <c r="T1120" i="1"/>
  <c r="T1007" i="1"/>
  <c r="T1008" i="1"/>
  <c r="T1121" i="1"/>
  <c r="T1065" i="1"/>
  <c r="T1173" i="1"/>
  <c r="T1064" i="1"/>
  <c r="T1176" i="1"/>
  <c r="T1009" i="1"/>
  <c r="T1119" i="1"/>
</calcChain>
</file>

<file path=xl/sharedStrings.xml><?xml version="1.0" encoding="utf-8"?>
<sst xmlns="http://schemas.openxmlformats.org/spreadsheetml/2006/main" count="2526" uniqueCount="120">
  <si>
    <t>COMMIT#</t>
    <phoneticPr fontId="3" type="noConversion"/>
  </si>
  <si>
    <t>SP22</t>
    <phoneticPr fontId="3" type="noConversion"/>
  </si>
  <si>
    <t>DESIGN # AND SKETCH</t>
    <phoneticPr fontId="3" type="noConversion"/>
  </si>
  <si>
    <t>PO#</t>
    <phoneticPr fontId="3" type="noConversion"/>
  </si>
  <si>
    <t>Type</t>
    <phoneticPr fontId="3" type="noConversion"/>
  </si>
  <si>
    <t>STYLE NO.</t>
    <phoneticPr fontId="3" type="noConversion"/>
  </si>
  <si>
    <t>SHELL</t>
    <phoneticPr fontId="5" type="noConversion"/>
  </si>
  <si>
    <t>X-FTY</t>
    <phoneticPr fontId="3" type="noConversion"/>
  </si>
  <si>
    <t>L</t>
    <phoneticPr fontId="3" type="noConversion"/>
  </si>
  <si>
    <t>XL</t>
    <phoneticPr fontId="3" type="noConversion"/>
  </si>
  <si>
    <t>XXL</t>
    <phoneticPr fontId="3" type="noConversion"/>
  </si>
  <si>
    <t>TTL</t>
    <phoneticPr fontId="3" type="noConversion"/>
  </si>
  <si>
    <t>1. POLYBAG - PB 08LEB 10"W x 12"L - outside flap - 4 1/2 (NO KOHLS ORDER)</t>
    <phoneticPr fontId="3" type="noConversion"/>
  </si>
  <si>
    <t>BOYS PRINT SHORT</t>
    <phoneticPr fontId="3" type="noConversion"/>
  </si>
  <si>
    <t>PB 08LEB</t>
  </si>
  <si>
    <t>2. prepack  -  207 PCS</t>
    <phoneticPr fontId="3" type="noConversion"/>
  </si>
  <si>
    <t>Carton Size</t>
  </si>
  <si>
    <t>Blister with gusset</t>
  </si>
  <si>
    <t>23x17x11”</t>
  </si>
  <si>
    <t>23x17x31”</t>
    <phoneticPr fontId="3" type="noConversion"/>
  </si>
  <si>
    <t>23x17x5”</t>
  </si>
  <si>
    <t>23x17x25”</t>
    <phoneticPr fontId="3" type="noConversion"/>
  </si>
  <si>
    <t>17x12x5” </t>
  </si>
  <si>
    <t>17x11x20”</t>
    <phoneticPr fontId="3" type="noConversion"/>
  </si>
  <si>
    <t>3. POLYBAG STICKER 5% 로스 - 하단 차트 참조</t>
    <phoneticPr fontId="3" type="noConversion"/>
  </si>
  <si>
    <t>4. RETAIL  ORDER 5% 로스 - 하단 차트 참조</t>
    <phoneticPr fontId="3" type="noConversion"/>
  </si>
  <si>
    <t>5. KOHOLS ORDER 5% 로스 - 하단 차트 참조</t>
    <phoneticPr fontId="3" type="noConversion"/>
  </si>
  <si>
    <t>일부자재 3프로로 조정 요망)</t>
    <phoneticPr fontId="3" type="noConversion"/>
  </si>
  <si>
    <t>Regular - KOHL'S</t>
    <phoneticPr fontId="3" type="noConversion"/>
  </si>
  <si>
    <t>ARTIC GRAY</t>
    <phoneticPr fontId="3" type="noConversion"/>
  </si>
  <si>
    <t>BLACK</t>
    <phoneticPr fontId="3" type="noConversion"/>
  </si>
  <si>
    <t>TAN PEBBLE</t>
    <phoneticPr fontId="3" type="noConversion"/>
  </si>
  <si>
    <t>DEEP SEA NAVY</t>
    <phoneticPr fontId="3" type="noConversion"/>
  </si>
  <si>
    <t>VSSL</t>
    <phoneticPr fontId="3" type="noConversion"/>
  </si>
  <si>
    <t>DESTINATION</t>
    <phoneticPr fontId="3" type="noConversion"/>
  </si>
  <si>
    <t>US</t>
    <phoneticPr fontId="3" type="noConversion"/>
  </si>
  <si>
    <t>TOTAL - KOHL'S ONLY</t>
    <phoneticPr fontId="3" type="noConversion"/>
  </si>
  <si>
    <t xml:space="preserve"> =&gt;</t>
    <phoneticPr fontId="3" type="noConversion"/>
  </si>
  <si>
    <t>NET COLOR COMMIT - EDWARD</t>
    <phoneticPr fontId="3" type="noConversion"/>
  </si>
  <si>
    <t>XXS</t>
    <phoneticPr fontId="5" type="noConversion"/>
  </si>
  <si>
    <t>XS</t>
    <phoneticPr fontId="5" type="noConversion"/>
  </si>
  <si>
    <t>S</t>
    <phoneticPr fontId="3" type="noConversion"/>
  </si>
  <si>
    <t>M</t>
    <phoneticPr fontId="3" type="noConversion"/>
  </si>
  <si>
    <t>Regular 522199</t>
    <phoneticPr fontId="3" type="noConversion"/>
  </si>
  <si>
    <t>Baltic Teal Angel Fish 05U</t>
    <phoneticPr fontId="3" type="noConversion"/>
  </si>
  <si>
    <t>05U</t>
  </si>
  <si>
    <t>Baltic Teal Multi Palm 06A</t>
    <phoneticPr fontId="3" type="noConversion"/>
  </si>
  <si>
    <t>06A</t>
  </si>
  <si>
    <t>Cool Sharks</t>
  </si>
  <si>
    <t>8Q2</t>
  </si>
  <si>
    <t>Deep Sea Navy Burst Tie Dye</t>
  </si>
  <si>
    <t>KG0</t>
  </si>
  <si>
    <t>Deep Sea Navy Dinosaurs</t>
  </si>
  <si>
    <t>6U0</t>
  </si>
  <si>
    <t>Deep Sea Navy Game Controllers</t>
  </si>
  <si>
    <t>JX0</t>
  </si>
  <si>
    <t>Deep Sea Navy Tie Dye Palm</t>
  </si>
  <si>
    <t>04P</t>
  </si>
  <si>
    <t>Deep Sea Navy Tie Dye Sharks</t>
  </si>
  <si>
    <t>60P</t>
  </si>
  <si>
    <t>Electric Blue Crab Camo</t>
  </si>
  <si>
    <t>6SH</t>
  </si>
  <si>
    <t>Electric Blue Funny Sharks</t>
  </si>
  <si>
    <t>6T0</t>
  </si>
  <si>
    <t>Flame Jellyfish</t>
  </si>
  <si>
    <t>6M0</t>
  </si>
  <si>
    <t>Multi Mixed Stripe</t>
  </si>
  <si>
    <t>70U</t>
  </si>
  <si>
    <t>PRIMO PINK TROPICAL</t>
  </si>
  <si>
    <t>6J0</t>
  </si>
  <si>
    <t>TURQUOIS GATOR FLOATIES</t>
  </si>
  <si>
    <t>6O0</t>
  </si>
  <si>
    <t xml:space="preserve">Turquoise Sail Stripe </t>
  </si>
  <si>
    <t>40J</t>
  </si>
  <si>
    <t>COMPASS RED OMBRE</t>
    <phoneticPr fontId="3" type="noConversion"/>
  </si>
  <si>
    <t>9FN</t>
    <phoneticPr fontId="3" type="noConversion"/>
  </si>
  <si>
    <t>seersucker</t>
    <phoneticPr fontId="3" type="noConversion"/>
  </si>
  <si>
    <t>DEEP SEA NAVY/GINGHAM MIX</t>
    <phoneticPr fontId="3" type="noConversion"/>
  </si>
  <si>
    <t>HUSKY 522195</t>
    <phoneticPr fontId="3" type="noConversion"/>
  </si>
  <si>
    <t>Baltic Teal Angel Fish</t>
  </si>
  <si>
    <t>Baltic Teal Multi Palm</t>
  </si>
  <si>
    <t>SLIM 522197</t>
    <phoneticPr fontId="3" type="noConversion"/>
  </si>
  <si>
    <t>EU Regular 522199</t>
    <phoneticPr fontId="3" type="noConversion"/>
  </si>
  <si>
    <t>AMAZON Regular 522199</t>
    <phoneticPr fontId="3" type="noConversion"/>
  </si>
  <si>
    <t>AMAZON HUSKY 522195</t>
    <phoneticPr fontId="3" type="noConversion"/>
  </si>
  <si>
    <t>AMAZON SLIM 522197</t>
    <phoneticPr fontId="3" type="noConversion"/>
  </si>
  <si>
    <t>KOHLS Regular 522199</t>
    <phoneticPr fontId="3" type="noConversion"/>
  </si>
  <si>
    <t>TBD</t>
    <phoneticPr fontId="3" type="noConversion"/>
  </si>
  <si>
    <t>06A</t>
    <phoneticPr fontId="3" type="noConversion"/>
  </si>
  <si>
    <t>RETAIL Regular 522199</t>
    <phoneticPr fontId="3" type="noConversion"/>
  </si>
  <si>
    <t>BLISTER BAG 29</t>
    <phoneticPr fontId="3" type="noConversion"/>
  </si>
  <si>
    <t>BLISTER BAG 65</t>
    <phoneticPr fontId="3" type="noConversion"/>
  </si>
  <si>
    <t>BLISTER BAG 89</t>
    <phoneticPr fontId="3" type="noConversion"/>
  </si>
  <si>
    <t>BLISTER BAG 33</t>
    <phoneticPr fontId="3" type="noConversion"/>
  </si>
  <si>
    <t>TOTAL Regular 522199</t>
    <phoneticPr fontId="3" type="noConversion"/>
  </si>
  <si>
    <t>TOTAL HUSKY 522195</t>
    <phoneticPr fontId="3" type="noConversion"/>
  </si>
  <si>
    <t>TOTAL SLIM 522197</t>
    <phoneticPr fontId="3" type="noConversion"/>
  </si>
  <si>
    <t xml:space="preserve"> CHECK LIST</t>
    <phoneticPr fontId="3" type="noConversion"/>
  </si>
  <si>
    <t>TBA</t>
    <phoneticPr fontId="3" type="noConversion"/>
  </si>
  <si>
    <t>BALANCE BETWEEN CHECK LIST AND EDWARD</t>
    <phoneticPr fontId="3" type="noConversion"/>
  </si>
  <si>
    <t>SKU-BC LABEL - BASED ON STYLE# - 5% LOSS (NO KOHLS ORDER)</t>
    <phoneticPr fontId="3" type="noConversion"/>
  </si>
  <si>
    <t>TOTAL</t>
    <phoneticPr fontId="24" type="noConversion"/>
  </si>
  <si>
    <t>RETAIL ORDER - 5% PRICE TICKET / ATTRUBUTE HANG TAG</t>
    <phoneticPr fontId="3" type="noConversion"/>
  </si>
  <si>
    <t>KOHLS ORDER PX TICKET / HANGER / SIZER / EAS TAG/ ATTRIBUTE TAG 5% LOSS</t>
    <phoneticPr fontId="3" type="noConversion"/>
  </si>
  <si>
    <t>XXS</t>
  </si>
  <si>
    <t>XS</t>
  </si>
  <si>
    <t>S</t>
  </si>
  <si>
    <t>M</t>
  </si>
  <si>
    <t>L</t>
  </si>
  <si>
    <t>XL</t>
  </si>
  <si>
    <t>XXL</t>
  </si>
  <si>
    <t>Husky</t>
    <phoneticPr fontId="3" type="noConversion"/>
  </si>
  <si>
    <t>Husky  522195</t>
    <phoneticPr fontId="3" type="noConversion"/>
  </si>
  <si>
    <t>Slim 522197</t>
    <phoneticPr fontId="3" type="noConversion"/>
  </si>
  <si>
    <t>Bagic 522199</t>
    <phoneticPr fontId="3" type="noConversion"/>
  </si>
  <si>
    <t>Deep Sea Navy Game Controllers</t>
    <phoneticPr fontId="3" type="noConversion"/>
  </si>
  <si>
    <t>TOTAL</t>
    <phoneticPr fontId="3" type="noConversion"/>
  </si>
  <si>
    <t>9/1 commit</t>
    <phoneticPr fontId="3" type="noConversion"/>
  </si>
  <si>
    <t xml:space="preserve"> </t>
    <phoneticPr fontId="3" type="noConversion"/>
  </si>
  <si>
    <t xml:space="preserve">??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</si>
</sst>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76" formatCode="0_);[Red]\(0\)"/>
    <numFmt numFmtId="177" formatCode="#,##0_);[Red]\(#,##0\)"/>
    <numFmt numFmtId="178" formatCode="m&quot;/&quot;d;@"/>
    <numFmt numFmtId="179" formatCode="\$#,##0.00"/>
    <numFmt numFmtId="180" formatCode="_ * #,##0_ ;_ * \-#,##0_ ;_ * &quot;-&quot;_ ;_ @_ "/>
    <numFmt numFmtId="181" formatCode="mm&quot;월&quot;\ dd&quot;일&quot;"/>
  </numFmts>
  <fonts count="28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Arial"/>
      <family val="2"/>
    </font>
    <font>
      <sz val="8"/>
      <name val="돋움"/>
      <family val="3"/>
      <charset val="129"/>
    </font>
    <font>
      <b/>
      <sz val="8"/>
      <color rgb="FFFF0000"/>
      <name val="Arial"/>
      <family val="2"/>
    </font>
    <font>
      <sz val="8"/>
      <name val="바탕"/>
      <family val="1"/>
      <charset val="129"/>
    </font>
    <font>
      <sz val="8"/>
      <color rgb="FFFF0000"/>
      <name val="Arial"/>
      <family val="2"/>
    </font>
    <font>
      <b/>
      <sz val="8"/>
      <name val="Arial"/>
      <family val="2"/>
    </font>
    <font>
      <b/>
      <sz val="11"/>
      <color rgb="FFFF0000"/>
      <name val="돋움"/>
      <family val="3"/>
      <charset val="129"/>
    </font>
    <font>
      <sz val="8"/>
      <color theme="1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color indexed="10"/>
      <name val="Arial"/>
      <family val="2"/>
    </font>
    <font>
      <sz val="11"/>
      <color rgb="FFFFFF00"/>
      <name val="돋움"/>
      <family val="3"/>
      <charset val="129"/>
    </font>
    <font>
      <sz val="11"/>
      <color rgb="FFFF0000"/>
      <name val="돋움"/>
      <family val="3"/>
      <charset val="129"/>
    </font>
    <font>
      <sz val="10"/>
      <color rgb="FFFF0000"/>
      <name val="돋움"/>
      <family val="3"/>
      <charset val="129"/>
    </font>
    <font>
      <sz val="11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2"/>
      <name val="바탕체"/>
      <family val="1"/>
      <charset val="129"/>
    </font>
    <font>
      <b/>
      <sz val="9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8"/>
      <name val="바탕체"/>
      <family val="1"/>
      <charset val="129"/>
    </font>
    <font>
      <sz val="10"/>
      <color theme="1"/>
      <name val="맑은 고딕"/>
      <family val="3"/>
      <charset val="129"/>
    </font>
    <font>
      <sz val="11"/>
      <color theme="1"/>
      <name val="돋움"/>
      <family val="3"/>
      <charset val="129"/>
    </font>
    <font>
      <b/>
      <sz val="8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top"/>
    </xf>
    <xf numFmtId="41" fontId="1" fillId="0" borderId="0" applyFont="0" applyFill="0" applyBorder="0" applyAlignment="0" applyProtection="0">
      <alignment vertical="center"/>
    </xf>
    <xf numFmtId="0" fontId="1" fillId="0" borderId="0"/>
    <xf numFmtId="180" fontId="2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</cellStyleXfs>
  <cellXfs count="198">
    <xf numFmtId="0" fontId="0" fillId="0" borderId="0" xfId="0">
      <alignment vertical="top"/>
    </xf>
    <xf numFmtId="0" fontId="2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176" fontId="2" fillId="2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6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177" fontId="0" fillId="2" borderId="0" xfId="0" applyNumberFormat="1" applyFill="1" applyAlignment="1">
      <alignment vertical="center"/>
    </xf>
    <xf numFmtId="1" fontId="8" fillId="4" borderId="0" xfId="0" applyNumberFormat="1" applyFont="1" applyFill="1" applyAlignment="1">
      <alignment vertical="center"/>
    </xf>
    <xf numFmtId="179" fontId="9" fillId="2" borderId="1" xfId="0" applyNumberFormat="1" applyFont="1" applyFill="1" applyBorder="1" applyAlignment="1">
      <alignment horizontal="left" vertical="center"/>
    </xf>
    <xf numFmtId="179" fontId="2" fillId="2" borderId="1" xfId="0" applyNumberFormat="1" applyFont="1" applyFill="1" applyBorder="1" applyAlignment="1">
      <alignment horizontal="left" vertical="center"/>
    </xf>
    <xf numFmtId="179" fontId="2" fillId="2" borderId="2" xfId="0" applyNumberFormat="1" applyFont="1" applyFill="1" applyBorder="1" applyAlignment="1">
      <alignment horizontal="left" vertical="center"/>
    </xf>
    <xf numFmtId="0" fontId="10" fillId="5" borderId="4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78" fontId="7" fillId="2" borderId="1" xfId="0" applyNumberFormat="1" applyFont="1" applyFill="1" applyBorder="1" applyAlignment="1">
      <alignment horizontal="center" vertical="center"/>
    </xf>
    <xf numFmtId="178" fontId="7" fillId="4" borderId="1" xfId="0" applyNumberFormat="1" applyFont="1" applyFill="1" applyBorder="1" applyAlignment="1">
      <alignment horizontal="center" vertical="center"/>
    </xf>
    <xf numFmtId="177" fontId="2" fillId="4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1" fontId="0" fillId="4" borderId="0" xfId="0" applyNumberFormat="1" applyFill="1" applyAlignment="1">
      <alignment vertical="center"/>
    </xf>
    <xf numFmtId="0" fontId="13" fillId="2" borderId="0" xfId="0" applyFont="1" applyFill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 wrapText="1"/>
    </xf>
    <xf numFmtId="177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horizontal="center" vertical="center"/>
    </xf>
    <xf numFmtId="179" fontId="2" fillId="6" borderId="1" xfId="0" applyNumberFormat="1" applyFont="1" applyFill="1" applyBorder="1" applyAlignment="1">
      <alignment horizontal="left" vertical="center"/>
    </xf>
    <xf numFmtId="178" fontId="7" fillId="6" borderId="1" xfId="0" applyNumberFormat="1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176" fontId="2" fillId="6" borderId="2" xfId="0" applyNumberFormat="1" applyFont="1" applyFill="1" applyBorder="1" applyAlignment="1">
      <alignment horizontal="center" vertical="center"/>
    </xf>
    <xf numFmtId="178" fontId="7" fillId="6" borderId="2" xfId="0" applyNumberFormat="1" applyFont="1" applyFill="1" applyBorder="1" applyAlignment="1">
      <alignment horizontal="center" vertical="center"/>
    </xf>
    <xf numFmtId="0" fontId="14" fillId="2" borderId="0" xfId="0" applyFont="1" applyFill="1" applyAlignment="1">
      <alignment vertical="center"/>
    </xf>
    <xf numFmtId="177" fontId="6" fillId="2" borderId="1" xfId="0" applyNumberFormat="1" applyFont="1" applyFill="1" applyBorder="1" applyAlignment="1">
      <alignment horizontal="center" vertical="center"/>
    </xf>
    <xf numFmtId="177" fontId="15" fillId="2" borderId="0" xfId="0" applyNumberFormat="1" applyFont="1" applyFill="1" applyAlignment="1">
      <alignment vertical="center"/>
    </xf>
    <xf numFmtId="0" fontId="16" fillId="0" borderId="0" xfId="0" applyFont="1" applyAlignment="1">
      <alignment vertical="center"/>
    </xf>
    <xf numFmtId="0" fontId="17" fillId="6" borderId="1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176" fontId="17" fillId="6" borderId="2" xfId="0" applyNumberFormat="1" applyFont="1" applyFill="1" applyBorder="1" applyAlignment="1">
      <alignment horizontal="center" vertical="center"/>
    </xf>
    <xf numFmtId="177" fontId="17" fillId="6" borderId="2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9" fontId="18" fillId="0" borderId="1" xfId="2" applyNumberFormat="1" applyFont="1" applyBorder="1" applyAlignment="1">
      <alignment horizontal="center" vertical="center"/>
    </xf>
    <xf numFmtId="0" fontId="18" fillId="0" borderId="1" xfId="2" applyFont="1" applyBorder="1" applyAlignment="1">
      <alignment horizontal="centerContinuous" vertical="center"/>
    </xf>
    <xf numFmtId="177" fontId="17" fillId="0" borderId="1" xfId="0" applyNumberFormat="1" applyFont="1" applyBorder="1" applyAlignment="1">
      <alignment horizontal="center" vertical="center"/>
    </xf>
    <xf numFmtId="0" fontId="18" fillId="0" borderId="1" xfId="2" applyFont="1" applyBorder="1" applyAlignment="1">
      <alignment horizontal="center" vertical="center"/>
    </xf>
    <xf numFmtId="0" fontId="18" fillId="0" borderId="1" xfId="2" applyFont="1" applyBorder="1" applyAlignment="1">
      <alignment horizontal="center" vertical="center" wrapText="1"/>
    </xf>
    <xf numFmtId="49" fontId="18" fillId="0" borderId="1" xfId="2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49" fontId="18" fillId="0" borderId="2" xfId="2" applyNumberFormat="1" applyFont="1" applyBorder="1" applyAlignment="1">
      <alignment horizontal="center" vertical="center"/>
    </xf>
    <xf numFmtId="0" fontId="18" fillId="0" borderId="2" xfId="2" applyFont="1" applyBorder="1" applyAlignment="1">
      <alignment horizontal="centerContinuous" vertical="center"/>
    </xf>
    <xf numFmtId="177" fontId="17" fillId="0" borderId="2" xfId="0" applyNumberFormat="1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49" fontId="18" fillId="0" borderId="10" xfId="2" applyNumberFormat="1" applyFont="1" applyBorder="1" applyAlignment="1">
      <alignment horizontal="center" vertical="center"/>
    </xf>
    <xf numFmtId="0" fontId="18" fillId="0" borderId="10" xfId="2" applyFont="1" applyBorder="1" applyAlignment="1">
      <alignment horizontal="centerContinuous" vertical="center"/>
    </xf>
    <xf numFmtId="177" fontId="17" fillId="0" borderId="10" xfId="0" applyNumberFormat="1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49" fontId="18" fillId="0" borderId="11" xfId="2" applyNumberFormat="1" applyFont="1" applyBorder="1" applyAlignment="1">
      <alignment horizontal="center" vertical="center"/>
    </xf>
    <xf numFmtId="0" fontId="18" fillId="0" borderId="11" xfId="2" applyFont="1" applyBorder="1" applyAlignment="1">
      <alignment horizontal="centerContinuous" vertical="center"/>
    </xf>
    <xf numFmtId="177" fontId="17" fillId="0" borderId="11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49" fontId="18" fillId="0" borderId="12" xfId="2" applyNumberFormat="1" applyFont="1" applyBorder="1" applyAlignment="1">
      <alignment horizontal="center" vertical="center"/>
    </xf>
    <xf numFmtId="0" fontId="18" fillId="0" borderId="12" xfId="2" applyFont="1" applyBorder="1" applyAlignment="1">
      <alignment horizontal="centerContinuous" vertical="center"/>
    </xf>
    <xf numFmtId="177" fontId="17" fillId="0" borderId="12" xfId="0" applyNumberFormat="1" applyFont="1" applyBorder="1" applyAlignment="1">
      <alignment horizontal="center" vertical="center"/>
    </xf>
    <xf numFmtId="178" fontId="0" fillId="2" borderId="0" xfId="0" applyNumberFormat="1" applyFill="1" applyAlignment="1">
      <alignment vertical="center"/>
    </xf>
    <xf numFmtId="0" fontId="0" fillId="7" borderId="0" xfId="0" applyFill="1" applyAlignment="1">
      <alignment vertical="center"/>
    </xf>
    <xf numFmtId="0" fontId="17" fillId="0" borderId="0" xfId="0" applyFont="1" applyAlignment="1">
      <alignment horizontal="center" vertical="center"/>
    </xf>
    <xf numFmtId="179" fontId="17" fillId="0" borderId="12" xfId="0" applyNumberFormat="1" applyFont="1" applyBorder="1" applyAlignment="1">
      <alignment horizontal="center" vertical="center"/>
    </xf>
    <xf numFmtId="178" fontId="17" fillId="0" borderId="12" xfId="0" applyNumberFormat="1" applyFont="1" applyBorder="1" applyAlignment="1">
      <alignment horizontal="center" vertical="center"/>
    </xf>
    <xf numFmtId="41" fontId="19" fillId="0" borderId="0" xfId="1" applyFont="1">
      <alignment vertical="center"/>
    </xf>
    <xf numFmtId="9" fontId="20" fillId="0" borderId="0" xfId="2" applyNumberFormat="1" applyFont="1" applyAlignment="1">
      <alignment horizontal="left" vertical="center"/>
    </xf>
    <xf numFmtId="0" fontId="18" fillId="0" borderId="1" xfId="2" applyFont="1" applyBorder="1" applyAlignment="1">
      <alignment vertical="center"/>
    </xf>
    <xf numFmtId="180" fontId="18" fillId="0" borderId="1" xfId="3" applyFont="1" applyBorder="1" applyAlignment="1">
      <alignment vertical="center"/>
    </xf>
    <xf numFmtId="180" fontId="18" fillId="0" borderId="1" xfId="3" applyFont="1" applyBorder="1" applyAlignment="1">
      <alignment horizontal="right" vertical="center"/>
    </xf>
    <xf numFmtId="0" fontId="18" fillId="0" borderId="1" xfId="2" applyFont="1" applyBorder="1" applyAlignment="1">
      <alignment horizontal="center" vertical="center"/>
    </xf>
    <xf numFmtId="180" fontId="18" fillId="0" borderId="1" xfId="3" applyFont="1" applyBorder="1" applyAlignment="1">
      <alignment horizontal="center" vertical="center"/>
    </xf>
    <xf numFmtId="177" fontId="22" fillId="0" borderId="1" xfId="0" applyNumberFormat="1" applyFont="1" applyBorder="1" applyAlignment="1">
      <alignment horizontal="center" vertical="center"/>
    </xf>
    <xf numFmtId="180" fontId="19" fillId="0" borderId="1" xfId="3" applyFont="1" applyBorder="1" applyAlignment="1">
      <alignment horizontal="right" vertical="center"/>
    </xf>
    <xf numFmtId="180" fontId="19" fillId="0" borderId="1" xfId="3" applyFont="1" applyBorder="1" applyAlignment="1">
      <alignment vertical="center"/>
    </xf>
    <xf numFmtId="0" fontId="19" fillId="0" borderId="1" xfId="2" applyFont="1" applyBorder="1" applyAlignment="1">
      <alignment vertical="center"/>
    </xf>
    <xf numFmtId="0" fontId="18" fillId="0" borderId="2" xfId="2" applyFont="1" applyBorder="1" applyAlignment="1">
      <alignment horizontal="center" vertical="center"/>
    </xf>
    <xf numFmtId="177" fontId="22" fillId="0" borderId="2" xfId="0" applyNumberFormat="1" applyFont="1" applyBorder="1" applyAlignment="1">
      <alignment horizontal="center" vertical="center"/>
    </xf>
    <xf numFmtId="180" fontId="19" fillId="0" borderId="2" xfId="3" applyFont="1" applyBorder="1" applyAlignment="1">
      <alignment horizontal="center" vertical="center"/>
    </xf>
    <xf numFmtId="0" fontId="19" fillId="0" borderId="2" xfId="2" applyFont="1" applyBorder="1" applyAlignment="1">
      <alignment horizontal="center" vertical="center"/>
    </xf>
    <xf numFmtId="180" fontId="19" fillId="0" borderId="2" xfId="3" applyFont="1" applyBorder="1" applyAlignment="1">
      <alignment vertical="center"/>
    </xf>
    <xf numFmtId="0" fontId="19" fillId="0" borderId="2" xfId="2" applyFont="1" applyBorder="1" applyAlignment="1">
      <alignment vertical="center"/>
    </xf>
    <xf numFmtId="0" fontId="18" fillId="0" borderId="10" xfId="2" applyFont="1" applyBorder="1" applyAlignment="1">
      <alignment horizontal="center" vertical="center"/>
    </xf>
    <xf numFmtId="180" fontId="18" fillId="0" borderId="10" xfId="3" applyFont="1" applyBorder="1" applyAlignment="1">
      <alignment horizontal="center" vertical="center"/>
    </xf>
    <xf numFmtId="0" fontId="18" fillId="0" borderId="11" xfId="2" applyFont="1" applyBorder="1" applyAlignment="1">
      <alignment horizontal="center" vertical="center"/>
    </xf>
    <xf numFmtId="177" fontId="18" fillId="0" borderId="1" xfId="2" applyNumberFormat="1" applyFont="1" applyBorder="1" applyAlignment="1">
      <alignment horizontal="center" vertical="center"/>
    </xf>
    <xf numFmtId="177" fontId="18" fillId="0" borderId="2" xfId="2" applyNumberFormat="1" applyFont="1" applyBorder="1" applyAlignment="1">
      <alignment horizontal="center" vertical="center"/>
    </xf>
    <xf numFmtId="177" fontId="18" fillId="0" borderId="10" xfId="2" applyNumberFormat="1" applyFont="1" applyBorder="1" applyAlignment="1">
      <alignment horizontal="center" vertical="center"/>
    </xf>
    <xf numFmtId="177" fontId="18" fillId="0" borderId="11" xfId="2" applyNumberFormat="1" applyFont="1" applyBorder="1" applyAlignment="1">
      <alignment horizontal="center" vertical="center"/>
    </xf>
    <xf numFmtId="0" fontId="18" fillId="0" borderId="12" xfId="2" applyFont="1" applyBorder="1" applyAlignment="1">
      <alignment horizontal="center" vertical="center"/>
    </xf>
    <xf numFmtId="177" fontId="18" fillId="0" borderId="12" xfId="2" applyNumberFormat="1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78" fontId="17" fillId="0" borderId="3" xfId="0" applyNumberFormat="1" applyFont="1" applyBorder="1" applyAlignment="1">
      <alignment horizontal="center" vertical="center"/>
    </xf>
    <xf numFmtId="177" fontId="17" fillId="0" borderId="3" xfId="0" applyNumberFormat="1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4" xfId="2" applyFont="1" applyBorder="1" applyAlignment="1">
      <alignment horizontal="center" vertical="center"/>
    </xf>
    <xf numFmtId="178" fontId="17" fillId="0" borderId="14" xfId="0" applyNumberFormat="1" applyFont="1" applyBorder="1" applyAlignment="1">
      <alignment horizontal="center" vertical="center"/>
    </xf>
    <xf numFmtId="177" fontId="17" fillId="0" borderId="14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18" fillId="2" borderId="1" xfId="2" applyFont="1" applyFill="1" applyBorder="1" applyAlignment="1">
      <alignment horizontal="centerContinuous" vertical="center"/>
    </xf>
    <xf numFmtId="0" fontId="18" fillId="2" borderId="1" xfId="2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2" fillId="2" borderId="1" xfId="0" applyFont="1" applyFill="1" applyBorder="1" applyAlignment="1">
      <alignment vertical="center"/>
    </xf>
    <xf numFmtId="176" fontId="2" fillId="2" borderId="1" xfId="0" applyNumberFormat="1" applyFont="1" applyFill="1" applyBorder="1" applyAlignment="1">
      <alignment horizontal="center" vertical="center"/>
    </xf>
    <xf numFmtId="178" fontId="7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178" fontId="7" fillId="4" borderId="1" xfId="0" applyNumberFormat="1" applyFont="1" applyFill="1" applyBorder="1" applyAlignment="1">
      <alignment horizontal="center" vertical="center"/>
    </xf>
    <xf numFmtId="0" fontId="18" fillId="0" borderId="1" xfId="2" applyFont="1" applyBorder="1" applyAlignment="1">
      <alignment horizontal="centerContinuous" vertical="center"/>
    </xf>
    <xf numFmtId="1" fontId="0" fillId="4" borderId="0" xfId="0" applyNumberFormat="1" applyFill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178" fontId="7" fillId="2" borderId="2" xfId="0" applyNumberFormat="1" applyFont="1" applyFill="1" applyBorder="1" applyAlignment="1">
      <alignment horizontal="center" vertical="center"/>
    </xf>
    <xf numFmtId="178" fontId="7" fillId="2" borderId="3" xfId="0" applyNumberFormat="1" applyFont="1" applyFill="1" applyBorder="1" applyAlignment="1">
      <alignment horizontal="center" vertical="center"/>
    </xf>
    <xf numFmtId="0" fontId="18" fillId="2" borderId="1" xfId="2" applyFont="1" applyFill="1" applyBorder="1" applyAlignment="1">
      <alignment horizontal="center" vertical="center" wrapText="1"/>
    </xf>
    <xf numFmtId="0" fontId="25" fillId="0" borderId="1" xfId="2" applyFont="1" applyBorder="1" applyAlignment="1">
      <alignment horizontal="center" vertical="center" wrapText="1"/>
    </xf>
    <xf numFmtId="0" fontId="25" fillId="0" borderId="1" xfId="2" applyFont="1" applyBorder="1" applyAlignment="1">
      <alignment horizontal="centerContinuous" vertical="center"/>
    </xf>
    <xf numFmtId="0" fontId="25" fillId="0" borderId="1" xfId="2" applyFont="1" applyBorder="1" applyAlignment="1">
      <alignment horizontal="center" vertical="center"/>
    </xf>
    <xf numFmtId="0" fontId="25" fillId="2" borderId="1" xfId="2" applyFont="1" applyFill="1" applyBorder="1" applyAlignment="1">
      <alignment horizontal="center" vertical="center" wrapText="1"/>
    </xf>
    <xf numFmtId="0" fontId="25" fillId="2" borderId="1" xfId="2" applyFont="1" applyFill="1" applyBorder="1" applyAlignment="1">
      <alignment horizontal="centerContinuous" vertical="center"/>
    </xf>
    <xf numFmtId="0" fontId="9" fillId="2" borderId="3" xfId="0" applyFont="1" applyFill="1" applyBorder="1" applyAlignment="1">
      <alignment vertical="center"/>
    </xf>
    <xf numFmtId="177" fontId="9" fillId="2" borderId="1" xfId="0" applyNumberFormat="1" applyFont="1" applyFill="1" applyBorder="1" applyAlignment="1">
      <alignment horizontal="center" vertical="center"/>
    </xf>
    <xf numFmtId="177" fontId="9" fillId="8" borderId="1" xfId="0" applyNumberFormat="1" applyFont="1" applyFill="1" applyBorder="1" applyAlignment="1">
      <alignment horizontal="center" vertical="center"/>
    </xf>
    <xf numFmtId="0" fontId="26" fillId="2" borderId="0" xfId="0" applyFont="1" applyFill="1" applyAlignment="1">
      <alignment vertical="center"/>
    </xf>
    <xf numFmtId="49" fontId="25" fillId="0" borderId="1" xfId="2" applyNumberFormat="1" applyFont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0" fontId="25" fillId="2" borderId="1" xfId="2" applyFont="1" applyFill="1" applyBorder="1" applyAlignment="1">
      <alignment horizontal="center" vertical="center"/>
    </xf>
    <xf numFmtId="49" fontId="25" fillId="0" borderId="1" xfId="2" applyNumberFormat="1" applyFont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/>
    </xf>
    <xf numFmtId="178" fontId="7" fillId="4" borderId="3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78" fontId="2" fillId="2" borderId="1" xfId="0" applyNumberFormat="1" applyFont="1" applyFill="1" applyBorder="1" applyAlignment="1">
      <alignment horizontal="left" vertical="center"/>
    </xf>
    <xf numFmtId="178" fontId="2" fillId="2" borderId="3" xfId="0" applyNumberFormat="1" applyFont="1" applyFill="1" applyBorder="1" applyAlignment="1">
      <alignment vertical="center"/>
    </xf>
    <xf numFmtId="178" fontId="27" fillId="2" borderId="12" xfId="0" applyNumberFormat="1" applyFont="1" applyFill="1" applyBorder="1" applyAlignment="1">
      <alignment vertical="center"/>
    </xf>
    <xf numFmtId="178" fontId="2" fillId="2" borderId="12" xfId="0" applyNumberFormat="1" applyFont="1" applyFill="1" applyBorder="1" applyAlignment="1">
      <alignment vertical="center"/>
    </xf>
    <xf numFmtId="0" fontId="25" fillId="2" borderId="0" xfId="2" applyFont="1" applyFill="1" applyBorder="1" applyAlignment="1">
      <alignment horizontal="centerContinuous" vertical="center"/>
    </xf>
    <xf numFmtId="177" fontId="8" fillId="2" borderId="0" xfId="0" applyNumberFormat="1" applyFont="1" applyFill="1" applyAlignment="1">
      <alignment vertical="center"/>
    </xf>
    <xf numFmtId="0" fontId="25" fillId="0" borderId="0" xfId="2" applyFont="1" applyBorder="1" applyAlignment="1">
      <alignment horizontal="centerContinuous" vertical="center"/>
    </xf>
    <xf numFmtId="0" fontId="20" fillId="2" borderId="0" xfId="2" applyFont="1" applyFill="1" applyBorder="1" applyAlignment="1">
      <alignment horizontal="centerContinuous" vertical="center"/>
    </xf>
    <xf numFmtId="178" fontId="7" fillId="2" borderId="2" xfId="0" applyNumberFormat="1" applyFont="1" applyFill="1" applyBorder="1" applyAlignment="1">
      <alignment horizontal="center" vertical="center"/>
    </xf>
    <xf numFmtId="0" fontId="18" fillId="0" borderId="1" xfId="2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78" fontId="7" fillId="2" borderId="2" xfId="0" applyNumberFormat="1" applyFont="1" applyFill="1" applyBorder="1" applyAlignment="1">
      <alignment horizontal="center" vertical="center"/>
    </xf>
    <xf numFmtId="178" fontId="2" fillId="2" borderId="12" xfId="0" applyNumberFormat="1" applyFont="1" applyFill="1" applyBorder="1" applyAlignment="1">
      <alignment horizontal="center" vertical="center"/>
    </xf>
    <xf numFmtId="0" fontId="18" fillId="0" borderId="1" xfId="2" applyFont="1" applyBorder="1" applyAlignment="1">
      <alignment horizontal="center" vertical="center"/>
    </xf>
    <xf numFmtId="178" fontId="27" fillId="2" borderId="2" xfId="0" applyNumberFormat="1" applyFont="1" applyFill="1" applyBorder="1" applyAlignment="1">
      <alignment horizontal="center" vertical="center"/>
    </xf>
    <xf numFmtId="178" fontId="27" fillId="2" borderId="3" xfId="0" applyNumberFormat="1" applyFont="1" applyFill="1" applyBorder="1" applyAlignment="1">
      <alignment horizontal="center" vertical="center"/>
    </xf>
    <xf numFmtId="178" fontId="7" fillId="2" borderId="2" xfId="0" applyNumberFormat="1" applyFont="1" applyFill="1" applyBorder="1" applyAlignment="1">
      <alignment horizontal="center" vertical="center"/>
    </xf>
    <xf numFmtId="178" fontId="7" fillId="2" borderId="3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78" fontId="7" fillId="2" borderId="12" xfId="0" applyNumberFormat="1" applyFont="1" applyFill="1" applyBorder="1" applyAlignment="1">
      <alignment horizontal="center" vertical="center"/>
    </xf>
    <xf numFmtId="178" fontId="27" fillId="2" borderId="12" xfId="0" applyNumberFormat="1" applyFont="1" applyFill="1" applyBorder="1" applyAlignment="1">
      <alignment horizontal="center" vertical="center"/>
    </xf>
    <xf numFmtId="178" fontId="2" fillId="2" borderId="2" xfId="0" applyNumberFormat="1" applyFont="1" applyFill="1" applyBorder="1" applyAlignment="1">
      <alignment horizontal="center" vertical="center"/>
    </xf>
    <xf numFmtId="178" fontId="2" fillId="2" borderId="3" xfId="0" applyNumberFormat="1" applyFont="1" applyFill="1" applyBorder="1" applyAlignment="1">
      <alignment horizontal="center" vertical="center"/>
    </xf>
    <xf numFmtId="178" fontId="2" fillId="2" borderId="12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78" fontId="7" fillId="6" borderId="2" xfId="0" applyNumberFormat="1" applyFont="1" applyFill="1" applyBorder="1" applyAlignment="1">
      <alignment horizontal="center" vertical="center"/>
    </xf>
    <xf numFmtId="178" fontId="7" fillId="6" borderId="3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7" fillId="6" borderId="8" xfId="0" applyFont="1" applyFill="1" applyBorder="1" applyAlignment="1">
      <alignment horizontal="center" vertical="center"/>
    </xf>
    <xf numFmtId="0" fontId="17" fillId="6" borderId="9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8" fillId="0" borderId="1" xfId="2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/>
    </xf>
    <xf numFmtId="0" fontId="8" fillId="8" borderId="0" xfId="0" applyFont="1" applyFill="1" applyAlignment="1">
      <alignment vertical="center"/>
    </xf>
    <xf numFmtId="181" fontId="0" fillId="8" borderId="0" xfId="0" applyNumberFormat="1" applyFill="1" applyAlignment="1">
      <alignment vertical="center"/>
    </xf>
  </cellXfs>
  <cellStyles count="5">
    <cellStyle name="쉼표 [0]" xfId="1" builtinId="6"/>
    <cellStyle name="쉼표 [0] 2" xfId="4" xr:uid="{AC1CB984-37D8-40FA-8644-5402CF7EB5CB}"/>
    <cellStyle name="쉼표 [0] 3" xfId="3" xr:uid="{8129F1C8-3196-483F-B94B-7FA0C47519E4}"/>
    <cellStyle name="표준" xfId="0" builtinId="0"/>
    <cellStyle name="표준 2" xfId="2" xr:uid="{F36319E6-C835-4358-A04B-F0225A9945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27</xdr:row>
      <xdr:rowOff>95250</xdr:rowOff>
    </xdr:from>
    <xdr:to>
      <xdr:col>1</xdr:col>
      <xdr:colOff>2663190</xdr:colOff>
      <xdr:row>34</xdr:row>
      <xdr:rowOff>3794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87BA99F-E635-49B7-81BB-EC0CFB96D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" y="3819525"/>
          <a:ext cx="2419350" cy="10877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23515-7F2F-454A-B466-BD1009428B51}">
  <sheetPr>
    <tabColor theme="0"/>
    <pageSetUpPr fitToPage="1"/>
  </sheetPr>
  <dimension ref="B1:Y1216"/>
  <sheetViews>
    <sheetView tabSelected="1" view="pageBreakPreview" topLeftCell="G714" zoomScaleNormal="100" zoomScaleSheetLayoutView="100" workbookViewId="0">
      <selection activeCell="W734" sqref="W734"/>
    </sheetView>
  </sheetViews>
  <sheetFormatPr defaultColWidth="8.88671875" defaultRowHeight="13.5" x14ac:dyDescent="0.15"/>
  <cols>
    <col min="1" max="1" width="3" style="2" customWidth="1"/>
    <col min="2" max="2" width="36.77734375" style="2" customWidth="1"/>
    <col min="3" max="3" width="20" style="2" customWidth="1"/>
    <col min="4" max="4" width="16.5546875" style="2" customWidth="1"/>
    <col min="5" max="5" width="11.109375" style="2" customWidth="1"/>
    <col min="6" max="6" width="31.88671875" style="2" customWidth="1"/>
    <col min="7" max="7" width="6.109375" style="2" customWidth="1"/>
    <col min="8" max="8" width="7.109375" style="2" bestFit="1" customWidth="1"/>
    <col min="9" max="17" width="7" style="2" customWidth="1"/>
    <col min="18" max="18" width="9" style="2" bestFit="1" customWidth="1"/>
    <col min="19" max="19" width="5.5546875" style="2" customWidth="1"/>
    <col min="20" max="20" width="9.44140625" style="2" bestFit="1" customWidth="1"/>
    <col min="21" max="21" width="15.21875" style="2" customWidth="1"/>
    <col min="22" max="23" width="11.5546875" style="2" bestFit="1" customWidth="1"/>
    <col min="24" max="24" width="11" style="2" customWidth="1"/>
    <col min="25" max="16384" width="8.88671875" style="2"/>
  </cols>
  <sheetData>
    <row r="1" spans="2:24" x14ac:dyDescent="0.15">
      <c r="B1" s="1" t="s">
        <v>0</v>
      </c>
      <c r="E1" s="1"/>
    </row>
    <row r="2" spans="2:24" ht="13.5" customHeight="1" x14ac:dyDescent="0.15">
      <c r="B2" s="3" t="s">
        <v>1</v>
      </c>
      <c r="E2" s="3" t="s">
        <v>1</v>
      </c>
      <c r="P2" s="2" t="s">
        <v>111</v>
      </c>
    </row>
    <row r="3" spans="2:24" x14ac:dyDescent="0.15">
      <c r="B3" s="4" t="s">
        <v>2</v>
      </c>
      <c r="C3" s="5" t="s">
        <v>3</v>
      </c>
      <c r="D3" s="5" t="s">
        <v>4</v>
      </c>
      <c r="E3" s="4" t="s">
        <v>5</v>
      </c>
      <c r="F3" s="4" t="s">
        <v>6</v>
      </c>
      <c r="G3" s="4"/>
      <c r="H3" s="5" t="s">
        <v>7</v>
      </c>
      <c r="I3" s="114" t="s">
        <v>104</v>
      </c>
      <c r="J3" s="114" t="s">
        <v>105</v>
      </c>
      <c r="K3" s="114" t="s">
        <v>106</v>
      </c>
      <c r="L3" s="114" t="s">
        <v>107</v>
      </c>
      <c r="M3" s="114" t="s">
        <v>108</v>
      </c>
      <c r="N3" s="114" t="s">
        <v>109</v>
      </c>
      <c r="O3" s="114" t="s">
        <v>110</v>
      </c>
      <c r="P3" s="44" t="s">
        <v>8</v>
      </c>
      <c r="Q3" s="44" t="s">
        <v>9</v>
      </c>
      <c r="R3" s="44" t="s">
        <v>10</v>
      </c>
      <c r="S3" s="6" t="s">
        <v>11</v>
      </c>
      <c r="U3" s="7"/>
      <c r="V3" s="2" t="s">
        <v>12</v>
      </c>
    </row>
    <row r="4" spans="2:24" x14ac:dyDescent="0.15">
      <c r="B4" s="8" t="s">
        <v>13</v>
      </c>
      <c r="C4" s="163">
        <v>4500458422</v>
      </c>
      <c r="D4" s="163" t="s">
        <v>112</v>
      </c>
      <c r="E4" s="187"/>
      <c r="F4" s="47" t="s">
        <v>44</v>
      </c>
      <c r="G4" s="48" t="s">
        <v>45</v>
      </c>
      <c r="H4" s="161">
        <v>44503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U4" s="7"/>
      <c r="V4" s="10"/>
      <c r="W4" s="10"/>
      <c r="X4" s="11"/>
    </row>
    <row r="5" spans="2:24" x14ac:dyDescent="0.15">
      <c r="B5" s="8"/>
      <c r="C5" s="164"/>
      <c r="D5" s="164"/>
      <c r="E5" s="188"/>
      <c r="F5" s="50" t="s">
        <v>46</v>
      </c>
      <c r="G5" s="48" t="s">
        <v>47</v>
      </c>
      <c r="H5" s="162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U5" s="7"/>
      <c r="V5" s="10"/>
      <c r="W5" s="10"/>
      <c r="X5" s="11"/>
    </row>
    <row r="6" spans="2:24" x14ac:dyDescent="0.15">
      <c r="B6" s="8"/>
      <c r="C6" s="164"/>
      <c r="D6" s="164"/>
      <c r="E6" s="188"/>
      <c r="F6" s="128" t="s">
        <v>48</v>
      </c>
      <c r="G6" s="127" t="s">
        <v>49</v>
      </c>
      <c r="H6" s="162"/>
      <c r="I6" s="6"/>
      <c r="J6" s="6"/>
      <c r="K6" s="6"/>
      <c r="L6" s="6"/>
      <c r="M6" s="6"/>
      <c r="N6" s="6"/>
      <c r="O6" s="6"/>
      <c r="P6" s="6">
        <v>53</v>
      </c>
      <c r="Q6" s="6">
        <v>51</v>
      </c>
      <c r="R6" s="6">
        <v>29</v>
      </c>
      <c r="S6" s="6">
        <f>SUM(P6:R6)</f>
        <v>133</v>
      </c>
      <c r="U6" s="7"/>
      <c r="V6" s="10"/>
      <c r="W6" s="10"/>
      <c r="X6" s="11"/>
    </row>
    <row r="7" spans="2:24" x14ac:dyDescent="0.15">
      <c r="B7" s="8"/>
      <c r="C7" s="164"/>
      <c r="D7" s="164"/>
      <c r="E7" s="188"/>
      <c r="F7" s="128" t="s">
        <v>50</v>
      </c>
      <c r="G7" s="127" t="s">
        <v>51</v>
      </c>
      <c r="H7" s="162"/>
      <c r="I7" s="6"/>
      <c r="J7" s="6"/>
      <c r="K7" s="6"/>
      <c r="L7" s="6"/>
      <c r="M7" s="6"/>
      <c r="N7" s="6"/>
      <c r="O7" s="6"/>
      <c r="P7" s="6">
        <v>14</v>
      </c>
      <c r="Q7" s="6">
        <v>41</v>
      </c>
      <c r="R7" s="6">
        <v>18</v>
      </c>
      <c r="S7" s="6">
        <f>SUM(P7:R7)</f>
        <v>73</v>
      </c>
      <c r="U7" s="7"/>
      <c r="V7" s="10"/>
      <c r="W7" s="10"/>
      <c r="X7" s="11"/>
    </row>
    <row r="8" spans="2:24" x14ac:dyDescent="0.15">
      <c r="B8" s="8"/>
      <c r="C8" s="164"/>
      <c r="D8" s="164"/>
      <c r="E8" s="188"/>
      <c r="F8" s="50" t="s">
        <v>52</v>
      </c>
      <c r="G8" s="48" t="s">
        <v>53</v>
      </c>
      <c r="H8" s="162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U8" s="7"/>
      <c r="V8" s="10"/>
      <c r="W8" s="10"/>
      <c r="X8" s="11"/>
    </row>
    <row r="9" spans="2:24" x14ac:dyDescent="0.15">
      <c r="B9" s="8"/>
      <c r="C9" s="164"/>
      <c r="D9" s="164"/>
      <c r="E9" s="188"/>
      <c r="F9" s="128" t="s">
        <v>54</v>
      </c>
      <c r="G9" s="127" t="s">
        <v>55</v>
      </c>
      <c r="H9" s="162"/>
      <c r="I9" s="6"/>
      <c r="J9" s="6"/>
      <c r="K9" s="6"/>
      <c r="L9" s="6"/>
      <c r="M9" s="6"/>
      <c r="N9" s="6"/>
      <c r="O9" s="6"/>
      <c r="P9" s="6">
        <v>38</v>
      </c>
      <c r="Q9" s="6">
        <v>43</v>
      </c>
      <c r="R9" s="6">
        <v>25</v>
      </c>
      <c r="S9" s="6">
        <f>SUM(P9:R9)</f>
        <v>106</v>
      </c>
      <c r="U9" s="7"/>
      <c r="V9" s="10"/>
      <c r="W9" s="10"/>
      <c r="X9" s="11"/>
    </row>
    <row r="10" spans="2:24" x14ac:dyDescent="0.15">
      <c r="B10" s="8"/>
      <c r="C10" s="164"/>
      <c r="D10" s="164"/>
      <c r="E10" s="188"/>
      <c r="F10" s="111" t="s">
        <v>56</v>
      </c>
      <c r="G10" s="110" t="s">
        <v>57</v>
      </c>
      <c r="H10" s="162"/>
      <c r="I10" s="6"/>
      <c r="J10" s="6"/>
      <c r="K10" s="6"/>
      <c r="L10" s="6"/>
      <c r="M10" s="6"/>
      <c r="N10" s="6"/>
      <c r="O10" s="6"/>
      <c r="P10" s="6">
        <v>10</v>
      </c>
      <c r="Q10" s="6">
        <v>24</v>
      </c>
      <c r="R10" s="6">
        <v>16</v>
      </c>
      <c r="S10" s="6">
        <f>SUM(I10:R10)</f>
        <v>50</v>
      </c>
      <c r="U10" s="7"/>
      <c r="V10" s="10"/>
      <c r="W10" s="10"/>
      <c r="X10" s="11"/>
    </row>
    <row r="11" spans="2:24" x14ac:dyDescent="0.15">
      <c r="B11" s="12"/>
      <c r="C11" s="164"/>
      <c r="D11" s="164"/>
      <c r="E11" s="188"/>
      <c r="F11" s="129" t="s">
        <v>58</v>
      </c>
      <c r="G11" s="130" t="s">
        <v>59</v>
      </c>
      <c r="H11" s="162"/>
      <c r="I11" s="6"/>
      <c r="J11" s="6"/>
      <c r="K11" s="6"/>
      <c r="L11" s="6"/>
      <c r="M11" s="6"/>
      <c r="N11" s="6"/>
      <c r="O11" s="6"/>
      <c r="P11" s="6">
        <v>33</v>
      </c>
      <c r="Q11" s="6">
        <v>36</v>
      </c>
      <c r="R11" s="6">
        <v>22</v>
      </c>
      <c r="S11" s="6">
        <f>SUM(I11:R11)</f>
        <v>91</v>
      </c>
      <c r="U11" s="7"/>
      <c r="V11" s="2" t="s">
        <v>14</v>
      </c>
      <c r="W11" s="10">
        <f>SUM(R792:R917)+SUM(R937:R954)</f>
        <v>158686</v>
      </c>
      <c r="X11" s="11">
        <f>W11*1.03</f>
        <v>163446.58000000002</v>
      </c>
    </row>
    <row r="12" spans="2:24" ht="12.75" customHeight="1" x14ac:dyDescent="0.15">
      <c r="B12" s="13"/>
      <c r="C12" s="164"/>
      <c r="D12" s="164"/>
      <c r="E12" s="188"/>
      <c r="F12" s="52" t="s">
        <v>60</v>
      </c>
      <c r="G12" s="48" t="s">
        <v>61</v>
      </c>
      <c r="H12" s="162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U12" s="7"/>
    </row>
    <row r="13" spans="2:24" ht="14.25" thickBot="1" x14ac:dyDescent="0.2">
      <c r="B13" s="14"/>
      <c r="C13" s="164"/>
      <c r="D13" s="164"/>
      <c r="E13" s="188"/>
      <c r="F13" s="51" t="s">
        <v>62</v>
      </c>
      <c r="G13" s="48" t="s">
        <v>63</v>
      </c>
      <c r="H13" s="162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U13" s="7"/>
      <c r="V13" s="2" t="s">
        <v>15</v>
      </c>
    </row>
    <row r="14" spans="2:24" ht="15.75" thickBot="1" x14ac:dyDescent="0.2">
      <c r="B14" s="14"/>
      <c r="C14" s="164"/>
      <c r="D14" s="164"/>
      <c r="E14" s="188"/>
      <c r="F14" s="128" t="s">
        <v>64</v>
      </c>
      <c r="G14" s="127" t="s">
        <v>65</v>
      </c>
      <c r="H14" s="162"/>
      <c r="I14" s="6"/>
      <c r="J14" s="6"/>
      <c r="K14" s="6"/>
      <c r="L14" s="6"/>
      <c r="M14" s="6"/>
      <c r="N14" s="6"/>
      <c r="O14" s="6"/>
      <c r="P14" s="6">
        <v>21</v>
      </c>
      <c r="Q14" s="6">
        <v>31</v>
      </c>
      <c r="R14" s="6">
        <v>22</v>
      </c>
      <c r="S14" s="6">
        <f>SUM(P14:R14)</f>
        <v>74</v>
      </c>
      <c r="U14" s="7"/>
      <c r="V14" s="15" t="s">
        <v>16</v>
      </c>
      <c r="W14" s="16" t="s">
        <v>17</v>
      </c>
    </row>
    <row r="15" spans="2:24" ht="15.75" thickBot="1" x14ac:dyDescent="0.2">
      <c r="B15" s="14"/>
      <c r="C15" s="164"/>
      <c r="D15" s="164"/>
      <c r="E15" s="188"/>
      <c r="F15" s="128" t="s">
        <v>66</v>
      </c>
      <c r="G15" s="127" t="s">
        <v>67</v>
      </c>
      <c r="H15" s="162"/>
      <c r="I15" s="6"/>
      <c r="J15" s="6"/>
      <c r="K15" s="6"/>
      <c r="L15" s="6"/>
      <c r="M15" s="6"/>
      <c r="N15" s="6"/>
      <c r="O15" s="6"/>
      <c r="P15" s="6">
        <v>41</v>
      </c>
      <c r="Q15" s="6">
        <v>57</v>
      </c>
      <c r="R15" s="6">
        <v>38</v>
      </c>
      <c r="S15" s="6">
        <f>SUM(P15:R15)</f>
        <v>136</v>
      </c>
      <c r="U15" s="7"/>
      <c r="V15" s="17" t="s">
        <v>18</v>
      </c>
      <c r="W15" s="18" t="s">
        <v>19</v>
      </c>
    </row>
    <row r="16" spans="2:24" ht="15.75" thickBot="1" x14ac:dyDescent="0.2">
      <c r="B16" s="19"/>
      <c r="C16" s="164"/>
      <c r="D16" s="164"/>
      <c r="E16" s="188"/>
      <c r="F16" s="125" t="s">
        <v>68</v>
      </c>
      <c r="G16" s="110" t="s">
        <v>69</v>
      </c>
      <c r="H16" s="20"/>
      <c r="I16" s="6"/>
      <c r="J16" s="6"/>
      <c r="K16" s="6"/>
      <c r="L16" s="6"/>
      <c r="M16" s="6"/>
      <c r="N16" s="6"/>
      <c r="O16" s="6"/>
      <c r="P16" s="6">
        <v>14</v>
      </c>
      <c r="Q16" s="6">
        <v>23</v>
      </c>
      <c r="R16" s="6">
        <v>14</v>
      </c>
      <c r="S16" s="6">
        <f>SUM(P16:R16)</f>
        <v>51</v>
      </c>
      <c r="U16" s="7"/>
      <c r="V16" s="17" t="s">
        <v>20</v>
      </c>
      <c r="W16" s="18" t="s">
        <v>21</v>
      </c>
    </row>
    <row r="17" spans="2:23" ht="15.75" thickBot="1" x14ac:dyDescent="0.2">
      <c r="B17" s="19"/>
      <c r="C17" s="164"/>
      <c r="D17" s="164"/>
      <c r="E17" s="188"/>
      <c r="F17" s="126" t="s">
        <v>70</v>
      </c>
      <c r="G17" s="127" t="s">
        <v>71</v>
      </c>
      <c r="H17" s="20"/>
      <c r="I17" s="6"/>
      <c r="J17" s="6"/>
      <c r="K17" s="6"/>
      <c r="L17" s="6"/>
      <c r="M17" s="6"/>
      <c r="N17" s="6"/>
      <c r="O17" s="6"/>
      <c r="P17" s="6">
        <v>17</v>
      </c>
      <c r="Q17" s="6">
        <v>26</v>
      </c>
      <c r="R17" s="6">
        <v>15</v>
      </c>
      <c r="S17" s="6">
        <f>SUM(P17:R17)</f>
        <v>58</v>
      </c>
      <c r="U17" s="7"/>
      <c r="V17" s="17" t="s">
        <v>22</v>
      </c>
      <c r="W17" s="18" t="s">
        <v>23</v>
      </c>
    </row>
    <row r="18" spans="2:23" x14ac:dyDescent="0.15">
      <c r="B18" s="19"/>
      <c r="C18" s="164"/>
      <c r="D18" s="164"/>
      <c r="E18" s="189"/>
      <c r="F18" s="47"/>
      <c r="G18" s="50"/>
      <c r="H18" s="123" t="s">
        <v>33</v>
      </c>
      <c r="I18" s="23"/>
      <c r="J18" s="23"/>
      <c r="K18" s="23"/>
      <c r="L18" s="23"/>
      <c r="M18" s="23"/>
      <c r="N18" s="6"/>
      <c r="O18" s="6"/>
      <c r="P18" s="6"/>
      <c r="Q18" s="6"/>
      <c r="R18" s="6"/>
      <c r="S18" s="6"/>
      <c r="U18" s="7"/>
    </row>
    <row r="19" spans="2:23" x14ac:dyDescent="0.15">
      <c r="B19" s="19"/>
      <c r="C19" s="164"/>
      <c r="D19" s="164"/>
      <c r="E19" s="9"/>
      <c r="F19" s="47"/>
      <c r="G19" s="50"/>
      <c r="H19" s="21"/>
      <c r="I19" s="22"/>
      <c r="J19" s="22"/>
      <c r="K19" s="22"/>
      <c r="L19" s="22"/>
      <c r="M19" s="22"/>
      <c r="N19" s="22"/>
      <c r="O19" s="22"/>
      <c r="P19" s="22">
        <f>SUM(P4:P18)</f>
        <v>241</v>
      </c>
      <c r="Q19" s="22">
        <f>SUM(Q4:Q18)</f>
        <v>332</v>
      </c>
      <c r="R19" s="22">
        <f>SUM(R6:R17)</f>
        <v>199</v>
      </c>
      <c r="S19" s="22">
        <f>SUM(S6:S17)</f>
        <v>772</v>
      </c>
      <c r="U19" s="7"/>
    </row>
    <row r="20" spans="2:23" x14ac:dyDescent="0.15">
      <c r="B20" s="19"/>
      <c r="C20" s="164"/>
      <c r="D20" s="164" t="s">
        <v>113</v>
      </c>
      <c r="E20" s="187"/>
      <c r="F20" s="135" t="s">
        <v>44</v>
      </c>
      <c r="G20" s="127" t="s">
        <v>45</v>
      </c>
      <c r="H20" s="159">
        <v>44503</v>
      </c>
      <c r="I20" s="136"/>
      <c r="J20" s="136"/>
      <c r="K20" s="133"/>
      <c r="L20" s="133"/>
      <c r="M20" s="133"/>
      <c r="N20" s="133"/>
      <c r="O20" s="132"/>
      <c r="P20" s="6"/>
      <c r="Q20" s="6"/>
      <c r="R20" s="6"/>
      <c r="S20" s="6"/>
      <c r="U20" s="7"/>
      <c r="V20" s="2" t="s">
        <v>24</v>
      </c>
    </row>
    <row r="21" spans="2:23" x14ac:dyDescent="0.15">
      <c r="B21" s="19"/>
      <c r="C21" s="164"/>
      <c r="D21" s="164"/>
      <c r="E21" s="188"/>
      <c r="F21" s="128" t="s">
        <v>46</v>
      </c>
      <c r="G21" s="127" t="s">
        <v>47</v>
      </c>
      <c r="H21" s="160"/>
      <c r="I21" s="132"/>
      <c r="J21" s="132"/>
      <c r="K21" s="133"/>
      <c r="L21" s="133"/>
      <c r="M21" s="133"/>
      <c r="N21" s="133"/>
      <c r="O21" s="132"/>
      <c r="P21" s="6"/>
      <c r="Q21" s="6"/>
      <c r="R21" s="6"/>
      <c r="S21" s="6"/>
      <c r="U21" s="7"/>
      <c r="V21" s="24" t="s">
        <v>25</v>
      </c>
    </row>
    <row r="22" spans="2:23" x14ac:dyDescent="0.15">
      <c r="B22" s="19"/>
      <c r="C22" s="164"/>
      <c r="D22" s="164"/>
      <c r="E22" s="188"/>
      <c r="F22" s="128" t="s">
        <v>48</v>
      </c>
      <c r="G22" s="127" t="s">
        <v>49</v>
      </c>
      <c r="H22" s="160"/>
      <c r="I22" s="132"/>
      <c r="J22" s="132"/>
      <c r="K22" s="133">
        <v>15</v>
      </c>
      <c r="L22" s="133">
        <v>27</v>
      </c>
      <c r="M22" s="133">
        <v>28</v>
      </c>
      <c r="N22" s="133">
        <v>10</v>
      </c>
      <c r="O22" s="132"/>
      <c r="P22" s="6"/>
      <c r="Q22" s="6"/>
      <c r="R22" s="6"/>
      <c r="S22" s="6">
        <f>SUM(K22:N22)</f>
        <v>80</v>
      </c>
      <c r="U22" s="7"/>
      <c r="V22" s="24" t="s">
        <v>26</v>
      </c>
    </row>
    <row r="23" spans="2:23" x14ac:dyDescent="0.15">
      <c r="B23" s="19"/>
      <c r="C23" s="164"/>
      <c r="D23" s="164"/>
      <c r="E23" s="188"/>
      <c r="F23" s="128" t="s">
        <v>50</v>
      </c>
      <c r="G23" s="127" t="s">
        <v>51</v>
      </c>
      <c r="H23" s="160"/>
      <c r="I23" s="132"/>
      <c r="J23" s="132"/>
      <c r="K23" s="133">
        <v>10</v>
      </c>
      <c r="L23" s="133">
        <v>10</v>
      </c>
      <c r="M23" s="133">
        <v>15</v>
      </c>
      <c r="N23" s="133">
        <v>10</v>
      </c>
      <c r="O23" s="132"/>
      <c r="P23" s="6"/>
      <c r="Q23" s="6"/>
      <c r="R23" s="6"/>
      <c r="S23" s="6">
        <f>SUM(K23:N23)</f>
        <v>45</v>
      </c>
      <c r="U23" s="7"/>
      <c r="V23" s="2" t="s">
        <v>27</v>
      </c>
    </row>
    <row r="24" spans="2:23" x14ac:dyDescent="0.15">
      <c r="B24" s="19"/>
      <c r="C24" s="164"/>
      <c r="D24" s="164"/>
      <c r="E24" s="188"/>
      <c r="F24" s="128" t="s">
        <v>52</v>
      </c>
      <c r="G24" s="127" t="s">
        <v>53</v>
      </c>
      <c r="H24" s="160"/>
      <c r="I24" s="136"/>
      <c r="J24" s="136"/>
      <c r="K24" s="133"/>
      <c r="L24" s="133"/>
      <c r="M24" s="133"/>
      <c r="N24" s="133"/>
      <c r="O24" s="132"/>
      <c r="P24" s="6"/>
      <c r="Q24" s="6"/>
      <c r="R24" s="6"/>
      <c r="S24" s="6"/>
    </row>
    <row r="25" spans="2:23" x14ac:dyDescent="0.15">
      <c r="B25" s="19"/>
      <c r="C25" s="164"/>
      <c r="D25" s="164"/>
      <c r="E25" s="188"/>
      <c r="F25" s="128" t="s">
        <v>54</v>
      </c>
      <c r="G25" s="127" t="s">
        <v>55</v>
      </c>
      <c r="H25" s="160"/>
      <c r="I25" s="136"/>
      <c r="J25" s="136"/>
      <c r="K25" s="133">
        <v>10</v>
      </c>
      <c r="L25" s="133">
        <v>17</v>
      </c>
      <c r="M25" s="133">
        <v>19</v>
      </c>
      <c r="N25" s="133">
        <v>10</v>
      </c>
      <c r="O25" s="132"/>
      <c r="P25" s="6"/>
      <c r="Q25" s="6"/>
      <c r="R25" s="6"/>
      <c r="S25" s="6">
        <f>SUM(K25:N25)</f>
        <v>56</v>
      </c>
    </row>
    <row r="26" spans="2:23" x14ac:dyDescent="0.15">
      <c r="B26" s="19"/>
      <c r="C26" s="164"/>
      <c r="D26" s="164"/>
      <c r="E26" s="188"/>
      <c r="F26" s="137" t="s">
        <v>56</v>
      </c>
      <c r="G26" s="130" t="s">
        <v>57</v>
      </c>
      <c r="H26" s="160"/>
      <c r="I26" s="136"/>
      <c r="J26" s="136"/>
      <c r="K26" s="133"/>
      <c r="L26" s="133"/>
      <c r="M26" s="133"/>
      <c r="N26" s="133"/>
      <c r="O26" s="132"/>
      <c r="P26" s="6"/>
      <c r="Q26" s="6"/>
      <c r="R26" s="6"/>
      <c r="S26" s="6"/>
    </row>
    <row r="27" spans="2:23" s="134" customFormat="1" x14ac:dyDescent="0.15">
      <c r="B27" s="131"/>
      <c r="C27" s="164"/>
      <c r="D27" s="164"/>
      <c r="E27" s="188"/>
      <c r="F27" s="129" t="s">
        <v>58</v>
      </c>
      <c r="G27" s="130" t="s">
        <v>59</v>
      </c>
      <c r="H27" s="160"/>
      <c r="I27" s="132"/>
      <c r="J27" s="132"/>
      <c r="K27" s="133">
        <v>10</v>
      </c>
      <c r="L27" s="133">
        <v>15</v>
      </c>
      <c r="M27" s="133">
        <v>16</v>
      </c>
      <c r="N27" s="133">
        <v>10</v>
      </c>
      <c r="O27" s="132"/>
      <c r="P27" s="132"/>
      <c r="Q27" s="132"/>
      <c r="R27" s="132"/>
      <c r="S27" s="132">
        <f>SUM(K27:N27)</f>
        <v>51</v>
      </c>
    </row>
    <row r="28" spans="2:23" x14ac:dyDescent="0.15">
      <c r="B28" s="19"/>
      <c r="C28" s="164"/>
      <c r="D28" s="164"/>
      <c r="E28" s="188"/>
      <c r="F28" s="138" t="s">
        <v>60</v>
      </c>
      <c r="G28" s="127" t="s">
        <v>61</v>
      </c>
      <c r="H28" s="160"/>
      <c r="I28" s="132"/>
      <c r="J28" s="132"/>
      <c r="K28" s="133"/>
      <c r="L28" s="133"/>
      <c r="M28" s="133"/>
      <c r="N28" s="133"/>
      <c r="O28" s="132"/>
      <c r="P28" s="6"/>
      <c r="Q28" s="6"/>
      <c r="R28" s="6"/>
      <c r="S28" s="6"/>
    </row>
    <row r="29" spans="2:23" x14ac:dyDescent="0.15">
      <c r="B29" s="19"/>
      <c r="C29" s="164"/>
      <c r="D29" s="164"/>
      <c r="E29" s="188"/>
      <c r="F29" s="126" t="s">
        <v>62</v>
      </c>
      <c r="G29" s="127" t="s">
        <v>63</v>
      </c>
      <c r="H29" s="160"/>
      <c r="I29" s="132"/>
      <c r="J29" s="132"/>
      <c r="K29" s="133"/>
      <c r="L29" s="133"/>
      <c r="M29" s="133"/>
      <c r="N29" s="133"/>
      <c r="O29" s="132"/>
      <c r="P29" s="6"/>
      <c r="Q29" s="6"/>
      <c r="R29" s="6"/>
      <c r="S29" s="6"/>
    </row>
    <row r="30" spans="2:23" s="134" customFormat="1" x14ac:dyDescent="0.15">
      <c r="B30" s="131"/>
      <c r="C30" s="164"/>
      <c r="D30" s="164"/>
      <c r="E30" s="188"/>
      <c r="F30" s="128" t="s">
        <v>64</v>
      </c>
      <c r="G30" s="127" t="s">
        <v>65</v>
      </c>
      <c r="H30" s="160"/>
      <c r="I30" s="132"/>
      <c r="J30" s="132"/>
      <c r="K30" s="133">
        <v>10</v>
      </c>
      <c r="L30" s="133">
        <v>16</v>
      </c>
      <c r="M30" s="133">
        <v>11</v>
      </c>
      <c r="N30" s="133">
        <v>10</v>
      </c>
      <c r="O30" s="132"/>
      <c r="P30" s="132"/>
      <c r="Q30" s="132"/>
      <c r="R30" s="132"/>
      <c r="S30" s="132">
        <f>SUM(K30:N30)</f>
        <v>47</v>
      </c>
    </row>
    <row r="31" spans="2:23" x14ac:dyDescent="0.15">
      <c r="B31" s="19"/>
      <c r="C31" s="164"/>
      <c r="D31" s="164"/>
      <c r="E31" s="188"/>
      <c r="F31" s="128" t="s">
        <v>66</v>
      </c>
      <c r="G31" s="127" t="s">
        <v>67</v>
      </c>
      <c r="H31" s="160"/>
      <c r="I31" s="132"/>
      <c r="J31" s="132"/>
      <c r="K31" s="133">
        <v>10</v>
      </c>
      <c r="L31" s="133">
        <v>20</v>
      </c>
      <c r="M31" s="133">
        <v>26</v>
      </c>
      <c r="N31" s="133">
        <v>12</v>
      </c>
      <c r="O31" s="132"/>
      <c r="P31" s="6"/>
      <c r="Q31" s="6"/>
      <c r="R31" s="6"/>
      <c r="S31" s="6">
        <f>SUM(K31:N31)</f>
        <v>68</v>
      </c>
    </row>
    <row r="32" spans="2:23" x14ac:dyDescent="0.15">
      <c r="B32" s="19"/>
      <c r="C32" s="164"/>
      <c r="D32" s="164"/>
      <c r="E32" s="188"/>
      <c r="F32" s="129" t="s">
        <v>68</v>
      </c>
      <c r="G32" s="130" t="s">
        <v>69</v>
      </c>
      <c r="H32" s="160"/>
      <c r="I32" s="132"/>
      <c r="J32" s="132"/>
      <c r="K32" s="133"/>
      <c r="L32" s="133"/>
      <c r="M32" s="133"/>
      <c r="N32" s="133"/>
      <c r="O32" s="132"/>
      <c r="P32" s="6"/>
      <c r="Q32" s="6"/>
      <c r="R32" s="6"/>
      <c r="S32" s="6"/>
    </row>
    <row r="33" spans="2:25" s="26" customFormat="1" x14ac:dyDescent="0.15">
      <c r="B33" s="19"/>
      <c r="C33" s="164"/>
      <c r="D33" s="164"/>
      <c r="E33" s="188"/>
      <c r="F33" s="126" t="s">
        <v>70</v>
      </c>
      <c r="G33" s="127" t="s">
        <v>71</v>
      </c>
      <c r="H33" s="167"/>
      <c r="I33" s="132"/>
      <c r="J33" s="132"/>
      <c r="K33" s="133"/>
      <c r="L33" s="133"/>
      <c r="M33" s="133"/>
      <c r="N33" s="133"/>
      <c r="O33" s="132"/>
      <c r="P33" s="6"/>
      <c r="Q33" s="6"/>
      <c r="R33" s="6"/>
      <c r="S33" s="6"/>
      <c r="T33" s="2"/>
      <c r="U33" s="2"/>
      <c r="V33" s="2"/>
      <c r="W33" s="10"/>
      <c r="X33" s="25"/>
      <c r="Y33" s="2"/>
    </row>
    <row r="34" spans="2:25" s="26" customFormat="1" x14ac:dyDescent="0.15">
      <c r="B34" s="19"/>
      <c r="C34" s="164"/>
      <c r="D34" s="165"/>
      <c r="E34" s="189"/>
      <c r="F34" s="139"/>
      <c r="G34" s="131"/>
      <c r="H34" s="118"/>
      <c r="I34" s="22"/>
      <c r="J34" s="22"/>
      <c r="K34" s="22">
        <f>SUM(K22:K31)</f>
        <v>65</v>
      </c>
      <c r="L34" s="22">
        <f t="shared" ref="L34:N34" si="0">SUM(L22:L31)</f>
        <v>105</v>
      </c>
      <c r="M34" s="22">
        <f t="shared" si="0"/>
        <v>115</v>
      </c>
      <c r="N34" s="22">
        <f t="shared" si="0"/>
        <v>62</v>
      </c>
      <c r="O34" s="22"/>
      <c r="P34" s="22"/>
      <c r="Q34" s="22"/>
      <c r="R34" s="22"/>
      <c r="S34" s="22">
        <f>SUM(S22:S31)</f>
        <v>347</v>
      </c>
      <c r="T34" s="2"/>
      <c r="U34" s="2"/>
      <c r="V34" s="2"/>
      <c r="W34" s="10"/>
      <c r="X34" s="25"/>
      <c r="Y34" s="2"/>
    </row>
    <row r="35" spans="2:25" s="117" customFormat="1" x14ac:dyDescent="0.15">
      <c r="B35" s="19"/>
      <c r="C35" s="164"/>
      <c r="D35" s="164" t="s">
        <v>114</v>
      </c>
      <c r="E35" s="187"/>
      <c r="F35" s="135" t="s">
        <v>44</v>
      </c>
      <c r="G35" s="127" t="s">
        <v>45</v>
      </c>
      <c r="H35" s="159">
        <v>44503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112"/>
      <c r="U35" s="112"/>
      <c r="V35" s="112"/>
      <c r="W35" s="10"/>
      <c r="X35" s="120"/>
      <c r="Y35" s="112"/>
    </row>
    <row r="36" spans="2:25" s="117" customFormat="1" x14ac:dyDescent="0.15">
      <c r="B36" s="19"/>
      <c r="C36" s="164"/>
      <c r="D36" s="164"/>
      <c r="E36" s="188"/>
      <c r="F36" s="128" t="s">
        <v>46</v>
      </c>
      <c r="G36" s="127" t="s">
        <v>47</v>
      </c>
      <c r="H36" s="160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112"/>
      <c r="U36" s="112"/>
      <c r="V36" s="112"/>
      <c r="W36" s="10"/>
      <c r="X36" s="120"/>
      <c r="Y36" s="112"/>
    </row>
    <row r="37" spans="2:25" s="117" customFormat="1" x14ac:dyDescent="0.15">
      <c r="B37" s="19"/>
      <c r="C37" s="164"/>
      <c r="D37" s="164"/>
      <c r="E37" s="188"/>
      <c r="F37" s="128" t="s">
        <v>48</v>
      </c>
      <c r="G37" s="127" t="s">
        <v>49</v>
      </c>
      <c r="H37" s="160"/>
      <c r="I37" s="6">
        <v>40</v>
      </c>
      <c r="J37" s="6">
        <v>103</v>
      </c>
      <c r="K37" s="6">
        <v>124</v>
      </c>
      <c r="L37" s="6">
        <v>86</v>
      </c>
      <c r="M37" s="6">
        <v>86</v>
      </c>
      <c r="N37" s="6">
        <v>43</v>
      </c>
      <c r="O37" s="6">
        <v>11</v>
      </c>
      <c r="P37" s="6"/>
      <c r="Q37" s="6"/>
      <c r="R37" s="6"/>
      <c r="S37" s="6">
        <f>SUM(I37:O37)</f>
        <v>493</v>
      </c>
      <c r="T37" s="112"/>
      <c r="U37" s="112"/>
      <c r="V37" s="112"/>
      <c r="W37" s="10"/>
      <c r="X37" s="120"/>
      <c r="Y37" s="112"/>
    </row>
    <row r="38" spans="2:25" s="117" customFormat="1" x14ac:dyDescent="0.15">
      <c r="B38" s="19"/>
      <c r="C38" s="164"/>
      <c r="D38" s="164"/>
      <c r="E38" s="188"/>
      <c r="F38" s="128" t="s">
        <v>50</v>
      </c>
      <c r="G38" s="127" t="s">
        <v>51</v>
      </c>
      <c r="H38" s="160"/>
      <c r="I38" s="6">
        <v>10</v>
      </c>
      <c r="J38" s="6">
        <v>15</v>
      </c>
      <c r="K38" s="6">
        <v>28</v>
      </c>
      <c r="L38" s="6">
        <v>38</v>
      </c>
      <c r="M38" s="6">
        <v>48</v>
      </c>
      <c r="N38" s="6">
        <v>34</v>
      </c>
      <c r="O38" s="6">
        <v>13</v>
      </c>
      <c r="P38" s="6"/>
      <c r="Q38" s="6"/>
      <c r="R38" s="6"/>
      <c r="S38" s="6">
        <f>SUM(I38:O38)</f>
        <v>186</v>
      </c>
      <c r="T38" s="112"/>
      <c r="U38" s="112"/>
      <c r="V38" s="112"/>
      <c r="W38" s="10"/>
      <c r="X38" s="120"/>
      <c r="Y38" s="112"/>
    </row>
    <row r="39" spans="2:25" s="117" customFormat="1" x14ac:dyDescent="0.15">
      <c r="B39" s="19"/>
      <c r="C39" s="164"/>
      <c r="D39" s="164"/>
      <c r="E39" s="188"/>
      <c r="F39" s="128" t="s">
        <v>52</v>
      </c>
      <c r="G39" s="127" t="s">
        <v>53</v>
      </c>
      <c r="H39" s="160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112"/>
      <c r="U39" s="112"/>
      <c r="V39" s="112"/>
      <c r="W39" s="10"/>
      <c r="X39" s="120"/>
      <c r="Y39" s="112"/>
    </row>
    <row r="40" spans="2:25" s="117" customFormat="1" x14ac:dyDescent="0.15">
      <c r="B40" s="19"/>
      <c r="C40" s="164"/>
      <c r="D40" s="164"/>
      <c r="E40" s="188"/>
      <c r="F40" s="128" t="s">
        <v>115</v>
      </c>
      <c r="G40" s="127" t="s">
        <v>55</v>
      </c>
      <c r="H40" s="160"/>
      <c r="I40" s="6">
        <v>15</v>
      </c>
      <c r="J40" s="6">
        <v>36</v>
      </c>
      <c r="K40" s="6">
        <v>51</v>
      </c>
      <c r="L40" s="6">
        <v>54</v>
      </c>
      <c r="M40" s="6">
        <v>58</v>
      </c>
      <c r="N40" s="6">
        <v>38</v>
      </c>
      <c r="O40" s="6">
        <v>12</v>
      </c>
      <c r="P40" s="6"/>
      <c r="Q40" s="6"/>
      <c r="R40" s="6"/>
      <c r="S40" s="6">
        <f>SUM(I40:O40)</f>
        <v>264</v>
      </c>
      <c r="T40" s="112"/>
      <c r="U40" s="112"/>
      <c r="V40" s="112"/>
      <c r="W40" s="10"/>
      <c r="X40" s="120"/>
      <c r="Y40" s="112"/>
    </row>
    <row r="41" spans="2:25" s="117" customFormat="1" x14ac:dyDescent="0.15">
      <c r="B41" s="19"/>
      <c r="C41" s="164"/>
      <c r="D41" s="164"/>
      <c r="E41" s="188"/>
      <c r="F41" s="137" t="s">
        <v>56</v>
      </c>
      <c r="G41" s="130" t="s">
        <v>57</v>
      </c>
      <c r="H41" s="160"/>
      <c r="I41" s="6">
        <v>10</v>
      </c>
      <c r="J41" s="6">
        <v>12</v>
      </c>
      <c r="K41" s="6">
        <v>19</v>
      </c>
      <c r="L41" s="6">
        <v>27</v>
      </c>
      <c r="M41" s="6">
        <v>50</v>
      </c>
      <c r="N41" s="6">
        <v>45</v>
      </c>
      <c r="O41" s="6">
        <v>22</v>
      </c>
      <c r="P41" s="6"/>
      <c r="Q41" s="6"/>
      <c r="R41" s="6"/>
      <c r="S41" s="6">
        <f>SUM(I41:O41)</f>
        <v>185</v>
      </c>
      <c r="T41" s="112"/>
      <c r="U41" s="112"/>
      <c r="V41" s="112"/>
      <c r="W41" s="10"/>
      <c r="X41" s="120"/>
      <c r="Y41" s="112"/>
    </row>
    <row r="42" spans="2:25" s="117" customFormat="1" x14ac:dyDescent="0.15">
      <c r="B42" s="19"/>
      <c r="C42" s="164"/>
      <c r="D42" s="164"/>
      <c r="E42" s="188"/>
      <c r="F42" s="125" t="s">
        <v>58</v>
      </c>
      <c r="G42" s="110" t="s">
        <v>59</v>
      </c>
      <c r="H42" s="160"/>
      <c r="I42" s="6">
        <v>19</v>
      </c>
      <c r="J42" s="6">
        <v>45</v>
      </c>
      <c r="K42" s="6">
        <v>65</v>
      </c>
      <c r="L42" s="6">
        <v>68</v>
      </c>
      <c r="M42" s="6">
        <v>73</v>
      </c>
      <c r="N42" s="6">
        <v>47</v>
      </c>
      <c r="O42" s="6">
        <v>15</v>
      </c>
      <c r="P42" s="6"/>
      <c r="Q42" s="6"/>
      <c r="R42" s="6"/>
      <c r="S42" s="6">
        <f>SUM(I42:O42)</f>
        <v>332</v>
      </c>
      <c r="T42" s="112"/>
      <c r="U42" s="112"/>
      <c r="V42" s="112"/>
      <c r="W42" s="10"/>
      <c r="X42" s="120"/>
      <c r="Y42" s="112"/>
    </row>
    <row r="43" spans="2:25" s="117" customFormat="1" x14ac:dyDescent="0.15">
      <c r="B43" s="19"/>
      <c r="C43" s="164"/>
      <c r="D43" s="164"/>
      <c r="E43" s="188"/>
      <c r="F43" s="138" t="s">
        <v>60</v>
      </c>
      <c r="G43" s="127" t="s">
        <v>61</v>
      </c>
      <c r="H43" s="160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112"/>
      <c r="U43" s="112"/>
      <c r="V43" s="112"/>
      <c r="W43" s="10"/>
      <c r="X43" s="120"/>
      <c r="Y43" s="112"/>
    </row>
    <row r="44" spans="2:25" s="117" customFormat="1" x14ac:dyDescent="0.15">
      <c r="B44" s="19"/>
      <c r="C44" s="164"/>
      <c r="D44" s="164"/>
      <c r="E44" s="188"/>
      <c r="F44" s="126" t="s">
        <v>62</v>
      </c>
      <c r="G44" s="127" t="s">
        <v>63</v>
      </c>
      <c r="H44" s="160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112"/>
      <c r="U44" s="112"/>
      <c r="V44" s="112"/>
      <c r="W44" s="10"/>
      <c r="X44" s="120"/>
      <c r="Y44" s="112"/>
    </row>
    <row r="45" spans="2:25" s="117" customFormat="1" x14ac:dyDescent="0.15">
      <c r="B45" s="19"/>
      <c r="C45" s="164"/>
      <c r="D45" s="164"/>
      <c r="E45" s="188"/>
      <c r="F45" s="128" t="s">
        <v>64</v>
      </c>
      <c r="G45" s="127" t="s">
        <v>65</v>
      </c>
      <c r="H45" s="160"/>
      <c r="I45" s="6">
        <v>10</v>
      </c>
      <c r="J45" s="6">
        <v>33</v>
      </c>
      <c r="K45" s="6">
        <v>49</v>
      </c>
      <c r="L45" s="6">
        <v>50</v>
      </c>
      <c r="M45" s="6">
        <v>45</v>
      </c>
      <c r="N45" s="6">
        <v>27</v>
      </c>
      <c r="O45" s="6">
        <v>9</v>
      </c>
      <c r="P45" s="6"/>
      <c r="Q45" s="6"/>
      <c r="R45" s="6"/>
      <c r="S45" s="6">
        <f>SUM(I45:O45)</f>
        <v>223</v>
      </c>
      <c r="T45" s="112"/>
      <c r="U45" s="112"/>
      <c r="V45" s="112"/>
      <c r="W45" s="10"/>
      <c r="X45" s="120"/>
      <c r="Y45" s="112"/>
    </row>
    <row r="46" spans="2:25" s="117" customFormat="1" x14ac:dyDescent="0.15">
      <c r="B46" s="19"/>
      <c r="C46" s="164"/>
      <c r="D46" s="164"/>
      <c r="E46" s="188"/>
      <c r="F46" s="128" t="s">
        <v>66</v>
      </c>
      <c r="G46" s="127" t="s">
        <v>67</v>
      </c>
      <c r="H46" s="160"/>
      <c r="I46" s="6">
        <v>10</v>
      </c>
      <c r="J46" s="6">
        <v>23</v>
      </c>
      <c r="K46" s="6">
        <v>45</v>
      </c>
      <c r="L46" s="6">
        <v>53</v>
      </c>
      <c r="M46" s="6">
        <v>94</v>
      </c>
      <c r="N46" s="6">
        <v>67</v>
      </c>
      <c r="O46" s="6">
        <v>23</v>
      </c>
      <c r="P46" s="6"/>
      <c r="Q46" s="6"/>
      <c r="R46" s="6"/>
      <c r="S46" s="6">
        <f>SUM(I46:O46)</f>
        <v>315</v>
      </c>
      <c r="T46" s="112"/>
      <c r="U46" s="112"/>
      <c r="V46" s="112"/>
      <c r="W46" s="10"/>
      <c r="X46" s="120"/>
      <c r="Y46" s="112"/>
    </row>
    <row r="47" spans="2:25" s="117" customFormat="1" x14ac:dyDescent="0.15">
      <c r="B47" s="19"/>
      <c r="C47" s="164"/>
      <c r="D47" s="164"/>
      <c r="E47" s="188"/>
      <c r="F47" s="129" t="s">
        <v>68</v>
      </c>
      <c r="G47" s="130" t="s">
        <v>69</v>
      </c>
      <c r="H47" s="160"/>
      <c r="I47" s="6">
        <v>10</v>
      </c>
      <c r="J47" s="6">
        <v>21</v>
      </c>
      <c r="K47" s="6">
        <v>30</v>
      </c>
      <c r="L47" s="6">
        <v>35</v>
      </c>
      <c r="M47" s="6">
        <v>49</v>
      </c>
      <c r="N47" s="6">
        <v>35</v>
      </c>
      <c r="O47" s="6">
        <v>13</v>
      </c>
      <c r="P47" s="6"/>
      <c r="Q47" s="6"/>
      <c r="R47" s="6"/>
      <c r="S47" s="6">
        <f>SUM(I47:O47)</f>
        <v>193</v>
      </c>
      <c r="T47" s="10">
        <f>S19+S34+S49</f>
        <v>3453</v>
      </c>
      <c r="U47" s="112"/>
      <c r="V47" s="112"/>
      <c r="W47" s="10"/>
      <c r="X47" s="120"/>
      <c r="Y47" s="112"/>
    </row>
    <row r="48" spans="2:25" s="117" customFormat="1" x14ac:dyDescent="0.15">
      <c r="B48" s="19"/>
      <c r="C48" s="164"/>
      <c r="D48" s="164"/>
      <c r="E48" s="188"/>
      <c r="F48" s="126" t="s">
        <v>70</v>
      </c>
      <c r="G48" s="127" t="s">
        <v>71</v>
      </c>
      <c r="H48" s="167"/>
      <c r="I48" s="6">
        <v>10</v>
      </c>
      <c r="J48" s="6">
        <v>16</v>
      </c>
      <c r="K48" s="6">
        <v>18</v>
      </c>
      <c r="L48" s="6">
        <v>25</v>
      </c>
      <c r="M48" s="6">
        <v>31</v>
      </c>
      <c r="N48" s="6">
        <v>32</v>
      </c>
      <c r="O48" s="6">
        <v>11</v>
      </c>
      <c r="P48" s="6"/>
      <c r="Q48" s="6"/>
      <c r="R48" s="6"/>
      <c r="S48" s="6">
        <f>SUM(I48:O48)</f>
        <v>143</v>
      </c>
      <c r="T48" s="112"/>
      <c r="U48" s="112"/>
      <c r="V48" s="112"/>
      <c r="W48" s="10"/>
      <c r="X48" s="120"/>
      <c r="Y48" s="112"/>
    </row>
    <row r="49" spans="2:25" s="117" customFormat="1" x14ac:dyDescent="0.15">
      <c r="B49" s="19"/>
      <c r="C49" s="165"/>
      <c r="D49" s="165"/>
      <c r="E49" s="189"/>
      <c r="F49" s="139"/>
      <c r="G49" s="131"/>
      <c r="H49" s="118"/>
      <c r="I49" s="22">
        <f>SUM(I37:I48)</f>
        <v>134</v>
      </c>
      <c r="J49" s="22">
        <f t="shared" ref="J49:O49" si="1">SUM(J37:J48)</f>
        <v>304</v>
      </c>
      <c r="K49" s="22">
        <f t="shared" si="1"/>
        <v>429</v>
      </c>
      <c r="L49" s="22">
        <f t="shared" si="1"/>
        <v>436</v>
      </c>
      <c r="M49" s="22">
        <f t="shared" si="1"/>
        <v>534</v>
      </c>
      <c r="N49" s="22">
        <f t="shared" si="1"/>
        <v>368</v>
      </c>
      <c r="O49" s="22">
        <f t="shared" si="1"/>
        <v>129</v>
      </c>
      <c r="P49" s="22"/>
      <c r="Q49" s="22"/>
      <c r="R49" s="22"/>
      <c r="S49" s="22">
        <f>SUM(S37:S48)</f>
        <v>2334</v>
      </c>
      <c r="T49" s="112"/>
      <c r="U49" s="112"/>
      <c r="V49" s="112"/>
      <c r="W49" s="10"/>
      <c r="X49" s="120"/>
      <c r="Y49" s="112"/>
    </row>
    <row r="50" spans="2:25" s="117" customFormat="1" x14ac:dyDescent="0.15">
      <c r="B50" s="19"/>
      <c r="C50" s="163">
        <v>4500458424</v>
      </c>
      <c r="D50" s="114" t="s">
        <v>4</v>
      </c>
      <c r="E50" s="113" t="s">
        <v>5</v>
      </c>
      <c r="F50" s="113" t="s">
        <v>6</v>
      </c>
      <c r="G50" s="113"/>
      <c r="H50" s="114" t="s">
        <v>7</v>
      </c>
      <c r="I50" s="114" t="s">
        <v>104</v>
      </c>
      <c r="J50" s="114" t="s">
        <v>105</v>
      </c>
      <c r="K50" s="114" t="s">
        <v>106</v>
      </c>
      <c r="L50" s="114" t="s">
        <v>107</v>
      </c>
      <c r="M50" s="114" t="s">
        <v>108</v>
      </c>
      <c r="N50" s="114" t="s">
        <v>109</v>
      </c>
      <c r="O50" s="114" t="s">
        <v>110</v>
      </c>
      <c r="P50" s="44" t="s">
        <v>8</v>
      </c>
      <c r="Q50" s="44" t="s">
        <v>9</v>
      </c>
      <c r="R50" s="44" t="s">
        <v>10</v>
      </c>
      <c r="S50" s="6" t="s">
        <v>11</v>
      </c>
      <c r="T50" s="112"/>
      <c r="U50" s="112"/>
      <c r="V50" s="112"/>
      <c r="W50" s="10"/>
      <c r="X50" s="120"/>
      <c r="Y50" s="112"/>
    </row>
    <row r="51" spans="2:25" s="117" customFormat="1" x14ac:dyDescent="0.15">
      <c r="B51" s="19"/>
      <c r="C51" s="164"/>
      <c r="D51" s="163" t="s">
        <v>112</v>
      </c>
      <c r="E51" s="187"/>
      <c r="F51" s="47" t="s">
        <v>44</v>
      </c>
      <c r="G51" s="119" t="s">
        <v>45</v>
      </c>
      <c r="H51" s="161">
        <v>44524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112"/>
      <c r="U51" s="112"/>
      <c r="V51" s="112"/>
      <c r="W51" s="10"/>
      <c r="X51" s="120"/>
      <c r="Y51" s="112"/>
    </row>
    <row r="52" spans="2:25" s="117" customFormat="1" x14ac:dyDescent="0.15">
      <c r="B52" s="19"/>
      <c r="C52" s="164"/>
      <c r="D52" s="164"/>
      <c r="E52" s="188"/>
      <c r="F52" s="50" t="s">
        <v>46</v>
      </c>
      <c r="G52" s="119" t="s">
        <v>47</v>
      </c>
      <c r="H52" s="162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112"/>
      <c r="U52" s="112"/>
      <c r="V52" s="112"/>
      <c r="W52" s="10"/>
      <c r="X52" s="120"/>
      <c r="Y52" s="112"/>
    </row>
    <row r="53" spans="2:25" s="117" customFormat="1" x14ac:dyDescent="0.15">
      <c r="B53" s="19"/>
      <c r="C53" s="164"/>
      <c r="D53" s="164"/>
      <c r="E53" s="188"/>
      <c r="F53" s="128" t="s">
        <v>48</v>
      </c>
      <c r="G53" s="127" t="s">
        <v>49</v>
      </c>
      <c r="H53" s="162"/>
      <c r="I53" s="6"/>
      <c r="J53" s="6"/>
      <c r="K53" s="6"/>
      <c r="L53" s="6"/>
      <c r="M53" s="6"/>
      <c r="N53" s="6"/>
      <c r="O53" s="6"/>
      <c r="P53" s="6">
        <v>196</v>
      </c>
      <c r="Q53" s="6">
        <v>186</v>
      </c>
      <c r="R53" s="6">
        <v>108</v>
      </c>
      <c r="S53" s="6">
        <f>SUM(P53:R53)</f>
        <v>490</v>
      </c>
      <c r="T53" s="112"/>
      <c r="U53" s="112"/>
      <c r="V53" s="112"/>
      <c r="W53" s="10"/>
      <c r="X53" s="120"/>
      <c r="Y53" s="112"/>
    </row>
    <row r="54" spans="2:25" s="117" customFormat="1" x14ac:dyDescent="0.15">
      <c r="B54" s="19"/>
      <c r="C54" s="164"/>
      <c r="D54" s="164"/>
      <c r="E54" s="188"/>
      <c r="F54" s="128" t="s">
        <v>50</v>
      </c>
      <c r="G54" s="127" t="s">
        <v>51</v>
      </c>
      <c r="H54" s="162"/>
      <c r="I54" s="6"/>
      <c r="J54" s="6"/>
      <c r="K54" s="6"/>
      <c r="L54" s="6"/>
      <c r="M54" s="6"/>
      <c r="N54" s="6"/>
      <c r="O54" s="6"/>
      <c r="P54" s="6">
        <v>51</v>
      </c>
      <c r="Q54" s="6">
        <v>150</v>
      </c>
      <c r="R54" s="6">
        <v>67</v>
      </c>
      <c r="S54" s="6">
        <f>SUM(P54:R54)</f>
        <v>268</v>
      </c>
      <c r="T54" s="112"/>
      <c r="U54" s="112"/>
      <c r="V54" s="112"/>
      <c r="W54" s="10"/>
      <c r="X54" s="120"/>
      <c r="Y54" s="112"/>
    </row>
    <row r="55" spans="2:25" s="117" customFormat="1" x14ac:dyDescent="0.15">
      <c r="B55" s="19"/>
      <c r="C55" s="164"/>
      <c r="D55" s="164"/>
      <c r="E55" s="188"/>
      <c r="F55" s="50" t="s">
        <v>52</v>
      </c>
      <c r="G55" s="119" t="s">
        <v>53</v>
      </c>
      <c r="H55" s="162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112"/>
      <c r="U55" s="112"/>
      <c r="V55" s="112"/>
      <c r="W55" s="10"/>
      <c r="X55" s="120"/>
      <c r="Y55" s="112"/>
    </row>
    <row r="56" spans="2:25" s="117" customFormat="1" x14ac:dyDescent="0.15">
      <c r="B56" s="19"/>
      <c r="C56" s="164"/>
      <c r="D56" s="164"/>
      <c r="E56" s="188"/>
      <c r="F56" s="128" t="s">
        <v>54</v>
      </c>
      <c r="G56" s="127" t="s">
        <v>55</v>
      </c>
      <c r="H56" s="162"/>
      <c r="I56" s="6"/>
      <c r="J56" s="6"/>
      <c r="K56" s="6"/>
      <c r="L56" s="6"/>
      <c r="M56" s="6"/>
      <c r="N56" s="6"/>
      <c r="O56" s="6"/>
      <c r="P56" s="6">
        <v>140</v>
      </c>
      <c r="Q56" s="6">
        <v>156</v>
      </c>
      <c r="R56" s="6">
        <v>93</v>
      </c>
      <c r="S56" s="6">
        <f>SUM(P56:R56)</f>
        <v>389</v>
      </c>
      <c r="T56" s="112"/>
      <c r="U56" s="112"/>
      <c r="V56" s="112"/>
      <c r="W56" s="10"/>
      <c r="X56" s="120"/>
      <c r="Y56" s="112"/>
    </row>
    <row r="57" spans="2:25" s="117" customFormat="1" x14ac:dyDescent="0.15">
      <c r="B57" s="19"/>
      <c r="C57" s="164"/>
      <c r="D57" s="164"/>
      <c r="E57" s="188"/>
      <c r="F57" s="111" t="s">
        <v>56</v>
      </c>
      <c r="G57" s="110" t="s">
        <v>57</v>
      </c>
      <c r="H57" s="162"/>
      <c r="I57" s="6"/>
      <c r="J57" s="6"/>
      <c r="K57" s="6"/>
      <c r="L57" s="6"/>
      <c r="M57" s="6"/>
      <c r="N57" s="6"/>
      <c r="O57" s="6"/>
      <c r="P57" s="6">
        <v>30</v>
      </c>
      <c r="Q57" s="6">
        <v>89</v>
      </c>
      <c r="R57" s="6">
        <v>59</v>
      </c>
      <c r="S57" s="6">
        <f>SUM(I57:R57)</f>
        <v>178</v>
      </c>
      <c r="T57" s="112"/>
      <c r="U57" s="112"/>
      <c r="V57" s="112"/>
      <c r="W57" s="10"/>
      <c r="X57" s="120"/>
      <c r="Y57" s="112"/>
    </row>
    <row r="58" spans="2:25" s="117" customFormat="1" x14ac:dyDescent="0.15">
      <c r="B58" s="19"/>
      <c r="C58" s="164"/>
      <c r="D58" s="164"/>
      <c r="E58" s="188"/>
      <c r="F58" s="129" t="s">
        <v>58</v>
      </c>
      <c r="G58" s="130" t="s">
        <v>59</v>
      </c>
      <c r="H58" s="162"/>
      <c r="I58" s="6"/>
      <c r="J58" s="6"/>
      <c r="K58" s="6"/>
      <c r="L58" s="6"/>
      <c r="M58" s="6"/>
      <c r="N58" s="6"/>
      <c r="O58" s="6"/>
      <c r="P58" s="6">
        <v>120</v>
      </c>
      <c r="Q58" s="6">
        <v>133</v>
      </c>
      <c r="R58" s="6">
        <v>80</v>
      </c>
      <c r="S58" s="6">
        <f>SUM(I58:R58)</f>
        <v>333</v>
      </c>
      <c r="T58" s="112"/>
      <c r="U58" s="112"/>
      <c r="V58" s="112"/>
      <c r="W58" s="10"/>
      <c r="X58" s="120"/>
      <c r="Y58" s="112"/>
    </row>
    <row r="59" spans="2:25" s="117" customFormat="1" x14ac:dyDescent="0.15">
      <c r="B59" s="19"/>
      <c r="C59" s="164"/>
      <c r="D59" s="164"/>
      <c r="E59" s="188"/>
      <c r="F59" s="52" t="s">
        <v>60</v>
      </c>
      <c r="G59" s="119" t="s">
        <v>61</v>
      </c>
      <c r="H59" s="162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112"/>
      <c r="U59" s="112"/>
      <c r="V59" s="112"/>
      <c r="W59" s="10"/>
      <c r="X59" s="120"/>
      <c r="Y59" s="112"/>
    </row>
    <row r="60" spans="2:25" s="117" customFormat="1" x14ac:dyDescent="0.15">
      <c r="B60" s="19"/>
      <c r="C60" s="164"/>
      <c r="D60" s="164"/>
      <c r="E60" s="188"/>
      <c r="F60" s="51" t="s">
        <v>62</v>
      </c>
      <c r="G60" s="119" t="s">
        <v>63</v>
      </c>
      <c r="H60" s="162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112"/>
      <c r="U60" s="112"/>
      <c r="V60" s="112"/>
      <c r="W60" s="10"/>
      <c r="X60" s="120"/>
      <c r="Y60" s="112"/>
    </row>
    <row r="61" spans="2:25" s="117" customFormat="1" x14ac:dyDescent="0.15">
      <c r="B61" s="19"/>
      <c r="C61" s="164"/>
      <c r="D61" s="164"/>
      <c r="E61" s="188"/>
      <c r="F61" s="128" t="s">
        <v>64</v>
      </c>
      <c r="G61" s="127" t="s">
        <v>65</v>
      </c>
      <c r="H61" s="162"/>
      <c r="I61" s="6"/>
      <c r="J61" s="6"/>
      <c r="K61" s="6"/>
      <c r="L61" s="6"/>
      <c r="M61" s="6"/>
      <c r="N61" s="6"/>
      <c r="O61" s="6"/>
      <c r="P61" s="6">
        <v>76</v>
      </c>
      <c r="Q61" s="6">
        <v>114</v>
      </c>
      <c r="R61" s="6">
        <v>81</v>
      </c>
      <c r="S61" s="6">
        <f>SUM(P61:R61)</f>
        <v>271</v>
      </c>
      <c r="T61" s="112"/>
      <c r="U61" s="112"/>
      <c r="V61" s="112"/>
      <c r="W61" s="10"/>
      <c r="X61" s="120"/>
      <c r="Y61" s="112"/>
    </row>
    <row r="62" spans="2:25" s="117" customFormat="1" x14ac:dyDescent="0.15">
      <c r="B62" s="19"/>
      <c r="C62" s="164"/>
      <c r="D62" s="164"/>
      <c r="E62" s="188"/>
      <c r="F62" s="128" t="s">
        <v>66</v>
      </c>
      <c r="G62" s="127" t="s">
        <v>67</v>
      </c>
      <c r="H62" s="162"/>
      <c r="I62" s="6"/>
      <c r="J62" s="6"/>
      <c r="K62" s="6"/>
      <c r="L62" s="6"/>
      <c r="M62" s="6"/>
      <c r="N62" s="6"/>
      <c r="O62" s="6"/>
      <c r="P62" s="6">
        <v>149</v>
      </c>
      <c r="Q62" s="6">
        <v>208</v>
      </c>
      <c r="R62" s="6">
        <v>139</v>
      </c>
      <c r="S62" s="6">
        <f>SUM(P62:R62)</f>
        <v>496</v>
      </c>
      <c r="T62" s="112"/>
      <c r="U62" s="112"/>
      <c r="V62" s="112"/>
      <c r="W62" s="10"/>
      <c r="X62" s="120"/>
      <c r="Y62" s="112"/>
    </row>
    <row r="63" spans="2:25" s="117" customFormat="1" x14ac:dyDescent="0.15">
      <c r="B63" s="19"/>
      <c r="C63" s="164"/>
      <c r="D63" s="164"/>
      <c r="E63" s="188"/>
      <c r="F63" s="125" t="s">
        <v>68</v>
      </c>
      <c r="G63" s="110" t="s">
        <v>69</v>
      </c>
      <c r="H63" s="115"/>
      <c r="I63" s="6"/>
      <c r="J63" s="6"/>
      <c r="K63" s="6"/>
      <c r="L63" s="6"/>
      <c r="M63" s="6"/>
      <c r="N63" s="6"/>
      <c r="O63" s="6"/>
      <c r="P63" s="6">
        <v>50</v>
      </c>
      <c r="Q63" s="6">
        <v>84</v>
      </c>
      <c r="R63" s="6">
        <v>52</v>
      </c>
      <c r="S63" s="6">
        <f>SUM(P63:R63)</f>
        <v>186</v>
      </c>
      <c r="T63" s="112"/>
      <c r="U63" s="112"/>
      <c r="V63" s="112"/>
      <c r="W63" s="10"/>
      <c r="X63" s="120"/>
      <c r="Y63" s="112"/>
    </row>
    <row r="64" spans="2:25" s="117" customFormat="1" x14ac:dyDescent="0.15">
      <c r="B64" s="19"/>
      <c r="C64" s="164"/>
      <c r="D64" s="164"/>
      <c r="E64" s="188"/>
      <c r="F64" s="126" t="s">
        <v>70</v>
      </c>
      <c r="G64" s="127" t="s">
        <v>71</v>
      </c>
      <c r="H64" s="115"/>
      <c r="I64" s="6"/>
      <c r="J64" s="6"/>
      <c r="K64" s="6"/>
      <c r="L64" s="6"/>
      <c r="M64" s="6"/>
      <c r="N64" s="6"/>
      <c r="O64" s="6"/>
      <c r="P64" s="6">
        <v>64</v>
      </c>
      <c r="Q64" s="6">
        <v>95</v>
      </c>
      <c r="R64" s="6">
        <v>53</v>
      </c>
      <c r="S64" s="6">
        <f>SUM(P64:R64)</f>
        <v>212</v>
      </c>
      <c r="T64" s="112"/>
      <c r="U64" s="112"/>
      <c r="V64" s="112"/>
      <c r="W64" s="10"/>
      <c r="X64" s="120"/>
      <c r="Y64" s="112"/>
    </row>
    <row r="65" spans="2:25" s="117" customFormat="1" x14ac:dyDescent="0.15">
      <c r="B65" s="19"/>
      <c r="C65" s="164"/>
      <c r="D65" s="164"/>
      <c r="E65" s="189"/>
      <c r="F65" s="47"/>
      <c r="G65" s="50"/>
      <c r="H65" s="123" t="s">
        <v>33</v>
      </c>
      <c r="I65" s="23"/>
      <c r="J65" s="23"/>
      <c r="K65" s="23"/>
      <c r="L65" s="23"/>
      <c r="M65" s="23"/>
      <c r="N65" s="6"/>
      <c r="O65" s="6"/>
      <c r="P65" s="6"/>
      <c r="Q65" s="6"/>
      <c r="R65" s="6"/>
      <c r="S65" s="6"/>
      <c r="T65" s="112"/>
      <c r="U65" s="112"/>
      <c r="V65" s="112"/>
      <c r="W65" s="10"/>
      <c r="X65" s="120"/>
      <c r="Y65" s="112"/>
    </row>
    <row r="66" spans="2:25" s="117" customFormat="1" x14ac:dyDescent="0.15">
      <c r="B66" s="19"/>
      <c r="C66" s="164"/>
      <c r="D66" s="164"/>
      <c r="E66" s="116"/>
      <c r="F66" s="47"/>
      <c r="G66" s="50"/>
      <c r="H66" s="118"/>
      <c r="I66" s="22"/>
      <c r="J66" s="22"/>
      <c r="K66" s="22"/>
      <c r="L66" s="22"/>
      <c r="M66" s="22"/>
      <c r="N66" s="22"/>
      <c r="O66" s="22"/>
      <c r="P66" s="22">
        <f>SUM(P51:P65)</f>
        <v>876</v>
      </c>
      <c r="Q66" s="22">
        <f>SUM(Q51:Q65)</f>
        <v>1215</v>
      </c>
      <c r="R66" s="22">
        <f>SUM(R53:R64)</f>
        <v>732</v>
      </c>
      <c r="S66" s="22">
        <f>SUM(S53:S64)</f>
        <v>2823</v>
      </c>
      <c r="T66" s="112"/>
      <c r="U66" s="112"/>
      <c r="V66" s="112"/>
      <c r="W66" s="10"/>
      <c r="X66" s="120"/>
      <c r="Y66" s="112"/>
    </row>
    <row r="67" spans="2:25" s="117" customFormat="1" x14ac:dyDescent="0.15">
      <c r="B67" s="19"/>
      <c r="C67" s="164"/>
      <c r="D67" s="164" t="s">
        <v>113</v>
      </c>
      <c r="E67" s="187"/>
      <c r="F67" s="135" t="s">
        <v>44</v>
      </c>
      <c r="G67" s="127" t="s">
        <v>45</v>
      </c>
      <c r="H67" s="159">
        <v>44524</v>
      </c>
      <c r="I67" s="136"/>
      <c r="J67" s="136"/>
      <c r="K67" s="133"/>
      <c r="L67" s="133"/>
      <c r="M67" s="133"/>
      <c r="N67" s="133"/>
      <c r="O67" s="132"/>
      <c r="P67" s="6"/>
      <c r="Q67" s="6"/>
      <c r="R67" s="6"/>
      <c r="S67" s="6"/>
      <c r="T67" s="112"/>
      <c r="U67" s="112"/>
      <c r="V67" s="112"/>
      <c r="W67" s="10"/>
      <c r="X67" s="120"/>
      <c r="Y67" s="112"/>
    </row>
    <row r="68" spans="2:25" s="117" customFormat="1" x14ac:dyDescent="0.15">
      <c r="B68" s="19"/>
      <c r="C68" s="164"/>
      <c r="D68" s="164"/>
      <c r="E68" s="188"/>
      <c r="F68" s="128" t="s">
        <v>46</v>
      </c>
      <c r="G68" s="127" t="s">
        <v>47</v>
      </c>
      <c r="H68" s="160"/>
      <c r="I68" s="132"/>
      <c r="J68" s="132"/>
      <c r="K68" s="133"/>
      <c r="L68" s="133"/>
      <c r="M68" s="133"/>
      <c r="N68" s="133"/>
      <c r="O68" s="132"/>
      <c r="P68" s="6"/>
      <c r="Q68" s="6"/>
      <c r="R68" s="6"/>
      <c r="S68" s="6"/>
      <c r="T68" s="112"/>
      <c r="U68" s="112"/>
      <c r="V68" s="112"/>
      <c r="W68" s="10"/>
      <c r="X68" s="120"/>
      <c r="Y68" s="112"/>
    </row>
    <row r="69" spans="2:25" s="117" customFormat="1" x14ac:dyDescent="0.15">
      <c r="B69" s="19"/>
      <c r="C69" s="164"/>
      <c r="D69" s="164"/>
      <c r="E69" s="188"/>
      <c r="F69" s="128" t="s">
        <v>48</v>
      </c>
      <c r="G69" s="127" t="s">
        <v>49</v>
      </c>
      <c r="H69" s="160"/>
      <c r="I69" s="132"/>
      <c r="J69" s="132"/>
      <c r="K69" s="133">
        <v>57</v>
      </c>
      <c r="L69" s="133">
        <v>99</v>
      </c>
      <c r="M69" s="133">
        <v>102</v>
      </c>
      <c r="N69" s="133">
        <v>25</v>
      </c>
      <c r="O69" s="132"/>
      <c r="P69" s="6"/>
      <c r="Q69" s="6"/>
      <c r="R69" s="6"/>
      <c r="S69" s="6">
        <f>SUM(K69:N69)</f>
        <v>283</v>
      </c>
      <c r="T69" s="112"/>
      <c r="U69" s="112"/>
      <c r="V69" s="112"/>
      <c r="W69" s="10"/>
      <c r="X69" s="120"/>
      <c r="Y69" s="112"/>
    </row>
    <row r="70" spans="2:25" s="117" customFormat="1" x14ac:dyDescent="0.15">
      <c r="B70" s="19"/>
      <c r="C70" s="164"/>
      <c r="D70" s="164"/>
      <c r="E70" s="188"/>
      <c r="F70" s="128" t="s">
        <v>50</v>
      </c>
      <c r="G70" s="127" t="s">
        <v>51</v>
      </c>
      <c r="H70" s="160"/>
      <c r="I70" s="132"/>
      <c r="J70" s="132"/>
      <c r="K70" s="133">
        <v>17</v>
      </c>
      <c r="L70" s="133">
        <v>36</v>
      </c>
      <c r="M70" s="133">
        <v>55</v>
      </c>
      <c r="N70" s="133">
        <v>32</v>
      </c>
      <c r="O70" s="132"/>
      <c r="P70" s="6"/>
      <c r="Q70" s="6"/>
      <c r="R70" s="6"/>
      <c r="S70" s="6">
        <f>SUM(K70:N70)</f>
        <v>140</v>
      </c>
      <c r="T70" s="112"/>
      <c r="U70" s="112"/>
      <c r="V70" s="112"/>
      <c r="W70" s="10"/>
      <c r="X70" s="120"/>
      <c r="Y70" s="112"/>
    </row>
    <row r="71" spans="2:25" s="117" customFormat="1" x14ac:dyDescent="0.15">
      <c r="B71" s="19"/>
      <c r="C71" s="164"/>
      <c r="D71" s="164"/>
      <c r="E71" s="188"/>
      <c r="F71" s="128" t="s">
        <v>52</v>
      </c>
      <c r="G71" s="127" t="s">
        <v>53</v>
      </c>
      <c r="H71" s="160"/>
      <c r="I71" s="136"/>
      <c r="J71" s="136"/>
      <c r="K71" s="133"/>
      <c r="L71" s="133"/>
      <c r="M71" s="133"/>
      <c r="N71" s="133"/>
      <c r="O71" s="132"/>
      <c r="P71" s="6"/>
      <c r="Q71" s="6"/>
      <c r="R71" s="6"/>
      <c r="S71" s="6"/>
      <c r="T71" s="112"/>
      <c r="U71" s="112"/>
      <c r="V71" s="112"/>
      <c r="W71" s="10"/>
      <c r="X71" s="120"/>
      <c r="Y71" s="112"/>
    </row>
    <row r="72" spans="2:25" s="117" customFormat="1" x14ac:dyDescent="0.15">
      <c r="B72" s="19"/>
      <c r="C72" s="164"/>
      <c r="D72" s="164"/>
      <c r="E72" s="188"/>
      <c r="F72" s="128" t="s">
        <v>54</v>
      </c>
      <c r="G72" s="127" t="s">
        <v>55</v>
      </c>
      <c r="H72" s="160"/>
      <c r="I72" s="136"/>
      <c r="J72" s="136"/>
      <c r="K72" s="133">
        <v>38</v>
      </c>
      <c r="L72" s="133">
        <v>63</v>
      </c>
      <c r="M72" s="133">
        <v>69</v>
      </c>
      <c r="N72" s="133">
        <v>32</v>
      </c>
      <c r="O72" s="132"/>
      <c r="P72" s="6"/>
      <c r="Q72" s="6"/>
      <c r="R72" s="6"/>
      <c r="S72" s="6">
        <f>SUM(K72:N72)</f>
        <v>202</v>
      </c>
      <c r="T72" s="112"/>
      <c r="U72" s="112"/>
      <c r="V72" s="112"/>
      <c r="W72" s="10"/>
      <c r="X72" s="120"/>
      <c r="Y72" s="112"/>
    </row>
    <row r="73" spans="2:25" s="117" customFormat="1" x14ac:dyDescent="0.15">
      <c r="B73" s="19"/>
      <c r="C73" s="164"/>
      <c r="D73" s="164"/>
      <c r="E73" s="188"/>
      <c r="F73" s="137" t="s">
        <v>56</v>
      </c>
      <c r="G73" s="130" t="s">
        <v>57</v>
      </c>
      <c r="H73" s="160"/>
      <c r="I73" s="136"/>
      <c r="J73" s="136"/>
      <c r="K73" s="133">
        <v>10</v>
      </c>
      <c r="L73" s="133">
        <v>19</v>
      </c>
      <c r="M73" s="133">
        <v>45</v>
      </c>
      <c r="N73" s="133">
        <v>23</v>
      </c>
      <c r="O73" s="132"/>
      <c r="P73" s="6"/>
      <c r="Q73" s="6"/>
      <c r="R73" s="6"/>
      <c r="S73" s="6">
        <f>SUM(K73:N73)</f>
        <v>97</v>
      </c>
      <c r="T73" s="112"/>
      <c r="U73" s="112"/>
      <c r="V73" s="112"/>
      <c r="W73" s="10"/>
      <c r="X73" s="120"/>
      <c r="Y73" s="112"/>
    </row>
    <row r="74" spans="2:25" s="117" customFormat="1" x14ac:dyDescent="0.15">
      <c r="B74" s="19"/>
      <c r="C74" s="164"/>
      <c r="D74" s="164"/>
      <c r="E74" s="188"/>
      <c r="F74" s="129" t="s">
        <v>58</v>
      </c>
      <c r="G74" s="130" t="s">
        <v>59</v>
      </c>
      <c r="H74" s="160"/>
      <c r="I74" s="132"/>
      <c r="J74" s="132"/>
      <c r="K74" s="133">
        <v>33</v>
      </c>
      <c r="L74" s="133">
        <v>54</v>
      </c>
      <c r="M74" s="133">
        <v>59</v>
      </c>
      <c r="N74" s="133">
        <v>28</v>
      </c>
      <c r="O74" s="132"/>
      <c r="P74" s="132"/>
      <c r="Q74" s="132"/>
      <c r="R74" s="132"/>
      <c r="S74" s="132">
        <f>SUM(K74:N74)</f>
        <v>174</v>
      </c>
      <c r="T74" s="112"/>
      <c r="U74" s="112"/>
      <c r="V74" s="112"/>
      <c r="W74" s="10"/>
      <c r="X74" s="120"/>
      <c r="Y74" s="112"/>
    </row>
    <row r="75" spans="2:25" s="117" customFormat="1" x14ac:dyDescent="0.15">
      <c r="B75" s="19"/>
      <c r="C75" s="164"/>
      <c r="D75" s="164"/>
      <c r="E75" s="188"/>
      <c r="F75" s="138" t="s">
        <v>60</v>
      </c>
      <c r="G75" s="127" t="s">
        <v>61</v>
      </c>
      <c r="H75" s="160"/>
      <c r="I75" s="132"/>
      <c r="J75" s="132"/>
      <c r="K75" s="133"/>
      <c r="L75" s="133"/>
      <c r="M75" s="133"/>
      <c r="N75" s="133"/>
      <c r="O75" s="132"/>
      <c r="P75" s="6"/>
      <c r="Q75" s="6"/>
      <c r="R75" s="6"/>
      <c r="S75" s="6"/>
      <c r="T75" s="112"/>
      <c r="U75" s="112"/>
      <c r="V75" s="112"/>
      <c r="W75" s="10"/>
      <c r="X75" s="120"/>
      <c r="Y75" s="112"/>
    </row>
    <row r="76" spans="2:25" s="117" customFormat="1" x14ac:dyDescent="0.15">
      <c r="B76" s="19"/>
      <c r="C76" s="164"/>
      <c r="D76" s="164"/>
      <c r="E76" s="188"/>
      <c r="F76" s="126" t="s">
        <v>62</v>
      </c>
      <c r="G76" s="127" t="s">
        <v>63</v>
      </c>
      <c r="H76" s="160"/>
      <c r="I76" s="132"/>
      <c r="J76" s="132"/>
      <c r="K76" s="133"/>
      <c r="L76" s="133"/>
      <c r="M76" s="133"/>
      <c r="N76" s="133"/>
      <c r="O76" s="132"/>
      <c r="P76" s="6"/>
      <c r="Q76" s="6"/>
      <c r="R76" s="6"/>
      <c r="S76" s="6"/>
      <c r="T76" s="112"/>
      <c r="U76" s="112"/>
      <c r="V76" s="112"/>
      <c r="W76" s="10"/>
      <c r="X76" s="120"/>
      <c r="Y76" s="112"/>
    </row>
    <row r="77" spans="2:25" s="117" customFormat="1" x14ac:dyDescent="0.15">
      <c r="B77" s="19"/>
      <c r="C77" s="164"/>
      <c r="D77" s="164"/>
      <c r="E77" s="188"/>
      <c r="F77" s="128" t="s">
        <v>64</v>
      </c>
      <c r="G77" s="127" t="s">
        <v>65</v>
      </c>
      <c r="H77" s="160"/>
      <c r="I77" s="132"/>
      <c r="J77" s="132"/>
      <c r="K77" s="133">
        <v>24</v>
      </c>
      <c r="L77" s="133">
        <v>61</v>
      </c>
      <c r="M77" s="133">
        <v>41</v>
      </c>
      <c r="N77" s="133">
        <v>22</v>
      </c>
      <c r="O77" s="132"/>
      <c r="P77" s="132"/>
      <c r="Q77" s="132"/>
      <c r="R77" s="132"/>
      <c r="S77" s="132">
        <f>SUM(K77:N77)</f>
        <v>148</v>
      </c>
      <c r="T77" s="112"/>
      <c r="U77" s="112"/>
      <c r="V77" s="112"/>
      <c r="W77" s="10"/>
      <c r="X77" s="120"/>
      <c r="Y77" s="112"/>
    </row>
    <row r="78" spans="2:25" s="117" customFormat="1" x14ac:dyDescent="0.15">
      <c r="B78" s="19"/>
      <c r="C78" s="164"/>
      <c r="D78" s="164"/>
      <c r="E78" s="188"/>
      <c r="F78" s="128" t="s">
        <v>66</v>
      </c>
      <c r="G78" s="127" t="s">
        <v>67</v>
      </c>
      <c r="H78" s="160"/>
      <c r="I78" s="132"/>
      <c r="J78" s="132"/>
      <c r="K78" s="133">
        <v>35</v>
      </c>
      <c r="L78" s="133">
        <v>74</v>
      </c>
      <c r="M78" s="133">
        <v>94</v>
      </c>
      <c r="N78" s="133">
        <v>45</v>
      </c>
      <c r="O78" s="132"/>
      <c r="P78" s="6"/>
      <c r="Q78" s="6"/>
      <c r="R78" s="6"/>
      <c r="S78" s="6">
        <f>SUM(K78:N78)</f>
        <v>248</v>
      </c>
      <c r="T78" s="112"/>
      <c r="U78" s="112"/>
      <c r="V78" s="112"/>
      <c r="W78" s="10"/>
      <c r="X78" s="120"/>
      <c r="Y78" s="112"/>
    </row>
    <row r="79" spans="2:25" s="117" customFormat="1" x14ac:dyDescent="0.15">
      <c r="B79" s="19"/>
      <c r="C79" s="164"/>
      <c r="D79" s="164"/>
      <c r="E79" s="188"/>
      <c r="F79" s="129" t="s">
        <v>68</v>
      </c>
      <c r="G79" s="130" t="s">
        <v>69</v>
      </c>
      <c r="H79" s="160"/>
      <c r="I79" s="132"/>
      <c r="J79" s="132"/>
      <c r="K79" s="133">
        <v>13</v>
      </c>
      <c r="L79" s="133">
        <v>28</v>
      </c>
      <c r="M79" s="133">
        <v>39</v>
      </c>
      <c r="N79" s="133">
        <v>27</v>
      </c>
      <c r="O79" s="132"/>
      <c r="P79" s="6"/>
      <c r="Q79" s="6"/>
      <c r="R79" s="6"/>
      <c r="S79" s="6">
        <f>SUM(K79:N79)</f>
        <v>107</v>
      </c>
      <c r="T79" s="112"/>
      <c r="U79" s="112"/>
      <c r="V79" s="112"/>
      <c r="W79" s="10"/>
      <c r="X79" s="120"/>
      <c r="Y79" s="112"/>
    </row>
    <row r="80" spans="2:25" s="117" customFormat="1" x14ac:dyDescent="0.15">
      <c r="B80" s="19"/>
      <c r="C80" s="164"/>
      <c r="D80" s="164"/>
      <c r="E80" s="188"/>
      <c r="F80" s="126" t="s">
        <v>70</v>
      </c>
      <c r="G80" s="127" t="s">
        <v>71</v>
      </c>
      <c r="H80" s="167"/>
      <c r="I80" s="132"/>
      <c r="J80" s="132"/>
      <c r="K80" s="133">
        <v>18</v>
      </c>
      <c r="L80" s="133">
        <v>21</v>
      </c>
      <c r="M80" s="133">
        <v>30</v>
      </c>
      <c r="N80" s="133">
        <v>22</v>
      </c>
      <c r="O80" s="132"/>
      <c r="P80" s="6"/>
      <c r="Q80" s="6"/>
      <c r="R80" s="6"/>
      <c r="S80" s="6">
        <f>SUM(K80:N80)</f>
        <v>91</v>
      </c>
      <c r="T80" s="112"/>
      <c r="U80" s="112"/>
      <c r="V80" s="112"/>
      <c r="W80" s="10"/>
      <c r="X80" s="120"/>
      <c r="Y80" s="112"/>
    </row>
    <row r="81" spans="2:25" s="117" customFormat="1" x14ac:dyDescent="0.15">
      <c r="B81" s="19"/>
      <c r="C81" s="164"/>
      <c r="D81" s="165"/>
      <c r="E81" s="189"/>
      <c r="F81" s="139"/>
      <c r="G81" s="131"/>
      <c r="H81" s="118"/>
      <c r="I81" s="22"/>
      <c r="J81" s="22"/>
      <c r="K81" s="22">
        <f>SUM(K69:K80)</f>
        <v>245</v>
      </c>
      <c r="L81" s="22">
        <f t="shared" ref="L81:N81" si="2">SUM(L69:L80)</f>
        <v>455</v>
      </c>
      <c r="M81" s="22">
        <f t="shared" si="2"/>
        <v>534</v>
      </c>
      <c r="N81" s="22">
        <f t="shared" si="2"/>
        <v>256</v>
      </c>
      <c r="O81" s="22"/>
      <c r="P81" s="22"/>
      <c r="Q81" s="22"/>
      <c r="R81" s="22"/>
      <c r="S81" s="22">
        <f>SUM(S69:S80)</f>
        <v>1490</v>
      </c>
      <c r="T81" s="112"/>
      <c r="U81" s="112"/>
      <c r="V81" s="112"/>
      <c r="W81" s="10"/>
      <c r="X81" s="120"/>
      <c r="Y81" s="112"/>
    </row>
    <row r="82" spans="2:25" s="117" customFormat="1" x14ac:dyDescent="0.15">
      <c r="B82" s="19"/>
      <c r="C82" s="164"/>
      <c r="D82" s="164" t="s">
        <v>114</v>
      </c>
      <c r="E82" s="187"/>
      <c r="F82" s="135" t="s">
        <v>44</v>
      </c>
      <c r="G82" s="127" t="s">
        <v>45</v>
      </c>
      <c r="H82" s="159">
        <v>44524</v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112"/>
      <c r="U82" s="112"/>
      <c r="V82" s="112"/>
      <c r="W82" s="10"/>
      <c r="X82" s="120"/>
      <c r="Y82" s="112"/>
    </row>
    <row r="83" spans="2:25" s="117" customFormat="1" x14ac:dyDescent="0.15">
      <c r="B83" s="19"/>
      <c r="C83" s="164"/>
      <c r="D83" s="164"/>
      <c r="E83" s="188"/>
      <c r="F83" s="128" t="s">
        <v>46</v>
      </c>
      <c r="G83" s="127" t="s">
        <v>47</v>
      </c>
      <c r="H83" s="160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112"/>
      <c r="U83" s="112"/>
      <c r="V83" s="112"/>
      <c r="W83" s="10"/>
      <c r="X83" s="120"/>
      <c r="Y83" s="112"/>
    </row>
    <row r="84" spans="2:25" s="117" customFormat="1" x14ac:dyDescent="0.15">
      <c r="B84" s="19"/>
      <c r="C84" s="164"/>
      <c r="D84" s="164"/>
      <c r="E84" s="188"/>
      <c r="F84" s="128" t="s">
        <v>48</v>
      </c>
      <c r="G84" s="127" t="s">
        <v>49</v>
      </c>
      <c r="H84" s="160"/>
      <c r="I84" s="6">
        <v>147</v>
      </c>
      <c r="J84" s="6">
        <v>378</v>
      </c>
      <c r="K84" s="6">
        <v>456</v>
      </c>
      <c r="L84" s="6">
        <v>316</v>
      </c>
      <c r="M84" s="6">
        <v>313</v>
      </c>
      <c r="N84" s="6">
        <v>156</v>
      </c>
      <c r="O84" s="6">
        <v>39</v>
      </c>
      <c r="P84" s="6"/>
      <c r="Q84" s="6"/>
      <c r="R84" s="6"/>
      <c r="S84" s="6">
        <f>SUM(I84:O84)</f>
        <v>1805</v>
      </c>
      <c r="T84" s="112"/>
      <c r="U84" s="112"/>
      <c r="V84" s="112"/>
      <c r="W84" s="10"/>
      <c r="X84" s="120"/>
      <c r="Y84" s="112"/>
    </row>
    <row r="85" spans="2:25" s="117" customFormat="1" x14ac:dyDescent="0.15">
      <c r="B85" s="19"/>
      <c r="C85" s="164"/>
      <c r="D85" s="164"/>
      <c r="E85" s="188"/>
      <c r="F85" s="128" t="s">
        <v>50</v>
      </c>
      <c r="G85" s="127" t="s">
        <v>51</v>
      </c>
      <c r="H85" s="160"/>
      <c r="I85" s="6">
        <v>18</v>
      </c>
      <c r="J85" s="6">
        <v>55</v>
      </c>
      <c r="K85" s="6">
        <v>101</v>
      </c>
      <c r="L85" s="6">
        <v>139</v>
      </c>
      <c r="M85" s="6">
        <v>176</v>
      </c>
      <c r="N85" s="6">
        <v>123</v>
      </c>
      <c r="O85" s="6">
        <v>49</v>
      </c>
      <c r="P85" s="6"/>
      <c r="Q85" s="6"/>
      <c r="R85" s="6"/>
      <c r="S85" s="6">
        <f>SUM(I85:O85)</f>
        <v>661</v>
      </c>
      <c r="T85" s="112"/>
      <c r="U85" s="112"/>
      <c r="V85" s="112"/>
      <c r="W85" s="10"/>
      <c r="X85" s="120"/>
      <c r="Y85" s="112"/>
    </row>
    <row r="86" spans="2:25" s="117" customFormat="1" x14ac:dyDescent="0.15">
      <c r="B86" s="19"/>
      <c r="C86" s="164"/>
      <c r="D86" s="164"/>
      <c r="E86" s="188"/>
      <c r="F86" s="128" t="s">
        <v>52</v>
      </c>
      <c r="G86" s="127" t="s">
        <v>53</v>
      </c>
      <c r="H86" s="160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112"/>
      <c r="U86" s="112"/>
      <c r="V86" s="112"/>
      <c r="W86" s="10"/>
      <c r="X86" s="120"/>
      <c r="Y86" s="112"/>
    </row>
    <row r="87" spans="2:25" s="117" customFormat="1" x14ac:dyDescent="0.15">
      <c r="B87" s="19"/>
      <c r="C87" s="164"/>
      <c r="D87" s="164"/>
      <c r="E87" s="188"/>
      <c r="F87" s="128" t="s">
        <v>115</v>
      </c>
      <c r="G87" s="127" t="s">
        <v>55</v>
      </c>
      <c r="H87" s="160"/>
      <c r="I87" s="6">
        <v>56</v>
      </c>
      <c r="J87" s="6">
        <v>132</v>
      </c>
      <c r="K87" s="6">
        <v>188</v>
      </c>
      <c r="L87" s="6">
        <v>197</v>
      </c>
      <c r="M87" s="6">
        <v>212</v>
      </c>
      <c r="N87" s="6">
        <v>137</v>
      </c>
      <c r="O87" s="6">
        <v>44</v>
      </c>
      <c r="P87" s="6"/>
      <c r="Q87" s="6"/>
      <c r="R87" s="6"/>
      <c r="S87" s="6">
        <f>SUM(I87:O87)</f>
        <v>966</v>
      </c>
      <c r="T87" s="112"/>
      <c r="U87" s="112"/>
      <c r="V87" s="112"/>
      <c r="W87" s="10"/>
      <c r="X87" s="120"/>
      <c r="Y87" s="112"/>
    </row>
    <row r="88" spans="2:25" s="117" customFormat="1" x14ac:dyDescent="0.15">
      <c r="B88" s="19"/>
      <c r="C88" s="164"/>
      <c r="D88" s="164"/>
      <c r="E88" s="188"/>
      <c r="F88" s="137" t="s">
        <v>56</v>
      </c>
      <c r="G88" s="130" t="s">
        <v>57</v>
      </c>
      <c r="H88" s="160"/>
      <c r="I88" s="6">
        <v>11</v>
      </c>
      <c r="J88" s="6">
        <v>43</v>
      </c>
      <c r="K88" s="6">
        <v>71</v>
      </c>
      <c r="L88" s="6">
        <v>99</v>
      </c>
      <c r="M88" s="6">
        <v>182</v>
      </c>
      <c r="N88" s="6">
        <v>166</v>
      </c>
      <c r="O88" s="6">
        <v>82</v>
      </c>
      <c r="P88" s="6"/>
      <c r="Q88" s="6"/>
      <c r="R88" s="6"/>
      <c r="S88" s="6">
        <f>SUM(I88:O88)</f>
        <v>654</v>
      </c>
      <c r="T88" s="112"/>
      <c r="U88" s="112"/>
      <c r="V88" s="112"/>
      <c r="W88" s="10"/>
      <c r="X88" s="120"/>
      <c r="Y88" s="112"/>
    </row>
    <row r="89" spans="2:25" s="117" customFormat="1" x14ac:dyDescent="0.15">
      <c r="B89" s="19"/>
      <c r="C89" s="164"/>
      <c r="D89" s="164"/>
      <c r="E89" s="188"/>
      <c r="F89" s="125" t="s">
        <v>58</v>
      </c>
      <c r="G89" s="110" t="s">
        <v>59</v>
      </c>
      <c r="H89" s="160"/>
      <c r="I89" s="6">
        <v>71</v>
      </c>
      <c r="J89" s="6">
        <v>167</v>
      </c>
      <c r="K89" s="6">
        <v>238</v>
      </c>
      <c r="L89" s="6">
        <v>250</v>
      </c>
      <c r="M89" s="6">
        <v>268</v>
      </c>
      <c r="N89" s="6">
        <v>174</v>
      </c>
      <c r="O89" s="6">
        <v>56</v>
      </c>
      <c r="P89" s="6"/>
      <c r="Q89" s="6"/>
      <c r="R89" s="6"/>
      <c r="S89" s="6">
        <f>SUM(I89:O89)</f>
        <v>1224</v>
      </c>
      <c r="T89" s="112"/>
      <c r="U89" s="112"/>
      <c r="V89" s="112"/>
      <c r="W89" s="10"/>
      <c r="X89" s="120"/>
      <c r="Y89" s="112"/>
    </row>
    <row r="90" spans="2:25" s="117" customFormat="1" x14ac:dyDescent="0.15">
      <c r="B90" s="19"/>
      <c r="C90" s="164"/>
      <c r="D90" s="164"/>
      <c r="E90" s="188"/>
      <c r="F90" s="138" t="s">
        <v>60</v>
      </c>
      <c r="G90" s="127" t="s">
        <v>61</v>
      </c>
      <c r="H90" s="160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112"/>
      <c r="U90" s="112"/>
      <c r="V90" s="112"/>
      <c r="W90" s="10"/>
      <c r="X90" s="120"/>
      <c r="Y90" s="112"/>
    </row>
    <row r="91" spans="2:25" s="117" customFormat="1" x14ac:dyDescent="0.15">
      <c r="B91" s="19"/>
      <c r="C91" s="164"/>
      <c r="D91" s="164"/>
      <c r="E91" s="188"/>
      <c r="F91" s="126" t="s">
        <v>62</v>
      </c>
      <c r="G91" s="127" t="s">
        <v>63</v>
      </c>
      <c r="H91" s="160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112"/>
      <c r="U91" s="112"/>
      <c r="V91" s="112"/>
      <c r="W91" s="10"/>
      <c r="X91" s="120"/>
      <c r="Y91" s="112"/>
    </row>
    <row r="92" spans="2:25" s="117" customFormat="1" x14ac:dyDescent="0.15">
      <c r="B92" s="19"/>
      <c r="C92" s="164"/>
      <c r="D92" s="164"/>
      <c r="E92" s="188"/>
      <c r="F92" s="128" t="s">
        <v>64</v>
      </c>
      <c r="G92" s="127" t="s">
        <v>65</v>
      </c>
      <c r="H92" s="160"/>
      <c r="I92" s="6">
        <v>37</v>
      </c>
      <c r="J92" s="6">
        <v>120</v>
      </c>
      <c r="K92" s="6">
        <v>178</v>
      </c>
      <c r="L92" s="6">
        <v>182</v>
      </c>
      <c r="M92" s="6">
        <v>166</v>
      </c>
      <c r="N92" s="6">
        <v>98</v>
      </c>
      <c r="O92" s="6">
        <v>34</v>
      </c>
      <c r="P92" s="6"/>
      <c r="Q92" s="6"/>
      <c r="R92" s="6"/>
      <c r="S92" s="6">
        <f>SUM(I92:O92)</f>
        <v>815</v>
      </c>
      <c r="T92" s="112"/>
      <c r="U92" s="112"/>
      <c r="V92" s="112"/>
      <c r="W92" s="10"/>
      <c r="X92" s="120"/>
      <c r="Y92" s="112"/>
    </row>
    <row r="93" spans="2:25" s="117" customFormat="1" x14ac:dyDescent="0.15">
      <c r="B93" s="19"/>
      <c r="C93" s="164"/>
      <c r="D93" s="164"/>
      <c r="E93" s="188"/>
      <c r="F93" s="128" t="s">
        <v>66</v>
      </c>
      <c r="G93" s="127" t="s">
        <v>67</v>
      </c>
      <c r="H93" s="160"/>
      <c r="I93" s="6">
        <v>24</v>
      </c>
      <c r="J93" s="6">
        <v>86</v>
      </c>
      <c r="K93" s="6">
        <v>164</v>
      </c>
      <c r="L93" s="6">
        <v>194</v>
      </c>
      <c r="M93" s="6">
        <v>345</v>
      </c>
      <c r="N93" s="6">
        <v>246</v>
      </c>
      <c r="O93" s="6">
        <v>86</v>
      </c>
      <c r="P93" s="6"/>
      <c r="Q93" s="6"/>
      <c r="R93" s="6"/>
      <c r="S93" s="6">
        <f>SUM(I93:O93)</f>
        <v>1145</v>
      </c>
      <c r="T93" s="112"/>
      <c r="U93" s="112"/>
      <c r="V93" s="112"/>
      <c r="W93" s="10"/>
      <c r="X93" s="120"/>
      <c r="Y93" s="112"/>
    </row>
    <row r="94" spans="2:25" s="117" customFormat="1" x14ac:dyDescent="0.15">
      <c r="B94" s="19"/>
      <c r="C94" s="164"/>
      <c r="D94" s="164"/>
      <c r="E94" s="188"/>
      <c r="F94" s="129" t="s">
        <v>68</v>
      </c>
      <c r="G94" s="130" t="s">
        <v>69</v>
      </c>
      <c r="H94" s="160"/>
      <c r="I94" s="6">
        <v>22</v>
      </c>
      <c r="J94" s="6">
        <v>78</v>
      </c>
      <c r="K94" s="6">
        <v>109</v>
      </c>
      <c r="L94" s="6">
        <v>127</v>
      </c>
      <c r="M94" s="6">
        <v>178</v>
      </c>
      <c r="N94" s="6">
        <v>126</v>
      </c>
      <c r="O94" s="6">
        <v>47</v>
      </c>
      <c r="P94" s="6"/>
      <c r="Q94" s="6"/>
      <c r="R94" s="6"/>
      <c r="S94" s="6">
        <f>SUM(I94:O94)</f>
        <v>687</v>
      </c>
      <c r="T94" s="10">
        <f>SUM(S66,S81,S96)</f>
        <v>12783</v>
      </c>
      <c r="U94" s="112">
        <v>12783</v>
      </c>
      <c r="V94" s="112"/>
      <c r="W94" s="10"/>
      <c r="X94" s="120"/>
      <c r="Y94" s="112"/>
    </row>
    <row r="95" spans="2:25" s="117" customFormat="1" x14ac:dyDescent="0.15">
      <c r="B95" s="19"/>
      <c r="C95" s="164"/>
      <c r="D95" s="164"/>
      <c r="E95" s="188"/>
      <c r="F95" s="126" t="s">
        <v>70</v>
      </c>
      <c r="G95" s="127" t="s">
        <v>71</v>
      </c>
      <c r="H95" s="167"/>
      <c r="I95" s="6">
        <v>21</v>
      </c>
      <c r="J95" s="6">
        <v>59</v>
      </c>
      <c r="K95" s="6">
        <v>67</v>
      </c>
      <c r="L95" s="6">
        <v>92</v>
      </c>
      <c r="M95" s="6">
        <v>114</v>
      </c>
      <c r="N95" s="6">
        <v>118</v>
      </c>
      <c r="O95" s="6">
        <v>42</v>
      </c>
      <c r="P95" s="6"/>
      <c r="Q95" s="6"/>
      <c r="R95" s="6"/>
      <c r="S95" s="6">
        <f>SUM(I95:O95)</f>
        <v>513</v>
      </c>
      <c r="T95" s="112"/>
      <c r="U95" s="10">
        <f>U94-T94</f>
        <v>0</v>
      </c>
      <c r="V95" s="112"/>
      <c r="W95" s="10"/>
      <c r="X95" s="120"/>
      <c r="Y95" s="112"/>
    </row>
    <row r="96" spans="2:25" s="117" customFormat="1" x14ac:dyDescent="0.15">
      <c r="B96" s="19"/>
      <c r="C96" s="164"/>
      <c r="D96" s="165"/>
      <c r="E96" s="189"/>
      <c r="F96" s="139"/>
      <c r="G96" s="131"/>
      <c r="H96" s="118"/>
      <c r="I96" s="22">
        <f>SUM(I84:I95)</f>
        <v>407</v>
      </c>
      <c r="J96" s="22">
        <f t="shared" ref="J96" si="3">SUM(J84:J95)</f>
        <v>1118</v>
      </c>
      <c r="K96" s="22">
        <f t="shared" ref="K96" si="4">SUM(K84:K95)</f>
        <v>1572</v>
      </c>
      <c r="L96" s="22">
        <f t="shared" ref="L96" si="5">SUM(L84:L95)</f>
        <v>1596</v>
      </c>
      <c r="M96" s="22">
        <f t="shared" ref="M96" si="6">SUM(M84:M95)</f>
        <v>1954</v>
      </c>
      <c r="N96" s="22">
        <f t="shared" ref="N96" si="7">SUM(N84:N95)</f>
        <v>1344</v>
      </c>
      <c r="O96" s="22">
        <f t="shared" ref="O96" si="8">SUM(O84:O95)</f>
        <v>479</v>
      </c>
      <c r="P96" s="22"/>
      <c r="Q96" s="22"/>
      <c r="R96" s="22"/>
      <c r="S96" s="22">
        <f>SUM(S84:S95)</f>
        <v>8470</v>
      </c>
      <c r="T96" s="112"/>
      <c r="U96" s="112"/>
      <c r="V96" s="112"/>
      <c r="W96" s="10"/>
      <c r="X96" s="120"/>
      <c r="Y96" s="112"/>
    </row>
    <row r="97" spans="2:25" s="117" customFormat="1" x14ac:dyDescent="0.15">
      <c r="B97" s="19"/>
      <c r="C97" s="165"/>
      <c r="D97" s="109"/>
      <c r="E97" s="122"/>
      <c r="F97" s="139"/>
      <c r="G97" s="131"/>
      <c r="H97" s="124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112"/>
      <c r="U97" s="112"/>
      <c r="V97" s="112"/>
      <c r="W97" s="10"/>
      <c r="X97" s="120"/>
      <c r="Y97" s="112"/>
    </row>
    <row r="98" spans="2:25" s="117" customFormat="1" x14ac:dyDescent="0.15">
      <c r="B98" s="19"/>
      <c r="C98" s="163">
        <v>4500458426</v>
      </c>
      <c r="D98" s="114" t="s">
        <v>4</v>
      </c>
      <c r="E98" s="113" t="s">
        <v>5</v>
      </c>
      <c r="F98" s="113" t="s">
        <v>6</v>
      </c>
      <c r="G98" s="113"/>
      <c r="H98" s="114" t="s">
        <v>7</v>
      </c>
      <c r="I98" s="114" t="s">
        <v>104</v>
      </c>
      <c r="J98" s="114" t="s">
        <v>105</v>
      </c>
      <c r="K98" s="114" t="s">
        <v>106</v>
      </c>
      <c r="L98" s="114" t="s">
        <v>107</v>
      </c>
      <c r="M98" s="114" t="s">
        <v>108</v>
      </c>
      <c r="N98" s="114" t="s">
        <v>109</v>
      </c>
      <c r="O98" s="114" t="s">
        <v>110</v>
      </c>
      <c r="P98" s="44" t="s">
        <v>8</v>
      </c>
      <c r="Q98" s="44" t="s">
        <v>9</v>
      </c>
      <c r="R98" s="44" t="s">
        <v>10</v>
      </c>
      <c r="S98" s="6" t="s">
        <v>11</v>
      </c>
      <c r="T98" s="112"/>
      <c r="U98" s="112"/>
      <c r="V98" s="112"/>
      <c r="W98" s="10"/>
      <c r="X98" s="120"/>
      <c r="Y98" s="112"/>
    </row>
    <row r="99" spans="2:25" s="117" customFormat="1" x14ac:dyDescent="0.15">
      <c r="B99" s="19"/>
      <c r="C99" s="164"/>
      <c r="D99" s="163" t="s">
        <v>112</v>
      </c>
      <c r="E99" s="187"/>
      <c r="F99" s="47" t="s">
        <v>44</v>
      </c>
      <c r="G99" s="119" t="s">
        <v>45</v>
      </c>
      <c r="H99" s="161">
        <v>44552</v>
      </c>
      <c r="I99" s="6"/>
      <c r="J99" s="6"/>
      <c r="K99" s="6"/>
      <c r="L99" s="6"/>
      <c r="M99" s="6"/>
      <c r="N99" s="6"/>
      <c r="O99" s="6"/>
      <c r="P99" s="6"/>
      <c r="Q99" s="6"/>
      <c r="R99" s="6"/>
      <c r="S99" s="6">
        <f>SUM(P99:R99)</f>
        <v>0</v>
      </c>
      <c r="T99" s="112"/>
      <c r="U99" s="112"/>
      <c r="V99" s="112"/>
      <c r="W99" s="10"/>
      <c r="X99" s="120"/>
      <c r="Y99" s="112"/>
    </row>
    <row r="100" spans="2:25" s="117" customFormat="1" x14ac:dyDescent="0.15">
      <c r="B100" s="19"/>
      <c r="C100" s="164"/>
      <c r="D100" s="164"/>
      <c r="E100" s="188"/>
      <c r="F100" s="50" t="s">
        <v>46</v>
      </c>
      <c r="G100" s="119" t="s">
        <v>47</v>
      </c>
      <c r="H100" s="162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>
        <f t="shared" ref="S100:S113" si="9">SUM(P100:R100)</f>
        <v>0</v>
      </c>
      <c r="T100" s="112"/>
      <c r="U100" s="112"/>
      <c r="V100" s="112"/>
      <c r="W100" s="10"/>
      <c r="X100" s="120"/>
      <c r="Y100" s="112"/>
    </row>
    <row r="101" spans="2:25" s="117" customFormat="1" x14ac:dyDescent="0.15">
      <c r="B101" s="19"/>
      <c r="C101" s="164"/>
      <c r="D101" s="164"/>
      <c r="E101" s="188"/>
      <c r="F101" s="128" t="s">
        <v>48</v>
      </c>
      <c r="G101" s="127" t="s">
        <v>49</v>
      </c>
      <c r="H101" s="162"/>
      <c r="I101" s="6"/>
      <c r="J101" s="6"/>
      <c r="K101" s="6"/>
      <c r="L101" s="6"/>
      <c r="M101" s="6"/>
      <c r="N101" s="6"/>
      <c r="O101" s="6"/>
      <c r="P101" s="6">
        <v>979</v>
      </c>
      <c r="Q101" s="6">
        <v>930</v>
      </c>
      <c r="R101" s="6">
        <v>538</v>
      </c>
      <c r="S101" s="6">
        <f t="shared" si="9"/>
        <v>2447</v>
      </c>
      <c r="T101" s="112"/>
      <c r="U101" s="112"/>
      <c r="V101" s="112"/>
      <c r="W101" s="10"/>
      <c r="X101" s="120"/>
      <c r="Y101" s="112"/>
    </row>
    <row r="102" spans="2:25" s="117" customFormat="1" x14ac:dyDescent="0.15">
      <c r="B102" s="19"/>
      <c r="C102" s="164"/>
      <c r="D102" s="164"/>
      <c r="E102" s="188"/>
      <c r="F102" s="128" t="s">
        <v>50</v>
      </c>
      <c r="G102" s="127" t="s">
        <v>51</v>
      </c>
      <c r="H102" s="162"/>
      <c r="I102" s="6"/>
      <c r="J102" s="6"/>
      <c r="K102" s="6"/>
      <c r="L102" s="6"/>
      <c r="M102" s="6"/>
      <c r="N102" s="6"/>
      <c r="O102" s="6"/>
      <c r="P102" s="6">
        <v>254</v>
      </c>
      <c r="Q102" s="6">
        <v>748</v>
      </c>
      <c r="R102" s="6">
        <v>334</v>
      </c>
      <c r="S102" s="6">
        <f t="shared" si="9"/>
        <v>1336</v>
      </c>
      <c r="T102" s="112"/>
      <c r="U102" s="112"/>
      <c r="V102" s="112"/>
      <c r="W102" s="10"/>
      <c r="X102" s="120"/>
      <c r="Y102" s="112"/>
    </row>
    <row r="103" spans="2:25" s="117" customFormat="1" x14ac:dyDescent="0.15">
      <c r="B103" s="19"/>
      <c r="C103" s="164"/>
      <c r="D103" s="164"/>
      <c r="E103" s="188"/>
      <c r="F103" s="50" t="s">
        <v>52</v>
      </c>
      <c r="G103" s="119" t="s">
        <v>53</v>
      </c>
      <c r="H103" s="162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>
        <f t="shared" si="9"/>
        <v>0</v>
      </c>
      <c r="T103" s="112"/>
      <c r="U103" s="112"/>
      <c r="V103" s="112"/>
      <c r="W103" s="10"/>
      <c r="X103" s="120"/>
      <c r="Y103" s="112"/>
    </row>
    <row r="104" spans="2:25" s="117" customFormat="1" x14ac:dyDescent="0.15">
      <c r="B104" s="19"/>
      <c r="C104" s="164"/>
      <c r="D104" s="164"/>
      <c r="E104" s="188"/>
      <c r="F104" s="128" t="s">
        <v>54</v>
      </c>
      <c r="G104" s="127" t="s">
        <v>55</v>
      </c>
      <c r="H104" s="162"/>
      <c r="I104" s="6"/>
      <c r="J104" s="6"/>
      <c r="K104" s="6"/>
      <c r="L104" s="6"/>
      <c r="M104" s="6"/>
      <c r="N104" s="6"/>
      <c r="O104" s="6"/>
      <c r="P104" s="6">
        <v>701</v>
      </c>
      <c r="Q104" s="6">
        <v>779</v>
      </c>
      <c r="R104" s="6">
        <v>467</v>
      </c>
      <c r="S104" s="6">
        <f t="shared" si="9"/>
        <v>1947</v>
      </c>
      <c r="T104" s="112"/>
      <c r="U104" s="112"/>
      <c r="V104" s="112"/>
      <c r="W104" s="10"/>
      <c r="X104" s="120"/>
      <c r="Y104" s="112"/>
    </row>
    <row r="105" spans="2:25" s="117" customFormat="1" x14ac:dyDescent="0.15">
      <c r="B105" s="19"/>
      <c r="C105" s="164"/>
      <c r="D105" s="164"/>
      <c r="E105" s="188"/>
      <c r="F105" s="111" t="s">
        <v>56</v>
      </c>
      <c r="G105" s="110" t="s">
        <v>57</v>
      </c>
      <c r="H105" s="162"/>
      <c r="I105" s="6"/>
      <c r="J105" s="6"/>
      <c r="K105" s="6"/>
      <c r="L105" s="6"/>
      <c r="M105" s="6"/>
      <c r="N105" s="6"/>
      <c r="O105" s="6"/>
      <c r="P105" s="6">
        <v>151</v>
      </c>
      <c r="Q105" s="6">
        <v>444</v>
      </c>
      <c r="R105" s="6">
        <v>293</v>
      </c>
      <c r="S105" s="6">
        <f t="shared" si="9"/>
        <v>888</v>
      </c>
      <c r="T105" s="112"/>
      <c r="U105" s="112"/>
      <c r="V105" s="112"/>
      <c r="W105" s="10"/>
      <c r="X105" s="120"/>
      <c r="Y105" s="112"/>
    </row>
    <row r="106" spans="2:25" s="117" customFormat="1" x14ac:dyDescent="0.15">
      <c r="B106" s="19"/>
      <c r="C106" s="164"/>
      <c r="D106" s="164"/>
      <c r="E106" s="188"/>
      <c r="F106" s="129" t="s">
        <v>58</v>
      </c>
      <c r="G106" s="130" t="s">
        <v>59</v>
      </c>
      <c r="H106" s="162"/>
      <c r="I106" s="6"/>
      <c r="J106" s="6"/>
      <c r="K106" s="6"/>
      <c r="L106" s="6"/>
      <c r="M106" s="6"/>
      <c r="N106" s="6"/>
      <c r="O106" s="6"/>
      <c r="P106" s="6">
        <v>598</v>
      </c>
      <c r="Q106" s="6">
        <v>664</v>
      </c>
      <c r="R106" s="6">
        <v>399</v>
      </c>
      <c r="S106" s="6">
        <f t="shared" si="9"/>
        <v>1661</v>
      </c>
      <c r="T106" s="112"/>
      <c r="U106" s="112"/>
      <c r="V106" s="112"/>
      <c r="W106" s="10"/>
      <c r="X106" s="120"/>
      <c r="Y106" s="112"/>
    </row>
    <row r="107" spans="2:25" s="117" customFormat="1" x14ac:dyDescent="0.15">
      <c r="B107" s="19"/>
      <c r="C107" s="164"/>
      <c r="D107" s="164"/>
      <c r="E107" s="188"/>
      <c r="F107" s="52" t="s">
        <v>60</v>
      </c>
      <c r="G107" s="119" t="s">
        <v>61</v>
      </c>
      <c r="H107" s="162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>
        <f t="shared" si="9"/>
        <v>0</v>
      </c>
      <c r="T107" s="112"/>
      <c r="U107" s="112"/>
      <c r="V107" s="112"/>
      <c r="W107" s="10"/>
      <c r="X107" s="120"/>
      <c r="Y107" s="112"/>
    </row>
    <row r="108" spans="2:25" s="117" customFormat="1" x14ac:dyDescent="0.15">
      <c r="B108" s="19"/>
      <c r="C108" s="164"/>
      <c r="D108" s="164"/>
      <c r="E108" s="188"/>
      <c r="F108" s="51" t="s">
        <v>62</v>
      </c>
      <c r="G108" s="119" t="s">
        <v>63</v>
      </c>
      <c r="H108" s="162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>
        <f t="shared" si="9"/>
        <v>0</v>
      </c>
      <c r="T108" s="112"/>
      <c r="U108" s="112"/>
      <c r="V108" s="112"/>
      <c r="W108" s="10"/>
      <c r="X108" s="120"/>
      <c r="Y108" s="112"/>
    </row>
    <row r="109" spans="2:25" s="117" customFormat="1" x14ac:dyDescent="0.15">
      <c r="B109" s="19"/>
      <c r="C109" s="164"/>
      <c r="D109" s="164"/>
      <c r="E109" s="188"/>
      <c r="F109" s="128" t="s">
        <v>64</v>
      </c>
      <c r="G109" s="127" t="s">
        <v>65</v>
      </c>
      <c r="H109" s="162"/>
      <c r="I109" s="6"/>
      <c r="J109" s="6"/>
      <c r="K109" s="6"/>
      <c r="L109" s="6"/>
      <c r="M109" s="6"/>
      <c r="N109" s="6"/>
      <c r="O109" s="6"/>
      <c r="P109" s="6">
        <v>380</v>
      </c>
      <c r="Q109" s="6">
        <v>570</v>
      </c>
      <c r="R109" s="6">
        <v>407</v>
      </c>
      <c r="S109" s="6">
        <f t="shared" si="9"/>
        <v>1357</v>
      </c>
      <c r="T109" s="112"/>
      <c r="U109" s="112"/>
      <c r="V109" s="112"/>
      <c r="W109" s="10"/>
      <c r="X109" s="120"/>
      <c r="Y109" s="112"/>
    </row>
    <row r="110" spans="2:25" s="117" customFormat="1" x14ac:dyDescent="0.15">
      <c r="B110" s="19"/>
      <c r="C110" s="164"/>
      <c r="D110" s="164"/>
      <c r="E110" s="188"/>
      <c r="F110" s="128" t="s">
        <v>66</v>
      </c>
      <c r="G110" s="127" t="s">
        <v>67</v>
      </c>
      <c r="H110" s="162"/>
      <c r="I110" s="6"/>
      <c r="J110" s="6"/>
      <c r="K110" s="6"/>
      <c r="L110" s="6"/>
      <c r="M110" s="6"/>
      <c r="N110" s="6"/>
      <c r="O110" s="6"/>
      <c r="P110" s="6">
        <v>744</v>
      </c>
      <c r="Q110" s="6">
        <v>1041</v>
      </c>
      <c r="R110" s="6">
        <v>694</v>
      </c>
      <c r="S110" s="6">
        <f t="shared" si="9"/>
        <v>2479</v>
      </c>
      <c r="T110" s="112"/>
      <c r="U110" s="112"/>
      <c r="V110" s="112"/>
      <c r="W110" s="10"/>
      <c r="X110" s="120"/>
      <c r="Y110" s="112"/>
    </row>
    <row r="111" spans="2:25" s="117" customFormat="1" x14ac:dyDescent="0.15">
      <c r="B111" s="19"/>
      <c r="C111" s="164"/>
      <c r="D111" s="164"/>
      <c r="E111" s="188"/>
      <c r="F111" s="125" t="s">
        <v>68</v>
      </c>
      <c r="G111" s="110" t="s">
        <v>69</v>
      </c>
      <c r="H111" s="115"/>
      <c r="I111" s="6"/>
      <c r="J111" s="6"/>
      <c r="K111" s="6"/>
      <c r="L111" s="6"/>
      <c r="M111" s="6"/>
      <c r="N111" s="6"/>
      <c r="O111" s="6"/>
      <c r="P111" s="6">
        <v>252</v>
      </c>
      <c r="Q111" s="6">
        <v>420</v>
      </c>
      <c r="R111" s="6">
        <v>261</v>
      </c>
      <c r="S111" s="6">
        <f t="shared" si="9"/>
        <v>933</v>
      </c>
      <c r="T111" s="112"/>
      <c r="U111" s="112"/>
      <c r="V111" s="112"/>
      <c r="W111" s="10"/>
      <c r="X111" s="120"/>
      <c r="Y111" s="112"/>
    </row>
    <row r="112" spans="2:25" s="117" customFormat="1" x14ac:dyDescent="0.15">
      <c r="B112" s="19"/>
      <c r="C112" s="164"/>
      <c r="D112" s="164"/>
      <c r="E112" s="188"/>
      <c r="F112" s="126" t="s">
        <v>70</v>
      </c>
      <c r="G112" s="127" t="s">
        <v>71</v>
      </c>
      <c r="H112" s="115"/>
      <c r="I112" s="6"/>
      <c r="J112" s="6"/>
      <c r="K112" s="6"/>
      <c r="L112" s="6"/>
      <c r="M112" s="6"/>
      <c r="N112" s="6"/>
      <c r="O112" s="6"/>
      <c r="P112" s="6">
        <v>318</v>
      </c>
      <c r="Q112" s="6">
        <v>477</v>
      </c>
      <c r="R112" s="6">
        <v>265</v>
      </c>
      <c r="S112" s="6">
        <f t="shared" si="9"/>
        <v>1060</v>
      </c>
      <c r="T112" s="112"/>
      <c r="U112" s="112"/>
      <c r="V112" s="112"/>
      <c r="W112" s="10"/>
      <c r="X112" s="120"/>
      <c r="Y112" s="112"/>
    </row>
    <row r="113" spans="2:25" s="117" customFormat="1" x14ac:dyDescent="0.15">
      <c r="B113" s="19"/>
      <c r="C113" s="164"/>
      <c r="D113" s="164"/>
      <c r="E113" s="189"/>
      <c r="F113" s="47"/>
      <c r="G113" s="50"/>
      <c r="H113" s="123" t="s">
        <v>33</v>
      </c>
      <c r="I113" s="23"/>
      <c r="J113" s="23"/>
      <c r="K113" s="23"/>
      <c r="L113" s="23"/>
      <c r="M113" s="23"/>
      <c r="N113" s="6"/>
      <c r="O113" s="6"/>
      <c r="P113" s="6"/>
      <c r="Q113" s="6"/>
      <c r="R113" s="6"/>
      <c r="S113" s="6">
        <f t="shared" si="9"/>
        <v>0</v>
      </c>
      <c r="T113" s="112"/>
      <c r="U113" s="112"/>
      <c r="V113" s="112"/>
      <c r="W113" s="10"/>
      <c r="X113" s="120"/>
      <c r="Y113" s="112"/>
    </row>
    <row r="114" spans="2:25" s="117" customFormat="1" x14ac:dyDescent="0.15">
      <c r="B114" s="19"/>
      <c r="C114" s="164"/>
      <c r="D114" s="164"/>
      <c r="E114" s="116"/>
      <c r="F114" s="47"/>
      <c r="G114" s="50"/>
      <c r="H114" s="118"/>
      <c r="I114" s="22"/>
      <c r="J114" s="22"/>
      <c r="K114" s="22"/>
      <c r="L114" s="22"/>
      <c r="M114" s="22"/>
      <c r="N114" s="22"/>
      <c r="O114" s="22"/>
      <c r="P114" s="22">
        <f>SUM(P99:P113)</f>
        <v>4377</v>
      </c>
      <c r="Q114" s="22">
        <f>SUM(Q99:Q113)</f>
        <v>6073</v>
      </c>
      <c r="R114" s="22">
        <f>SUM(R101:R112)</f>
        <v>3658</v>
      </c>
      <c r="S114" s="22">
        <f>SUM(S101:S112)</f>
        <v>14108</v>
      </c>
      <c r="T114" s="112"/>
      <c r="U114" s="112"/>
      <c r="V114" s="112"/>
      <c r="W114" s="10"/>
      <c r="X114" s="120"/>
      <c r="Y114" s="112"/>
    </row>
    <row r="115" spans="2:25" s="117" customFormat="1" x14ac:dyDescent="0.15">
      <c r="B115" s="19"/>
      <c r="C115" s="164"/>
      <c r="D115" s="164" t="s">
        <v>113</v>
      </c>
      <c r="E115" s="187"/>
      <c r="F115" s="135" t="s">
        <v>44</v>
      </c>
      <c r="G115" s="127" t="s">
        <v>45</v>
      </c>
      <c r="H115" s="159">
        <v>44552</v>
      </c>
      <c r="I115" s="136"/>
      <c r="J115" s="136"/>
      <c r="K115" s="133"/>
      <c r="L115" s="133"/>
      <c r="M115" s="133"/>
      <c r="N115" s="133"/>
      <c r="O115" s="132"/>
      <c r="P115" s="6"/>
      <c r="Q115" s="6"/>
      <c r="R115" s="6"/>
      <c r="S115" s="6"/>
      <c r="T115" s="112"/>
      <c r="U115" s="112"/>
      <c r="V115" s="112"/>
      <c r="W115" s="10"/>
      <c r="X115" s="120"/>
      <c r="Y115" s="112"/>
    </row>
    <row r="116" spans="2:25" s="117" customFormat="1" x14ac:dyDescent="0.15">
      <c r="B116" s="19"/>
      <c r="C116" s="164"/>
      <c r="D116" s="164"/>
      <c r="E116" s="188"/>
      <c r="F116" s="128" t="s">
        <v>46</v>
      </c>
      <c r="G116" s="127" t="s">
        <v>47</v>
      </c>
      <c r="H116" s="160"/>
      <c r="I116" s="132"/>
      <c r="J116" s="132"/>
      <c r="K116" s="133"/>
      <c r="L116" s="133"/>
      <c r="M116" s="133"/>
      <c r="N116" s="133"/>
      <c r="O116" s="132"/>
      <c r="P116" s="6"/>
      <c r="Q116" s="6"/>
      <c r="R116" s="6"/>
      <c r="S116" s="6"/>
      <c r="T116" s="112"/>
      <c r="U116" s="112"/>
      <c r="V116" s="112"/>
      <c r="W116" s="10"/>
      <c r="X116" s="120"/>
      <c r="Y116" s="112"/>
    </row>
    <row r="117" spans="2:25" s="117" customFormat="1" x14ac:dyDescent="0.15">
      <c r="B117" s="19"/>
      <c r="C117" s="164"/>
      <c r="D117" s="164"/>
      <c r="E117" s="188"/>
      <c r="F117" s="128" t="s">
        <v>48</v>
      </c>
      <c r="G117" s="127" t="s">
        <v>49</v>
      </c>
      <c r="H117" s="160"/>
      <c r="I117" s="132"/>
      <c r="J117" s="132"/>
      <c r="K117" s="133">
        <v>283</v>
      </c>
      <c r="L117" s="133">
        <v>496</v>
      </c>
      <c r="M117" s="133">
        <v>510</v>
      </c>
      <c r="N117" s="133">
        <v>128</v>
      </c>
      <c r="O117" s="132"/>
      <c r="P117" s="6"/>
      <c r="Q117" s="6"/>
      <c r="R117" s="6"/>
      <c r="S117" s="6">
        <f>SUM(K117:N117)</f>
        <v>1417</v>
      </c>
      <c r="T117" s="112"/>
      <c r="U117" s="112"/>
      <c r="V117" s="112"/>
      <c r="W117" s="10"/>
      <c r="X117" s="120"/>
      <c r="Y117" s="112"/>
    </row>
    <row r="118" spans="2:25" s="117" customFormat="1" x14ac:dyDescent="0.15">
      <c r="B118" s="19"/>
      <c r="C118" s="164"/>
      <c r="D118" s="164"/>
      <c r="E118" s="188"/>
      <c r="F118" s="128" t="s">
        <v>50</v>
      </c>
      <c r="G118" s="127" t="s">
        <v>51</v>
      </c>
      <c r="H118" s="160"/>
      <c r="I118" s="132"/>
      <c r="J118" s="132"/>
      <c r="K118" s="133">
        <v>82</v>
      </c>
      <c r="L118" s="133">
        <v>179</v>
      </c>
      <c r="M118" s="133">
        <v>275</v>
      </c>
      <c r="N118" s="133">
        <v>158</v>
      </c>
      <c r="O118" s="132"/>
      <c r="P118" s="6"/>
      <c r="Q118" s="6"/>
      <c r="R118" s="6"/>
      <c r="S118" s="6">
        <f>SUM(K118:N118)</f>
        <v>694</v>
      </c>
      <c r="T118" s="112"/>
      <c r="U118" s="112"/>
      <c r="V118" s="112"/>
      <c r="W118" s="10"/>
      <c r="X118" s="120"/>
      <c r="Y118" s="112"/>
    </row>
    <row r="119" spans="2:25" s="117" customFormat="1" x14ac:dyDescent="0.15">
      <c r="B119" s="19"/>
      <c r="C119" s="164"/>
      <c r="D119" s="164"/>
      <c r="E119" s="188"/>
      <c r="F119" s="128" t="s">
        <v>52</v>
      </c>
      <c r="G119" s="127" t="s">
        <v>53</v>
      </c>
      <c r="H119" s="160"/>
      <c r="I119" s="136"/>
      <c r="J119" s="136"/>
      <c r="K119" s="133"/>
      <c r="L119" s="133"/>
      <c r="M119" s="133"/>
      <c r="N119" s="133"/>
      <c r="O119" s="132"/>
      <c r="P119" s="6"/>
      <c r="Q119" s="6"/>
      <c r="R119" s="6"/>
      <c r="S119" s="6"/>
      <c r="T119" s="112"/>
      <c r="U119" s="112"/>
      <c r="V119" s="112"/>
      <c r="W119" s="10"/>
      <c r="X119" s="120"/>
      <c r="Y119" s="112"/>
    </row>
    <row r="120" spans="2:25" s="117" customFormat="1" x14ac:dyDescent="0.15">
      <c r="B120" s="19"/>
      <c r="C120" s="164"/>
      <c r="D120" s="164"/>
      <c r="E120" s="188"/>
      <c r="F120" s="128" t="s">
        <v>54</v>
      </c>
      <c r="G120" s="127" t="s">
        <v>55</v>
      </c>
      <c r="H120" s="160"/>
      <c r="I120" s="136"/>
      <c r="J120" s="136"/>
      <c r="K120" s="133">
        <v>192</v>
      </c>
      <c r="L120" s="133">
        <v>314</v>
      </c>
      <c r="M120" s="133">
        <v>344</v>
      </c>
      <c r="N120" s="133">
        <v>162</v>
      </c>
      <c r="O120" s="132"/>
      <c r="P120" s="6"/>
      <c r="Q120" s="6"/>
      <c r="R120" s="6"/>
      <c r="S120" s="6">
        <f>SUM(K120:N120)</f>
        <v>1012</v>
      </c>
      <c r="T120" s="112"/>
      <c r="U120" s="112"/>
      <c r="V120" s="112"/>
      <c r="W120" s="10"/>
      <c r="X120" s="120"/>
      <c r="Y120" s="112"/>
    </row>
    <row r="121" spans="2:25" s="117" customFormat="1" x14ac:dyDescent="0.15">
      <c r="B121" s="19"/>
      <c r="C121" s="164"/>
      <c r="D121" s="164"/>
      <c r="E121" s="188"/>
      <c r="F121" s="137" t="s">
        <v>56</v>
      </c>
      <c r="G121" s="130" t="s">
        <v>57</v>
      </c>
      <c r="H121" s="160"/>
      <c r="I121" s="136"/>
      <c r="J121" s="136"/>
      <c r="K121" s="133">
        <v>33</v>
      </c>
      <c r="L121" s="133">
        <v>94</v>
      </c>
      <c r="M121" s="133">
        <v>226</v>
      </c>
      <c r="N121" s="133">
        <v>113</v>
      </c>
      <c r="O121" s="132"/>
      <c r="P121" s="6"/>
      <c r="Q121" s="6"/>
      <c r="R121" s="6"/>
      <c r="S121" s="6">
        <f>SUM(K121:N121)</f>
        <v>466</v>
      </c>
      <c r="T121" s="112"/>
      <c r="U121" s="112"/>
      <c r="V121" s="112"/>
      <c r="W121" s="10"/>
      <c r="X121" s="120"/>
      <c r="Y121" s="112"/>
    </row>
    <row r="122" spans="2:25" s="117" customFormat="1" x14ac:dyDescent="0.15">
      <c r="B122" s="19"/>
      <c r="C122" s="164"/>
      <c r="D122" s="164"/>
      <c r="E122" s="188"/>
      <c r="F122" s="129" t="s">
        <v>58</v>
      </c>
      <c r="G122" s="130" t="s">
        <v>59</v>
      </c>
      <c r="H122" s="160"/>
      <c r="I122" s="132"/>
      <c r="J122" s="132"/>
      <c r="K122" s="133">
        <v>166</v>
      </c>
      <c r="L122" s="133">
        <v>271</v>
      </c>
      <c r="M122" s="133">
        <v>297</v>
      </c>
      <c r="N122" s="133">
        <v>140</v>
      </c>
      <c r="O122" s="132"/>
      <c r="P122" s="132"/>
      <c r="Q122" s="132"/>
      <c r="R122" s="132"/>
      <c r="S122" s="132">
        <f>SUM(K122:N122)</f>
        <v>874</v>
      </c>
      <c r="T122" s="112"/>
      <c r="U122" s="112"/>
      <c r="V122" s="112"/>
      <c r="W122" s="10"/>
      <c r="X122" s="120"/>
      <c r="Y122" s="112"/>
    </row>
    <row r="123" spans="2:25" s="117" customFormat="1" x14ac:dyDescent="0.15">
      <c r="B123" s="19"/>
      <c r="C123" s="164"/>
      <c r="D123" s="164"/>
      <c r="E123" s="188"/>
      <c r="F123" s="138" t="s">
        <v>60</v>
      </c>
      <c r="G123" s="127" t="s">
        <v>61</v>
      </c>
      <c r="H123" s="160"/>
      <c r="I123" s="132"/>
      <c r="J123" s="132"/>
      <c r="K123" s="133"/>
      <c r="L123" s="133"/>
      <c r="M123" s="133"/>
      <c r="N123" s="133"/>
      <c r="O123" s="132"/>
      <c r="P123" s="6"/>
      <c r="Q123" s="6"/>
      <c r="R123" s="6"/>
      <c r="S123" s="6"/>
      <c r="T123" s="112"/>
      <c r="U123" s="112"/>
      <c r="V123" s="112"/>
      <c r="W123" s="10"/>
      <c r="X123" s="120"/>
      <c r="Y123" s="112"/>
    </row>
    <row r="124" spans="2:25" s="117" customFormat="1" x14ac:dyDescent="0.15">
      <c r="B124" s="19"/>
      <c r="C124" s="164"/>
      <c r="D124" s="164"/>
      <c r="E124" s="188"/>
      <c r="F124" s="126" t="s">
        <v>62</v>
      </c>
      <c r="G124" s="127" t="s">
        <v>63</v>
      </c>
      <c r="H124" s="160"/>
      <c r="I124" s="132"/>
      <c r="J124" s="132"/>
      <c r="K124" s="133"/>
      <c r="L124" s="133"/>
      <c r="M124" s="133"/>
      <c r="N124" s="133"/>
      <c r="O124" s="132"/>
      <c r="P124" s="6"/>
      <c r="Q124" s="6"/>
      <c r="R124" s="6"/>
      <c r="S124" s="6"/>
      <c r="T124" s="112"/>
      <c r="U124" s="112"/>
      <c r="V124" s="112"/>
      <c r="W124" s="10"/>
      <c r="X124" s="120"/>
      <c r="Y124" s="112"/>
    </row>
    <row r="125" spans="2:25" s="117" customFormat="1" x14ac:dyDescent="0.15">
      <c r="B125" s="19"/>
      <c r="C125" s="164"/>
      <c r="D125" s="164"/>
      <c r="E125" s="188"/>
      <c r="F125" s="128" t="s">
        <v>64</v>
      </c>
      <c r="G125" s="127" t="s">
        <v>65</v>
      </c>
      <c r="H125" s="160"/>
      <c r="I125" s="132"/>
      <c r="J125" s="132"/>
      <c r="K125" s="133">
        <v>118</v>
      </c>
      <c r="L125" s="133">
        <v>303</v>
      </c>
      <c r="M125" s="133">
        <v>207</v>
      </c>
      <c r="N125" s="133">
        <v>111</v>
      </c>
      <c r="O125" s="132"/>
      <c r="P125" s="132"/>
      <c r="Q125" s="132"/>
      <c r="R125" s="132"/>
      <c r="S125" s="132">
        <f>SUM(K125:N125)</f>
        <v>739</v>
      </c>
      <c r="T125" s="112"/>
      <c r="U125" s="112"/>
      <c r="V125" s="112"/>
      <c r="W125" s="10"/>
      <c r="X125" s="120"/>
      <c r="Y125" s="112"/>
    </row>
    <row r="126" spans="2:25" s="117" customFormat="1" x14ac:dyDescent="0.15">
      <c r="B126" s="19"/>
      <c r="C126" s="164"/>
      <c r="D126" s="164"/>
      <c r="E126" s="188"/>
      <c r="F126" s="128" t="s">
        <v>66</v>
      </c>
      <c r="G126" s="127" t="s">
        <v>67</v>
      </c>
      <c r="H126" s="160"/>
      <c r="I126" s="132"/>
      <c r="J126" s="132"/>
      <c r="K126" s="133">
        <v>174</v>
      </c>
      <c r="L126" s="133">
        <v>372</v>
      </c>
      <c r="M126" s="133">
        <v>471</v>
      </c>
      <c r="N126" s="133">
        <v>223</v>
      </c>
      <c r="O126" s="132"/>
      <c r="P126" s="6"/>
      <c r="Q126" s="6"/>
      <c r="R126" s="6"/>
      <c r="S126" s="6">
        <f>SUM(K126:N126)</f>
        <v>1240</v>
      </c>
      <c r="T126" s="112"/>
      <c r="U126" s="112"/>
      <c r="V126" s="112"/>
      <c r="W126" s="10"/>
      <c r="X126" s="120"/>
      <c r="Y126" s="112"/>
    </row>
    <row r="127" spans="2:25" s="117" customFormat="1" x14ac:dyDescent="0.15">
      <c r="B127" s="19"/>
      <c r="C127" s="164"/>
      <c r="D127" s="164"/>
      <c r="E127" s="188"/>
      <c r="F127" s="129" t="s">
        <v>68</v>
      </c>
      <c r="G127" s="130" t="s">
        <v>69</v>
      </c>
      <c r="H127" s="160"/>
      <c r="I127" s="132"/>
      <c r="J127" s="132"/>
      <c r="K127" s="133">
        <v>65</v>
      </c>
      <c r="L127" s="133">
        <v>142</v>
      </c>
      <c r="M127" s="133">
        <v>196</v>
      </c>
      <c r="N127" s="133">
        <v>136</v>
      </c>
      <c r="O127" s="132"/>
      <c r="P127" s="6"/>
      <c r="Q127" s="6"/>
      <c r="R127" s="6"/>
      <c r="S127" s="6">
        <f>SUM(K127:N127)</f>
        <v>539</v>
      </c>
      <c r="T127" s="112"/>
      <c r="U127" s="112"/>
      <c r="V127" s="112"/>
      <c r="W127" s="10"/>
      <c r="X127" s="120"/>
      <c r="Y127" s="112"/>
    </row>
    <row r="128" spans="2:25" s="117" customFormat="1" x14ac:dyDescent="0.15">
      <c r="B128" s="19"/>
      <c r="C128" s="164"/>
      <c r="D128" s="164"/>
      <c r="E128" s="188"/>
      <c r="F128" s="126" t="s">
        <v>70</v>
      </c>
      <c r="G128" s="127" t="s">
        <v>71</v>
      </c>
      <c r="H128" s="167"/>
      <c r="I128" s="132"/>
      <c r="J128" s="132"/>
      <c r="K128" s="133">
        <v>90</v>
      </c>
      <c r="L128" s="133">
        <v>103</v>
      </c>
      <c r="M128" s="133">
        <v>148</v>
      </c>
      <c r="N128" s="133">
        <v>108</v>
      </c>
      <c r="O128" s="132"/>
      <c r="P128" s="6"/>
      <c r="Q128" s="6"/>
      <c r="R128" s="6"/>
      <c r="S128" s="6">
        <f>SUM(K128:N128)</f>
        <v>449</v>
      </c>
      <c r="T128" s="112"/>
      <c r="U128" s="112"/>
      <c r="V128" s="112"/>
      <c r="W128" s="10"/>
      <c r="X128" s="120"/>
      <c r="Y128" s="112"/>
    </row>
    <row r="129" spans="2:25" s="117" customFormat="1" x14ac:dyDescent="0.15">
      <c r="B129" s="19"/>
      <c r="C129" s="164"/>
      <c r="D129" s="165"/>
      <c r="E129" s="189"/>
      <c r="F129" s="139"/>
      <c r="G129" s="131"/>
      <c r="H129" s="118"/>
      <c r="I129" s="22"/>
      <c r="J129" s="22"/>
      <c r="K129" s="22">
        <f>SUM(K117:K128)</f>
        <v>1203</v>
      </c>
      <c r="L129" s="22">
        <f t="shared" ref="L129:S129" si="10">SUM(L117:L128)</f>
        <v>2274</v>
      </c>
      <c r="M129" s="22">
        <f t="shared" si="10"/>
        <v>2674</v>
      </c>
      <c r="N129" s="22">
        <f t="shared" si="10"/>
        <v>1279</v>
      </c>
      <c r="O129" s="22"/>
      <c r="P129" s="22"/>
      <c r="Q129" s="22"/>
      <c r="R129" s="22"/>
      <c r="S129" s="22">
        <f t="shared" si="10"/>
        <v>7430</v>
      </c>
      <c r="T129" s="112"/>
      <c r="U129" s="112"/>
      <c r="V129" s="112"/>
      <c r="W129" s="10"/>
      <c r="X129" s="120"/>
      <c r="Y129" s="112"/>
    </row>
    <row r="130" spans="2:25" s="117" customFormat="1" x14ac:dyDescent="0.15">
      <c r="B130" s="19"/>
      <c r="C130" s="164"/>
      <c r="D130" s="164" t="s">
        <v>114</v>
      </c>
      <c r="E130" s="187"/>
      <c r="F130" s="135" t="s">
        <v>44</v>
      </c>
      <c r="G130" s="127" t="s">
        <v>45</v>
      </c>
      <c r="H130" s="159">
        <v>44552</v>
      </c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112"/>
      <c r="U130" s="112"/>
      <c r="V130" s="112"/>
      <c r="W130" s="10"/>
      <c r="X130" s="120"/>
      <c r="Y130" s="112"/>
    </row>
    <row r="131" spans="2:25" s="117" customFormat="1" x14ac:dyDescent="0.15">
      <c r="B131" s="19"/>
      <c r="C131" s="164"/>
      <c r="D131" s="164"/>
      <c r="E131" s="188"/>
      <c r="F131" s="128" t="s">
        <v>46</v>
      </c>
      <c r="G131" s="127" t="s">
        <v>47</v>
      </c>
      <c r="H131" s="160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112"/>
      <c r="U131" s="112"/>
      <c r="V131" s="112"/>
      <c r="W131" s="10"/>
      <c r="X131" s="120"/>
      <c r="Y131" s="112"/>
    </row>
    <row r="132" spans="2:25" s="117" customFormat="1" x14ac:dyDescent="0.15">
      <c r="B132" s="19"/>
      <c r="C132" s="164"/>
      <c r="D132" s="164"/>
      <c r="E132" s="188"/>
      <c r="F132" s="128" t="s">
        <v>48</v>
      </c>
      <c r="G132" s="127" t="s">
        <v>49</v>
      </c>
      <c r="H132" s="160"/>
      <c r="I132" s="6">
        <v>735</v>
      </c>
      <c r="J132" s="6">
        <v>1888</v>
      </c>
      <c r="K132" s="6">
        <v>2278</v>
      </c>
      <c r="L132" s="6">
        <v>1577</v>
      </c>
      <c r="M132" s="6">
        <v>1565</v>
      </c>
      <c r="N132" s="6">
        <v>780</v>
      </c>
      <c r="O132" s="6">
        <v>193</v>
      </c>
      <c r="P132" s="6"/>
      <c r="Q132" s="6"/>
      <c r="R132" s="6"/>
      <c r="S132" s="6">
        <f>SUM(I132:O132)</f>
        <v>9016</v>
      </c>
      <c r="T132" s="112"/>
      <c r="U132" s="112"/>
      <c r="V132" s="112"/>
      <c r="W132" s="10"/>
      <c r="X132" s="120"/>
      <c r="Y132" s="112"/>
    </row>
    <row r="133" spans="2:25" s="117" customFormat="1" x14ac:dyDescent="0.15">
      <c r="B133" s="19"/>
      <c r="C133" s="164"/>
      <c r="D133" s="164"/>
      <c r="E133" s="188"/>
      <c r="F133" s="128" t="s">
        <v>50</v>
      </c>
      <c r="G133" s="127" t="s">
        <v>51</v>
      </c>
      <c r="H133" s="160"/>
      <c r="I133" s="6">
        <v>89</v>
      </c>
      <c r="J133" s="6">
        <v>276</v>
      </c>
      <c r="K133" s="6">
        <v>507</v>
      </c>
      <c r="L133" s="6">
        <v>697</v>
      </c>
      <c r="M133" s="6">
        <v>880</v>
      </c>
      <c r="N133" s="6">
        <v>617</v>
      </c>
      <c r="O133" s="6">
        <v>247</v>
      </c>
      <c r="P133" s="6"/>
      <c r="Q133" s="6"/>
      <c r="R133" s="6"/>
      <c r="S133" s="6">
        <f>SUM(I133:O133)</f>
        <v>3313</v>
      </c>
      <c r="T133" s="112"/>
      <c r="U133" s="112"/>
      <c r="V133" s="112"/>
      <c r="W133" s="10"/>
      <c r="X133" s="120"/>
      <c r="Y133" s="112"/>
    </row>
    <row r="134" spans="2:25" s="117" customFormat="1" x14ac:dyDescent="0.15">
      <c r="B134" s="19"/>
      <c r="C134" s="164"/>
      <c r="D134" s="164"/>
      <c r="E134" s="188"/>
      <c r="F134" s="128" t="s">
        <v>52</v>
      </c>
      <c r="G134" s="127" t="s">
        <v>53</v>
      </c>
      <c r="H134" s="160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112"/>
      <c r="U134" s="112"/>
      <c r="V134" s="112"/>
      <c r="W134" s="10"/>
      <c r="X134" s="120"/>
      <c r="Y134" s="112"/>
    </row>
    <row r="135" spans="2:25" s="117" customFormat="1" x14ac:dyDescent="0.15">
      <c r="B135" s="19"/>
      <c r="C135" s="164"/>
      <c r="D135" s="164"/>
      <c r="E135" s="188"/>
      <c r="F135" s="128" t="s">
        <v>115</v>
      </c>
      <c r="G135" s="127" t="s">
        <v>55</v>
      </c>
      <c r="H135" s="160"/>
      <c r="I135" s="6">
        <v>280</v>
      </c>
      <c r="J135" s="6">
        <v>657</v>
      </c>
      <c r="K135" s="6">
        <v>938</v>
      </c>
      <c r="L135" s="6">
        <v>986</v>
      </c>
      <c r="M135" s="6">
        <v>1058</v>
      </c>
      <c r="N135" s="6">
        <v>687</v>
      </c>
      <c r="O135" s="6">
        <v>222</v>
      </c>
      <c r="P135" s="6"/>
      <c r="Q135" s="6"/>
      <c r="R135" s="6"/>
      <c r="S135" s="6">
        <f>SUM(I135:O135)</f>
        <v>4828</v>
      </c>
      <c r="T135" s="112"/>
      <c r="U135" s="112"/>
      <c r="V135" s="112"/>
      <c r="W135" s="10"/>
      <c r="X135" s="120"/>
      <c r="Y135" s="112"/>
    </row>
    <row r="136" spans="2:25" s="117" customFormat="1" x14ac:dyDescent="0.15">
      <c r="B136" s="19"/>
      <c r="C136" s="164"/>
      <c r="D136" s="164"/>
      <c r="E136" s="188"/>
      <c r="F136" s="137" t="s">
        <v>56</v>
      </c>
      <c r="G136" s="130" t="s">
        <v>57</v>
      </c>
      <c r="H136" s="160"/>
      <c r="I136" s="6">
        <v>57</v>
      </c>
      <c r="J136" s="6">
        <v>213</v>
      </c>
      <c r="K136" s="6">
        <v>354</v>
      </c>
      <c r="L136" s="6">
        <v>496</v>
      </c>
      <c r="M136" s="6">
        <v>910</v>
      </c>
      <c r="N136" s="6">
        <v>828</v>
      </c>
      <c r="O136" s="6">
        <v>412</v>
      </c>
      <c r="P136" s="6"/>
      <c r="Q136" s="6"/>
      <c r="R136" s="6"/>
      <c r="S136" s="6">
        <f>SUM(I136:O136)</f>
        <v>3270</v>
      </c>
      <c r="T136" s="112"/>
      <c r="U136" s="112"/>
      <c r="V136" s="112"/>
      <c r="W136" s="10"/>
      <c r="X136" s="120"/>
      <c r="Y136" s="112"/>
    </row>
    <row r="137" spans="2:25" s="117" customFormat="1" x14ac:dyDescent="0.15">
      <c r="B137" s="19"/>
      <c r="C137" s="164"/>
      <c r="D137" s="164"/>
      <c r="E137" s="188"/>
      <c r="F137" s="125" t="s">
        <v>58</v>
      </c>
      <c r="G137" s="110" t="s">
        <v>59</v>
      </c>
      <c r="H137" s="160"/>
      <c r="I137" s="6">
        <v>355</v>
      </c>
      <c r="J137" s="6">
        <v>833</v>
      </c>
      <c r="K137" s="6">
        <v>1189</v>
      </c>
      <c r="L137" s="6">
        <v>1250</v>
      </c>
      <c r="M137" s="6">
        <v>1342</v>
      </c>
      <c r="N137" s="6">
        <v>870</v>
      </c>
      <c r="O137" s="6">
        <v>282</v>
      </c>
      <c r="P137" s="6"/>
      <c r="Q137" s="6"/>
      <c r="R137" s="6"/>
      <c r="S137" s="6">
        <f>SUM(I137:O137)</f>
        <v>6121</v>
      </c>
      <c r="T137" s="112"/>
      <c r="U137" s="112"/>
      <c r="V137" s="112"/>
      <c r="W137" s="10"/>
      <c r="X137" s="120"/>
      <c r="Y137" s="112"/>
    </row>
    <row r="138" spans="2:25" s="117" customFormat="1" x14ac:dyDescent="0.15">
      <c r="B138" s="19"/>
      <c r="C138" s="164"/>
      <c r="D138" s="164"/>
      <c r="E138" s="188"/>
      <c r="F138" s="138" t="s">
        <v>60</v>
      </c>
      <c r="G138" s="127" t="s">
        <v>61</v>
      </c>
      <c r="H138" s="160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112"/>
      <c r="U138" s="112"/>
      <c r="V138" s="112"/>
      <c r="W138" s="10"/>
      <c r="X138" s="120"/>
      <c r="Y138" s="112"/>
    </row>
    <row r="139" spans="2:25" s="117" customFormat="1" x14ac:dyDescent="0.15">
      <c r="B139" s="19"/>
      <c r="C139" s="164"/>
      <c r="D139" s="164"/>
      <c r="E139" s="188"/>
      <c r="F139" s="126" t="s">
        <v>62</v>
      </c>
      <c r="G139" s="127" t="s">
        <v>63</v>
      </c>
      <c r="H139" s="160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112"/>
      <c r="U139" s="112"/>
      <c r="V139" s="112"/>
      <c r="W139" s="10"/>
      <c r="X139" s="120"/>
      <c r="Y139" s="112"/>
    </row>
    <row r="140" spans="2:25" s="117" customFormat="1" x14ac:dyDescent="0.15">
      <c r="B140" s="19"/>
      <c r="C140" s="164"/>
      <c r="D140" s="164"/>
      <c r="E140" s="188"/>
      <c r="F140" s="128" t="s">
        <v>64</v>
      </c>
      <c r="G140" s="127" t="s">
        <v>65</v>
      </c>
      <c r="H140" s="160"/>
      <c r="I140" s="6">
        <v>185</v>
      </c>
      <c r="J140" s="6">
        <v>600</v>
      </c>
      <c r="K140" s="6">
        <v>890</v>
      </c>
      <c r="L140" s="6">
        <v>909</v>
      </c>
      <c r="M140" s="6">
        <v>829</v>
      </c>
      <c r="N140" s="6">
        <v>488</v>
      </c>
      <c r="O140" s="6">
        <v>168</v>
      </c>
      <c r="P140" s="6"/>
      <c r="Q140" s="6"/>
      <c r="R140" s="6"/>
      <c r="S140" s="6">
        <f>SUM(I140:O140)</f>
        <v>4069</v>
      </c>
      <c r="T140" s="112"/>
      <c r="U140" s="112"/>
      <c r="V140" s="112"/>
      <c r="W140" s="10"/>
      <c r="X140" s="120"/>
      <c r="Y140" s="112"/>
    </row>
    <row r="141" spans="2:25" s="117" customFormat="1" x14ac:dyDescent="0.15">
      <c r="B141" s="19"/>
      <c r="C141" s="164"/>
      <c r="D141" s="164"/>
      <c r="E141" s="188"/>
      <c r="F141" s="128" t="s">
        <v>66</v>
      </c>
      <c r="G141" s="127" t="s">
        <v>67</v>
      </c>
      <c r="H141" s="160"/>
      <c r="I141" s="6">
        <v>118</v>
      </c>
      <c r="J141" s="6">
        <v>429</v>
      </c>
      <c r="K141" s="6">
        <v>821</v>
      </c>
      <c r="L141" s="6">
        <v>970</v>
      </c>
      <c r="M141" s="6">
        <v>1725</v>
      </c>
      <c r="N141" s="6">
        <v>1231</v>
      </c>
      <c r="O141" s="6">
        <v>427</v>
      </c>
      <c r="P141" s="6"/>
      <c r="Q141" s="6"/>
      <c r="R141" s="6"/>
      <c r="S141" s="6">
        <f>SUM(I141:O141)</f>
        <v>5721</v>
      </c>
      <c r="T141" s="112"/>
      <c r="U141" s="112"/>
      <c r="V141" s="112"/>
      <c r="W141" s="10"/>
      <c r="X141" s="120"/>
      <c r="Y141" s="112"/>
    </row>
    <row r="142" spans="2:25" s="117" customFormat="1" x14ac:dyDescent="0.15">
      <c r="B142" s="19"/>
      <c r="C142" s="164"/>
      <c r="D142" s="164"/>
      <c r="E142" s="188"/>
      <c r="F142" s="129" t="s">
        <v>68</v>
      </c>
      <c r="G142" s="130" t="s">
        <v>69</v>
      </c>
      <c r="H142" s="160"/>
      <c r="I142" s="6">
        <v>109</v>
      </c>
      <c r="J142" s="6">
        <v>388</v>
      </c>
      <c r="K142" s="6">
        <v>544</v>
      </c>
      <c r="L142" s="6">
        <v>637</v>
      </c>
      <c r="M142" s="6">
        <v>891</v>
      </c>
      <c r="N142" s="6">
        <v>631</v>
      </c>
      <c r="O142" s="6">
        <v>237</v>
      </c>
      <c r="P142" s="6"/>
      <c r="Q142" s="6"/>
      <c r="R142" s="6"/>
      <c r="S142" s="6">
        <f>SUM(I142:O142)</f>
        <v>3437</v>
      </c>
      <c r="T142" s="10">
        <f>SUM(S114,S129,S144)</f>
        <v>63879</v>
      </c>
      <c r="U142" s="112"/>
      <c r="V142" s="112"/>
      <c r="W142" s="10"/>
      <c r="X142" s="120"/>
      <c r="Y142" s="112"/>
    </row>
    <row r="143" spans="2:25" s="117" customFormat="1" x14ac:dyDescent="0.15">
      <c r="B143" s="19"/>
      <c r="C143" s="164"/>
      <c r="D143" s="164"/>
      <c r="E143" s="188"/>
      <c r="F143" s="126" t="s">
        <v>70</v>
      </c>
      <c r="G143" s="127" t="s">
        <v>71</v>
      </c>
      <c r="H143" s="167"/>
      <c r="I143" s="6">
        <v>103</v>
      </c>
      <c r="J143" s="6">
        <v>295</v>
      </c>
      <c r="K143" s="6">
        <v>335</v>
      </c>
      <c r="L143" s="6">
        <v>460</v>
      </c>
      <c r="M143" s="6">
        <v>570</v>
      </c>
      <c r="N143" s="6">
        <v>593</v>
      </c>
      <c r="O143" s="6">
        <v>210</v>
      </c>
      <c r="P143" s="6"/>
      <c r="Q143" s="6"/>
      <c r="R143" s="6"/>
      <c r="S143" s="6">
        <f>SUM(I143:O143)</f>
        <v>2566</v>
      </c>
      <c r="T143" s="112"/>
      <c r="U143" s="112"/>
      <c r="V143" s="112"/>
      <c r="W143" s="10"/>
      <c r="X143" s="120"/>
      <c r="Y143" s="112"/>
    </row>
    <row r="144" spans="2:25" s="117" customFormat="1" x14ac:dyDescent="0.15">
      <c r="B144" s="19"/>
      <c r="C144" s="164"/>
      <c r="D144" s="165"/>
      <c r="E144" s="189"/>
      <c r="F144" s="139"/>
      <c r="G144" s="131"/>
      <c r="H144" s="118"/>
      <c r="I144" s="22">
        <f>SUM(I132:I143)</f>
        <v>2031</v>
      </c>
      <c r="J144" s="22">
        <f t="shared" ref="J144" si="11">SUM(J132:J143)</f>
        <v>5579</v>
      </c>
      <c r="K144" s="22">
        <f t="shared" ref="K144" si="12">SUM(K132:K143)</f>
        <v>7856</v>
      </c>
      <c r="L144" s="22">
        <f t="shared" ref="L144" si="13">SUM(L132:L143)</f>
        <v>7982</v>
      </c>
      <c r="M144" s="22">
        <f t="shared" ref="M144" si="14">SUM(M132:M143)</f>
        <v>9770</v>
      </c>
      <c r="N144" s="22">
        <f t="shared" ref="N144" si="15">SUM(N132:N143)</f>
        <v>6725</v>
      </c>
      <c r="O144" s="22">
        <f t="shared" ref="O144" si="16">SUM(O132:O143)</f>
        <v>2398</v>
      </c>
      <c r="P144" s="22"/>
      <c r="Q144" s="22"/>
      <c r="R144" s="22"/>
      <c r="S144" s="22">
        <f>SUM(S132:S143)</f>
        <v>42341</v>
      </c>
      <c r="T144" s="112"/>
      <c r="U144" s="112"/>
      <c r="V144" s="112"/>
      <c r="W144" s="10"/>
      <c r="X144" s="120"/>
      <c r="Y144" s="112"/>
    </row>
    <row r="145" spans="2:25" s="117" customFormat="1" x14ac:dyDescent="0.15">
      <c r="B145" s="19"/>
      <c r="C145" s="164"/>
      <c r="D145" s="109"/>
      <c r="E145" s="122"/>
      <c r="F145" s="139"/>
      <c r="G145" s="131"/>
      <c r="H145" s="140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112"/>
      <c r="U145" s="112"/>
      <c r="V145" s="112"/>
      <c r="W145" s="10"/>
      <c r="X145" s="120"/>
      <c r="Y145" s="112"/>
    </row>
    <row r="146" spans="2:25" s="117" customFormat="1" x14ac:dyDescent="0.15">
      <c r="B146" s="19"/>
      <c r="C146" s="163">
        <v>4500458428</v>
      </c>
      <c r="D146" s="114" t="s">
        <v>4</v>
      </c>
      <c r="E146" s="113" t="s">
        <v>5</v>
      </c>
      <c r="F146" s="113" t="s">
        <v>6</v>
      </c>
      <c r="G146" s="113"/>
      <c r="H146" s="114" t="s">
        <v>7</v>
      </c>
      <c r="I146" s="114" t="s">
        <v>104</v>
      </c>
      <c r="J146" s="114" t="s">
        <v>105</v>
      </c>
      <c r="K146" s="114" t="s">
        <v>106</v>
      </c>
      <c r="L146" s="114" t="s">
        <v>107</v>
      </c>
      <c r="M146" s="114" t="s">
        <v>108</v>
      </c>
      <c r="N146" s="114" t="s">
        <v>109</v>
      </c>
      <c r="O146" s="114" t="s">
        <v>110</v>
      </c>
      <c r="P146" s="44" t="s">
        <v>8</v>
      </c>
      <c r="Q146" s="44" t="s">
        <v>9</v>
      </c>
      <c r="R146" s="44" t="s">
        <v>10</v>
      </c>
      <c r="S146" s="6" t="s">
        <v>11</v>
      </c>
      <c r="T146" s="112"/>
      <c r="U146" s="112"/>
      <c r="V146" s="112"/>
      <c r="W146" s="10"/>
      <c r="X146" s="120"/>
      <c r="Y146" s="112"/>
    </row>
    <row r="147" spans="2:25" s="117" customFormat="1" x14ac:dyDescent="0.15">
      <c r="B147" s="19"/>
      <c r="C147" s="164"/>
      <c r="D147" s="163" t="s">
        <v>112</v>
      </c>
      <c r="E147" s="187"/>
      <c r="F147" s="47" t="s">
        <v>44</v>
      </c>
      <c r="G147" s="119" t="s">
        <v>45</v>
      </c>
      <c r="H147" s="161">
        <v>44215</v>
      </c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>
        <f>SUM(P147:R147)</f>
        <v>0</v>
      </c>
      <c r="T147" s="112"/>
      <c r="U147" s="112"/>
      <c r="V147" s="112"/>
      <c r="W147" s="10"/>
      <c r="X147" s="120"/>
      <c r="Y147" s="112"/>
    </row>
    <row r="148" spans="2:25" s="117" customFormat="1" x14ac:dyDescent="0.15">
      <c r="B148" s="19"/>
      <c r="C148" s="164"/>
      <c r="D148" s="164"/>
      <c r="E148" s="188"/>
      <c r="F148" s="50" t="s">
        <v>46</v>
      </c>
      <c r="G148" s="119" t="s">
        <v>47</v>
      </c>
      <c r="H148" s="162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>
        <f t="shared" ref="S148:S161" si="17">SUM(P148:R148)</f>
        <v>0</v>
      </c>
      <c r="T148" s="112"/>
      <c r="U148" s="112"/>
      <c r="V148" s="112"/>
      <c r="W148" s="10"/>
      <c r="X148" s="120"/>
      <c r="Y148" s="112"/>
    </row>
    <row r="149" spans="2:25" s="117" customFormat="1" x14ac:dyDescent="0.15">
      <c r="B149" s="19"/>
      <c r="C149" s="164"/>
      <c r="D149" s="164"/>
      <c r="E149" s="188"/>
      <c r="F149" s="128" t="s">
        <v>48</v>
      </c>
      <c r="G149" s="127" t="s">
        <v>49</v>
      </c>
      <c r="H149" s="162"/>
      <c r="I149" s="6"/>
      <c r="J149" s="6"/>
      <c r="K149" s="6"/>
      <c r="L149" s="6"/>
      <c r="M149" s="6"/>
      <c r="N149" s="6"/>
      <c r="O149" s="6"/>
      <c r="P149" s="6">
        <v>427</v>
      </c>
      <c r="Q149" s="6">
        <v>406</v>
      </c>
      <c r="R149" s="6">
        <v>235</v>
      </c>
      <c r="S149" s="6">
        <f t="shared" si="17"/>
        <v>1068</v>
      </c>
      <c r="T149" s="112"/>
      <c r="U149" s="112"/>
      <c r="V149" s="112"/>
      <c r="W149" s="10"/>
      <c r="X149" s="120"/>
      <c r="Y149" s="112"/>
    </row>
    <row r="150" spans="2:25" s="117" customFormat="1" x14ac:dyDescent="0.15">
      <c r="B150" s="19"/>
      <c r="C150" s="164"/>
      <c r="D150" s="164"/>
      <c r="E150" s="188"/>
      <c r="F150" s="128" t="s">
        <v>50</v>
      </c>
      <c r="G150" s="127" t="s">
        <v>51</v>
      </c>
      <c r="H150" s="162"/>
      <c r="I150" s="6"/>
      <c r="J150" s="6"/>
      <c r="K150" s="6"/>
      <c r="L150" s="6"/>
      <c r="M150" s="6"/>
      <c r="N150" s="6"/>
      <c r="O150" s="6"/>
      <c r="P150" s="6">
        <v>111</v>
      </c>
      <c r="Q150" s="6">
        <v>326</v>
      </c>
      <c r="R150" s="6">
        <v>146</v>
      </c>
      <c r="S150" s="6">
        <f t="shared" si="17"/>
        <v>583</v>
      </c>
      <c r="T150" s="112"/>
      <c r="U150" s="112"/>
      <c r="V150" s="112"/>
      <c r="W150" s="10"/>
      <c r="X150" s="120"/>
      <c r="Y150" s="112"/>
    </row>
    <row r="151" spans="2:25" s="117" customFormat="1" x14ac:dyDescent="0.15">
      <c r="B151" s="19"/>
      <c r="C151" s="164"/>
      <c r="D151" s="164"/>
      <c r="E151" s="188"/>
      <c r="F151" s="50" t="s">
        <v>52</v>
      </c>
      <c r="G151" s="119" t="s">
        <v>53</v>
      </c>
      <c r="H151" s="162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>
        <f t="shared" si="17"/>
        <v>0</v>
      </c>
      <c r="T151" s="112"/>
      <c r="U151" s="112"/>
      <c r="V151" s="112"/>
      <c r="W151" s="10"/>
      <c r="X151" s="120"/>
      <c r="Y151" s="112"/>
    </row>
    <row r="152" spans="2:25" s="117" customFormat="1" x14ac:dyDescent="0.15">
      <c r="B152" s="19"/>
      <c r="C152" s="164"/>
      <c r="D152" s="164"/>
      <c r="E152" s="188"/>
      <c r="F152" s="128" t="s">
        <v>54</v>
      </c>
      <c r="G152" s="127" t="s">
        <v>55</v>
      </c>
      <c r="H152" s="162"/>
      <c r="I152" s="6"/>
      <c r="J152" s="6"/>
      <c r="K152" s="6"/>
      <c r="L152" s="6"/>
      <c r="M152" s="6"/>
      <c r="N152" s="6"/>
      <c r="O152" s="6"/>
      <c r="P152" s="6">
        <v>306</v>
      </c>
      <c r="Q152" s="6">
        <v>340</v>
      </c>
      <c r="R152" s="6">
        <v>204</v>
      </c>
      <c r="S152" s="6">
        <f t="shared" si="17"/>
        <v>850</v>
      </c>
      <c r="T152" s="112"/>
      <c r="U152" s="112"/>
      <c r="V152" s="112"/>
      <c r="W152" s="10"/>
      <c r="X152" s="120"/>
      <c r="Y152" s="112"/>
    </row>
    <row r="153" spans="2:25" s="117" customFormat="1" x14ac:dyDescent="0.15">
      <c r="B153" s="19"/>
      <c r="C153" s="164"/>
      <c r="D153" s="164"/>
      <c r="E153" s="188"/>
      <c r="F153" s="111" t="s">
        <v>56</v>
      </c>
      <c r="G153" s="110" t="s">
        <v>57</v>
      </c>
      <c r="H153" s="162"/>
      <c r="I153" s="6"/>
      <c r="J153" s="6"/>
      <c r="K153" s="6"/>
      <c r="L153" s="6"/>
      <c r="M153" s="6"/>
      <c r="N153" s="6"/>
      <c r="O153" s="6"/>
      <c r="P153" s="6">
        <v>66</v>
      </c>
      <c r="Q153" s="6">
        <v>193</v>
      </c>
      <c r="R153" s="6">
        <v>128</v>
      </c>
      <c r="S153" s="6">
        <f>SUM(P153:R153)</f>
        <v>387</v>
      </c>
      <c r="T153" s="112"/>
      <c r="U153" s="112"/>
      <c r="V153" s="112"/>
      <c r="W153" s="10"/>
      <c r="X153" s="120"/>
      <c r="Y153" s="112"/>
    </row>
    <row r="154" spans="2:25" s="117" customFormat="1" x14ac:dyDescent="0.15">
      <c r="B154" s="19"/>
      <c r="C154" s="164"/>
      <c r="D154" s="164"/>
      <c r="E154" s="188"/>
      <c r="F154" s="129" t="s">
        <v>58</v>
      </c>
      <c r="G154" s="130" t="s">
        <v>59</v>
      </c>
      <c r="H154" s="162"/>
      <c r="I154" s="6"/>
      <c r="J154" s="6"/>
      <c r="K154" s="6"/>
      <c r="L154" s="6"/>
      <c r="M154" s="6"/>
      <c r="N154" s="6"/>
      <c r="O154" s="6"/>
      <c r="P154" s="6">
        <v>261</v>
      </c>
      <c r="Q154" s="6">
        <v>290</v>
      </c>
      <c r="R154" s="6">
        <v>174</v>
      </c>
      <c r="S154" s="6">
        <f t="shared" si="17"/>
        <v>725</v>
      </c>
      <c r="T154" s="112"/>
      <c r="U154" s="112"/>
      <c r="V154" s="112"/>
      <c r="W154" s="10"/>
      <c r="X154" s="120"/>
      <c r="Y154" s="112"/>
    </row>
    <row r="155" spans="2:25" s="117" customFormat="1" x14ac:dyDescent="0.15">
      <c r="B155" s="19"/>
      <c r="C155" s="164"/>
      <c r="D155" s="164"/>
      <c r="E155" s="188"/>
      <c r="F155" s="52" t="s">
        <v>60</v>
      </c>
      <c r="G155" s="119" t="s">
        <v>61</v>
      </c>
      <c r="H155" s="162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>
        <f t="shared" si="17"/>
        <v>0</v>
      </c>
      <c r="T155" s="112"/>
      <c r="U155" s="112"/>
      <c r="V155" s="112"/>
      <c r="W155" s="10"/>
      <c r="X155" s="120"/>
      <c r="Y155" s="112"/>
    </row>
    <row r="156" spans="2:25" s="117" customFormat="1" x14ac:dyDescent="0.15">
      <c r="B156" s="19"/>
      <c r="C156" s="164"/>
      <c r="D156" s="164"/>
      <c r="E156" s="188"/>
      <c r="F156" s="51" t="s">
        <v>62</v>
      </c>
      <c r="G156" s="119" t="s">
        <v>63</v>
      </c>
      <c r="H156" s="162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>
        <f t="shared" si="17"/>
        <v>0</v>
      </c>
      <c r="T156" s="112"/>
      <c r="U156" s="112"/>
      <c r="V156" s="112"/>
      <c r="W156" s="10"/>
      <c r="X156" s="120"/>
      <c r="Y156" s="112"/>
    </row>
    <row r="157" spans="2:25" s="117" customFormat="1" x14ac:dyDescent="0.15">
      <c r="B157" s="19"/>
      <c r="C157" s="164"/>
      <c r="D157" s="164"/>
      <c r="E157" s="188"/>
      <c r="F157" s="128" t="s">
        <v>64</v>
      </c>
      <c r="G157" s="127" t="s">
        <v>65</v>
      </c>
      <c r="H157" s="162"/>
      <c r="I157" s="6"/>
      <c r="J157" s="6"/>
      <c r="K157" s="6"/>
      <c r="L157" s="6"/>
      <c r="M157" s="6"/>
      <c r="N157" s="6"/>
      <c r="O157" s="6"/>
      <c r="P157" s="6">
        <v>166</v>
      </c>
      <c r="Q157" s="6">
        <v>249</v>
      </c>
      <c r="R157" s="6">
        <v>178</v>
      </c>
      <c r="S157" s="6">
        <f t="shared" si="17"/>
        <v>593</v>
      </c>
      <c r="T157" s="112"/>
      <c r="U157" s="112"/>
      <c r="V157" s="112"/>
      <c r="W157" s="10"/>
      <c r="X157" s="120"/>
      <c r="Y157" s="112"/>
    </row>
    <row r="158" spans="2:25" s="117" customFormat="1" x14ac:dyDescent="0.15">
      <c r="B158" s="19"/>
      <c r="C158" s="164"/>
      <c r="D158" s="164"/>
      <c r="E158" s="188"/>
      <c r="F158" s="128" t="s">
        <v>66</v>
      </c>
      <c r="G158" s="127" t="s">
        <v>67</v>
      </c>
      <c r="H158" s="162"/>
      <c r="I158" s="6"/>
      <c r="J158" s="6"/>
      <c r="K158" s="6"/>
      <c r="L158" s="6"/>
      <c r="M158" s="6"/>
      <c r="N158" s="6"/>
      <c r="O158" s="6"/>
      <c r="P158" s="6">
        <v>325</v>
      </c>
      <c r="Q158" s="6">
        <v>454</v>
      </c>
      <c r="R158" s="6">
        <v>303</v>
      </c>
      <c r="S158" s="6">
        <f t="shared" si="17"/>
        <v>1082</v>
      </c>
      <c r="T158" s="112"/>
      <c r="U158" s="112"/>
      <c r="V158" s="112"/>
      <c r="W158" s="10"/>
      <c r="X158" s="120"/>
      <c r="Y158" s="112"/>
    </row>
    <row r="159" spans="2:25" s="117" customFormat="1" x14ac:dyDescent="0.15">
      <c r="B159" s="19"/>
      <c r="C159" s="164"/>
      <c r="D159" s="164"/>
      <c r="E159" s="188"/>
      <c r="F159" s="125" t="s">
        <v>68</v>
      </c>
      <c r="G159" s="110" t="s">
        <v>69</v>
      </c>
      <c r="H159" s="115"/>
      <c r="I159" s="6"/>
      <c r="J159" s="6"/>
      <c r="K159" s="6"/>
      <c r="L159" s="6"/>
      <c r="M159" s="6"/>
      <c r="N159" s="6"/>
      <c r="O159" s="6"/>
      <c r="P159" s="6">
        <v>110</v>
      </c>
      <c r="Q159" s="6">
        <v>183</v>
      </c>
      <c r="R159" s="6">
        <v>114</v>
      </c>
      <c r="S159" s="6">
        <f t="shared" si="17"/>
        <v>407</v>
      </c>
      <c r="T159" s="112"/>
      <c r="U159" s="112"/>
      <c r="V159" s="112"/>
      <c r="W159" s="10"/>
      <c r="X159" s="120"/>
      <c r="Y159" s="112"/>
    </row>
    <row r="160" spans="2:25" s="117" customFormat="1" x14ac:dyDescent="0.15">
      <c r="B160" s="19"/>
      <c r="C160" s="164"/>
      <c r="D160" s="164"/>
      <c r="E160" s="188"/>
      <c r="F160" s="126" t="s">
        <v>70</v>
      </c>
      <c r="G160" s="127" t="s">
        <v>71</v>
      </c>
      <c r="H160" s="115"/>
      <c r="I160" s="6"/>
      <c r="J160" s="6"/>
      <c r="K160" s="6"/>
      <c r="L160" s="6"/>
      <c r="M160" s="6"/>
      <c r="N160" s="6"/>
      <c r="O160" s="6"/>
      <c r="P160" s="6">
        <v>139</v>
      </c>
      <c r="Q160" s="6">
        <v>208</v>
      </c>
      <c r="R160" s="6">
        <v>116</v>
      </c>
      <c r="S160" s="6">
        <f t="shared" si="17"/>
        <v>463</v>
      </c>
      <c r="T160" s="112"/>
      <c r="U160" s="112"/>
      <c r="V160" s="112"/>
      <c r="W160" s="10"/>
      <c r="X160" s="120"/>
      <c r="Y160" s="112"/>
    </row>
    <row r="161" spans="2:25" s="117" customFormat="1" x14ac:dyDescent="0.15">
      <c r="B161" s="19"/>
      <c r="C161" s="164"/>
      <c r="D161" s="164"/>
      <c r="E161" s="189"/>
      <c r="F161" s="47"/>
      <c r="G161" s="50"/>
      <c r="H161" s="123" t="s">
        <v>33</v>
      </c>
      <c r="I161" s="23"/>
      <c r="J161" s="23"/>
      <c r="K161" s="23"/>
      <c r="L161" s="23"/>
      <c r="M161" s="23"/>
      <c r="N161" s="6"/>
      <c r="O161" s="6"/>
      <c r="P161" s="6"/>
      <c r="Q161" s="6"/>
      <c r="R161" s="6"/>
      <c r="S161" s="6">
        <f t="shared" si="17"/>
        <v>0</v>
      </c>
      <c r="T161" s="112"/>
      <c r="U161" s="112"/>
      <c r="V161" s="112"/>
      <c r="W161" s="10"/>
      <c r="X161" s="120"/>
      <c r="Y161" s="112"/>
    </row>
    <row r="162" spans="2:25" s="117" customFormat="1" x14ac:dyDescent="0.15">
      <c r="B162" s="19"/>
      <c r="C162" s="164"/>
      <c r="D162" s="164"/>
      <c r="E162" s="116"/>
      <c r="F162" s="47"/>
      <c r="G162" s="50"/>
      <c r="H162" s="118"/>
      <c r="I162" s="22"/>
      <c r="J162" s="22"/>
      <c r="K162" s="22"/>
      <c r="L162" s="22"/>
      <c r="M162" s="22"/>
      <c r="N162" s="22"/>
      <c r="O162" s="22"/>
      <c r="P162" s="22">
        <f>SUM(P147:P161)</f>
        <v>1911</v>
      </c>
      <c r="Q162" s="22">
        <f>SUM(Q147:Q161)</f>
        <v>2649</v>
      </c>
      <c r="R162" s="22">
        <f>SUM(R149:R160)</f>
        <v>1598</v>
      </c>
      <c r="S162" s="22">
        <f>SUM(S149:S160)</f>
        <v>6158</v>
      </c>
      <c r="T162" s="112"/>
      <c r="U162" s="112"/>
      <c r="V162" s="112"/>
      <c r="W162" s="10"/>
      <c r="X162" s="120"/>
      <c r="Y162" s="112"/>
    </row>
    <row r="163" spans="2:25" s="117" customFormat="1" x14ac:dyDescent="0.15">
      <c r="B163" s="19"/>
      <c r="C163" s="164"/>
      <c r="D163" s="164" t="s">
        <v>113</v>
      </c>
      <c r="E163" s="187"/>
      <c r="F163" s="135" t="s">
        <v>44</v>
      </c>
      <c r="G163" s="127" t="s">
        <v>45</v>
      </c>
      <c r="H163" s="159">
        <v>44215</v>
      </c>
      <c r="I163" s="136"/>
      <c r="J163" s="136"/>
      <c r="K163" s="133"/>
      <c r="L163" s="133"/>
      <c r="M163" s="133"/>
      <c r="N163" s="133"/>
      <c r="O163" s="132"/>
      <c r="P163" s="6"/>
      <c r="Q163" s="6"/>
      <c r="R163" s="6"/>
      <c r="S163" s="6"/>
      <c r="T163" s="112"/>
      <c r="U163" s="112"/>
      <c r="V163" s="112"/>
      <c r="W163" s="10"/>
      <c r="X163" s="120"/>
      <c r="Y163" s="112"/>
    </row>
    <row r="164" spans="2:25" s="117" customFormat="1" x14ac:dyDescent="0.15">
      <c r="B164" s="19"/>
      <c r="C164" s="164"/>
      <c r="D164" s="164"/>
      <c r="E164" s="188"/>
      <c r="F164" s="128" t="s">
        <v>46</v>
      </c>
      <c r="G164" s="127" t="s">
        <v>47</v>
      </c>
      <c r="H164" s="160"/>
      <c r="I164" s="132"/>
      <c r="J164" s="132"/>
      <c r="K164" s="133"/>
      <c r="L164" s="133"/>
      <c r="M164" s="133"/>
      <c r="N164" s="133"/>
      <c r="O164" s="132"/>
      <c r="P164" s="6"/>
      <c r="Q164" s="6"/>
      <c r="R164" s="6"/>
      <c r="S164" s="6"/>
      <c r="T164" s="112"/>
      <c r="U164" s="112"/>
      <c r="V164" s="112"/>
      <c r="W164" s="10"/>
      <c r="X164" s="120"/>
      <c r="Y164" s="112"/>
    </row>
    <row r="165" spans="2:25" s="117" customFormat="1" x14ac:dyDescent="0.15">
      <c r="B165" s="19"/>
      <c r="C165" s="164"/>
      <c r="D165" s="164"/>
      <c r="E165" s="188"/>
      <c r="F165" s="128" t="s">
        <v>48</v>
      </c>
      <c r="G165" s="127" t="s">
        <v>49</v>
      </c>
      <c r="H165" s="160"/>
      <c r="I165" s="132"/>
      <c r="J165" s="132"/>
      <c r="K165" s="133">
        <v>124</v>
      </c>
      <c r="L165" s="133">
        <v>216</v>
      </c>
      <c r="M165" s="133">
        <v>222</v>
      </c>
      <c r="N165" s="133">
        <v>56</v>
      </c>
      <c r="O165" s="132"/>
      <c r="P165" s="6"/>
      <c r="Q165" s="6"/>
      <c r="R165" s="6"/>
      <c r="S165" s="6">
        <f>SUM(K165:N165)</f>
        <v>618</v>
      </c>
      <c r="T165" s="112"/>
      <c r="U165" s="112"/>
      <c r="V165" s="112"/>
      <c r="W165" s="10"/>
      <c r="X165" s="120"/>
      <c r="Y165" s="112"/>
    </row>
    <row r="166" spans="2:25" s="117" customFormat="1" x14ac:dyDescent="0.15">
      <c r="B166" s="19"/>
      <c r="C166" s="164"/>
      <c r="D166" s="164"/>
      <c r="E166" s="188"/>
      <c r="F166" s="128" t="s">
        <v>50</v>
      </c>
      <c r="G166" s="127" t="s">
        <v>51</v>
      </c>
      <c r="H166" s="160"/>
      <c r="I166" s="132"/>
      <c r="J166" s="132"/>
      <c r="K166" s="133">
        <v>36</v>
      </c>
      <c r="L166" s="133">
        <v>78</v>
      </c>
      <c r="M166" s="133">
        <v>120</v>
      </c>
      <c r="N166" s="133">
        <v>69</v>
      </c>
      <c r="O166" s="132"/>
      <c r="P166" s="6"/>
      <c r="Q166" s="6"/>
      <c r="R166" s="6"/>
      <c r="S166" s="6">
        <f>SUM(K166:N166)</f>
        <v>303</v>
      </c>
      <c r="T166" s="112"/>
      <c r="U166" s="112"/>
      <c r="V166" s="112"/>
      <c r="W166" s="10"/>
      <c r="X166" s="120"/>
      <c r="Y166" s="112"/>
    </row>
    <row r="167" spans="2:25" s="117" customFormat="1" x14ac:dyDescent="0.15">
      <c r="B167" s="19"/>
      <c r="C167" s="164"/>
      <c r="D167" s="164"/>
      <c r="E167" s="188"/>
      <c r="F167" s="128" t="s">
        <v>52</v>
      </c>
      <c r="G167" s="127" t="s">
        <v>53</v>
      </c>
      <c r="H167" s="160"/>
      <c r="I167" s="136"/>
      <c r="J167" s="136"/>
      <c r="K167" s="133"/>
      <c r="L167" s="133"/>
      <c r="M167" s="133"/>
      <c r="N167" s="133"/>
      <c r="O167" s="132"/>
      <c r="P167" s="6"/>
      <c r="Q167" s="6"/>
      <c r="R167" s="6"/>
      <c r="S167" s="6"/>
      <c r="T167" s="112"/>
      <c r="U167" s="112"/>
      <c r="V167" s="112"/>
      <c r="W167" s="10"/>
      <c r="X167" s="120"/>
      <c r="Y167" s="112"/>
    </row>
    <row r="168" spans="2:25" s="117" customFormat="1" x14ac:dyDescent="0.15">
      <c r="B168" s="19"/>
      <c r="C168" s="164"/>
      <c r="D168" s="164"/>
      <c r="E168" s="188"/>
      <c r="F168" s="128" t="s">
        <v>54</v>
      </c>
      <c r="G168" s="127" t="s">
        <v>55</v>
      </c>
      <c r="H168" s="160"/>
      <c r="I168" s="136"/>
      <c r="J168" s="136"/>
      <c r="K168" s="133">
        <v>84</v>
      </c>
      <c r="L168" s="133">
        <v>137</v>
      </c>
      <c r="M168" s="133">
        <v>150</v>
      </c>
      <c r="N168" s="133">
        <v>71</v>
      </c>
      <c r="O168" s="132"/>
      <c r="P168" s="6"/>
      <c r="Q168" s="6"/>
      <c r="R168" s="6"/>
      <c r="S168" s="6">
        <f>SUM(K168:N168)</f>
        <v>442</v>
      </c>
      <c r="T168" s="112"/>
      <c r="U168" s="112"/>
      <c r="V168" s="112"/>
      <c r="W168" s="10"/>
      <c r="X168" s="120"/>
      <c r="Y168" s="112"/>
    </row>
    <row r="169" spans="2:25" s="117" customFormat="1" x14ac:dyDescent="0.15">
      <c r="B169" s="19"/>
      <c r="C169" s="164"/>
      <c r="D169" s="164"/>
      <c r="E169" s="188"/>
      <c r="F169" s="137" t="s">
        <v>56</v>
      </c>
      <c r="G169" s="130" t="s">
        <v>57</v>
      </c>
      <c r="H169" s="160"/>
      <c r="I169" s="136"/>
      <c r="J169" s="136"/>
      <c r="K169" s="133">
        <v>14</v>
      </c>
      <c r="L169" s="133">
        <v>41</v>
      </c>
      <c r="M169" s="133">
        <v>99</v>
      </c>
      <c r="N169" s="133">
        <v>49</v>
      </c>
      <c r="O169" s="132"/>
      <c r="P169" s="6"/>
      <c r="Q169" s="6"/>
      <c r="R169" s="6"/>
      <c r="S169" s="6">
        <f>SUM(K169:N169)</f>
        <v>203</v>
      </c>
      <c r="T169" s="112"/>
      <c r="U169" s="112"/>
      <c r="V169" s="112"/>
      <c r="W169" s="10"/>
      <c r="X169" s="120"/>
      <c r="Y169" s="112"/>
    </row>
    <row r="170" spans="2:25" s="117" customFormat="1" x14ac:dyDescent="0.15">
      <c r="B170" s="19"/>
      <c r="C170" s="164"/>
      <c r="D170" s="164"/>
      <c r="E170" s="188"/>
      <c r="F170" s="129" t="s">
        <v>58</v>
      </c>
      <c r="G170" s="130" t="s">
        <v>59</v>
      </c>
      <c r="H170" s="160"/>
      <c r="I170" s="132"/>
      <c r="J170" s="132"/>
      <c r="K170" s="133">
        <v>73</v>
      </c>
      <c r="L170" s="133">
        <v>118</v>
      </c>
      <c r="M170" s="133">
        <v>130</v>
      </c>
      <c r="N170" s="133">
        <v>61</v>
      </c>
      <c r="O170" s="132"/>
      <c r="P170" s="132"/>
      <c r="Q170" s="132"/>
      <c r="R170" s="132"/>
      <c r="S170" s="132">
        <f>SUM(K170:N170)</f>
        <v>382</v>
      </c>
      <c r="T170" s="112"/>
      <c r="U170" s="112"/>
      <c r="V170" s="112"/>
      <c r="W170" s="10"/>
      <c r="X170" s="120"/>
      <c r="Y170" s="112"/>
    </row>
    <row r="171" spans="2:25" s="117" customFormat="1" x14ac:dyDescent="0.15">
      <c r="B171" s="19"/>
      <c r="C171" s="164"/>
      <c r="D171" s="164"/>
      <c r="E171" s="188"/>
      <c r="F171" s="138" t="s">
        <v>60</v>
      </c>
      <c r="G171" s="127" t="s">
        <v>61</v>
      </c>
      <c r="H171" s="160"/>
      <c r="I171" s="132"/>
      <c r="J171" s="132"/>
      <c r="K171" s="133"/>
      <c r="L171" s="133"/>
      <c r="M171" s="133"/>
      <c r="N171" s="133"/>
      <c r="O171" s="132"/>
      <c r="P171" s="6"/>
      <c r="Q171" s="6"/>
      <c r="R171" s="6"/>
      <c r="S171" s="6"/>
      <c r="T171" s="112"/>
      <c r="U171" s="112"/>
      <c r="V171" s="112"/>
      <c r="W171" s="10"/>
      <c r="X171" s="120"/>
      <c r="Y171" s="112"/>
    </row>
    <row r="172" spans="2:25" s="117" customFormat="1" x14ac:dyDescent="0.15">
      <c r="B172" s="19"/>
      <c r="C172" s="164"/>
      <c r="D172" s="164"/>
      <c r="E172" s="188"/>
      <c r="F172" s="126" t="s">
        <v>62</v>
      </c>
      <c r="G172" s="127" t="s">
        <v>63</v>
      </c>
      <c r="H172" s="160"/>
      <c r="I172" s="132"/>
      <c r="J172" s="132"/>
      <c r="K172" s="133"/>
      <c r="L172" s="133"/>
      <c r="M172" s="133"/>
      <c r="N172" s="133"/>
      <c r="O172" s="132"/>
      <c r="P172" s="6"/>
      <c r="Q172" s="6"/>
      <c r="R172" s="6"/>
      <c r="S172" s="6"/>
      <c r="T172" s="112"/>
      <c r="U172" s="112"/>
      <c r="V172" s="112"/>
      <c r="W172" s="10"/>
      <c r="X172" s="120"/>
      <c r="Y172" s="112"/>
    </row>
    <row r="173" spans="2:25" s="117" customFormat="1" x14ac:dyDescent="0.15">
      <c r="B173" s="19"/>
      <c r="C173" s="164"/>
      <c r="D173" s="164"/>
      <c r="E173" s="188"/>
      <c r="F173" s="128" t="s">
        <v>64</v>
      </c>
      <c r="G173" s="127" t="s">
        <v>65</v>
      </c>
      <c r="H173" s="160"/>
      <c r="I173" s="132"/>
      <c r="J173" s="132"/>
      <c r="K173" s="133">
        <v>52</v>
      </c>
      <c r="L173" s="133">
        <v>132</v>
      </c>
      <c r="M173" s="133">
        <v>90</v>
      </c>
      <c r="N173" s="133">
        <v>48</v>
      </c>
      <c r="O173" s="132"/>
      <c r="P173" s="132"/>
      <c r="Q173" s="132"/>
      <c r="R173" s="132"/>
      <c r="S173" s="132">
        <f>SUM(K173:N173)</f>
        <v>322</v>
      </c>
      <c r="T173" s="112"/>
      <c r="U173" s="112"/>
      <c r="V173" s="112"/>
      <c r="W173" s="10"/>
      <c r="X173" s="120"/>
      <c r="Y173" s="112"/>
    </row>
    <row r="174" spans="2:25" s="117" customFormat="1" x14ac:dyDescent="0.15">
      <c r="B174" s="19"/>
      <c r="C174" s="164"/>
      <c r="D174" s="164"/>
      <c r="E174" s="188"/>
      <c r="F174" s="128" t="s">
        <v>66</v>
      </c>
      <c r="G174" s="127" t="s">
        <v>67</v>
      </c>
      <c r="H174" s="160"/>
      <c r="I174" s="132"/>
      <c r="J174" s="132"/>
      <c r="K174" s="133">
        <v>76</v>
      </c>
      <c r="L174" s="133">
        <v>162</v>
      </c>
      <c r="M174" s="133">
        <v>206</v>
      </c>
      <c r="N174" s="133">
        <v>97</v>
      </c>
      <c r="O174" s="132"/>
      <c r="P174" s="6"/>
      <c r="Q174" s="6"/>
      <c r="R174" s="6"/>
      <c r="S174" s="6">
        <f>SUM(K174:N174)</f>
        <v>541</v>
      </c>
      <c r="T174" s="112"/>
      <c r="U174" s="112"/>
      <c r="V174" s="112"/>
      <c r="W174" s="10"/>
      <c r="X174" s="120"/>
      <c r="Y174" s="112"/>
    </row>
    <row r="175" spans="2:25" s="117" customFormat="1" x14ac:dyDescent="0.15">
      <c r="B175" s="19"/>
      <c r="C175" s="164"/>
      <c r="D175" s="164"/>
      <c r="E175" s="188"/>
      <c r="F175" s="129" t="s">
        <v>68</v>
      </c>
      <c r="G175" s="130" t="s">
        <v>69</v>
      </c>
      <c r="H175" s="160"/>
      <c r="I175" s="132"/>
      <c r="J175" s="132"/>
      <c r="K175" s="133">
        <v>29</v>
      </c>
      <c r="L175" s="133">
        <v>62</v>
      </c>
      <c r="M175" s="133">
        <v>86</v>
      </c>
      <c r="N175" s="133">
        <v>60</v>
      </c>
      <c r="O175" s="132"/>
      <c r="P175" s="6"/>
      <c r="Q175" s="6"/>
      <c r="R175" s="6"/>
      <c r="S175" s="6">
        <f>SUM(K175:N175)</f>
        <v>237</v>
      </c>
      <c r="T175" s="112"/>
      <c r="U175" s="112"/>
      <c r="V175" s="112"/>
      <c r="W175" s="10"/>
      <c r="X175" s="120"/>
      <c r="Y175" s="112"/>
    </row>
    <row r="176" spans="2:25" s="117" customFormat="1" x14ac:dyDescent="0.15">
      <c r="B176" s="19"/>
      <c r="C176" s="164"/>
      <c r="D176" s="164"/>
      <c r="E176" s="188"/>
      <c r="F176" s="126" t="s">
        <v>70</v>
      </c>
      <c r="G176" s="127" t="s">
        <v>71</v>
      </c>
      <c r="H176" s="167"/>
      <c r="I176" s="132"/>
      <c r="J176" s="132"/>
      <c r="K176" s="133">
        <v>39</v>
      </c>
      <c r="L176" s="133">
        <v>45</v>
      </c>
      <c r="M176" s="133">
        <v>65</v>
      </c>
      <c r="N176" s="133">
        <v>47</v>
      </c>
      <c r="O176" s="132"/>
      <c r="P176" s="6"/>
      <c r="Q176" s="6"/>
      <c r="R176" s="6"/>
      <c r="S176" s="6">
        <f>SUM(K176:N176)</f>
        <v>196</v>
      </c>
      <c r="T176" s="112"/>
      <c r="U176" s="112"/>
      <c r="V176" s="112"/>
      <c r="W176" s="10"/>
      <c r="X176" s="120"/>
      <c r="Y176" s="112"/>
    </row>
    <row r="177" spans="2:25" s="117" customFormat="1" x14ac:dyDescent="0.15">
      <c r="B177" s="19"/>
      <c r="C177" s="164"/>
      <c r="D177" s="165"/>
      <c r="E177" s="189"/>
      <c r="F177" s="139"/>
      <c r="G177" s="131"/>
      <c r="H177" s="118"/>
      <c r="I177" s="22"/>
      <c r="J177" s="22"/>
      <c r="K177" s="22">
        <f>SUM(K165:K176)</f>
        <v>527</v>
      </c>
      <c r="L177" s="22">
        <f t="shared" ref="L177" si="18">SUM(L165:L176)</f>
        <v>991</v>
      </c>
      <c r="M177" s="22">
        <f t="shared" ref="M177" si="19">SUM(M165:M176)</f>
        <v>1168</v>
      </c>
      <c r="N177" s="22">
        <f t="shared" ref="N177" si="20">SUM(N165:N176)</f>
        <v>558</v>
      </c>
      <c r="O177" s="22"/>
      <c r="P177" s="22"/>
      <c r="Q177" s="22"/>
      <c r="R177" s="22"/>
      <c r="S177" s="22">
        <f t="shared" ref="S177" si="21">SUM(S165:S176)</f>
        <v>3244</v>
      </c>
      <c r="T177" s="112"/>
      <c r="U177" s="112"/>
      <c r="V177" s="112"/>
      <c r="W177" s="10"/>
      <c r="X177" s="120"/>
      <c r="Y177" s="112"/>
    </row>
    <row r="178" spans="2:25" s="117" customFormat="1" x14ac:dyDescent="0.15">
      <c r="B178" s="19"/>
      <c r="C178" s="164"/>
      <c r="D178" s="164" t="s">
        <v>114</v>
      </c>
      <c r="E178" s="187"/>
      <c r="F178" s="135" t="s">
        <v>44</v>
      </c>
      <c r="G178" s="127" t="s">
        <v>45</v>
      </c>
      <c r="H178" s="159">
        <f>H163</f>
        <v>44215</v>
      </c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112"/>
      <c r="U178" s="112"/>
      <c r="V178" s="112"/>
      <c r="W178" s="10"/>
      <c r="X178" s="120"/>
      <c r="Y178" s="112"/>
    </row>
    <row r="179" spans="2:25" s="117" customFormat="1" x14ac:dyDescent="0.15">
      <c r="B179" s="19"/>
      <c r="C179" s="164"/>
      <c r="D179" s="164"/>
      <c r="E179" s="188"/>
      <c r="F179" s="128" t="s">
        <v>46</v>
      </c>
      <c r="G179" s="127" t="s">
        <v>47</v>
      </c>
      <c r="H179" s="160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112"/>
      <c r="U179" s="112"/>
      <c r="V179" s="112"/>
      <c r="W179" s="10"/>
      <c r="X179" s="120"/>
      <c r="Y179" s="112"/>
    </row>
    <row r="180" spans="2:25" s="117" customFormat="1" x14ac:dyDescent="0.15">
      <c r="B180" s="19"/>
      <c r="C180" s="164"/>
      <c r="D180" s="164"/>
      <c r="E180" s="188"/>
      <c r="F180" s="128" t="s">
        <v>48</v>
      </c>
      <c r="G180" s="127" t="s">
        <v>49</v>
      </c>
      <c r="H180" s="160"/>
      <c r="I180" s="6">
        <v>321</v>
      </c>
      <c r="J180" s="6">
        <v>824</v>
      </c>
      <c r="K180" s="6">
        <v>994</v>
      </c>
      <c r="L180" s="6">
        <v>688</v>
      </c>
      <c r="M180" s="6">
        <v>683</v>
      </c>
      <c r="N180" s="6">
        <v>340</v>
      </c>
      <c r="O180" s="6">
        <v>84</v>
      </c>
      <c r="P180" s="6"/>
      <c r="Q180" s="6"/>
      <c r="R180" s="6"/>
      <c r="S180" s="6">
        <f>SUM(I180:O180)</f>
        <v>3934</v>
      </c>
      <c r="T180" s="112"/>
      <c r="U180" s="112"/>
      <c r="V180" s="112"/>
      <c r="W180" s="10"/>
      <c r="X180" s="120"/>
      <c r="Y180" s="112"/>
    </row>
    <row r="181" spans="2:25" s="117" customFormat="1" x14ac:dyDescent="0.15">
      <c r="B181" s="19"/>
      <c r="C181" s="164"/>
      <c r="D181" s="164"/>
      <c r="E181" s="188"/>
      <c r="F181" s="128" t="s">
        <v>50</v>
      </c>
      <c r="G181" s="127" t="s">
        <v>51</v>
      </c>
      <c r="H181" s="160"/>
      <c r="I181" s="6">
        <v>39</v>
      </c>
      <c r="J181" s="6">
        <v>120</v>
      </c>
      <c r="K181" s="6">
        <v>221</v>
      </c>
      <c r="L181" s="6">
        <v>304</v>
      </c>
      <c r="M181" s="6">
        <v>384</v>
      </c>
      <c r="N181" s="6">
        <v>269</v>
      </c>
      <c r="O181" s="6">
        <v>108</v>
      </c>
      <c r="P181" s="6"/>
      <c r="Q181" s="6"/>
      <c r="R181" s="6"/>
      <c r="S181" s="6">
        <f>SUM(I181:O181)</f>
        <v>1445</v>
      </c>
      <c r="T181" s="112"/>
      <c r="U181" s="112"/>
      <c r="V181" s="112"/>
      <c r="W181" s="10"/>
      <c r="X181" s="120"/>
      <c r="Y181" s="112"/>
    </row>
    <row r="182" spans="2:25" s="117" customFormat="1" x14ac:dyDescent="0.15">
      <c r="B182" s="19"/>
      <c r="C182" s="164"/>
      <c r="D182" s="164"/>
      <c r="E182" s="188"/>
      <c r="F182" s="128" t="s">
        <v>52</v>
      </c>
      <c r="G182" s="127" t="s">
        <v>53</v>
      </c>
      <c r="H182" s="160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112"/>
      <c r="U182" s="112"/>
      <c r="V182" s="112"/>
      <c r="W182" s="10"/>
      <c r="X182" s="120"/>
      <c r="Y182" s="112"/>
    </row>
    <row r="183" spans="2:25" s="117" customFormat="1" x14ac:dyDescent="0.15">
      <c r="B183" s="19"/>
      <c r="C183" s="164"/>
      <c r="D183" s="164"/>
      <c r="E183" s="188"/>
      <c r="F183" s="128" t="s">
        <v>115</v>
      </c>
      <c r="G183" s="127" t="s">
        <v>55</v>
      </c>
      <c r="H183" s="160"/>
      <c r="I183" s="6">
        <v>122</v>
      </c>
      <c r="J183" s="6">
        <v>287</v>
      </c>
      <c r="K183" s="6">
        <v>409</v>
      </c>
      <c r="L183" s="6">
        <v>430</v>
      </c>
      <c r="M183" s="6">
        <v>462</v>
      </c>
      <c r="N183" s="6">
        <v>300</v>
      </c>
      <c r="O183" s="6">
        <v>97</v>
      </c>
      <c r="P183" s="6"/>
      <c r="Q183" s="6"/>
      <c r="R183" s="6"/>
      <c r="S183" s="6">
        <f>SUM(I183:O183)</f>
        <v>2107</v>
      </c>
      <c r="T183" s="112"/>
      <c r="U183" s="112"/>
      <c r="V183" s="112"/>
      <c r="W183" s="10"/>
      <c r="X183" s="120"/>
      <c r="Y183" s="112"/>
    </row>
    <row r="184" spans="2:25" s="117" customFormat="1" x14ac:dyDescent="0.15">
      <c r="B184" s="19"/>
      <c r="C184" s="164"/>
      <c r="D184" s="164"/>
      <c r="E184" s="188"/>
      <c r="F184" s="137" t="s">
        <v>56</v>
      </c>
      <c r="G184" s="130" t="s">
        <v>57</v>
      </c>
      <c r="H184" s="160"/>
      <c r="I184" s="6">
        <v>25</v>
      </c>
      <c r="J184" s="6">
        <v>93</v>
      </c>
      <c r="K184" s="6">
        <v>155</v>
      </c>
      <c r="L184" s="6">
        <v>216</v>
      </c>
      <c r="M184" s="6">
        <v>397</v>
      </c>
      <c r="N184" s="6">
        <v>361</v>
      </c>
      <c r="O184" s="6">
        <v>180</v>
      </c>
      <c r="P184" s="6"/>
      <c r="Q184" s="6"/>
      <c r="R184" s="6"/>
      <c r="S184" s="6">
        <f>SUM(I184:O184)</f>
        <v>1427</v>
      </c>
      <c r="T184" s="112"/>
      <c r="U184" s="112"/>
      <c r="V184" s="112"/>
      <c r="W184" s="10"/>
      <c r="X184" s="120"/>
      <c r="Y184" s="112"/>
    </row>
    <row r="185" spans="2:25" s="117" customFormat="1" x14ac:dyDescent="0.15">
      <c r="B185" s="19"/>
      <c r="C185" s="164"/>
      <c r="D185" s="164"/>
      <c r="E185" s="188"/>
      <c r="F185" s="125" t="s">
        <v>58</v>
      </c>
      <c r="G185" s="110" t="s">
        <v>59</v>
      </c>
      <c r="H185" s="160"/>
      <c r="I185" s="6">
        <v>155</v>
      </c>
      <c r="J185" s="6">
        <v>364</v>
      </c>
      <c r="K185" s="6">
        <v>519</v>
      </c>
      <c r="L185" s="6">
        <v>545</v>
      </c>
      <c r="M185" s="6">
        <v>585</v>
      </c>
      <c r="N185" s="6">
        <v>380</v>
      </c>
      <c r="O185" s="6">
        <v>123</v>
      </c>
      <c r="P185" s="6"/>
      <c r="Q185" s="6"/>
      <c r="R185" s="6"/>
      <c r="S185" s="6">
        <f>SUM(I185:O185)</f>
        <v>2671</v>
      </c>
      <c r="T185" s="112"/>
      <c r="U185" s="112"/>
      <c r="V185" s="112"/>
      <c r="W185" s="10"/>
      <c r="X185" s="120"/>
      <c r="Y185" s="112"/>
    </row>
    <row r="186" spans="2:25" s="117" customFormat="1" x14ac:dyDescent="0.15">
      <c r="B186" s="19"/>
      <c r="C186" s="164"/>
      <c r="D186" s="164"/>
      <c r="E186" s="188"/>
      <c r="F186" s="138" t="s">
        <v>60</v>
      </c>
      <c r="G186" s="127" t="s">
        <v>61</v>
      </c>
      <c r="H186" s="160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112"/>
      <c r="U186" s="112"/>
      <c r="V186" s="112"/>
      <c r="W186" s="10"/>
      <c r="X186" s="120"/>
      <c r="Y186" s="112"/>
    </row>
    <row r="187" spans="2:25" s="117" customFormat="1" x14ac:dyDescent="0.15">
      <c r="B187" s="19"/>
      <c r="C187" s="164"/>
      <c r="D187" s="164"/>
      <c r="E187" s="188"/>
      <c r="F187" s="126" t="s">
        <v>62</v>
      </c>
      <c r="G187" s="127" t="s">
        <v>63</v>
      </c>
      <c r="H187" s="160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112"/>
      <c r="U187" s="112"/>
      <c r="V187" s="112"/>
      <c r="W187" s="10"/>
      <c r="X187" s="120"/>
      <c r="Y187" s="112"/>
    </row>
    <row r="188" spans="2:25" s="117" customFormat="1" x14ac:dyDescent="0.15">
      <c r="B188" s="19"/>
      <c r="C188" s="164"/>
      <c r="D188" s="164"/>
      <c r="E188" s="188"/>
      <c r="F188" s="128" t="s">
        <v>64</v>
      </c>
      <c r="G188" s="127" t="s">
        <v>65</v>
      </c>
      <c r="H188" s="160"/>
      <c r="I188" s="6">
        <v>81</v>
      </c>
      <c r="J188" s="6">
        <v>262</v>
      </c>
      <c r="K188" s="6">
        <v>388</v>
      </c>
      <c r="L188" s="6">
        <v>397</v>
      </c>
      <c r="M188" s="6">
        <v>362</v>
      </c>
      <c r="N188" s="6">
        <v>213</v>
      </c>
      <c r="O188" s="6">
        <v>73</v>
      </c>
      <c r="P188" s="6"/>
      <c r="Q188" s="6"/>
      <c r="R188" s="6"/>
      <c r="S188" s="6">
        <f>SUM(I188:O188)</f>
        <v>1776</v>
      </c>
      <c r="T188" s="112"/>
      <c r="U188" s="112"/>
      <c r="V188" s="112"/>
      <c r="W188" s="10"/>
      <c r="X188" s="120"/>
      <c r="Y188" s="112"/>
    </row>
    <row r="189" spans="2:25" s="117" customFormat="1" x14ac:dyDescent="0.15">
      <c r="B189" s="19"/>
      <c r="C189" s="164"/>
      <c r="D189" s="164"/>
      <c r="E189" s="188"/>
      <c r="F189" s="128" t="s">
        <v>66</v>
      </c>
      <c r="G189" s="127" t="s">
        <v>67</v>
      </c>
      <c r="H189" s="160"/>
      <c r="I189" s="6">
        <v>51</v>
      </c>
      <c r="J189" s="6">
        <v>187</v>
      </c>
      <c r="K189" s="6">
        <v>358</v>
      </c>
      <c r="L189" s="6">
        <v>423</v>
      </c>
      <c r="M189" s="6">
        <v>753</v>
      </c>
      <c r="N189" s="6">
        <v>537</v>
      </c>
      <c r="O189" s="6">
        <v>187</v>
      </c>
      <c r="P189" s="6"/>
      <c r="Q189" s="6"/>
      <c r="R189" s="6"/>
      <c r="S189" s="6">
        <f>SUM(I189:O189)</f>
        <v>2496</v>
      </c>
      <c r="T189" s="112"/>
      <c r="U189" s="112"/>
      <c r="V189" s="112"/>
      <c r="W189" s="10"/>
      <c r="X189" s="120"/>
      <c r="Y189" s="112"/>
    </row>
    <row r="190" spans="2:25" s="117" customFormat="1" x14ac:dyDescent="0.15">
      <c r="B190" s="19"/>
      <c r="C190" s="164"/>
      <c r="D190" s="164"/>
      <c r="E190" s="188"/>
      <c r="F190" s="129" t="s">
        <v>68</v>
      </c>
      <c r="G190" s="130" t="s">
        <v>69</v>
      </c>
      <c r="H190" s="160"/>
      <c r="I190" s="6">
        <v>48</v>
      </c>
      <c r="J190" s="6">
        <v>170</v>
      </c>
      <c r="K190" s="6">
        <v>237</v>
      </c>
      <c r="L190" s="6">
        <v>278</v>
      </c>
      <c r="M190" s="6">
        <v>389</v>
      </c>
      <c r="N190" s="6">
        <v>275</v>
      </c>
      <c r="O190" s="6">
        <v>104</v>
      </c>
      <c r="P190" s="6"/>
      <c r="Q190" s="6"/>
      <c r="R190" s="6"/>
      <c r="S190" s="6">
        <f>SUM(I190:O190)</f>
        <v>1501</v>
      </c>
      <c r="T190" s="112"/>
      <c r="U190" s="112"/>
      <c r="V190" s="112"/>
      <c r="W190" s="10"/>
      <c r="X190" s="120"/>
      <c r="Y190" s="112"/>
    </row>
    <row r="191" spans="2:25" s="117" customFormat="1" x14ac:dyDescent="0.15">
      <c r="B191" s="19"/>
      <c r="C191" s="164"/>
      <c r="D191" s="164"/>
      <c r="E191" s="188"/>
      <c r="F191" s="126" t="s">
        <v>70</v>
      </c>
      <c r="G191" s="127" t="s">
        <v>71</v>
      </c>
      <c r="H191" s="167"/>
      <c r="I191" s="6">
        <v>45</v>
      </c>
      <c r="J191" s="6">
        <v>129</v>
      </c>
      <c r="K191" s="6">
        <v>146</v>
      </c>
      <c r="L191" s="6">
        <v>201</v>
      </c>
      <c r="M191" s="6">
        <v>249</v>
      </c>
      <c r="N191" s="6">
        <v>259</v>
      </c>
      <c r="O191" s="6">
        <v>92</v>
      </c>
      <c r="P191" s="6"/>
      <c r="Q191" s="6"/>
      <c r="R191" s="6"/>
      <c r="S191" s="6">
        <f>SUM(I191:O191)</f>
        <v>1121</v>
      </c>
      <c r="T191" s="10">
        <f>SUM(S162,S177,S192)</f>
        <v>27880</v>
      </c>
      <c r="U191" s="112"/>
      <c r="V191" s="112"/>
      <c r="W191" s="10"/>
      <c r="X191" s="120"/>
      <c r="Y191" s="112"/>
    </row>
    <row r="192" spans="2:25" s="117" customFormat="1" x14ac:dyDescent="0.15">
      <c r="B192" s="19"/>
      <c r="C192" s="164"/>
      <c r="D192" s="165"/>
      <c r="E192" s="189"/>
      <c r="F192" s="139"/>
      <c r="G192" s="131"/>
      <c r="H192" s="118"/>
      <c r="I192" s="22">
        <f>SUM(I180:I191)</f>
        <v>887</v>
      </c>
      <c r="J192" s="22">
        <f t="shared" ref="J192" si="22">SUM(J180:J191)</f>
        <v>2436</v>
      </c>
      <c r="K192" s="22">
        <f t="shared" ref="K192" si="23">SUM(K180:K191)</f>
        <v>3427</v>
      </c>
      <c r="L192" s="22">
        <f t="shared" ref="L192" si="24">SUM(L180:L191)</f>
        <v>3482</v>
      </c>
      <c r="M192" s="22">
        <f t="shared" ref="M192" si="25">SUM(M180:M191)</f>
        <v>4264</v>
      </c>
      <c r="N192" s="22">
        <f t="shared" ref="N192" si="26">SUM(N180:N191)</f>
        <v>2934</v>
      </c>
      <c r="O192" s="22">
        <f t="shared" ref="O192" si="27">SUM(O180:O191)</f>
        <v>1048</v>
      </c>
      <c r="P192" s="22"/>
      <c r="Q192" s="22"/>
      <c r="R192" s="22"/>
      <c r="S192" s="22">
        <f>SUM(S180:S191)</f>
        <v>18478</v>
      </c>
      <c r="T192" s="112"/>
      <c r="U192" s="112"/>
      <c r="V192" s="112"/>
      <c r="W192" s="10"/>
      <c r="X192" s="120"/>
      <c r="Y192" s="112"/>
    </row>
    <row r="193" spans="2:25" s="117" customFormat="1" x14ac:dyDescent="0.15">
      <c r="B193" s="19"/>
      <c r="C193" s="163">
        <v>450048421</v>
      </c>
      <c r="D193" s="114" t="s">
        <v>4</v>
      </c>
      <c r="E193" s="113" t="s">
        <v>5</v>
      </c>
      <c r="F193" s="113" t="s">
        <v>6</v>
      </c>
      <c r="G193" s="113"/>
      <c r="H193" s="114" t="s">
        <v>7</v>
      </c>
      <c r="I193" s="114" t="s">
        <v>104</v>
      </c>
      <c r="J193" s="114" t="s">
        <v>105</v>
      </c>
      <c r="K193" s="114" t="s">
        <v>106</v>
      </c>
      <c r="L193" s="114" t="s">
        <v>107</v>
      </c>
      <c r="M193" s="114" t="s">
        <v>108</v>
      </c>
      <c r="N193" s="114" t="s">
        <v>109</v>
      </c>
      <c r="O193" s="114" t="s">
        <v>110</v>
      </c>
      <c r="P193" s="44" t="s">
        <v>8</v>
      </c>
      <c r="Q193" s="44" t="s">
        <v>9</v>
      </c>
      <c r="R193" s="44" t="s">
        <v>10</v>
      </c>
      <c r="S193" s="6" t="s">
        <v>11</v>
      </c>
      <c r="T193" s="112"/>
      <c r="U193" s="112"/>
      <c r="V193" s="112"/>
      <c r="W193" s="10"/>
      <c r="X193" s="120"/>
      <c r="Y193" s="112"/>
    </row>
    <row r="194" spans="2:25" s="117" customFormat="1" x14ac:dyDescent="0.15">
      <c r="B194" s="19"/>
      <c r="C194" s="164"/>
      <c r="D194" s="163" t="s">
        <v>112</v>
      </c>
      <c r="E194" s="187"/>
      <c r="F194" s="47" t="s">
        <v>44</v>
      </c>
      <c r="G194" s="119" t="s">
        <v>45</v>
      </c>
      <c r="H194" s="161">
        <v>44468</v>
      </c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>
        <f>SUM(P194:R194)</f>
        <v>0</v>
      </c>
      <c r="T194" s="112"/>
      <c r="U194" s="112"/>
      <c r="V194" s="112"/>
      <c r="W194" s="10"/>
      <c r="X194" s="120"/>
      <c r="Y194" s="112"/>
    </row>
    <row r="195" spans="2:25" s="117" customFormat="1" x14ac:dyDescent="0.15">
      <c r="B195" s="19"/>
      <c r="C195" s="164"/>
      <c r="D195" s="164"/>
      <c r="E195" s="188"/>
      <c r="F195" s="50" t="s">
        <v>46</v>
      </c>
      <c r="G195" s="119" t="s">
        <v>47</v>
      </c>
      <c r="H195" s="162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>
        <f t="shared" ref="S195:S199" si="28">SUM(P195:R195)</f>
        <v>0</v>
      </c>
      <c r="T195" s="112"/>
      <c r="U195" s="112"/>
      <c r="V195" s="112"/>
      <c r="W195" s="10"/>
      <c r="X195" s="120"/>
      <c r="Y195" s="112"/>
    </row>
    <row r="196" spans="2:25" s="117" customFormat="1" x14ac:dyDescent="0.15">
      <c r="B196" s="19"/>
      <c r="C196" s="164"/>
      <c r="D196" s="164"/>
      <c r="E196" s="188"/>
      <c r="F196" s="128" t="s">
        <v>48</v>
      </c>
      <c r="G196" s="127" t="s">
        <v>49</v>
      </c>
      <c r="H196" s="162"/>
      <c r="I196" s="6"/>
      <c r="J196" s="6"/>
      <c r="K196" s="6"/>
      <c r="L196" s="6"/>
      <c r="M196" s="6"/>
      <c r="N196" s="6"/>
      <c r="O196" s="6"/>
      <c r="P196" s="6">
        <v>124</v>
      </c>
      <c r="Q196" s="6">
        <v>118</v>
      </c>
      <c r="R196" s="6">
        <v>68</v>
      </c>
      <c r="S196" s="6">
        <f t="shared" si="28"/>
        <v>310</v>
      </c>
      <c r="T196" s="112"/>
      <c r="U196" s="112"/>
      <c r="V196" s="112"/>
      <c r="W196" s="10"/>
      <c r="X196" s="120"/>
      <c r="Y196" s="112"/>
    </row>
    <row r="197" spans="2:25" s="117" customFormat="1" x14ac:dyDescent="0.15">
      <c r="B197" s="19"/>
      <c r="C197" s="164"/>
      <c r="D197" s="164"/>
      <c r="E197" s="188"/>
      <c r="F197" s="128" t="s">
        <v>50</v>
      </c>
      <c r="G197" s="127" t="s">
        <v>51</v>
      </c>
      <c r="H197" s="162"/>
      <c r="I197" s="6"/>
      <c r="J197" s="6"/>
      <c r="K197" s="6"/>
      <c r="L197" s="6"/>
      <c r="M197" s="6"/>
      <c r="N197" s="6"/>
      <c r="O197" s="6"/>
      <c r="P197" s="6">
        <v>32</v>
      </c>
      <c r="Q197" s="6">
        <v>95</v>
      </c>
      <c r="R197" s="6">
        <v>43</v>
      </c>
      <c r="S197" s="6">
        <f t="shared" si="28"/>
        <v>170</v>
      </c>
      <c r="T197" s="112"/>
      <c r="U197" s="112"/>
      <c r="V197" s="112"/>
      <c r="W197" s="10"/>
      <c r="X197" s="120"/>
      <c r="Y197" s="112"/>
    </row>
    <row r="198" spans="2:25" s="117" customFormat="1" x14ac:dyDescent="0.15">
      <c r="B198" s="19"/>
      <c r="C198" s="164"/>
      <c r="D198" s="164"/>
      <c r="E198" s="188"/>
      <c r="F198" s="50" t="s">
        <v>52</v>
      </c>
      <c r="G198" s="119" t="s">
        <v>53</v>
      </c>
      <c r="H198" s="162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>
        <f t="shared" si="28"/>
        <v>0</v>
      </c>
      <c r="T198" s="112"/>
      <c r="U198" s="112"/>
      <c r="V198" s="112"/>
      <c r="W198" s="10"/>
      <c r="X198" s="120"/>
      <c r="Y198" s="112"/>
    </row>
    <row r="199" spans="2:25" s="117" customFormat="1" x14ac:dyDescent="0.15">
      <c r="B199" s="19"/>
      <c r="C199" s="164"/>
      <c r="D199" s="164"/>
      <c r="E199" s="188"/>
      <c r="F199" s="128" t="s">
        <v>54</v>
      </c>
      <c r="G199" s="127" t="s">
        <v>55</v>
      </c>
      <c r="H199" s="162"/>
      <c r="I199" s="6"/>
      <c r="J199" s="6"/>
      <c r="K199" s="6"/>
      <c r="L199" s="6"/>
      <c r="M199" s="6"/>
      <c r="N199" s="6"/>
      <c r="O199" s="6"/>
      <c r="P199" s="6">
        <v>89</v>
      </c>
      <c r="Q199" s="6">
        <v>99</v>
      </c>
      <c r="R199" s="6">
        <v>60</v>
      </c>
      <c r="S199" s="6">
        <f t="shared" si="28"/>
        <v>248</v>
      </c>
      <c r="T199" s="112"/>
      <c r="U199" s="112"/>
      <c r="V199" s="112"/>
      <c r="W199" s="10"/>
      <c r="X199" s="120"/>
      <c r="Y199" s="112"/>
    </row>
    <row r="200" spans="2:25" s="117" customFormat="1" x14ac:dyDescent="0.15">
      <c r="B200" s="19"/>
      <c r="C200" s="164"/>
      <c r="D200" s="164"/>
      <c r="E200" s="188"/>
      <c r="F200" s="111" t="s">
        <v>56</v>
      </c>
      <c r="G200" s="110" t="s">
        <v>57</v>
      </c>
      <c r="H200" s="162"/>
      <c r="I200" s="6"/>
      <c r="J200" s="6"/>
      <c r="K200" s="6"/>
      <c r="L200" s="6"/>
      <c r="M200" s="6"/>
      <c r="N200" s="6"/>
      <c r="O200" s="6"/>
      <c r="P200" s="6">
        <v>19</v>
      </c>
      <c r="Q200" s="6">
        <v>57</v>
      </c>
      <c r="R200" s="6">
        <v>37</v>
      </c>
      <c r="S200" s="6">
        <f>SUM(P200:R200)</f>
        <v>113</v>
      </c>
      <c r="T200" s="112"/>
      <c r="U200" s="112"/>
      <c r="V200" s="112"/>
      <c r="W200" s="10"/>
      <c r="X200" s="120"/>
      <c r="Y200" s="112"/>
    </row>
    <row r="201" spans="2:25" s="117" customFormat="1" x14ac:dyDescent="0.15">
      <c r="B201" s="19"/>
      <c r="C201" s="164"/>
      <c r="D201" s="164"/>
      <c r="E201" s="188"/>
      <c r="F201" s="129" t="s">
        <v>58</v>
      </c>
      <c r="G201" s="130" t="s">
        <v>59</v>
      </c>
      <c r="H201" s="162"/>
      <c r="I201" s="6"/>
      <c r="J201" s="6"/>
      <c r="K201" s="6"/>
      <c r="L201" s="6"/>
      <c r="M201" s="6"/>
      <c r="N201" s="6"/>
      <c r="O201" s="6"/>
      <c r="P201" s="6">
        <v>76</v>
      </c>
      <c r="Q201" s="6">
        <v>85</v>
      </c>
      <c r="R201" s="6">
        <v>51</v>
      </c>
      <c r="S201" s="6">
        <f t="shared" ref="S201:S208" si="29">SUM(P201:R201)</f>
        <v>212</v>
      </c>
      <c r="T201" s="112"/>
      <c r="U201" s="112"/>
      <c r="V201" s="112"/>
      <c r="W201" s="10"/>
      <c r="X201" s="120"/>
      <c r="Y201" s="112"/>
    </row>
    <row r="202" spans="2:25" s="117" customFormat="1" x14ac:dyDescent="0.15">
      <c r="B202" s="19"/>
      <c r="C202" s="164"/>
      <c r="D202" s="164"/>
      <c r="E202" s="188"/>
      <c r="F202" s="52" t="s">
        <v>60</v>
      </c>
      <c r="G202" s="119" t="s">
        <v>61</v>
      </c>
      <c r="H202" s="162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>
        <f t="shared" si="29"/>
        <v>0</v>
      </c>
      <c r="T202" s="112"/>
      <c r="U202" s="112"/>
      <c r="V202" s="112"/>
      <c r="W202" s="10"/>
      <c r="X202" s="120"/>
      <c r="Y202" s="112"/>
    </row>
    <row r="203" spans="2:25" s="117" customFormat="1" x14ac:dyDescent="0.15">
      <c r="B203" s="19"/>
      <c r="C203" s="164"/>
      <c r="D203" s="164"/>
      <c r="E203" s="188"/>
      <c r="F203" s="51" t="s">
        <v>62</v>
      </c>
      <c r="G203" s="119" t="s">
        <v>63</v>
      </c>
      <c r="H203" s="162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>
        <f t="shared" si="29"/>
        <v>0</v>
      </c>
      <c r="T203" s="112"/>
      <c r="U203" s="112"/>
      <c r="V203" s="112"/>
      <c r="W203" s="10"/>
      <c r="X203" s="120"/>
      <c r="Y203" s="112"/>
    </row>
    <row r="204" spans="2:25" s="117" customFormat="1" x14ac:dyDescent="0.15">
      <c r="B204" s="19"/>
      <c r="C204" s="164"/>
      <c r="D204" s="164"/>
      <c r="E204" s="188"/>
      <c r="F204" s="128" t="s">
        <v>64</v>
      </c>
      <c r="G204" s="127" t="s">
        <v>65</v>
      </c>
      <c r="H204" s="162"/>
      <c r="I204" s="6"/>
      <c r="J204" s="6"/>
      <c r="K204" s="6"/>
      <c r="L204" s="6"/>
      <c r="M204" s="6"/>
      <c r="N204" s="6"/>
      <c r="O204" s="6"/>
      <c r="P204" s="6">
        <v>48</v>
      </c>
      <c r="Q204" s="6">
        <v>73</v>
      </c>
      <c r="R204" s="6">
        <v>52</v>
      </c>
      <c r="S204" s="6">
        <f t="shared" si="29"/>
        <v>173</v>
      </c>
      <c r="T204" s="112"/>
      <c r="U204" s="112"/>
      <c r="V204" s="112"/>
      <c r="W204" s="10"/>
      <c r="X204" s="120"/>
      <c r="Y204" s="112"/>
    </row>
    <row r="205" spans="2:25" s="117" customFormat="1" x14ac:dyDescent="0.15">
      <c r="B205" s="19"/>
      <c r="C205" s="164"/>
      <c r="D205" s="164"/>
      <c r="E205" s="188"/>
      <c r="F205" s="128" t="s">
        <v>66</v>
      </c>
      <c r="G205" s="127" t="s">
        <v>67</v>
      </c>
      <c r="H205" s="162"/>
      <c r="I205" s="6"/>
      <c r="J205" s="6"/>
      <c r="K205" s="6"/>
      <c r="L205" s="6"/>
      <c r="M205" s="6"/>
      <c r="N205" s="6"/>
      <c r="O205" s="6"/>
      <c r="P205" s="6">
        <v>95</v>
      </c>
      <c r="Q205" s="6">
        <v>132</v>
      </c>
      <c r="R205" s="6">
        <v>88</v>
      </c>
      <c r="S205" s="6">
        <f t="shared" si="29"/>
        <v>315</v>
      </c>
      <c r="T205" s="112"/>
      <c r="U205" s="112"/>
      <c r="V205" s="112"/>
      <c r="W205" s="10"/>
      <c r="X205" s="120"/>
      <c r="Y205" s="112"/>
    </row>
    <row r="206" spans="2:25" s="117" customFormat="1" x14ac:dyDescent="0.15">
      <c r="B206" s="19"/>
      <c r="C206" s="164"/>
      <c r="D206" s="164"/>
      <c r="E206" s="188"/>
      <c r="F206" s="125" t="s">
        <v>68</v>
      </c>
      <c r="G206" s="110" t="s">
        <v>69</v>
      </c>
      <c r="H206" s="115"/>
      <c r="I206" s="6"/>
      <c r="J206" s="6"/>
      <c r="K206" s="6"/>
      <c r="L206" s="6"/>
      <c r="M206" s="6"/>
      <c r="N206" s="6"/>
      <c r="O206" s="6"/>
      <c r="P206" s="6">
        <v>32</v>
      </c>
      <c r="Q206" s="6">
        <v>53</v>
      </c>
      <c r="R206" s="6">
        <v>33</v>
      </c>
      <c r="S206" s="6">
        <f t="shared" si="29"/>
        <v>118</v>
      </c>
      <c r="T206" s="112"/>
      <c r="U206" s="112"/>
      <c r="V206" s="112"/>
      <c r="W206" s="10"/>
      <c r="X206" s="120"/>
      <c r="Y206" s="112"/>
    </row>
    <row r="207" spans="2:25" s="117" customFormat="1" x14ac:dyDescent="0.15">
      <c r="B207" s="19"/>
      <c r="C207" s="164"/>
      <c r="D207" s="164"/>
      <c r="E207" s="188"/>
      <c r="F207" s="126" t="s">
        <v>70</v>
      </c>
      <c r="G207" s="127" t="s">
        <v>71</v>
      </c>
      <c r="H207" s="115"/>
      <c r="I207" s="6"/>
      <c r="J207" s="6"/>
      <c r="K207" s="6"/>
      <c r="L207" s="6"/>
      <c r="M207" s="6"/>
      <c r="N207" s="6"/>
      <c r="O207" s="6"/>
      <c r="P207" s="6">
        <v>40</v>
      </c>
      <c r="Q207" s="6">
        <v>61</v>
      </c>
      <c r="R207" s="6">
        <v>34</v>
      </c>
      <c r="S207" s="6">
        <f t="shared" si="29"/>
        <v>135</v>
      </c>
      <c r="T207" s="112"/>
      <c r="U207" s="112"/>
      <c r="V207" s="112"/>
      <c r="W207" s="10"/>
      <c r="X207" s="120"/>
      <c r="Y207" s="112"/>
    </row>
    <row r="208" spans="2:25" s="117" customFormat="1" x14ac:dyDescent="0.15">
      <c r="B208" s="19"/>
      <c r="C208" s="164"/>
      <c r="D208" s="164"/>
      <c r="E208" s="189"/>
      <c r="F208" s="47"/>
      <c r="G208" s="50"/>
      <c r="H208" s="123" t="s">
        <v>33</v>
      </c>
      <c r="I208" s="23"/>
      <c r="J208" s="23"/>
      <c r="K208" s="23"/>
      <c r="L208" s="23"/>
      <c r="M208" s="23"/>
      <c r="N208" s="6"/>
      <c r="O208" s="6"/>
      <c r="P208" s="6"/>
      <c r="Q208" s="6"/>
      <c r="R208" s="6"/>
      <c r="S208" s="6">
        <f t="shared" si="29"/>
        <v>0</v>
      </c>
      <c r="T208" s="112"/>
      <c r="U208" s="112"/>
      <c r="V208" s="112"/>
      <c r="W208" s="10"/>
      <c r="X208" s="120"/>
      <c r="Y208" s="112"/>
    </row>
    <row r="209" spans="2:25" s="117" customFormat="1" x14ac:dyDescent="0.15">
      <c r="B209" s="19"/>
      <c r="C209" s="164"/>
      <c r="D209" s="165"/>
      <c r="E209" s="116"/>
      <c r="F209" s="47"/>
      <c r="G209" s="50"/>
      <c r="H209" s="118"/>
      <c r="I209" s="22"/>
      <c r="J209" s="22"/>
      <c r="K209" s="22"/>
      <c r="L209" s="22"/>
      <c r="M209" s="22"/>
      <c r="N209" s="22"/>
      <c r="O209" s="22"/>
      <c r="P209" s="22">
        <f>SUM(P194:P208)</f>
        <v>555</v>
      </c>
      <c r="Q209" s="22">
        <f>SUM(Q194:Q208)</f>
        <v>773</v>
      </c>
      <c r="R209" s="22">
        <f>SUM(R196:R207)</f>
        <v>466</v>
      </c>
      <c r="S209" s="22">
        <f>SUM(S196:S207)</f>
        <v>1794</v>
      </c>
      <c r="T209" s="112"/>
      <c r="U209" s="112"/>
      <c r="V209" s="112"/>
      <c r="W209" s="10"/>
      <c r="X209" s="120"/>
      <c r="Y209" s="112"/>
    </row>
    <row r="210" spans="2:25" s="117" customFormat="1" x14ac:dyDescent="0.15">
      <c r="B210" s="19"/>
      <c r="C210" s="164"/>
      <c r="D210" s="164" t="s">
        <v>113</v>
      </c>
      <c r="E210" s="187"/>
      <c r="F210" s="135" t="s">
        <v>44</v>
      </c>
      <c r="G210" s="127" t="s">
        <v>45</v>
      </c>
      <c r="H210" s="159">
        <v>44468</v>
      </c>
      <c r="I210" s="136"/>
      <c r="J210" s="136"/>
      <c r="K210" s="133"/>
      <c r="L210" s="133"/>
      <c r="M210" s="133"/>
      <c r="N210" s="133"/>
      <c r="O210" s="132"/>
      <c r="P210" s="6"/>
      <c r="Q210" s="6"/>
      <c r="R210" s="6"/>
      <c r="S210" s="6"/>
      <c r="T210" s="112"/>
      <c r="U210" s="112"/>
      <c r="V210" s="112"/>
      <c r="W210" s="10"/>
      <c r="X210" s="120"/>
      <c r="Y210" s="112"/>
    </row>
    <row r="211" spans="2:25" s="117" customFormat="1" x14ac:dyDescent="0.15">
      <c r="B211" s="19"/>
      <c r="C211" s="164"/>
      <c r="D211" s="164"/>
      <c r="E211" s="188"/>
      <c r="F211" s="128" t="s">
        <v>46</v>
      </c>
      <c r="G211" s="127" t="s">
        <v>47</v>
      </c>
      <c r="H211" s="160"/>
      <c r="I211" s="132"/>
      <c r="J211" s="132"/>
      <c r="K211" s="133"/>
      <c r="L211" s="133"/>
      <c r="M211" s="133"/>
      <c r="N211" s="133"/>
      <c r="O211" s="132"/>
      <c r="P211" s="6"/>
      <c r="Q211" s="6"/>
      <c r="R211" s="6"/>
      <c r="S211" s="6"/>
      <c r="T211" s="112"/>
      <c r="U211" s="112"/>
      <c r="V211" s="112"/>
      <c r="W211" s="10"/>
      <c r="X211" s="120"/>
      <c r="Y211" s="112"/>
    </row>
    <row r="212" spans="2:25" s="117" customFormat="1" x14ac:dyDescent="0.15">
      <c r="B212" s="19"/>
      <c r="C212" s="164"/>
      <c r="D212" s="164"/>
      <c r="E212" s="188"/>
      <c r="F212" s="128" t="s">
        <v>48</v>
      </c>
      <c r="G212" s="127" t="s">
        <v>49</v>
      </c>
      <c r="H212" s="160"/>
      <c r="I212" s="132"/>
      <c r="J212" s="132"/>
      <c r="K212" s="133">
        <v>36</v>
      </c>
      <c r="L212" s="133">
        <v>63</v>
      </c>
      <c r="M212" s="133">
        <v>65</v>
      </c>
      <c r="N212" s="133">
        <v>16</v>
      </c>
      <c r="O212" s="132"/>
      <c r="P212" s="6"/>
      <c r="Q212" s="6"/>
      <c r="R212" s="6"/>
      <c r="S212" s="6">
        <f>SUM(K212:N212)</f>
        <v>180</v>
      </c>
      <c r="T212" s="112"/>
      <c r="U212" s="112"/>
      <c r="V212" s="112"/>
      <c r="W212" s="10"/>
      <c r="X212" s="120"/>
      <c r="Y212" s="112"/>
    </row>
    <row r="213" spans="2:25" s="117" customFormat="1" x14ac:dyDescent="0.15">
      <c r="B213" s="19"/>
      <c r="C213" s="164"/>
      <c r="D213" s="164"/>
      <c r="E213" s="188"/>
      <c r="F213" s="128" t="s">
        <v>50</v>
      </c>
      <c r="G213" s="127" t="s">
        <v>51</v>
      </c>
      <c r="H213" s="160"/>
      <c r="I213" s="132"/>
      <c r="J213" s="132"/>
      <c r="K213" s="133">
        <v>10</v>
      </c>
      <c r="L213" s="133">
        <v>23</v>
      </c>
      <c r="M213" s="133">
        <v>35</v>
      </c>
      <c r="N213" s="133">
        <v>20</v>
      </c>
      <c r="O213" s="132"/>
      <c r="P213" s="6"/>
      <c r="Q213" s="6"/>
      <c r="R213" s="6"/>
      <c r="S213" s="6">
        <f>SUM(K213:N213)</f>
        <v>88</v>
      </c>
      <c r="T213" s="112"/>
      <c r="U213" s="112"/>
      <c r="V213" s="112"/>
      <c r="W213" s="10"/>
      <c r="X213" s="120"/>
      <c r="Y213" s="112"/>
    </row>
    <row r="214" spans="2:25" s="117" customFormat="1" x14ac:dyDescent="0.15">
      <c r="B214" s="19"/>
      <c r="C214" s="164"/>
      <c r="D214" s="164"/>
      <c r="E214" s="188"/>
      <c r="F214" s="128" t="s">
        <v>52</v>
      </c>
      <c r="G214" s="127" t="s">
        <v>53</v>
      </c>
      <c r="H214" s="160"/>
      <c r="I214" s="136"/>
      <c r="J214" s="136"/>
      <c r="K214" s="133"/>
      <c r="L214" s="133"/>
      <c r="M214" s="133"/>
      <c r="N214" s="133"/>
      <c r="O214" s="132"/>
      <c r="P214" s="6"/>
      <c r="Q214" s="6"/>
      <c r="R214" s="6"/>
      <c r="S214" s="6"/>
      <c r="T214" s="112"/>
      <c r="U214" s="112"/>
      <c r="V214" s="112"/>
      <c r="W214" s="10"/>
      <c r="X214" s="120"/>
      <c r="Y214" s="112"/>
    </row>
    <row r="215" spans="2:25" s="117" customFormat="1" x14ac:dyDescent="0.15">
      <c r="B215" s="19"/>
      <c r="C215" s="164"/>
      <c r="D215" s="164"/>
      <c r="E215" s="188"/>
      <c r="F215" s="128" t="s">
        <v>54</v>
      </c>
      <c r="G215" s="127" t="s">
        <v>55</v>
      </c>
      <c r="H215" s="160"/>
      <c r="I215" s="136"/>
      <c r="J215" s="136"/>
      <c r="K215" s="133">
        <v>25</v>
      </c>
      <c r="L215" s="133">
        <v>40</v>
      </c>
      <c r="M215" s="133">
        <v>44</v>
      </c>
      <c r="N215" s="133">
        <v>21</v>
      </c>
      <c r="O215" s="132"/>
      <c r="P215" s="6"/>
      <c r="Q215" s="6"/>
      <c r="R215" s="6"/>
      <c r="S215" s="6">
        <f>SUM(K215:N215)</f>
        <v>130</v>
      </c>
      <c r="T215" s="112"/>
      <c r="U215" s="112"/>
      <c r="V215" s="112"/>
      <c r="W215" s="10"/>
      <c r="X215" s="120"/>
      <c r="Y215" s="112"/>
    </row>
    <row r="216" spans="2:25" s="117" customFormat="1" x14ac:dyDescent="0.15">
      <c r="B216" s="19"/>
      <c r="C216" s="164"/>
      <c r="D216" s="164"/>
      <c r="E216" s="188"/>
      <c r="F216" s="137" t="s">
        <v>56</v>
      </c>
      <c r="G216" s="130" t="s">
        <v>57</v>
      </c>
      <c r="H216" s="160"/>
      <c r="I216" s="136"/>
      <c r="J216" s="136"/>
      <c r="K216" s="133">
        <v>10</v>
      </c>
      <c r="L216" s="133">
        <v>17</v>
      </c>
      <c r="M216" s="133">
        <v>41</v>
      </c>
      <c r="N216" s="133">
        <v>20</v>
      </c>
      <c r="O216" s="132"/>
      <c r="P216" s="6"/>
      <c r="Q216" s="6"/>
      <c r="R216" s="6"/>
      <c r="S216" s="6">
        <f>SUM(K216:N216)</f>
        <v>88</v>
      </c>
      <c r="T216" s="112"/>
      <c r="U216" s="112"/>
      <c r="V216" s="112"/>
      <c r="W216" s="10"/>
      <c r="X216" s="120"/>
      <c r="Y216" s="112"/>
    </row>
    <row r="217" spans="2:25" s="117" customFormat="1" x14ac:dyDescent="0.15">
      <c r="B217" s="19"/>
      <c r="C217" s="164"/>
      <c r="D217" s="164"/>
      <c r="E217" s="188"/>
      <c r="F217" s="129" t="s">
        <v>58</v>
      </c>
      <c r="G217" s="130" t="s">
        <v>59</v>
      </c>
      <c r="H217" s="160"/>
      <c r="I217" s="132"/>
      <c r="J217" s="132"/>
      <c r="K217" s="133">
        <v>21</v>
      </c>
      <c r="L217" s="133">
        <v>34</v>
      </c>
      <c r="M217" s="133">
        <v>38</v>
      </c>
      <c r="N217" s="133">
        <v>18</v>
      </c>
      <c r="O217" s="132"/>
      <c r="P217" s="132"/>
      <c r="Q217" s="132"/>
      <c r="R217" s="132"/>
      <c r="S217" s="132">
        <f>SUM(K217:N217)</f>
        <v>111</v>
      </c>
      <c r="T217" s="112"/>
      <c r="U217" s="112"/>
      <c r="V217" s="112"/>
      <c r="W217" s="10"/>
      <c r="X217" s="120"/>
      <c r="Y217" s="112"/>
    </row>
    <row r="218" spans="2:25" s="117" customFormat="1" x14ac:dyDescent="0.15">
      <c r="B218" s="19"/>
      <c r="C218" s="164"/>
      <c r="D218" s="164"/>
      <c r="E218" s="188"/>
      <c r="F218" s="138" t="s">
        <v>60</v>
      </c>
      <c r="G218" s="127" t="s">
        <v>61</v>
      </c>
      <c r="H218" s="160"/>
      <c r="I218" s="132"/>
      <c r="J218" s="132"/>
      <c r="K218" s="133"/>
      <c r="L218" s="133"/>
      <c r="M218" s="133"/>
      <c r="N218" s="133"/>
      <c r="O218" s="132"/>
      <c r="P218" s="6"/>
      <c r="Q218" s="6"/>
      <c r="R218" s="6"/>
      <c r="S218" s="6"/>
      <c r="T218" s="112"/>
      <c r="U218" s="112"/>
      <c r="V218" s="112"/>
      <c r="W218" s="10"/>
      <c r="X218" s="120"/>
      <c r="Y218" s="112"/>
    </row>
    <row r="219" spans="2:25" s="117" customFormat="1" x14ac:dyDescent="0.15">
      <c r="B219" s="19"/>
      <c r="C219" s="164"/>
      <c r="D219" s="164"/>
      <c r="E219" s="188"/>
      <c r="F219" s="126" t="s">
        <v>62</v>
      </c>
      <c r="G219" s="127" t="s">
        <v>63</v>
      </c>
      <c r="H219" s="160"/>
      <c r="I219" s="132"/>
      <c r="J219" s="132"/>
      <c r="K219" s="133"/>
      <c r="L219" s="133"/>
      <c r="M219" s="133"/>
      <c r="N219" s="133"/>
      <c r="O219" s="132"/>
      <c r="P219" s="6"/>
      <c r="Q219" s="6"/>
      <c r="R219" s="6"/>
      <c r="S219" s="6"/>
      <c r="T219" s="112"/>
      <c r="U219" s="112"/>
      <c r="V219" s="112"/>
      <c r="W219" s="10"/>
      <c r="X219" s="120"/>
      <c r="Y219" s="112"/>
    </row>
    <row r="220" spans="2:25" s="117" customFormat="1" x14ac:dyDescent="0.15">
      <c r="B220" s="19"/>
      <c r="C220" s="164"/>
      <c r="D220" s="164"/>
      <c r="E220" s="188"/>
      <c r="F220" s="128" t="s">
        <v>64</v>
      </c>
      <c r="G220" s="127" t="s">
        <v>65</v>
      </c>
      <c r="H220" s="160"/>
      <c r="I220" s="132"/>
      <c r="J220" s="132"/>
      <c r="K220" s="133">
        <v>15</v>
      </c>
      <c r="L220" s="133">
        <v>39</v>
      </c>
      <c r="M220" s="133">
        <v>26</v>
      </c>
      <c r="N220" s="133">
        <v>14</v>
      </c>
      <c r="O220" s="132"/>
      <c r="P220" s="132"/>
      <c r="Q220" s="132"/>
      <c r="R220" s="132"/>
      <c r="S220" s="132">
        <f>SUM(K220:N220)</f>
        <v>94</v>
      </c>
      <c r="T220" s="112"/>
      <c r="U220" s="112"/>
      <c r="V220" s="112"/>
      <c r="W220" s="10"/>
      <c r="X220" s="120"/>
      <c r="Y220" s="112"/>
    </row>
    <row r="221" spans="2:25" s="117" customFormat="1" x14ac:dyDescent="0.15">
      <c r="B221" s="19"/>
      <c r="C221" s="164"/>
      <c r="D221" s="164"/>
      <c r="E221" s="188"/>
      <c r="F221" s="128" t="s">
        <v>66</v>
      </c>
      <c r="G221" s="127" t="s">
        <v>67</v>
      </c>
      <c r="H221" s="160"/>
      <c r="I221" s="132"/>
      <c r="J221" s="132"/>
      <c r="K221" s="133">
        <v>22</v>
      </c>
      <c r="L221" s="133">
        <v>47</v>
      </c>
      <c r="M221" s="133">
        <v>60</v>
      </c>
      <c r="N221" s="133">
        <v>28</v>
      </c>
      <c r="O221" s="132"/>
      <c r="P221" s="6"/>
      <c r="Q221" s="6"/>
      <c r="R221" s="6"/>
      <c r="S221" s="6">
        <f>SUM(K221:N221)</f>
        <v>157</v>
      </c>
      <c r="T221" s="112"/>
      <c r="U221" s="112"/>
      <c r="V221" s="112"/>
      <c r="W221" s="10"/>
      <c r="X221" s="120"/>
      <c r="Y221" s="112"/>
    </row>
    <row r="222" spans="2:25" s="117" customFormat="1" x14ac:dyDescent="0.15">
      <c r="B222" s="19"/>
      <c r="C222" s="164"/>
      <c r="D222" s="164"/>
      <c r="E222" s="188"/>
      <c r="F222" s="129" t="s">
        <v>68</v>
      </c>
      <c r="G222" s="130" t="s">
        <v>69</v>
      </c>
      <c r="H222" s="160"/>
      <c r="I222" s="132"/>
      <c r="J222" s="132"/>
      <c r="K222" s="133">
        <v>14</v>
      </c>
      <c r="L222" s="133">
        <v>26</v>
      </c>
      <c r="M222" s="133">
        <v>36</v>
      </c>
      <c r="N222" s="133">
        <v>24</v>
      </c>
      <c r="O222" s="132"/>
      <c r="P222" s="6"/>
      <c r="Q222" s="6"/>
      <c r="R222" s="6"/>
      <c r="S222" s="6">
        <f>SUM(K222:N222)</f>
        <v>100</v>
      </c>
      <c r="T222" s="112"/>
      <c r="U222" s="112"/>
      <c r="V222" s="112"/>
      <c r="W222" s="10"/>
      <c r="X222" s="120"/>
      <c r="Y222" s="112"/>
    </row>
    <row r="223" spans="2:25" s="117" customFormat="1" x14ac:dyDescent="0.15">
      <c r="B223" s="19"/>
      <c r="C223" s="164"/>
      <c r="D223" s="164"/>
      <c r="E223" s="188"/>
      <c r="F223" s="126" t="s">
        <v>70</v>
      </c>
      <c r="G223" s="127" t="s">
        <v>71</v>
      </c>
      <c r="H223" s="167"/>
      <c r="I223" s="132"/>
      <c r="J223" s="132"/>
      <c r="K223" s="133">
        <v>16</v>
      </c>
      <c r="L223" s="133">
        <v>19</v>
      </c>
      <c r="M223" s="133">
        <v>27</v>
      </c>
      <c r="N223" s="133">
        <v>20</v>
      </c>
      <c r="O223" s="132"/>
      <c r="P223" s="6"/>
      <c r="Q223" s="6"/>
      <c r="R223" s="6"/>
      <c r="S223" s="6">
        <f>SUM(K223:N223)</f>
        <v>82</v>
      </c>
      <c r="T223" s="112"/>
      <c r="U223" s="112"/>
      <c r="V223" s="112"/>
      <c r="W223" s="10"/>
      <c r="X223" s="120"/>
      <c r="Y223" s="112"/>
    </row>
    <row r="224" spans="2:25" s="117" customFormat="1" x14ac:dyDescent="0.15">
      <c r="B224" s="19"/>
      <c r="C224" s="164"/>
      <c r="D224" s="165"/>
      <c r="E224" s="189"/>
      <c r="F224" s="139"/>
      <c r="G224" s="131"/>
      <c r="H224" s="118"/>
      <c r="I224" s="22"/>
      <c r="J224" s="22"/>
      <c r="K224" s="22">
        <f>SUM(K212:K223)</f>
        <v>169</v>
      </c>
      <c r="L224" s="22">
        <f t="shared" ref="L224" si="30">SUM(L212:L223)</f>
        <v>308</v>
      </c>
      <c r="M224" s="22">
        <f t="shared" ref="M224" si="31">SUM(M212:M223)</f>
        <v>372</v>
      </c>
      <c r="N224" s="22">
        <f t="shared" ref="N224" si="32">SUM(N212:N223)</f>
        <v>181</v>
      </c>
      <c r="O224" s="22"/>
      <c r="P224" s="22"/>
      <c r="Q224" s="22"/>
      <c r="R224" s="22"/>
      <c r="S224" s="22">
        <f t="shared" ref="S224" si="33">SUM(S212:S223)</f>
        <v>1030</v>
      </c>
      <c r="T224" s="112"/>
      <c r="U224" s="112"/>
      <c r="V224" s="112"/>
      <c r="W224" s="10"/>
      <c r="X224" s="120"/>
      <c r="Y224" s="112"/>
    </row>
    <row r="225" spans="2:25" s="117" customFormat="1" x14ac:dyDescent="0.15">
      <c r="B225" s="19"/>
      <c r="C225" s="164"/>
      <c r="D225" s="164" t="s">
        <v>114</v>
      </c>
      <c r="E225" s="187"/>
      <c r="F225" s="135" t="s">
        <v>44</v>
      </c>
      <c r="G225" s="127" t="s">
        <v>45</v>
      </c>
      <c r="H225" s="159">
        <f>H210</f>
        <v>44468</v>
      </c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112"/>
      <c r="U225" s="112"/>
      <c r="V225" s="112"/>
      <c r="W225" s="10"/>
      <c r="X225" s="120"/>
      <c r="Y225" s="112"/>
    </row>
    <row r="226" spans="2:25" s="117" customFormat="1" x14ac:dyDescent="0.15">
      <c r="B226" s="19"/>
      <c r="C226" s="164"/>
      <c r="D226" s="164"/>
      <c r="E226" s="188"/>
      <c r="F226" s="128" t="s">
        <v>46</v>
      </c>
      <c r="G226" s="127" t="s">
        <v>47</v>
      </c>
      <c r="H226" s="160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112"/>
      <c r="U226" s="112"/>
      <c r="V226" s="112"/>
      <c r="W226" s="10"/>
      <c r="X226" s="120"/>
      <c r="Y226" s="112"/>
    </row>
    <row r="227" spans="2:25" s="117" customFormat="1" x14ac:dyDescent="0.15">
      <c r="B227" s="19"/>
      <c r="C227" s="164"/>
      <c r="D227" s="164"/>
      <c r="E227" s="188"/>
      <c r="F227" s="128" t="s">
        <v>48</v>
      </c>
      <c r="G227" s="127" t="s">
        <v>49</v>
      </c>
      <c r="H227" s="160"/>
      <c r="I227" s="6">
        <v>94</v>
      </c>
      <c r="J227" s="6">
        <v>240</v>
      </c>
      <c r="K227" s="6">
        <v>290</v>
      </c>
      <c r="L227" s="6">
        <v>201</v>
      </c>
      <c r="M227" s="6">
        <v>199</v>
      </c>
      <c r="N227" s="6">
        <v>99</v>
      </c>
      <c r="O227" s="6">
        <v>25</v>
      </c>
      <c r="P227" s="6"/>
      <c r="Q227" s="6"/>
      <c r="R227" s="6"/>
      <c r="S227" s="6">
        <f>SUM(I227:O227)</f>
        <v>1148</v>
      </c>
      <c r="T227" s="112"/>
      <c r="U227" s="112"/>
      <c r="V227" s="112"/>
      <c r="W227" s="10"/>
      <c r="X227" s="120"/>
      <c r="Y227" s="112"/>
    </row>
    <row r="228" spans="2:25" s="117" customFormat="1" x14ac:dyDescent="0.15">
      <c r="B228" s="19"/>
      <c r="C228" s="164"/>
      <c r="D228" s="164"/>
      <c r="E228" s="188"/>
      <c r="F228" s="128" t="s">
        <v>50</v>
      </c>
      <c r="G228" s="127" t="s">
        <v>51</v>
      </c>
      <c r="H228" s="160"/>
      <c r="I228" s="6">
        <v>11</v>
      </c>
      <c r="J228" s="6">
        <v>35</v>
      </c>
      <c r="K228" s="6">
        <v>65</v>
      </c>
      <c r="L228" s="6">
        <v>89</v>
      </c>
      <c r="M228" s="6">
        <v>112</v>
      </c>
      <c r="N228" s="6">
        <v>79</v>
      </c>
      <c r="O228" s="6">
        <v>31</v>
      </c>
      <c r="P228" s="6"/>
      <c r="Q228" s="6"/>
      <c r="R228" s="6"/>
      <c r="S228" s="6">
        <f>SUM(I228:O228)</f>
        <v>422</v>
      </c>
      <c r="T228" s="112"/>
      <c r="U228" s="112"/>
      <c r="V228" s="112"/>
      <c r="W228" s="10"/>
      <c r="X228" s="120"/>
      <c r="Y228" s="112"/>
    </row>
    <row r="229" spans="2:25" s="117" customFormat="1" x14ac:dyDescent="0.15">
      <c r="B229" s="19"/>
      <c r="C229" s="164"/>
      <c r="D229" s="164"/>
      <c r="E229" s="188"/>
      <c r="F229" s="128" t="s">
        <v>52</v>
      </c>
      <c r="G229" s="127" t="s">
        <v>53</v>
      </c>
      <c r="H229" s="160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112"/>
      <c r="U229" s="112"/>
      <c r="V229" s="112"/>
      <c r="W229" s="10"/>
      <c r="X229" s="120"/>
      <c r="Y229" s="112"/>
    </row>
    <row r="230" spans="2:25" s="117" customFormat="1" x14ac:dyDescent="0.15">
      <c r="B230" s="19"/>
      <c r="C230" s="164"/>
      <c r="D230" s="164"/>
      <c r="E230" s="188"/>
      <c r="F230" s="128" t="s">
        <v>115</v>
      </c>
      <c r="G230" s="127" t="s">
        <v>55</v>
      </c>
      <c r="H230" s="160"/>
      <c r="I230" s="6">
        <v>36</v>
      </c>
      <c r="J230" s="6">
        <v>84</v>
      </c>
      <c r="K230" s="6">
        <v>119</v>
      </c>
      <c r="L230" s="6">
        <v>125</v>
      </c>
      <c r="M230" s="6">
        <v>135</v>
      </c>
      <c r="N230" s="6">
        <v>87</v>
      </c>
      <c r="O230" s="6">
        <v>28</v>
      </c>
      <c r="P230" s="6"/>
      <c r="Q230" s="6"/>
      <c r="R230" s="6"/>
      <c r="S230" s="6">
        <f>SUM(I230:O230)</f>
        <v>614</v>
      </c>
      <c r="T230" s="112"/>
      <c r="U230" s="112"/>
      <c r="V230" s="112"/>
      <c r="W230" s="10"/>
      <c r="X230" s="120"/>
      <c r="Y230" s="112"/>
    </row>
    <row r="231" spans="2:25" s="117" customFormat="1" x14ac:dyDescent="0.15">
      <c r="B231" s="19"/>
      <c r="C231" s="164"/>
      <c r="D231" s="164"/>
      <c r="E231" s="188"/>
      <c r="F231" s="137" t="s">
        <v>56</v>
      </c>
      <c r="G231" s="130" t="s">
        <v>57</v>
      </c>
      <c r="H231" s="160"/>
      <c r="I231" s="6">
        <v>10</v>
      </c>
      <c r="J231" s="6">
        <v>27</v>
      </c>
      <c r="K231" s="6">
        <v>45</v>
      </c>
      <c r="L231" s="6">
        <v>63</v>
      </c>
      <c r="M231" s="6">
        <v>116</v>
      </c>
      <c r="N231" s="6">
        <v>105</v>
      </c>
      <c r="O231" s="6">
        <v>52</v>
      </c>
      <c r="P231" s="6"/>
      <c r="Q231" s="6"/>
      <c r="R231" s="6"/>
      <c r="S231" s="6">
        <f>SUM(I231:O231)</f>
        <v>418</v>
      </c>
      <c r="T231" s="112"/>
      <c r="U231" s="112"/>
      <c r="V231" s="112"/>
      <c r="W231" s="10"/>
      <c r="X231" s="120"/>
      <c r="Y231" s="112"/>
    </row>
    <row r="232" spans="2:25" s="117" customFormat="1" ht="12.75" customHeight="1" x14ac:dyDescent="0.15">
      <c r="B232" s="19"/>
      <c r="C232" s="164"/>
      <c r="D232" s="164"/>
      <c r="E232" s="188"/>
      <c r="F232" s="125" t="s">
        <v>58</v>
      </c>
      <c r="G232" s="110" t="s">
        <v>59</v>
      </c>
      <c r="H232" s="160"/>
      <c r="I232" s="6">
        <v>45</v>
      </c>
      <c r="J232" s="6">
        <v>106</v>
      </c>
      <c r="K232" s="6">
        <v>151</v>
      </c>
      <c r="L232" s="6">
        <v>159</v>
      </c>
      <c r="M232" s="6">
        <v>171</v>
      </c>
      <c r="N232" s="6">
        <v>111</v>
      </c>
      <c r="O232" s="6">
        <v>36</v>
      </c>
      <c r="P232" s="6"/>
      <c r="Q232" s="6"/>
      <c r="R232" s="6"/>
      <c r="S232" s="6">
        <f>SUM(I232:O232)</f>
        <v>779</v>
      </c>
      <c r="T232" s="112"/>
      <c r="U232" s="112"/>
      <c r="V232" s="112"/>
      <c r="W232" s="10"/>
      <c r="X232" s="120"/>
      <c r="Y232" s="112"/>
    </row>
    <row r="233" spans="2:25" s="117" customFormat="1" x14ac:dyDescent="0.15">
      <c r="B233" s="19"/>
      <c r="C233" s="164"/>
      <c r="D233" s="164"/>
      <c r="E233" s="188"/>
      <c r="F233" s="138" t="s">
        <v>60</v>
      </c>
      <c r="G233" s="127" t="s">
        <v>61</v>
      </c>
      <c r="H233" s="160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112"/>
      <c r="U233" s="112"/>
      <c r="V233" s="112"/>
      <c r="W233" s="10"/>
      <c r="X233" s="120"/>
      <c r="Y233" s="112"/>
    </row>
    <row r="234" spans="2:25" s="117" customFormat="1" x14ac:dyDescent="0.15">
      <c r="B234" s="19"/>
      <c r="C234" s="164"/>
      <c r="D234" s="164"/>
      <c r="E234" s="188"/>
      <c r="F234" s="126" t="s">
        <v>62</v>
      </c>
      <c r="G234" s="127" t="s">
        <v>63</v>
      </c>
      <c r="H234" s="160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112"/>
      <c r="U234" s="112"/>
      <c r="V234" s="112"/>
      <c r="W234" s="10"/>
      <c r="X234" s="120"/>
      <c r="Y234" s="112"/>
    </row>
    <row r="235" spans="2:25" s="117" customFormat="1" x14ac:dyDescent="0.15">
      <c r="B235" s="19"/>
      <c r="C235" s="164"/>
      <c r="D235" s="164"/>
      <c r="E235" s="188"/>
      <c r="F235" s="128" t="s">
        <v>64</v>
      </c>
      <c r="G235" s="127" t="s">
        <v>65</v>
      </c>
      <c r="H235" s="160"/>
      <c r="I235" s="6">
        <v>24</v>
      </c>
      <c r="J235" s="6">
        <v>76</v>
      </c>
      <c r="K235" s="6">
        <v>113</v>
      </c>
      <c r="L235" s="6">
        <v>116</v>
      </c>
      <c r="M235" s="6">
        <v>106</v>
      </c>
      <c r="N235" s="6">
        <v>62</v>
      </c>
      <c r="O235" s="6">
        <v>21</v>
      </c>
      <c r="P235" s="6"/>
      <c r="Q235" s="6"/>
      <c r="R235" s="6"/>
      <c r="S235" s="6">
        <f>SUM(I235:O235)</f>
        <v>518</v>
      </c>
      <c r="T235" s="112"/>
      <c r="U235" s="112"/>
      <c r="V235" s="112"/>
      <c r="W235" s="10"/>
      <c r="X235" s="120"/>
      <c r="Y235" s="112"/>
    </row>
    <row r="236" spans="2:25" s="117" customFormat="1" x14ac:dyDescent="0.15">
      <c r="B236" s="19"/>
      <c r="C236" s="164"/>
      <c r="D236" s="164"/>
      <c r="E236" s="188"/>
      <c r="F236" s="128" t="s">
        <v>66</v>
      </c>
      <c r="G236" s="127" t="s">
        <v>67</v>
      </c>
      <c r="H236" s="160"/>
      <c r="I236" s="6">
        <v>15</v>
      </c>
      <c r="J236" s="6">
        <v>55</v>
      </c>
      <c r="K236" s="6">
        <v>105</v>
      </c>
      <c r="L236" s="6">
        <v>124</v>
      </c>
      <c r="M236" s="6">
        <v>220</v>
      </c>
      <c r="N236" s="6">
        <v>157</v>
      </c>
      <c r="O236" s="6">
        <v>54</v>
      </c>
      <c r="P236" s="6"/>
      <c r="Q236" s="6"/>
      <c r="R236" s="6"/>
      <c r="S236" s="6">
        <f>SUM(I236:O236)</f>
        <v>730</v>
      </c>
      <c r="T236" s="112"/>
      <c r="U236" s="112"/>
      <c r="V236" s="112"/>
      <c r="W236" s="10"/>
      <c r="X236" s="120"/>
      <c r="Y236" s="112"/>
    </row>
    <row r="237" spans="2:25" s="117" customFormat="1" x14ac:dyDescent="0.15">
      <c r="B237" s="19"/>
      <c r="C237" s="164"/>
      <c r="D237" s="164"/>
      <c r="E237" s="188"/>
      <c r="F237" s="129" t="s">
        <v>68</v>
      </c>
      <c r="G237" s="130" t="s">
        <v>69</v>
      </c>
      <c r="H237" s="160"/>
      <c r="I237" s="6">
        <v>14</v>
      </c>
      <c r="J237" s="6">
        <v>49</v>
      </c>
      <c r="K237" s="6">
        <v>69</v>
      </c>
      <c r="L237" s="6">
        <v>81</v>
      </c>
      <c r="M237" s="6">
        <v>113</v>
      </c>
      <c r="N237" s="6">
        <v>80</v>
      </c>
      <c r="O237" s="6">
        <v>30</v>
      </c>
      <c r="P237" s="6"/>
      <c r="Q237" s="6"/>
      <c r="R237" s="6"/>
      <c r="S237" s="6">
        <f>SUM(I237:O237)</f>
        <v>436</v>
      </c>
      <c r="T237" s="112"/>
      <c r="U237" s="112"/>
      <c r="V237" s="112"/>
      <c r="W237" s="10"/>
      <c r="X237" s="120"/>
      <c r="Y237" s="112"/>
    </row>
    <row r="238" spans="2:25" s="26" customFormat="1" x14ac:dyDescent="0.15">
      <c r="B238" s="19"/>
      <c r="C238" s="164"/>
      <c r="D238" s="164"/>
      <c r="E238" s="188"/>
      <c r="F238" s="126" t="s">
        <v>70</v>
      </c>
      <c r="G238" s="127" t="s">
        <v>71</v>
      </c>
      <c r="H238" s="167"/>
      <c r="I238" s="6">
        <v>13</v>
      </c>
      <c r="J238" s="6">
        <v>38</v>
      </c>
      <c r="K238" s="6">
        <v>43</v>
      </c>
      <c r="L238" s="6">
        <v>59</v>
      </c>
      <c r="M238" s="6">
        <v>73</v>
      </c>
      <c r="N238" s="6">
        <v>76</v>
      </c>
      <c r="O238" s="6">
        <v>27</v>
      </c>
      <c r="P238" s="6"/>
      <c r="Q238" s="6"/>
      <c r="R238" s="6"/>
      <c r="S238" s="6">
        <f>SUM(I238:O238)</f>
        <v>329</v>
      </c>
      <c r="T238" s="10">
        <f>SUM(S209,S224,S239)</f>
        <v>8218</v>
      </c>
      <c r="U238" s="2"/>
      <c r="V238" s="2"/>
      <c r="W238" s="10"/>
      <c r="X238" s="25"/>
      <c r="Y238" s="2"/>
    </row>
    <row r="239" spans="2:25" s="26" customFormat="1" x14ac:dyDescent="0.15">
      <c r="B239" s="19"/>
      <c r="C239" s="164"/>
      <c r="D239" s="165"/>
      <c r="E239" s="189"/>
      <c r="F239" s="139"/>
      <c r="G239" s="131"/>
      <c r="H239" s="118"/>
      <c r="I239" s="22">
        <f>SUM(I227:I238)</f>
        <v>262</v>
      </c>
      <c r="J239" s="22">
        <f t="shared" ref="J239" si="34">SUM(J227:J238)</f>
        <v>710</v>
      </c>
      <c r="K239" s="22">
        <f t="shared" ref="K239" si="35">SUM(K227:K238)</f>
        <v>1000</v>
      </c>
      <c r="L239" s="22">
        <f t="shared" ref="L239" si="36">SUM(L227:L238)</f>
        <v>1017</v>
      </c>
      <c r="M239" s="22">
        <f t="shared" ref="M239" si="37">SUM(M227:M238)</f>
        <v>1245</v>
      </c>
      <c r="N239" s="22">
        <f t="shared" ref="N239" si="38">SUM(N227:N238)</f>
        <v>856</v>
      </c>
      <c r="O239" s="22">
        <f t="shared" ref="O239" si="39">SUM(O227:O238)</f>
        <v>304</v>
      </c>
      <c r="P239" s="22"/>
      <c r="Q239" s="22"/>
      <c r="R239" s="22"/>
      <c r="S239" s="22">
        <f>SUM(S227:S238)</f>
        <v>5394</v>
      </c>
      <c r="T239" s="2"/>
      <c r="U239" s="2"/>
      <c r="V239" s="2"/>
      <c r="W239" s="10"/>
      <c r="X239" s="25"/>
      <c r="Y239" s="2"/>
    </row>
    <row r="240" spans="2:25" s="117" customFormat="1" x14ac:dyDescent="0.15">
      <c r="B240" s="19"/>
      <c r="C240" s="163">
        <v>4500458453</v>
      </c>
      <c r="D240" s="114" t="s">
        <v>4</v>
      </c>
      <c r="E240" s="143" t="s">
        <v>5</v>
      </c>
      <c r="F240" s="143" t="s">
        <v>6</v>
      </c>
      <c r="G240" s="113"/>
      <c r="H240" s="114" t="s">
        <v>7</v>
      </c>
      <c r="I240" s="114" t="s">
        <v>104</v>
      </c>
      <c r="J240" s="114" t="s">
        <v>105</v>
      </c>
      <c r="K240" s="114" t="s">
        <v>106</v>
      </c>
      <c r="L240" s="114" t="s">
        <v>107</v>
      </c>
      <c r="M240" s="114" t="s">
        <v>108</v>
      </c>
      <c r="N240" s="114" t="s">
        <v>109</v>
      </c>
      <c r="O240" s="114" t="s">
        <v>110</v>
      </c>
      <c r="P240" s="44" t="s">
        <v>8</v>
      </c>
      <c r="Q240" s="44" t="s">
        <v>9</v>
      </c>
      <c r="R240" s="44" t="s">
        <v>10</v>
      </c>
      <c r="S240" s="6" t="s">
        <v>11</v>
      </c>
      <c r="T240" s="112"/>
      <c r="U240" s="112"/>
      <c r="V240" s="112"/>
      <c r="W240" s="10"/>
      <c r="X240" s="120"/>
      <c r="Y240" s="112"/>
    </row>
    <row r="241" spans="2:25" s="117" customFormat="1" x14ac:dyDescent="0.15">
      <c r="B241" s="19"/>
      <c r="C241" s="164"/>
      <c r="D241" s="163" t="s">
        <v>112</v>
      </c>
      <c r="E241" s="161"/>
      <c r="F241" s="47" t="s">
        <v>44</v>
      </c>
      <c r="G241" s="119" t="s">
        <v>45</v>
      </c>
      <c r="H241" s="161">
        <v>44556</v>
      </c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>
        <f>SUM(P241:R241)</f>
        <v>0</v>
      </c>
      <c r="T241" s="112"/>
      <c r="U241" s="112"/>
      <c r="V241" s="112"/>
      <c r="W241" s="10"/>
      <c r="X241" s="120"/>
      <c r="Y241" s="112"/>
    </row>
    <row r="242" spans="2:25" s="117" customFormat="1" x14ac:dyDescent="0.15">
      <c r="B242" s="19"/>
      <c r="C242" s="164"/>
      <c r="D242" s="164"/>
      <c r="E242" s="162"/>
      <c r="F242" s="79" t="s">
        <v>46</v>
      </c>
      <c r="G242" s="119" t="s">
        <v>47</v>
      </c>
      <c r="H242" s="162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>
        <f t="shared" ref="S242:S246" si="40">SUM(P242:R242)</f>
        <v>0</v>
      </c>
      <c r="T242" s="112"/>
      <c r="U242" s="112"/>
      <c r="V242" s="112"/>
      <c r="W242" s="10"/>
      <c r="X242" s="120"/>
      <c r="Y242" s="112"/>
    </row>
    <row r="243" spans="2:25" s="117" customFormat="1" x14ac:dyDescent="0.15">
      <c r="B243" s="19"/>
      <c r="C243" s="164"/>
      <c r="D243" s="164"/>
      <c r="E243" s="162"/>
      <c r="F243" s="128" t="s">
        <v>48</v>
      </c>
      <c r="G243" s="127" t="s">
        <v>49</v>
      </c>
      <c r="H243" s="162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>
        <f t="shared" si="40"/>
        <v>0</v>
      </c>
      <c r="T243" s="112"/>
      <c r="U243" s="112"/>
      <c r="V243" s="112"/>
      <c r="W243" s="10"/>
      <c r="X243" s="120"/>
      <c r="Y243" s="112"/>
    </row>
    <row r="244" spans="2:25" s="117" customFormat="1" x14ac:dyDescent="0.15">
      <c r="B244" s="19"/>
      <c r="C244" s="164"/>
      <c r="D244" s="164"/>
      <c r="E244" s="162"/>
      <c r="F244" s="128" t="s">
        <v>50</v>
      </c>
      <c r="G244" s="127" t="s">
        <v>51</v>
      </c>
      <c r="H244" s="162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>
        <f t="shared" si="40"/>
        <v>0</v>
      </c>
      <c r="T244" s="112"/>
      <c r="U244" s="112"/>
      <c r="V244" s="112"/>
      <c r="W244" s="10"/>
      <c r="X244" s="120"/>
      <c r="Y244" s="112"/>
    </row>
    <row r="245" spans="2:25" s="117" customFormat="1" x14ac:dyDescent="0.15">
      <c r="B245" s="19"/>
      <c r="C245" s="164"/>
      <c r="D245" s="164"/>
      <c r="E245" s="162"/>
      <c r="F245" s="79" t="s">
        <v>52</v>
      </c>
      <c r="G245" s="119" t="s">
        <v>53</v>
      </c>
      <c r="H245" s="162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>
        <f t="shared" si="40"/>
        <v>0</v>
      </c>
      <c r="T245" s="112"/>
      <c r="U245" s="112"/>
      <c r="V245" s="112"/>
      <c r="W245" s="10"/>
      <c r="X245" s="120"/>
      <c r="Y245" s="112"/>
    </row>
    <row r="246" spans="2:25" s="117" customFormat="1" x14ac:dyDescent="0.15">
      <c r="B246" s="19"/>
      <c r="C246" s="164"/>
      <c r="D246" s="164"/>
      <c r="E246" s="162"/>
      <c r="F246" s="128" t="s">
        <v>54</v>
      </c>
      <c r="G246" s="127" t="s">
        <v>55</v>
      </c>
      <c r="H246" s="162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>
        <f t="shared" si="40"/>
        <v>0</v>
      </c>
      <c r="T246" s="112"/>
      <c r="U246" s="112"/>
      <c r="V246" s="112"/>
      <c r="W246" s="10"/>
      <c r="X246" s="120"/>
      <c r="Y246" s="112"/>
    </row>
    <row r="247" spans="2:25" s="117" customFormat="1" x14ac:dyDescent="0.15">
      <c r="B247" s="19"/>
      <c r="C247" s="164"/>
      <c r="D247" s="164"/>
      <c r="E247" s="162"/>
      <c r="F247" s="111" t="s">
        <v>56</v>
      </c>
      <c r="G247" s="110" t="s">
        <v>57</v>
      </c>
      <c r="H247" s="162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>
        <f>SUM(P247:R247)</f>
        <v>0</v>
      </c>
      <c r="T247" s="112"/>
      <c r="U247" s="112"/>
      <c r="V247" s="112"/>
      <c r="W247" s="10"/>
      <c r="X247" s="120"/>
      <c r="Y247" s="112"/>
    </row>
    <row r="248" spans="2:25" s="117" customFormat="1" x14ac:dyDescent="0.15">
      <c r="B248" s="19"/>
      <c r="C248" s="164"/>
      <c r="D248" s="164"/>
      <c r="E248" s="162"/>
      <c r="F248" s="129" t="s">
        <v>58</v>
      </c>
      <c r="G248" s="130" t="s">
        <v>59</v>
      </c>
      <c r="H248" s="162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>
        <f t="shared" ref="S248:S255" si="41">SUM(P248:R248)</f>
        <v>0</v>
      </c>
      <c r="T248" s="112"/>
      <c r="U248" s="112"/>
      <c r="V248" s="112"/>
      <c r="W248" s="10"/>
      <c r="X248" s="120"/>
      <c r="Y248" s="112"/>
    </row>
    <row r="249" spans="2:25" s="117" customFormat="1" x14ac:dyDescent="0.15">
      <c r="B249" s="19"/>
      <c r="C249" s="164"/>
      <c r="D249" s="164"/>
      <c r="E249" s="162"/>
      <c r="F249" s="52" t="s">
        <v>60</v>
      </c>
      <c r="G249" s="119" t="s">
        <v>61</v>
      </c>
      <c r="H249" s="162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>
        <f t="shared" si="41"/>
        <v>0</v>
      </c>
      <c r="T249" s="112"/>
      <c r="U249" s="112"/>
      <c r="V249" s="112"/>
      <c r="W249" s="10"/>
      <c r="X249" s="120"/>
      <c r="Y249" s="112"/>
    </row>
    <row r="250" spans="2:25" s="117" customFormat="1" x14ac:dyDescent="0.15">
      <c r="B250" s="19"/>
      <c r="C250" s="164"/>
      <c r="D250" s="164"/>
      <c r="E250" s="162"/>
      <c r="F250" s="51" t="s">
        <v>62</v>
      </c>
      <c r="G250" s="119" t="s">
        <v>63</v>
      </c>
      <c r="H250" s="162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>
        <f t="shared" si="41"/>
        <v>0</v>
      </c>
      <c r="T250" s="112"/>
      <c r="U250" s="112"/>
      <c r="V250" s="112"/>
      <c r="W250" s="10"/>
      <c r="X250" s="120"/>
      <c r="Y250" s="112"/>
    </row>
    <row r="251" spans="2:25" s="117" customFormat="1" x14ac:dyDescent="0.15">
      <c r="B251" s="19"/>
      <c r="C251" s="164"/>
      <c r="D251" s="164"/>
      <c r="E251" s="162"/>
      <c r="F251" s="128" t="s">
        <v>64</v>
      </c>
      <c r="G251" s="127" t="s">
        <v>65</v>
      </c>
      <c r="H251" s="162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>
        <f t="shared" si="41"/>
        <v>0</v>
      </c>
      <c r="T251" s="112"/>
      <c r="U251" s="112"/>
      <c r="V251" s="112"/>
      <c r="W251" s="10"/>
      <c r="X251" s="120"/>
      <c r="Y251" s="112"/>
    </row>
    <row r="252" spans="2:25" s="117" customFormat="1" x14ac:dyDescent="0.15">
      <c r="B252" s="19"/>
      <c r="C252" s="164"/>
      <c r="D252" s="164"/>
      <c r="E252" s="162"/>
      <c r="F252" s="128" t="s">
        <v>66</v>
      </c>
      <c r="G252" s="127" t="s">
        <v>67</v>
      </c>
      <c r="H252" s="162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>
        <f t="shared" si="41"/>
        <v>0</v>
      </c>
      <c r="T252" s="112"/>
      <c r="U252" s="112"/>
      <c r="V252" s="112"/>
      <c r="W252" s="10"/>
      <c r="X252" s="120"/>
      <c r="Y252" s="112"/>
    </row>
    <row r="253" spans="2:25" s="117" customFormat="1" x14ac:dyDescent="0.15">
      <c r="B253" s="19"/>
      <c r="C253" s="164"/>
      <c r="D253" s="164"/>
      <c r="E253" s="162"/>
      <c r="F253" s="125" t="s">
        <v>68</v>
      </c>
      <c r="G253" s="110" t="s">
        <v>69</v>
      </c>
      <c r="H253" s="115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>
        <f t="shared" si="41"/>
        <v>0</v>
      </c>
      <c r="T253" s="112"/>
      <c r="U253" s="112"/>
      <c r="V253" s="112"/>
      <c r="W253" s="10"/>
      <c r="X253" s="120"/>
      <c r="Y253" s="112"/>
    </row>
    <row r="254" spans="2:25" s="117" customFormat="1" x14ac:dyDescent="0.15">
      <c r="B254" s="19"/>
      <c r="C254" s="164"/>
      <c r="D254" s="164"/>
      <c r="E254" s="162"/>
      <c r="F254" s="126" t="s">
        <v>70</v>
      </c>
      <c r="G254" s="127" t="s">
        <v>71</v>
      </c>
      <c r="H254" s="115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>
        <f t="shared" si="41"/>
        <v>0</v>
      </c>
      <c r="T254" s="112"/>
      <c r="U254" s="112"/>
      <c r="V254" s="112"/>
      <c r="W254" s="10"/>
      <c r="X254" s="120"/>
      <c r="Y254" s="112"/>
    </row>
    <row r="255" spans="2:25" s="117" customFormat="1" x14ac:dyDescent="0.15">
      <c r="B255" s="19"/>
      <c r="C255" s="164"/>
      <c r="D255" s="164"/>
      <c r="E255" s="166"/>
      <c r="F255" s="47"/>
      <c r="G255" s="79"/>
      <c r="H255" s="123" t="s">
        <v>33</v>
      </c>
      <c r="I255" s="23"/>
      <c r="J255" s="23"/>
      <c r="K255" s="23"/>
      <c r="L255" s="23"/>
      <c r="M255" s="23"/>
      <c r="N255" s="6"/>
      <c r="O255" s="6"/>
      <c r="P255" s="6"/>
      <c r="Q255" s="6"/>
      <c r="R255" s="6"/>
      <c r="S255" s="6">
        <f t="shared" si="41"/>
        <v>0</v>
      </c>
      <c r="T255" s="112"/>
      <c r="U255" s="112"/>
      <c r="V255" s="112"/>
      <c r="W255" s="10"/>
      <c r="X255" s="120"/>
      <c r="Y255" s="112"/>
    </row>
    <row r="256" spans="2:25" s="117" customFormat="1" x14ac:dyDescent="0.15">
      <c r="B256" s="19"/>
      <c r="C256" s="164"/>
      <c r="D256" s="165"/>
      <c r="E256" s="144"/>
      <c r="F256" s="47"/>
      <c r="G256" s="79"/>
      <c r="H256" s="118"/>
      <c r="I256" s="22"/>
      <c r="J256" s="22"/>
      <c r="K256" s="22"/>
      <c r="L256" s="22"/>
      <c r="M256" s="22"/>
      <c r="N256" s="22"/>
      <c r="O256" s="22"/>
      <c r="P256" s="22">
        <f>SUM(P241:P255)</f>
        <v>0</v>
      </c>
      <c r="Q256" s="22">
        <f>SUM(Q241:Q255)</f>
        <v>0</v>
      </c>
      <c r="R256" s="22">
        <f>SUM(R243:R254)</f>
        <v>0</v>
      </c>
      <c r="S256" s="22">
        <f>SUM(S243:S254)</f>
        <v>0</v>
      </c>
      <c r="T256" s="112"/>
      <c r="U256" s="112"/>
      <c r="V256" s="112"/>
      <c r="W256" s="10"/>
      <c r="X256" s="120"/>
      <c r="Y256" s="112"/>
    </row>
    <row r="257" spans="2:25" s="117" customFormat="1" x14ac:dyDescent="0.15">
      <c r="B257" s="19"/>
      <c r="C257" s="164"/>
      <c r="D257" s="164" t="s">
        <v>113</v>
      </c>
      <c r="E257" s="161"/>
      <c r="F257" s="135" t="s">
        <v>44</v>
      </c>
      <c r="G257" s="127" t="s">
        <v>45</v>
      </c>
      <c r="H257" s="159">
        <v>44556</v>
      </c>
      <c r="I257" s="136"/>
      <c r="J257" s="136"/>
      <c r="K257" s="133"/>
      <c r="L257" s="133"/>
      <c r="M257" s="133"/>
      <c r="N257" s="133"/>
      <c r="O257" s="132"/>
      <c r="P257" s="6"/>
      <c r="Q257" s="6"/>
      <c r="R257" s="6"/>
      <c r="S257" s="6"/>
      <c r="T257" s="112"/>
      <c r="U257" s="112"/>
      <c r="V257" s="112"/>
      <c r="W257" s="10"/>
      <c r="X257" s="120"/>
      <c r="Y257" s="112"/>
    </row>
    <row r="258" spans="2:25" s="117" customFormat="1" x14ac:dyDescent="0.15">
      <c r="B258" s="19"/>
      <c r="C258" s="164"/>
      <c r="D258" s="164"/>
      <c r="E258" s="162"/>
      <c r="F258" s="128" t="s">
        <v>46</v>
      </c>
      <c r="G258" s="127" t="s">
        <v>47</v>
      </c>
      <c r="H258" s="160"/>
      <c r="I258" s="132"/>
      <c r="J258" s="132"/>
      <c r="K258" s="133"/>
      <c r="L258" s="133"/>
      <c r="M258" s="133"/>
      <c r="N258" s="133"/>
      <c r="O258" s="132"/>
      <c r="P258" s="6"/>
      <c r="Q258" s="6"/>
      <c r="R258" s="6"/>
      <c r="S258" s="6"/>
      <c r="T258" s="112"/>
      <c r="U258" s="112"/>
      <c r="V258" s="112"/>
      <c r="W258" s="10"/>
      <c r="X258" s="120"/>
      <c r="Y258" s="112"/>
    </row>
    <row r="259" spans="2:25" s="117" customFormat="1" x14ac:dyDescent="0.15">
      <c r="B259" s="19"/>
      <c r="C259" s="164"/>
      <c r="D259" s="164"/>
      <c r="E259" s="162"/>
      <c r="F259" s="128" t="s">
        <v>48</v>
      </c>
      <c r="G259" s="127" t="s">
        <v>49</v>
      </c>
      <c r="H259" s="160"/>
      <c r="I259" s="132"/>
      <c r="J259" s="132"/>
      <c r="K259" s="133"/>
      <c r="L259" s="133"/>
      <c r="M259" s="133"/>
      <c r="N259" s="133"/>
      <c r="O259" s="132"/>
      <c r="P259" s="6"/>
      <c r="Q259" s="6"/>
      <c r="R259" s="6"/>
      <c r="S259" s="6">
        <f>SUM(K259:N259)</f>
        <v>0</v>
      </c>
      <c r="T259" s="112"/>
      <c r="U259" s="112"/>
      <c r="V259" s="112"/>
      <c r="W259" s="10"/>
      <c r="X259" s="120"/>
      <c r="Y259" s="112"/>
    </row>
    <row r="260" spans="2:25" s="117" customFormat="1" x14ac:dyDescent="0.15">
      <c r="B260" s="19"/>
      <c r="C260" s="164"/>
      <c r="D260" s="164"/>
      <c r="E260" s="162"/>
      <c r="F260" s="128" t="s">
        <v>50</v>
      </c>
      <c r="G260" s="127" t="s">
        <v>51</v>
      </c>
      <c r="H260" s="160"/>
      <c r="I260" s="132"/>
      <c r="J260" s="132"/>
      <c r="K260" s="133"/>
      <c r="L260" s="133"/>
      <c r="M260" s="133"/>
      <c r="N260" s="133"/>
      <c r="O260" s="132"/>
      <c r="P260" s="6"/>
      <c r="Q260" s="6"/>
      <c r="R260" s="6"/>
      <c r="S260" s="6">
        <f>SUM(K260:N260)</f>
        <v>0</v>
      </c>
      <c r="T260" s="112"/>
      <c r="U260" s="112"/>
      <c r="V260" s="112"/>
      <c r="W260" s="10"/>
      <c r="X260" s="120"/>
      <c r="Y260" s="112"/>
    </row>
    <row r="261" spans="2:25" s="117" customFormat="1" x14ac:dyDescent="0.15">
      <c r="B261" s="19"/>
      <c r="C261" s="164"/>
      <c r="D261" s="164"/>
      <c r="E261" s="162"/>
      <c r="F261" s="128" t="s">
        <v>52</v>
      </c>
      <c r="G261" s="127" t="s">
        <v>53</v>
      </c>
      <c r="H261" s="160"/>
      <c r="I261" s="136"/>
      <c r="J261" s="136"/>
      <c r="K261" s="133"/>
      <c r="L261" s="133"/>
      <c r="M261" s="133"/>
      <c r="N261" s="133"/>
      <c r="O261" s="132"/>
      <c r="P261" s="6"/>
      <c r="Q261" s="6"/>
      <c r="R261" s="6"/>
      <c r="S261" s="6"/>
      <c r="T261" s="112"/>
      <c r="U261" s="112"/>
      <c r="V261" s="112"/>
      <c r="W261" s="10"/>
      <c r="X261" s="120"/>
      <c r="Y261" s="112"/>
    </row>
    <row r="262" spans="2:25" s="117" customFormat="1" x14ac:dyDescent="0.15">
      <c r="B262" s="19"/>
      <c r="C262" s="164"/>
      <c r="D262" s="164"/>
      <c r="E262" s="162"/>
      <c r="F262" s="128" t="s">
        <v>54</v>
      </c>
      <c r="G262" s="127" t="s">
        <v>55</v>
      </c>
      <c r="H262" s="160"/>
      <c r="I262" s="136"/>
      <c r="J262" s="136"/>
      <c r="K262" s="133"/>
      <c r="L262" s="133"/>
      <c r="M262" s="133"/>
      <c r="N262" s="133"/>
      <c r="O262" s="132"/>
      <c r="P262" s="6"/>
      <c r="Q262" s="6"/>
      <c r="R262" s="6"/>
      <c r="S262" s="6">
        <f>SUM(K262:N262)</f>
        <v>0</v>
      </c>
      <c r="T262" s="112"/>
      <c r="U262" s="112"/>
      <c r="V262" s="112"/>
      <c r="W262" s="10"/>
      <c r="X262" s="120"/>
      <c r="Y262" s="112"/>
    </row>
    <row r="263" spans="2:25" s="117" customFormat="1" x14ac:dyDescent="0.15">
      <c r="B263" s="19"/>
      <c r="C263" s="164"/>
      <c r="D263" s="164"/>
      <c r="E263" s="162"/>
      <c r="F263" s="137" t="s">
        <v>56</v>
      </c>
      <c r="G263" s="130" t="s">
        <v>57</v>
      </c>
      <c r="H263" s="160"/>
      <c r="I263" s="136"/>
      <c r="J263" s="136"/>
      <c r="K263" s="133"/>
      <c r="L263" s="133"/>
      <c r="M263" s="133"/>
      <c r="N263" s="133"/>
      <c r="O263" s="132"/>
      <c r="P263" s="6"/>
      <c r="Q263" s="6"/>
      <c r="R263" s="6"/>
      <c r="S263" s="6">
        <f>SUM(K263:N263)</f>
        <v>0</v>
      </c>
      <c r="T263" s="112"/>
      <c r="U263" s="112"/>
      <c r="V263" s="112"/>
      <c r="W263" s="10"/>
      <c r="X263" s="120"/>
      <c r="Y263" s="112"/>
    </row>
    <row r="264" spans="2:25" s="117" customFormat="1" x14ac:dyDescent="0.15">
      <c r="B264" s="19"/>
      <c r="C264" s="164"/>
      <c r="D264" s="164"/>
      <c r="E264" s="162"/>
      <c r="F264" s="129" t="s">
        <v>58</v>
      </c>
      <c r="G264" s="130" t="s">
        <v>59</v>
      </c>
      <c r="H264" s="160"/>
      <c r="I264" s="132"/>
      <c r="J264" s="132"/>
      <c r="K264" s="133"/>
      <c r="L264" s="133"/>
      <c r="M264" s="133"/>
      <c r="N264" s="133"/>
      <c r="O264" s="132"/>
      <c r="P264" s="132"/>
      <c r="Q264" s="132"/>
      <c r="R264" s="132"/>
      <c r="S264" s="132">
        <f>SUM(K264:N264)</f>
        <v>0</v>
      </c>
      <c r="T264" s="112"/>
      <c r="U264" s="112"/>
      <c r="V264" s="112"/>
      <c r="W264" s="10"/>
      <c r="X264" s="120"/>
      <c r="Y264" s="112"/>
    </row>
    <row r="265" spans="2:25" s="117" customFormat="1" x14ac:dyDescent="0.15">
      <c r="B265" s="19"/>
      <c r="C265" s="164"/>
      <c r="D265" s="164"/>
      <c r="E265" s="162"/>
      <c r="F265" s="138" t="s">
        <v>60</v>
      </c>
      <c r="G265" s="127" t="s">
        <v>61</v>
      </c>
      <c r="H265" s="160"/>
      <c r="I265" s="132"/>
      <c r="J265" s="132"/>
      <c r="K265" s="133"/>
      <c r="L265" s="133"/>
      <c r="M265" s="133"/>
      <c r="N265" s="133"/>
      <c r="O265" s="132"/>
      <c r="P265" s="6"/>
      <c r="Q265" s="6"/>
      <c r="R265" s="6"/>
      <c r="S265" s="6"/>
      <c r="T265" s="112"/>
      <c r="U265" s="112"/>
      <c r="V265" s="112"/>
      <c r="W265" s="10"/>
      <c r="X265" s="120"/>
      <c r="Y265" s="112"/>
    </row>
    <row r="266" spans="2:25" s="117" customFormat="1" x14ac:dyDescent="0.15">
      <c r="B266" s="19"/>
      <c r="C266" s="164"/>
      <c r="D266" s="164"/>
      <c r="E266" s="162"/>
      <c r="F266" s="126" t="s">
        <v>62</v>
      </c>
      <c r="G266" s="127" t="s">
        <v>63</v>
      </c>
      <c r="H266" s="160"/>
      <c r="I266" s="132"/>
      <c r="J266" s="132"/>
      <c r="K266" s="133"/>
      <c r="L266" s="133"/>
      <c r="M266" s="133"/>
      <c r="N266" s="133"/>
      <c r="O266" s="132"/>
      <c r="P266" s="6"/>
      <c r="Q266" s="6"/>
      <c r="R266" s="6"/>
      <c r="S266" s="6"/>
      <c r="T266" s="112"/>
      <c r="U266" s="112"/>
      <c r="V266" s="112"/>
      <c r="W266" s="10"/>
      <c r="X266" s="120"/>
      <c r="Y266" s="112"/>
    </row>
    <row r="267" spans="2:25" s="117" customFormat="1" x14ac:dyDescent="0.15">
      <c r="B267" s="19"/>
      <c r="C267" s="164"/>
      <c r="D267" s="164"/>
      <c r="E267" s="162"/>
      <c r="F267" s="128" t="s">
        <v>64</v>
      </c>
      <c r="G267" s="127" t="s">
        <v>65</v>
      </c>
      <c r="H267" s="160"/>
      <c r="I267" s="132"/>
      <c r="J267" s="132"/>
      <c r="K267" s="133"/>
      <c r="L267" s="133"/>
      <c r="M267" s="133"/>
      <c r="N267" s="133"/>
      <c r="O267" s="132"/>
      <c r="P267" s="132"/>
      <c r="Q267" s="132"/>
      <c r="R267" s="132"/>
      <c r="S267" s="132">
        <f>SUM(K267:N267)</f>
        <v>0</v>
      </c>
      <c r="T267" s="112"/>
      <c r="U267" s="112"/>
      <c r="V267" s="112"/>
      <c r="W267" s="10"/>
      <c r="X267" s="120"/>
      <c r="Y267" s="112"/>
    </row>
    <row r="268" spans="2:25" s="117" customFormat="1" x14ac:dyDescent="0.15">
      <c r="B268" s="19"/>
      <c r="C268" s="164"/>
      <c r="D268" s="164"/>
      <c r="E268" s="162"/>
      <c r="F268" s="128" t="s">
        <v>66</v>
      </c>
      <c r="G268" s="127" t="s">
        <v>67</v>
      </c>
      <c r="H268" s="160"/>
      <c r="I268" s="132"/>
      <c r="J268" s="132"/>
      <c r="K268" s="133"/>
      <c r="L268" s="133"/>
      <c r="M268" s="133"/>
      <c r="N268" s="133"/>
      <c r="O268" s="132"/>
      <c r="P268" s="6"/>
      <c r="Q268" s="6"/>
      <c r="R268" s="6"/>
      <c r="S268" s="6">
        <f>SUM(K268:N268)</f>
        <v>0</v>
      </c>
      <c r="T268" s="112"/>
      <c r="U268" s="112"/>
      <c r="V268" s="112"/>
      <c r="W268" s="10"/>
      <c r="X268" s="120"/>
      <c r="Y268" s="112"/>
    </row>
    <row r="269" spans="2:25" x14ac:dyDescent="0.15">
      <c r="B269" s="27"/>
      <c r="C269" s="164"/>
      <c r="D269" s="164"/>
      <c r="E269" s="162"/>
      <c r="F269" s="129" t="s">
        <v>68</v>
      </c>
      <c r="G269" s="130" t="s">
        <v>69</v>
      </c>
      <c r="H269" s="160"/>
      <c r="I269" s="132"/>
      <c r="J269" s="132"/>
      <c r="K269" s="133"/>
      <c r="L269" s="133"/>
      <c r="M269" s="133"/>
      <c r="N269" s="133"/>
      <c r="O269" s="132"/>
      <c r="P269" s="6"/>
      <c r="Q269" s="6"/>
      <c r="R269" s="6"/>
      <c r="S269" s="6">
        <f>SUM(K269:N269)</f>
        <v>0</v>
      </c>
      <c r="T269" s="10"/>
      <c r="U269" s="149">
        <f>S286</f>
        <v>962</v>
      </c>
    </row>
    <row r="270" spans="2:25" s="112" customFormat="1" x14ac:dyDescent="0.15">
      <c r="B270" s="121"/>
      <c r="C270" s="164"/>
      <c r="D270" s="164"/>
      <c r="E270" s="162"/>
      <c r="F270" s="126" t="s">
        <v>70</v>
      </c>
      <c r="G270" s="127" t="s">
        <v>71</v>
      </c>
      <c r="H270" s="167"/>
      <c r="I270" s="132"/>
      <c r="J270" s="132"/>
      <c r="K270" s="133"/>
      <c r="L270" s="133"/>
      <c r="M270" s="133"/>
      <c r="N270" s="133"/>
      <c r="O270" s="132"/>
      <c r="P270" s="6"/>
      <c r="Q270" s="6"/>
      <c r="R270" s="6"/>
      <c r="S270" s="6">
        <f>SUM(K270:N270)</f>
        <v>0</v>
      </c>
      <c r="T270" s="10"/>
    </row>
    <row r="271" spans="2:25" s="112" customFormat="1" x14ac:dyDescent="0.15">
      <c r="B271" s="121"/>
      <c r="C271" s="164"/>
      <c r="D271" s="165"/>
      <c r="E271" s="166"/>
      <c r="F271" s="139"/>
      <c r="G271" s="131"/>
      <c r="H271" s="118"/>
      <c r="I271" s="22"/>
      <c r="J271" s="22"/>
      <c r="K271" s="22">
        <f>SUM(K259:K270)</f>
        <v>0</v>
      </c>
      <c r="L271" s="22">
        <f t="shared" ref="L271:N271" si="42">SUM(L259:L270)</f>
        <v>0</v>
      </c>
      <c r="M271" s="22">
        <f t="shared" si="42"/>
        <v>0</v>
      </c>
      <c r="N271" s="22">
        <f t="shared" si="42"/>
        <v>0</v>
      </c>
      <c r="O271" s="22"/>
      <c r="P271" s="22"/>
      <c r="Q271" s="22"/>
      <c r="R271" s="22"/>
      <c r="S271" s="22">
        <f t="shared" ref="S271" si="43">SUM(S259:S270)</f>
        <v>0</v>
      </c>
      <c r="T271" s="10"/>
    </row>
    <row r="272" spans="2:25" s="112" customFormat="1" x14ac:dyDescent="0.15">
      <c r="B272" s="121"/>
      <c r="C272" s="164"/>
      <c r="D272" s="163" t="s">
        <v>114</v>
      </c>
      <c r="E272" s="168"/>
      <c r="F272" s="135" t="s">
        <v>44</v>
      </c>
      <c r="G272" s="127" t="s">
        <v>45</v>
      </c>
      <c r="H272" s="159">
        <v>44556</v>
      </c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10"/>
    </row>
    <row r="273" spans="2:25" s="112" customFormat="1" x14ac:dyDescent="0.15">
      <c r="B273" s="121"/>
      <c r="C273" s="164"/>
      <c r="D273" s="164"/>
      <c r="E273" s="169"/>
      <c r="F273" s="128" t="s">
        <v>46</v>
      </c>
      <c r="G273" s="127" t="s">
        <v>47</v>
      </c>
      <c r="H273" s="160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10"/>
    </row>
    <row r="274" spans="2:25" s="112" customFormat="1" x14ac:dyDescent="0.15">
      <c r="B274" s="121"/>
      <c r="C274" s="164"/>
      <c r="D274" s="164"/>
      <c r="E274" s="169"/>
      <c r="F274" s="128" t="s">
        <v>48</v>
      </c>
      <c r="G274" s="127" t="s">
        <v>49</v>
      </c>
      <c r="H274" s="160"/>
      <c r="I274" s="6">
        <v>10</v>
      </c>
      <c r="J274" s="6">
        <v>13</v>
      </c>
      <c r="K274" s="6">
        <v>25</v>
      </c>
      <c r="L274" s="6">
        <v>33</v>
      </c>
      <c r="M274" s="6">
        <v>52</v>
      </c>
      <c r="N274" s="6">
        <v>40</v>
      </c>
      <c r="O274" s="6"/>
      <c r="P274" s="6"/>
      <c r="Q274" s="6"/>
      <c r="R274" s="6"/>
      <c r="S274" s="6">
        <f>SUM(I274:O274)</f>
        <v>173</v>
      </c>
      <c r="T274" s="10"/>
    </row>
    <row r="275" spans="2:25" s="112" customFormat="1" x14ac:dyDescent="0.15">
      <c r="B275" s="121"/>
      <c r="C275" s="164"/>
      <c r="D275" s="164"/>
      <c r="E275" s="169"/>
      <c r="F275" s="128" t="s">
        <v>50</v>
      </c>
      <c r="G275" s="127" t="s">
        <v>51</v>
      </c>
      <c r="H275" s="160"/>
      <c r="I275" s="6">
        <v>10</v>
      </c>
      <c r="J275" s="6">
        <v>13</v>
      </c>
      <c r="K275" s="6">
        <v>25</v>
      </c>
      <c r="L275" s="6">
        <v>33</v>
      </c>
      <c r="M275" s="6">
        <v>52</v>
      </c>
      <c r="N275" s="6">
        <v>40</v>
      </c>
      <c r="O275" s="6"/>
      <c r="P275" s="6"/>
      <c r="Q275" s="6"/>
      <c r="R275" s="6"/>
      <c r="S275" s="6">
        <f>SUM(I275:O275)</f>
        <v>173</v>
      </c>
      <c r="T275" s="10"/>
    </row>
    <row r="276" spans="2:25" x14ac:dyDescent="0.15">
      <c r="B276" s="19"/>
      <c r="C276" s="164"/>
      <c r="D276" s="164"/>
      <c r="E276" s="169"/>
      <c r="F276" s="128" t="s">
        <v>52</v>
      </c>
      <c r="G276" s="127" t="s">
        <v>53</v>
      </c>
      <c r="H276" s="160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U276" s="7"/>
    </row>
    <row r="277" spans="2:25" x14ac:dyDescent="0.15">
      <c r="B277" s="19"/>
      <c r="C277" s="164"/>
      <c r="D277" s="164"/>
      <c r="E277" s="169"/>
      <c r="F277" s="128" t="s">
        <v>115</v>
      </c>
      <c r="G277" s="127" t="s">
        <v>55</v>
      </c>
      <c r="H277" s="160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>
        <f>SUM(I277:O277)</f>
        <v>0</v>
      </c>
      <c r="U277" s="7"/>
    </row>
    <row r="278" spans="2:25" x14ac:dyDescent="0.15">
      <c r="B278" s="19"/>
      <c r="C278" s="164"/>
      <c r="D278" s="164"/>
      <c r="E278" s="169"/>
      <c r="F278" s="137" t="s">
        <v>56</v>
      </c>
      <c r="G278" s="130" t="s">
        <v>57</v>
      </c>
      <c r="H278" s="160"/>
      <c r="I278" s="6">
        <v>10</v>
      </c>
      <c r="J278" s="6">
        <v>13</v>
      </c>
      <c r="K278" s="6">
        <v>25</v>
      </c>
      <c r="L278" s="6">
        <v>33</v>
      </c>
      <c r="M278" s="6">
        <v>52</v>
      </c>
      <c r="N278" s="6">
        <v>40</v>
      </c>
      <c r="O278" s="6"/>
      <c r="P278" s="6"/>
      <c r="Q278" s="6"/>
      <c r="R278" s="6"/>
      <c r="S278" s="6">
        <f>SUM(I278:O278)</f>
        <v>173</v>
      </c>
      <c r="U278" s="7"/>
    </row>
    <row r="279" spans="2:25" x14ac:dyDescent="0.15">
      <c r="B279" s="19"/>
      <c r="C279" s="164"/>
      <c r="D279" s="164"/>
      <c r="E279" s="169"/>
      <c r="F279" s="125" t="s">
        <v>58</v>
      </c>
      <c r="G279" s="110" t="s">
        <v>59</v>
      </c>
      <c r="H279" s="160"/>
      <c r="I279" s="6">
        <v>10</v>
      </c>
      <c r="J279" s="6">
        <v>17</v>
      </c>
      <c r="K279" s="6">
        <v>32</v>
      </c>
      <c r="L279" s="6">
        <v>41</v>
      </c>
      <c r="M279" s="6">
        <v>65</v>
      </c>
      <c r="N279" s="6">
        <v>51</v>
      </c>
      <c r="O279" s="6"/>
      <c r="P279" s="6"/>
      <c r="Q279" s="6"/>
      <c r="R279" s="6"/>
      <c r="S279" s="6">
        <f>SUM(I279:O279)</f>
        <v>216</v>
      </c>
      <c r="U279" s="7"/>
      <c r="V279" s="24"/>
    </row>
    <row r="280" spans="2:25" s="26" customFormat="1" x14ac:dyDescent="0.15">
      <c r="B280" s="19"/>
      <c r="C280" s="164"/>
      <c r="D280" s="164"/>
      <c r="E280" s="169"/>
      <c r="F280" s="138" t="s">
        <v>60</v>
      </c>
      <c r="G280" s="127" t="s">
        <v>61</v>
      </c>
      <c r="H280" s="160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2"/>
      <c r="U280" s="2"/>
      <c r="V280" s="2"/>
      <c r="W280" s="2"/>
      <c r="X280" s="2"/>
      <c r="Y280" s="2"/>
    </row>
    <row r="281" spans="2:25" x14ac:dyDescent="0.15">
      <c r="B281" s="27"/>
      <c r="C281" s="164"/>
      <c r="D281" s="164"/>
      <c r="E281" s="169"/>
      <c r="F281" s="126" t="s">
        <v>62</v>
      </c>
      <c r="G281" s="127" t="s">
        <v>63</v>
      </c>
      <c r="H281" s="160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</row>
    <row r="282" spans="2:25" ht="13.5" customHeight="1" x14ac:dyDescent="0.15">
      <c r="B282" s="19"/>
      <c r="C282" s="164"/>
      <c r="D282" s="164"/>
      <c r="E282" s="169"/>
      <c r="F282" s="128" t="s">
        <v>64</v>
      </c>
      <c r="G282" s="127" t="s">
        <v>65</v>
      </c>
      <c r="H282" s="160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>
        <f>SUM(I282:O282)</f>
        <v>0</v>
      </c>
      <c r="T282" s="7"/>
    </row>
    <row r="283" spans="2:25" ht="13.5" customHeight="1" x14ac:dyDescent="0.15">
      <c r="B283" s="19"/>
      <c r="C283" s="164"/>
      <c r="D283" s="164"/>
      <c r="E283" s="169"/>
      <c r="F283" s="128" t="s">
        <v>66</v>
      </c>
      <c r="G283" s="127" t="s">
        <v>67</v>
      </c>
      <c r="H283" s="160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>
        <f>SUM(I283:O283)</f>
        <v>0</v>
      </c>
      <c r="T283" s="7"/>
    </row>
    <row r="284" spans="2:25" ht="13.5" customHeight="1" x14ac:dyDescent="0.15">
      <c r="B284" s="19"/>
      <c r="C284" s="164"/>
      <c r="D284" s="164"/>
      <c r="E284" s="169"/>
      <c r="F284" s="129" t="s">
        <v>68</v>
      </c>
      <c r="G284" s="130" t="s">
        <v>69</v>
      </c>
      <c r="H284" s="160"/>
      <c r="I284" s="6"/>
      <c r="J284" s="6">
        <v>10</v>
      </c>
      <c r="K284" s="6">
        <v>16</v>
      </c>
      <c r="L284" s="6">
        <v>21</v>
      </c>
      <c r="M284" s="6">
        <v>32</v>
      </c>
      <c r="N284" s="6">
        <v>25</v>
      </c>
      <c r="O284" s="6"/>
      <c r="P284" s="6"/>
      <c r="Q284" s="6"/>
      <c r="R284" s="6"/>
      <c r="S284" s="6">
        <f>SUM(I284:O284)</f>
        <v>104</v>
      </c>
      <c r="T284" s="7"/>
    </row>
    <row r="285" spans="2:25" ht="13.5" customHeight="1" x14ac:dyDescent="0.15">
      <c r="B285" s="19"/>
      <c r="C285" s="164"/>
      <c r="D285" s="164"/>
      <c r="E285" s="169"/>
      <c r="F285" s="126" t="s">
        <v>70</v>
      </c>
      <c r="G285" s="127" t="s">
        <v>71</v>
      </c>
      <c r="H285" s="167"/>
      <c r="I285" s="6"/>
      <c r="J285" s="6">
        <v>10</v>
      </c>
      <c r="K285" s="6">
        <v>19</v>
      </c>
      <c r="L285" s="6">
        <v>25</v>
      </c>
      <c r="M285" s="6">
        <v>39</v>
      </c>
      <c r="N285" s="6">
        <v>30</v>
      </c>
      <c r="O285" s="6"/>
      <c r="P285" s="6"/>
      <c r="Q285" s="6"/>
      <c r="R285" s="6"/>
      <c r="S285" s="6">
        <f>SUM(I285:O285)</f>
        <v>123</v>
      </c>
      <c r="T285" s="7"/>
      <c r="U285" s="24"/>
    </row>
    <row r="286" spans="2:25" s="112" customFormat="1" ht="13.5" customHeight="1" x14ac:dyDescent="0.15">
      <c r="B286" s="19"/>
      <c r="C286" s="165"/>
      <c r="D286" s="165"/>
      <c r="E286" s="170"/>
      <c r="F286" s="139"/>
      <c r="G286" s="139"/>
      <c r="H286" s="118"/>
      <c r="I286" s="22">
        <f>SUM(I273:I285)</f>
        <v>40</v>
      </c>
      <c r="J286" s="22">
        <f>SUM(J272:J285)</f>
        <v>76</v>
      </c>
      <c r="K286" s="22">
        <f>SUM(K274:K285)</f>
        <v>142</v>
      </c>
      <c r="L286" s="22">
        <f t="shared" ref="L286:N286" si="44">SUM(L274:L285)</f>
        <v>186</v>
      </c>
      <c r="M286" s="22">
        <f t="shared" si="44"/>
        <v>292</v>
      </c>
      <c r="N286" s="22">
        <f t="shared" si="44"/>
        <v>226</v>
      </c>
      <c r="O286" s="22"/>
      <c r="P286" s="22"/>
      <c r="Q286" s="22"/>
      <c r="R286" s="22"/>
      <c r="S286" s="22">
        <f t="shared" ref="S286" si="45">SUM(S274:S285)</f>
        <v>962</v>
      </c>
      <c r="T286" s="7"/>
      <c r="U286" s="24"/>
    </row>
    <row r="287" spans="2:25" s="112" customFormat="1" ht="13.5" customHeight="1" x14ac:dyDescent="0.15">
      <c r="B287" s="19"/>
      <c r="C287" s="163">
        <v>4500458452</v>
      </c>
      <c r="D287" s="114" t="s">
        <v>4</v>
      </c>
      <c r="E287" s="143" t="s">
        <v>5</v>
      </c>
      <c r="F287" s="143" t="s">
        <v>6</v>
      </c>
      <c r="G287" s="113"/>
      <c r="H287" s="114" t="s">
        <v>7</v>
      </c>
      <c r="I287" s="114" t="s">
        <v>104</v>
      </c>
      <c r="J287" s="114" t="s">
        <v>105</v>
      </c>
      <c r="K287" s="114" t="s">
        <v>106</v>
      </c>
      <c r="L287" s="114" t="s">
        <v>107</v>
      </c>
      <c r="M287" s="114" t="s">
        <v>108</v>
      </c>
      <c r="N287" s="114" t="s">
        <v>109</v>
      </c>
      <c r="O287" s="114" t="s">
        <v>110</v>
      </c>
      <c r="P287" s="44" t="s">
        <v>8</v>
      </c>
      <c r="Q287" s="44" t="s">
        <v>9</v>
      </c>
      <c r="R287" s="44" t="s">
        <v>10</v>
      </c>
      <c r="S287" s="6" t="s">
        <v>11</v>
      </c>
      <c r="T287" s="7"/>
      <c r="U287" s="24"/>
    </row>
    <row r="288" spans="2:25" s="112" customFormat="1" ht="13.5" customHeight="1" x14ac:dyDescent="0.15">
      <c r="B288" s="19"/>
      <c r="C288" s="164"/>
      <c r="D288" s="163" t="s">
        <v>112</v>
      </c>
      <c r="E288" s="161"/>
      <c r="F288" s="47" t="s">
        <v>44</v>
      </c>
      <c r="G288" s="119" t="s">
        <v>45</v>
      </c>
      <c r="H288" s="161">
        <v>44472</v>
      </c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>
        <f>SUM(P288:R288)</f>
        <v>0</v>
      </c>
      <c r="T288" s="7"/>
      <c r="U288" s="24"/>
    </row>
    <row r="289" spans="2:21" s="112" customFormat="1" ht="13.5" customHeight="1" x14ac:dyDescent="0.15">
      <c r="B289" s="19"/>
      <c r="C289" s="164"/>
      <c r="D289" s="164"/>
      <c r="E289" s="162"/>
      <c r="F289" s="79" t="s">
        <v>46</v>
      </c>
      <c r="G289" s="119" t="s">
        <v>47</v>
      </c>
      <c r="H289" s="162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>
        <f t="shared" ref="S289:S293" si="46">SUM(P289:R289)</f>
        <v>0</v>
      </c>
      <c r="T289" s="7"/>
      <c r="U289" s="24"/>
    </row>
    <row r="290" spans="2:21" s="112" customFormat="1" ht="13.5" customHeight="1" x14ac:dyDescent="0.15">
      <c r="B290" s="19"/>
      <c r="C290" s="164"/>
      <c r="D290" s="164"/>
      <c r="E290" s="162"/>
      <c r="F290" s="128" t="s">
        <v>48</v>
      </c>
      <c r="G290" s="127" t="s">
        <v>49</v>
      </c>
      <c r="H290" s="162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>
        <f t="shared" si="46"/>
        <v>0</v>
      </c>
      <c r="T290" s="7"/>
      <c r="U290" s="24"/>
    </row>
    <row r="291" spans="2:21" s="112" customFormat="1" ht="13.5" customHeight="1" x14ac:dyDescent="0.15">
      <c r="B291" s="19"/>
      <c r="C291" s="164"/>
      <c r="D291" s="164"/>
      <c r="E291" s="162"/>
      <c r="F291" s="128" t="s">
        <v>50</v>
      </c>
      <c r="G291" s="127" t="s">
        <v>51</v>
      </c>
      <c r="H291" s="162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>
        <f t="shared" si="46"/>
        <v>0</v>
      </c>
      <c r="T291" s="7"/>
      <c r="U291" s="24"/>
    </row>
    <row r="292" spans="2:21" s="112" customFormat="1" ht="13.5" customHeight="1" x14ac:dyDescent="0.15">
      <c r="B292" s="19"/>
      <c r="C292" s="164"/>
      <c r="D292" s="164"/>
      <c r="E292" s="162"/>
      <c r="F292" s="79" t="s">
        <v>52</v>
      </c>
      <c r="G292" s="119" t="s">
        <v>53</v>
      </c>
      <c r="H292" s="162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>
        <f t="shared" si="46"/>
        <v>0</v>
      </c>
      <c r="T292" s="7"/>
      <c r="U292" s="24"/>
    </row>
    <row r="293" spans="2:21" s="112" customFormat="1" ht="13.5" customHeight="1" x14ac:dyDescent="0.15">
      <c r="B293" s="19"/>
      <c r="C293" s="164"/>
      <c r="D293" s="164"/>
      <c r="E293" s="162"/>
      <c r="F293" s="128" t="s">
        <v>54</v>
      </c>
      <c r="G293" s="127" t="s">
        <v>55</v>
      </c>
      <c r="H293" s="162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>
        <f t="shared" si="46"/>
        <v>0</v>
      </c>
      <c r="T293" s="7"/>
      <c r="U293" s="24"/>
    </row>
    <row r="294" spans="2:21" s="112" customFormat="1" ht="13.5" customHeight="1" x14ac:dyDescent="0.15">
      <c r="B294" s="19"/>
      <c r="C294" s="164"/>
      <c r="D294" s="164"/>
      <c r="E294" s="162"/>
      <c r="F294" s="111" t="s">
        <v>56</v>
      </c>
      <c r="G294" s="110" t="s">
        <v>57</v>
      </c>
      <c r="H294" s="162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>
        <f>SUM(P294:R294)</f>
        <v>0</v>
      </c>
      <c r="T294" s="7"/>
      <c r="U294" s="24"/>
    </row>
    <row r="295" spans="2:21" s="112" customFormat="1" ht="13.5" customHeight="1" x14ac:dyDescent="0.15">
      <c r="B295" s="19"/>
      <c r="C295" s="164"/>
      <c r="D295" s="164"/>
      <c r="E295" s="162"/>
      <c r="F295" s="129" t="s">
        <v>58</v>
      </c>
      <c r="G295" s="130" t="s">
        <v>59</v>
      </c>
      <c r="H295" s="162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>
        <f t="shared" ref="S295:S302" si="47">SUM(P295:R295)</f>
        <v>0</v>
      </c>
      <c r="T295" s="7"/>
      <c r="U295" s="24"/>
    </row>
    <row r="296" spans="2:21" s="112" customFormat="1" ht="13.5" customHeight="1" x14ac:dyDescent="0.15">
      <c r="B296" s="19"/>
      <c r="C296" s="164"/>
      <c r="D296" s="164"/>
      <c r="E296" s="162"/>
      <c r="F296" s="52" t="s">
        <v>60</v>
      </c>
      <c r="G296" s="119" t="s">
        <v>61</v>
      </c>
      <c r="H296" s="162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>
        <f t="shared" si="47"/>
        <v>0</v>
      </c>
      <c r="T296" s="7"/>
      <c r="U296" s="24"/>
    </row>
    <row r="297" spans="2:21" s="112" customFormat="1" ht="13.5" customHeight="1" x14ac:dyDescent="0.15">
      <c r="B297" s="19"/>
      <c r="C297" s="164"/>
      <c r="D297" s="164"/>
      <c r="E297" s="162"/>
      <c r="F297" s="51" t="s">
        <v>62</v>
      </c>
      <c r="G297" s="119" t="s">
        <v>63</v>
      </c>
      <c r="H297" s="162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>
        <f t="shared" si="47"/>
        <v>0</v>
      </c>
      <c r="T297" s="7"/>
      <c r="U297" s="24"/>
    </row>
    <row r="298" spans="2:21" s="112" customFormat="1" ht="13.5" customHeight="1" x14ac:dyDescent="0.15">
      <c r="B298" s="19"/>
      <c r="C298" s="164"/>
      <c r="D298" s="164"/>
      <c r="E298" s="162"/>
      <c r="F298" s="128" t="s">
        <v>64</v>
      </c>
      <c r="G298" s="127" t="s">
        <v>65</v>
      </c>
      <c r="H298" s="162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>
        <f t="shared" si="47"/>
        <v>0</v>
      </c>
      <c r="T298" s="7"/>
      <c r="U298" s="24"/>
    </row>
    <row r="299" spans="2:21" s="112" customFormat="1" ht="13.5" customHeight="1" x14ac:dyDescent="0.15">
      <c r="B299" s="19"/>
      <c r="C299" s="164"/>
      <c r="D299" s="164"/>
      <c r="E299" s="162"/>
      <c r="F299" s="128" t="s">
        <v>66</v>
      </c>
      <c r="G299" s="127" t="s">
        <v>67</v>
      </c>
      <c r="H299" s="162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>
        <f t="shared" si="47"/>
        <v>0</v>
      </c>
      <c r="T299" s="7"/>
      <c r="U299" s="24"/>
    </row>
    <row r="300" spans="2:21" s="112" customFormat="1" ht="13.5" customHeight="1" x14ac:dyDescent="0.15">
      <c r="B300" s="19"/>
      <c r="C300" s="164"/>
      <c r="D300" s="164"/>
      <c r="E300" s="162"/>
      <c r="F300" s="125" t="s">
        <v>68</v>
      </c>
      <c r="G300" s="110" t="s">
        <v>69</v>
      </c>
      <c r="H300" s="115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>
        <f t="shared" si="47"/>
        <v>0</v>
      </c>
      <c r="T300" s="7"/>
      <c r="U300" s="24"/>
    </row>
    <row r="301" spans="2:21" s="112" customFormat="1" ht="13.5" customHeight="1" x14ac:dyDescent="0.15">
      <c r="B301" s="19"/>
      <c r="C301" s="164"/>
      <c r="D301" s="164"/>
      <c r="E301" s="162"/>
      <c r="F301" s="126" t="s">
        <v>70</v>
      </c>
      <c r="G301" s="127" t="s">
        <v>71</v>
      </c>
      <c r="H301" s="115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>
        <f t="shared" si="47"/>
        <v>0</v>
      </c>
      <c r="T301" s="7"/>
      <c r="U301" s="24"/>
    </row>
    <row r="302" spans="2:21" s="112" customFormat="1" ht="13.5" customHeight="1" x14ac:dyDescent="0.15">
      <c r="B302" s="19"/>
      <c r="C302" s="164"/>
      <c r="D302" s="164"/>
      <c r="E302" s="166"/>
      <c r="F302" s="47"/>
      <c r="G302" s="79"/>
      <c r="H302" s="123" t="s">
        <v>33</v>
      </c>
      <c r="I302" s="23"/>
      <c r="J302" s="23"/>
      <c r="K302" s="23"/>
      <c r="L302" s="23"/>
      <c r="M302" s="23"/>
      <c r="N302" s="6"/>
      <c r="O302" s="6"/>
      <c r="P302" s="6"/>
      <c r="Q302" s="6"/>
      <c r="R302" s="6"/>
      <c r="S302" s="6">
        <f t="shared" si="47"/>
        <v>0</v>
      </c>
      <c r="T302" s="7"/>
      <c r="U302" s="24"/>
    </row>
    <row r="303" spans="2:21" s="112" customFormat="1" ht="13.5" customHeight="1" x14ac:dyDescent="0.15">
      <c r="B303" s="19"/>
      <c r="C303" s="164"/>
      <c r="D303" s="165"/>
      <c r="E303" s="144"/>
      <c r="F303" s="47"/>
      <c r="G303" s="79"/>
      <c r="H303" s="118"/>
      <c r="I303" s="22"/>
      <c r="J303" s="22"/>
      <c r="K303" s="22"/>
      <c r="L303" s="22"/>
      <c r="M303" s="22"/>
      <c r="N303" s="22"/>
      <c r="O303" s="22"/>
      <c r="P303" s="22">
        <f>SUM(P288:P302)</f>
        <v>0</v>
      </c>
      <c r="Q303" s="22">
        <f>SUM(Q288:Q302)</f>
        <v>0</v>
      </c>
      <c r="R303" s="22">
        <f>SUM(R290:R301)</f>
        <v>0</v>
      </c>
      <c r="S303" s="22">
        <f>SUM(S290:S301)</f>
        <v>0</v>
      </c>
      <c r="T303" s="7"/>
      <c r="U303" s="24"/>
    </row>
    <row r="304" spans="2:21" s="112" customFormat="1" ht="13.5" customHeight="1" x14ac:dyDescent="0.15">
      <c r="B304" s="19"/>
      <c r="C304" s="164"/>
      <c r="D304" s="164" t="s">
        <v>113</v>
      </c>
      <c r="E304" s="161"/>
      <c r="F304" s="135" t="s">
        <v>44</v>
      </c>
      <c r="G304" s="127" t="s">
        <v>45</v>
      </c>
      <c r="H304" s="159">
        <v>44472</v>
      </c>
      <c r="I304" s="136"/>
      <c r="J304" s="136"/>
      <c r="K304" s="133"/>
      <c r="L304" s="133"/>
      <c r="M304" s="133"/>
      <c r="N304" s="133"/>
      <c r="O304" s="132"/>
      <c r="P304" s="6"/>
      <c r="Q304" s="6"/>
      <c r="R304" s="6"/>
      <c r="S304" s="6"/>
      <c r="T304" s="7"/>
      <c r="U304" s="24"/>
    </row>
    <row r="305" spans="2:21" s="112" customFormat="1" ht="13.5" customHeight="1" x14ac:dyDescent="0.15">
      <c r="B305" s="19"/>
      <c r="C305" s="164"/>
      <c r="D305" s="164"/>
      <c r="E305" s="162"/>
      <c r="F305" s="128" t="s">
        <v>46</v>
      </c>
      <c r="G305" s="127" t="s">
        <v>47</v>
      </c>
      <c r="H305" s="160"/>
      <c r="I305" s="132"/>
      <c r="J305" s="132"/>
      <c r="K305" s="133"/>
      <c r="L305" s="133"/>
      <c r="M305" s="133"/>
      <c r="N305" s="133"/>
      <c r="O305" s="132"/>
      <c r="P305" s="6"/>
      <c r="Q305" s="6"/>
      <c r="R305" s="6"/>
      <c r="S305" s="6"/>
      <c r="T305" s="7"/>
      <c r="U305" s="24"/>
    </row>
    <row r="306" spans="2:21" s="112" customFormat="1" ht="13.5" customHeight="1" x14ac:dyDescent="0.15">
      <c r="B306" s="19"/>
      <c r="C306" s="164"/>
      <c r="D306" s="164"/>
      <c r="E306" s="162"/>
      <c r="F306" s="128" t="s">
        <v>48</v>
      </c>
      <c r="G306" s="127" t="s">
        <v>49</v>
      </c>
      <c r="H306" s="160"/>
      <c r="I306" s="132"/>
      <c r="J306" s="132"/>
      <c r="K306" s="133"/>
      <c r="L306" s="133"/>
      <c r="M306" s="133"/>
      <c r="N306" s="133"/>
      <c r="O306" s="132"/>
      <c r="P306" s="6"/>
      <c r="Q306" s="6"/>
      <c r="R306" s="6"/>
      <c r="S306" s="6">
        <f>SUM(K306:N306)</f>
        <v>0</v>
      </c>
      <c r="T306" s="7"/>
      <c r="U306" s="24"/>
    </row>
    <row r="307" spans="2:21" s="112" customFormat="1" ht="13.5" customHeight="1" x14ac:dyDescent="0.15">
      <c r="B307" s="19"/>
      <c r="C307" s="164"/>
      <c r="D307" s="164"/>
      <c r="E307" s="162"/>
      <c r="F307" s="128" t="s">
        <v>50</v>
      </c>
      <c r="G307" s="127" t="s">
        <v>51</v>
      </c>
      <c r="H307" s="160"/>
      <c r="I307" s="132"/>
      <c r="J307" s="132"/>
      <c r="K307" s="133"/>
      <c r="L307" s="133"/>
      <c r="M307" s="133"/>
      <c r="N307" s="133"/>
      <c r="O307" s="132"/>
      <c r="P307" s="6"/>
      <c r="Q307" s="6"/>
      <c r="R307" s="6"/>
      <c r="S307" s="6">
        <f>SUM(K307:N307)</f>
        <v>0</v>
      </c>
      <c r="T307" s="7"/>
      <c r="U307" s="24"/>
    </row>
    <row r="308" spans="2:21" s="112" customFormat="1" ht="13.5" customHeight="1" x14ac:dyDescent="0.15">
      <c r="B308" s="19"/>
      <c r="C308" s="164"/>
      <c r="D308" s="164"/>
      <c r="E308" s="162"/>
      <c r="F308" s="128" t="s">
        <v>52</v>
      </c>
      <c r="G308" s="127" t="s">
        <v>53</v>
      </c>
      <c r="H308" s="160"/>
      <c r="I308" s="136"/>
      <c r="J308" s="136"/>
      <c r="K308" s="133"/>
      <c r="L308" s="133"/>
      <c r="M308" s="133"/>
      <c r="N308" s="133"/>
      <c r="O308" s="132"/>
      <c r="P308" s="6"/>
      <c r="Q308" s="6"/>
      <c r="R308" s="6"/>
      <c r="S308" s="6"/>
      <c r="T308" s="7"/>
      <c r="U308" s="24"/>
    </row>
    <row r="309" spans="2:21" s="112" customFormat="1" ht="13.5" customHeight="1" x14ac:dyDescent="0.15">
      <c r="B309" s="19"/>
      <c r="C309" s="164"/>
      <c r="D309" s="164"/>
      <c r="E309" s="162"/>
      <c r="F309" s="128" t="s">
        <v>54</v>
      </c>
      <c r="G309" s="127" t="s">
        <v>55</v>
      </c>
      <c r="H309" s="160"/>
      <c r="I309" s="136"/>
      <c r="J309" s="136"/>
      <c r="K309" s="133"/>
      <c r="L309" s="133"/>
      <c r="M309" s="133"/>
      <c r="N309" s="133"/>
      <c r="O309" s="132"/>
      <c r="P309" s="6"/>
      <c r="Q309" s="6"/>
      <c r="R309" s="6"/>
      <c r="S309" s="6">
        <f>SUM(K309:N309)</f>
        <v>0</v>
      </c>
      <c r="T309" s="7"/>
      <c r="U309" s="24"/>
    </row>
    <row r="310" spans="2:21" s="112" customFormat="1" ht="13.5" customHeight="1" x14ac:dyDescent="0.15">
      <c r="B310" s="19"/>
      <c r="C310" s="164"/>
      <c r="D310" s="164"/>
      <c r="E310" s="162"/>
      <c r="F310" s="137" t="s">
        <v>56</v>
      </c>
      <c r="G310" s="130" t="s">
        <v>57</v>
      </c>
      <c r="H310" s="160"/>
      <c r="I310" s="136"/>
      <c r="J310" s="136"/>
      <c r="K310" s="133"/>
      <c r="L310" s="133"/>
      <c r="M310" s="133"/>
      <c r="N310" s="133"/>
      <c r="O310" s="132"/>
      <c r="P310" s="6"/>
      <c r="Q310" s="6"/>
      <c r="R310" s="6"/>
      <c r="S310" s="6">
        <f>SUM(K310:N310)</f>
        <v>0</v>
      </c>
      <c r="T310" s="7"/>
      <c r="U310" s="24"/>
    </row>
    <row r="311" spans="2:21" s="112" customFormat="1" ht="13.5" customHeight="1" x14ac:dyDescent="0.15">
      <c r="B311" s="19"/>
      <c r="C311" s="164"/>
      <c r="D311" s="164"/>
      <c r="E311" s="162"/>
      <c r="F311" s="129" t="s">
        <v>58</v>
      </c>
      <c r="G311" s="130" t="s">
        <v>59</v>
      </c>
      <c r="H311" s="160"/>
      <c r="I311" s="132"/>
      <c r="J311" s="132"/>
      <c r="K311" s="133"/>
      <c r="L311" s="133"/>
      <c r="M311" s="133"/>
      <c r="N311" s="133"/>
      <c r="O311" s="132"/>
      <c r="P311" s="132"/>
      <c r="Q311" s="132"/>
      <c r="R311" s="132"/>
      <c r="S311" s="132">
        <f>SUM(K311:N311)</f>
        <v>0</v>
      </c>
      <c r="T311" s="7"/>
      <c r="U311" s="24"/>
    </row>
    <row r="312" spans="2:21" s="112" customFormat="1" ht="13.5" customHeight="1" x14ac:dyDescent="0.15">
      <c r="B312" s="19"/>
      <c r="C312" s="164"/>
      <c r="D312" s="164"/>
      <c r="E312" s="162"/>
      <c r="F312" s="138" t="s">
        <v>60</v>
      </c>
      <c r="G312" s="127" t="s">
        <v>61</v>
      </c>
      <c r="H312" s="160"/>
      <c r="I312" s="132"/>
      <c r="J312" s="132"/>
      <c r="K312" s="133"/>
      <c r="L312" s="133"/>
      <c r="M312" s="133"/>
      <c r="N312" s="133"/>
      <c r="O312" s="132"/>
      <c r="P312" s="6"/>
      <c r="Q312" s="6"/>
      <c r="R312" s="6"/>
      <c r="S312" s="6"/>
      <c r="T312" s="7"/>
      <c r="U312" s="24"/>
    </row>
    <row r="313" spans="2:21" s="112" customFormat="1" ht="13.5" customHeight="1" x14ac:dyDescent="0.15">
      <c r="B313" s="19"/>
      <c r="C313" s="164"/>
      <c r="D313" s="164"/>
      <c r="E313" s="162"/>
      <c r="F313" s="126" t="s">
        <v>62</v>
      </c>
      <c r="G313" s="127" t="s">
        <v>63</v>
      </c>
      <c r="H313" s="160"/>
      <c r="I313" s="132"/>
      <c r="J313" s="132"/>
      <c r="K313" s="133"/>
      <c r="L313" s="133"/>
      <c r="M313" s="133"/>
      <c r="N313" s="133"/>
      <c r="O313" s="132"/>
      <c r="P313" s="6"/>
      <c r="Q313" s="6"/>
      <c r="R313" s="6"/>
      <c r="S313" s="6"/>
      <c r="T313" s="7"/>
      <c r="U313" s="24"/>
    </row>
    <row r="314" spans="2:21" s="112" customFormat="1" ht="13.5" customHeight="1" x14ac:dyDescent="0.15">
      <c r="B314" s="19"/>
      <c r="C314" s="164"/>
      <c r="D314" s="164"/>
      <c r="E314" s="162"/>
      <c r="F314" s="128" t="s">
        <v>64</v>
      </c>
      <c r="G314" s="127" t="s">
        <v>65</v>
      </c>
      <c r="H314" s="160"/>
      <c r="I314" s="132"/>
      <c r="J314" s="132"/>
      <c r="K314" s="133"/>
      <c r="L314" s="133"/>
      <c r="M314" s="133"/>
      <c r="N314" s="133"/>
      <c r="O314" s="132"/>
      <c r="P314" s="132"/>
      <c r="Q314" s="132"/>
      <c r="R314" s="132"/>
      <c r="S314" s="132">
        <f>SUM(K314:N314)</f>
        <v>0</v>
      </c>
      <c r="T314" s="7"/>
      <c r="U314" s="24"/>
    </row>
    <row r="315" spans="2:21" s="112" customFormat="1" ht="13.5" customHeight="1" x14ac:dyDescent="0.15">
      <c r="B315" s="19"/>
      <c r="C315" s="164"/>
      <c r="D315" s="164"/>
      <c r="E315" s="162"/>
      <c r="F315" s="128" t="s">
        <v>66</v>
      </c>
      <c r="G315" s="127" t="s">
        <v>67</v>
      </c>
      <c r="H315" s="160"/>
      <c r="I315" s="132"/>
      <c r="J315" s="132"/>
      <c r="K315" s="133"/>
      <c r="L315" s="133"/>
      <c r="M315" s="133"/>
      <c r="N315" s="133"/>
      <c r="O315" s="132"/>
      <c r="P315" s="6"/>
      <c r="Q315" s="6"/>
      <c r="R315" s="6"/>
      <c r="S315" s="6">
        <f>SUM(K315:N315)</f>
        <v>0</v>
      </c>
      <c r="T315" s="7"/>
      <c r="U315" s="24"/>
    </row>
    <row r="316" spans="2:21" s="112" customFormat="1" ht="13.5" customHeight="1" x14ac:dyDescent="0.15">
      <c r="B316" s="19"/>
      <c r="C316" s="164"/>
      <c r="D316" s="164"/>
      <c r="E316" s="162"/>
      <c r="F316" s="129" t="s">
        <v>68</v>
      </c>
      <c r="G316" s="130" t="s">
        <v>69</v>
      </c>
      <c r="H316" s="160"/>
      <c r="I316" s="132"/>
      <c r="J316" s="132"/>
      <c r="K316" s="133"/>
      <c r="L316" s="133"/>
      <c r="M316" s="133"/>
      <c r="N316" s="133"/>
      <c r="O316" s="132"/>
      <c r="P316" s="6"/>
      <c r="Q316" s="6"/>
      <c r="R316" s="6"/>
      <c r="S316" s="6">
        <f>SUM(K316:N316)</f>
        <v>0</v>
      </c>
      <c r="T316" s="7"/>
      <c r="U316" s="24"/>
    </row>
    <row r="317" spans="2:21" s="112" customFormat="1" ht="13.5" customHeight="1" x14ac:dyDescent="0.15">
      <c r="B317" s="19"/>
      <c r="C317" s="164"/>
      <c r="D317" s="164"/>
      <c r="E317" s="162"/>
      <c r="F317" s="126" t="s">
        <v>70</v>
      </c>
      <c r="G317" s="127" t="s">
        <v>71</v>
      </c>
      <c r="H317" s="167"/>
      <c r="I317" s="132"/>
      <c r="J317" s="132"/>
      <c r="K317" s="133"/>
      <c r="L317" s="133"/>
      <c r="M317" s="133"/>
      <c r="N317" s="133"/>
      <c r="O317" s="132"/>
      <c r="P317" s="6"/>
      <c r="Q317" s="6"/>
      <c r="R317" s="6"/>
      <c r="S317" s="6">
        <f>SUM(K317:N317)</f>
        <v>0</v>
      </c>
      <c r="T317" s="7"/>
      <c r="U317" s="24"/>
    </row>
    <row r="318" spans="2:21" s="112" customFormat="1" ht="13.5" customHeight="1" x14ac:dyDescent="0.15">
      <c r="B318" s="19"/>
      <c r="C318" s="164"/>
      <c r="D318" s="165"/>
      <c r="E318" s="166"/>
      <c r="F318" s="139"/>
      <c r="G318" s="131"/>
      <c r="H318" s="118"/>
      <c r="I318" s="22"/>
      <c r="J318" s="22"/>
      <c r="K318" s="22">
        <f>SUM(K306:K317)</f>
        <v>0</v>
      </c>
      <c r="L318" s="22">
        <f t="shared" ref="L318:N318" si="48">SUM(L306:L317)</f>
        <v>0</v>
      </c>
      <c r="M318" s="22">
        <f t="shared" si="48"/>
        <v>0</v>
      </c>
      <c r="N318" s="22">
        <f t="shared" si="48"/>
        <v>0</v>
      </c>
      <c r="O318" s="22"/>
      <c r="P318" s="22"/>
      <c r="Q318" s="22"/>
      <c r="R318" s="22"/>
      <c r="S318" s="22">
        <f t="shared" ref="S318" si="49">SUM(S306:S317)</f>
        <v>0</v>
      </c>
      <c r="T318" s="7"/>
      <c r="U318" s="24"/>
    </row>
    <row r="319" spans="2:21" s="112" customFormat="1" ht="13.5" customHeight="1" x14ac:dyDescent="0.15">
      <c r="B319" s="19"/>
      <c r="C319" s="164"/>
      <c r="D319" s="163" t="s">
        <v>114</v>
      </c>
      <c r="E319" s="168"/>
      <c r="F319" s="135" t="s">
        <v>44</v>
      </c>
      <c r="G319" s="127" t="s">
        <v>45</v>
      </c>
      <c r="H319" s="159">
        <v>44472</v>
      </c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7"/>
      <c r="U319" s="24"/>
    </row>
    <row r="320" spans="2:21" s="112" customFormat="1" ht="13.5" customHeight="1" x14ac:dyDescent="0.15">
      <c r="B320" s="19"/>
      <c r="C320" s="164"/>
      <c r="D320" s="164"/>
      <c r="E320" s="169"/>
      <c r="F320" s="128" t="s">
        <v>46</v>
      </c>
      <c r="G320" s="127" t="s">
        <v>47</v>
      </c>
      <c r="H320" s="160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7"/>
      <c r="U320" s="24"/>
    </row>
    <row r="321" spans="2:21" s="112" customFormat="1" ht="13.5" customHeight="1" x14ac:dyDescent="0.15">
      <c r="B321" s="19"/>
      <c r="C321" s="164"/>
      <c r="D321" s="164"/>
      <c r="E321" s="169"/>
      <c r="F321" s="128" t="s">
        <v>48</v>
      </c>
      <c r="G321" s="127" t="s">
        <v>49</v>
      </c>
      <c r="H321" s="160"/>
      <c r="I321" s="6">
        <v>12</v>
      </c>
      <c r="J321" s="6">
        <v>23</v>
      </c>
      <c r="K321" s="6">
        <v>43</v>
      </c>
      <c r="L321" s="6">
        <v>56</v>
      </c>
      <c r="M321" s="6">
        <v>88</v>
      </c>
      <c r="N321" s="6">
        <v>69</v>
      </c>
      <c r="O321" s="6"/>
      <c r="P321" s="6"/>
      <c r="Q321" s="6"/>
      <c r="R321" s="6"/>
      <c r="S321" s="6">
        <f>SUM(I321:N321)</f>
        <v>291</v>
      </c>
      <c r="T321" s="7"/>
      <c r="U321" s="24"/>
    </row>
    <row r="322" spans="2:21" s="112" customFormat="1" ht="13.5" customHeight="1" x14ac:dyDescent="0.15">
      <c r="B322" s="19"/>
      <c r="C322" s="164"/>
      <c r="D322" s="164"/>
      <c r="E322" s="169"/>
      <c r="F322" s="128" t="s">
        <v>50</v>
      </c>
      <c r="G322" s="127" t="s">
        <v>51</v>
      </c>
      <c r="H322" s="160"/>
      <c r="I322" s="6">
        <v>18</v>
      </c>
      <c r="J322" s="6">
        <v>34</v>
      </c>
      <c r="K322" s="6">
        <v>65</v>
      </c>
      <c r="L322" s="6">
        <v>84</v>
      </c>
      <c r="M322" s="6">
        <v>132</v>
      </c>
      <c r="N322" s="6">
        <v>103</v>
      </c>
      <c r="O322" s="6"/>
      <c r="P322" s="6"/>
      <c r="Q322" s="6"/>
      <c r="R322" s="6"/>
      <c r="S322" s="6">
        <f>SUM(I322:N322)</f>
        <v>436</v>
      </c>
      <c r="T322" s="7"/>
      <c r="U322" s="24"/>
    </row>
    <row r="323" spans="2:21" s="112" customFormat="1" ht="13.5" customHeight="1" x14ac:dyDescent="0.15">
      <c r="B323" s="19"/>
      <c r="C323" s="164"/>
      <c r="D323" s="164"/>
      <c r="E323" s="169"/>
      <c r="F323" s="128" t="s">
        <v>52</v>
      </c>
      <c r="G323" s="127" t="s">
        <v>53</v>
      </c>
      <c r="H323" s="160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7"/>
      <c r="U323" s="24"/>
    </row>
    <row r="324" spans="2:21" s="112" customFormat="1" ht="13.5" customHeight="1" x14ac:dyDescent="0.15">
      <c r="B324" s="19"/>
      <c r="C324" s="164"/>
      <c r="D324" s="164"/>
      <c r="E324" s="169"/>
      <c r="F324" s="128" t="s">
        <v>115</v>
      </c>
      <c r="G324" s="127" t="s">
        <v>55</v>
      </c>
      <c r="H324" s="160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7"/>
      <c r="U324" s="149">
        <f>S286+S334</f>
        <v>3316</v>
      </c>
    </row>
    <row r="325" spans="2:21" s="112" customFormat="1" ht="13.5" customHeight="1" x14ac:dyDescent="0.15">
      <c r="B325" s="19"/>
      <c r="C325" s="164"/>
      <c r="D325" s="164"/>
      <c r="E325" s="169"/>
      <c r="F325" s="137" t="s">
        <v>56</v>
      </c>
      <c r="G325" s="130" t="s">
        <v>57</v>
      </c>
      <c r="H325" s="160"/>
      <c r="I325" s="6">
        <v>20</v>
      </c>
      <c r="J325" s="6">
        <v>38</v>
      </c>
      <c r="K325" s="6">
        <v>72</v>
      </c>
      <c r="L325" s="6">
        <v>94</v>
      </c>
      <c r="M325" s="6">
        <v>147</v>
      </c>
      <c r="N325" s="6">
        <v>115</v>
      </c>
      <c r="O325" s="6"/>
      <c r="P325" s="6"/>
      <c r="Q325" s="6"/>
      <c r="R325" s="6"/>
      <c r="S325" s="6">
        <f>SUM(I325:Q325)</f>
        <v>486</v>
      </c>
      <c r="T325" s="7"/>
      <c r="U325" s="24"/>
    </row>
    <row r="326" spans="2:21" s="112" customFormat="1" ht="13.5" customHeight="1" x14ac:dyDescent="0.15">
      <c r="B326" s="19"/>
      <c r="C326" s="164"/>
      <c r="D326" s="164"/>
      <c r="E326" s="169"/>
      <c r="F326" s="125" t="s">
        <v>58</v>
      </c>
      <c r="G326" s="110" t="s">
        <v>59</v>
      </c>
      <c r="H326" s="160"/>
      <c r="I326" s="6">
        <v>23</v>
      </c>
      <c r="J326" s="6">
        <v>44</v>
      </c>
      <c r="K326" s="6">
        <v>83</v>
      </c>
      <c r="L326" s="6">
        <v>108</v>
      </c>
      <c r="M326" s="6">
        <v>169</v>
      </c>
      <c r="N326" s="6">
        <v>132</v>
      </c>
      <c r="O326" s="6"/>
      <c r="P326" s="6"/>
      <c r="Q326" s="6"/>
      <c r="R326" s="6"/>
      <c r="S326" s="6">
        <f>SUM(I326:Q326)</f>
        <v>559</v>
      </c>
      <c r="T326" s="7"/>
      <c r="U326" s="24"/>
    </row>
    <row r="327" spans="2:21" s="112" customFormat="1" ht="13.5" customHeight="1" x14ac:dyDescent="0.15">
      <c r="B327" s="19"/>
      <c r="C327" s="164"/>
      <c r="D327" s="164"/>
      <c r="E327" s="169"/>
      <c r="F327" s="138" t="s">
        <v>60</v>
      </c>
      <c r="G327" s="127" t="s">
        <v>61</v>
      </c>
      <c r="H327" s="160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7"/>
      <c r="U327" s="24"/>
    </row>
    <row r="328" spans="2:21" s="112" customFormat="1" ht="13.5" customHeight="1" x14ac:dyDescent="0.15">
      <c r="B328" s="19"/>
      <c r="C328" s="164"/>
      <c r="D328" s="164"/>
      <c r="E328" s="169"/>
      <c r="F328" s="126" t="s">
        <v>62</v>
      </c>
      <c r="G328" s="127" t="s">
        <v>63</v>
      </c>
      <c r="H328" s="160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7"/>
      <c r="U328" s="24"/>
    </row>
    <row r="329" spans="2:21" s="112" customFormat="1" ht="13.5" customHeight="1" x14ac:dyDescent="0.15">
      <c r="B329" s="19"/>
      <c r="C329" s="164"/>
      <c r="D329" s="164"/>
      <c r="E329" s="169"/>
      <c r="F329" s="128" t="s">
        <v>64</v>
      </c>
      <c r="G329" s="127" t="s">
        <v>65</v>
      </c>
      <c r="H329" s="160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7"/>
      <c r="U329" s="24"/>
    </row>
    <row r="330" spans="2:21" s="112" customFormat="1" ht="13.5" customHeight="1" x14ac:dyDescent="0.15">
      <c r="B330" s="19"/>
      <c r="C330" s="164"/>
      <c r="D330" s="164"/>
      <c r="E330" s="169"/>
      <c r="F330" s="128" t="s">
        <v>66</v>
      </c>
      <c r="G330" s="127" t="s">
        <v>67</v>
      </c>
      <c r="H330" s="160"/>
      <c r="I330" s="6">
        <v>10</v>
      </c>
      <c r="J330" s="6">
        <v>18</v>
      </c>
      <c r="K330" s="6">
        <v>34</v>
      </c>
      <c r="L330" s="6">
        <v>45</v>
      </c>
      <c r="M330" s="6">
        <v>70</v>
      </c>
      <c r="N330" s="6">
        <v>55</v>
      </c>
      <c r="O330" s="6"/>
      <c r="P330" s="6"/>
      <c r="Q330" s="6"/>
      <c r="R330" s="6"/>
      <c r="S330" s="6">
        <f>SUM(I330:N330)</f>
        <v>232</v>
      </c>
      <c r="T330" s="7"/>
      <c r="U330" s="24"/>
    </row>
    <row r="331" spans="2:21" s="112" customFormat="1" ht="13.5" customHeight="1" x14ac:dyDescent="0.15">
      <c r="B331" s="19"/>
      <c r="C331" s="164"/>
      <c r="D331" s="164"/>
      <c r="E331" s="169"/>
      <c r="F331" s="129" t="s">
        <v>68</v>
      </c>
      <c r="G331" s="130" t="s">
        <v>69</v>
      </c>
      <c r="H331" s="160"/>
      <c r="I331" s="6">
        <v>12</v>
      </c>
      <c r="J331" s="6">
        <v>15</v>
      </c>
      <c r="K331" s="6">
        <v>29</v>
      </c>
      <c r="L331" s="6">
        <v>38</v>
      </c>
      <c r="M331" s="6">
        <v>59</v>
      </c>
      <c r="N331" s="6">
        <v>46</v>
      </c>
      <c r="O331" s="6"/>
      <c r="P331" s="6"/>
      <c r="Q331" s="6"/>
      <c r="R331" s="6"/>
      <c r="S331" s="6">
        <f>SUM(I331:N331)</f>
        <v>199</v>
      </c>
      <c r="T331" s="7"/>
      <c r="U331" s="24"/>
    </row>
    <row r="332" spans="2:21" s="112" customFormat="1" ht="13.5" customHeight="1" x14ac:dyDescent="0.15">
      <c r="B332" s="19"/>
      <c r="C332" s="164"/>
      <c r="D332" s="164"/>
      <c r="E332" s="169"/>
      <c r="F332" s="126" t="s">
        <v>70</v>
      </c>
      <c r="G332" s="127" t="s">
        <v>71</v>
      </c>
      <c r="H332" s="160"/>
      <c r="I332" s="6">
        <v>11</v>
      </c>
      <c r="J332" s="6">
        <v>11</v>
      </c>
      <c r="K332" s="6">
        <v>22</v>
      </c>
      <c r="L332" s="6">
        <v>28</v>
      </c>
      <c r="M332" s="6">
        <v>44</v>
      </c>
      <c r="N332" s="6">
        <v>35</v>
      </c>
      <c r="O332" s="6"/>
      <c r="P332" s="6"/>
      <c r="Q332" s="6"/>
      <c r="R332" s="6"/>
      <c r="S332" s="6">
        <f>SUM(I332:Q332)</f>
        <v>151</v>
      </c>
      <c r="T332" s="7"/>
      <c r="U332" s="24"/>
    </row>
    <row r="333" spans="2:21" s="112" customFormat="1" ht="13.5" customHeight="1" x14ac:dyDescent="0.15">
      <c r="B333" s="19"/>
      <c r="C333" s="164"/>
      <c r="D333" s="164"/>
      <c r="E333" s="169"/>
      <c r="F333" s="129"/>
      <c r="G333" s="130"/>
      <c r="H333" s="160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7"/>
      <c r="U333" s="24"/>
    </row>
    <row r="334" spans="2:21" s="112" customFormat="1" ht="13.5" customHeight="1" x14ac:dyDescent="0.15">
      <c r="B334" s="19"/>
      <c r="C334" s="165"/>
      <c r="D334" s="165"/>
      <c r="E334" s="170"/>
      <c r="F334" s="129"/>
      <c r="G334" s="130"/>
      <c r="H334" s="118"/>
      <c r="I334" s="22"/>
      <c r="J334" s="22"/>
      <c r="K334" s="22">
        <f>SUM(K322:K333)</f>
        <v>305</v>
      </c>
      <c r="L334" s="22">
        <f t="shared" ref="L334:N334" si="50">SUM(L322:L333)</f>
        <v>397</v>
      </c>
      <c r="M334" s="22">
        <f t="shared" si="50"/>
        <v>621</v>
      </c>
      <c r="N334" s="22">
        <f t="shared" si="50"/>
        <v>486</v>
      </c>
      <c r="O334" s="22"/>
      <c r="P334" s="22"/>
      <c r="Q334" s="22"/>
      <c r="R334" s="22"/>
      <c r="S334" s="22">
        <f>SUM(S319:S333)</f>
        <v>2354</v>
      </c>
      <c r="T334" s="7"/>
      <c r="U334" s="24"/>
    </row>
    <row r="335" spans="2:21" s="112" customFormat="1" ht="13.5" customHeight="1" x14ac:dyDescent="0.15">
      <c r="B335" s="19"/>
      <c r="C335" s="163">
        <v>4500458536</v>
      </c>
      <c r="D335" s="114" t="s">
        <v>4</v>
      </c>
      <c r="E335" s="143" t="s">
        <v>5</v>
      </c>
      <c r="F335" s="143" t="s">
        <v>6</v>
      </c>
      <c r="G335" s="113"/>
      <c r="H335" s="114" t="s">
        <v>7</v>
      </c>
      <c r="I335" s="114" t="s">
        <v>104</v>
      </c>
      <c r="J335" s="114" t="s">
        <v>105</v>
      </c>
      <c r="K335" s="114" t="s">
        <v>106</v>
      </c>
      <c r="L335" s="114" t="s">
        <v>107</v>
      </c>
      <c r="M335" s="114" t="s">
        <v>108</v>
      </c>
      <c r="N335" s="114" t="s">
        <v>109</v>
      </c>
      <c r="O335" s="114" t="s">
        <v>110</v>
      </c>
      <c r="P335" s="44" t="s">
        <v>8</v>
      </c>
      <c r="Q335" s="44" t="s">
        <v>9</v>
      </c>
      <c r="R335" s="44" t="s">
        <v>10</v>
      </c>
      <c r="S335" s="6" t="s">
        <v>11</v>
      </c>
      <c r="T335" s="7"/>
      <c r="U335" s="24"/>
    </row>
    <row r="336" spans="2:21" s="112" customFormat="1" ht="13.5" customHeight="1" x14ac:dyDescent="0.15">
      <c r="B336" s="19"/>
      <c r="C336" s="164"/>
      <c r="D336" s="163" t="s">
        <v>112</v>
      </c>
      <c r="E336" s="161"/>
      <c r="F336" s="47" t="s">
        <v>44</v>
      </c>
      <c r="G336" s="119" t="s">
        <v>45</v>
      </c>
      <c r="H336" s="161">
        <v>44524</v>
      </c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>
        <f>SUM(P336:R336)</f>
        <v>0</v>
      </c>
      <c r="T336" s="7"/>
      <c r="U336" s="24"/>
    </row>
    <row r="337" spans="2:21" s="112" customFormat="1" ht="13.5" customHeight="1" x14ac:dyDescent="0.15">
      <c r="B337" s="19"/>
      <c r="C337" s="164"/>
      <c r="D337" s="164"/>
      <c r="E337" s="162"/>
      <c r="F337" s="153" t="s">
        <v>46</v>
      </c>
      <c r="G337" s="119" t="s">
        <v>47</v>
      </c>
      <c r="H337" s="162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>
        <f t="shared" ref="S337:S341" si="51">SUM(P337:R337)</f>
        <v>0</v>
      </c>
      <c r="T337" s="7"/>
      <c r="U337" s="24"/>
    </row>
    <row r="338" spans="2:21" s="112" customFormat="1" ht="13.5" customHeight="1" x14ac:dyDescent="0.15">
      <c r="B338" s="19"/>
      <c r="C338" s="164"/>
      <c r="D338" s="164"/>
      <c r="E338" s="162"/>
      <c r="F338" s="128" t="s">
        <v>48</v>
      </c>
      <c r="G338" s="127" t="s">
        <v>49</v>
      </c>
      <c r="H338" s="162"/>
      <c r="I338" s="6"/>
      <c r="J338" s="6"/>
      <c r="K338" s="6"/>
      <c r="L338" s="6"/>
      <c r="M338" s="6"/>
      <c r="N338" s="6"/>
      <c r="O338" s="6"/>
      <c r="P338" s="6">
        <v>92</v>
      </c>
      <c r="Q338" s="6">
        <v>128</v>
      </c>
      <c r="R338" s="6">
        <v>85</v>
      </c>
      <c r="S338" s="6">
        <f t="shared" si="51"/>
        <v>305</v>
      </c>
      <c r="T338" s="7"/>
      <c r="U338" s="24"/>
    </row>
    <row r="339" spans="2:21" s="112" customFormat="1" ht="13.5" customHeight="1" x14ac:dyDescent="0.15">
      <c r="B339" s="19"/>
      <c r="C339" s="164"/>
      <c r="D339" s="164"/>
      <c r="E339" s="162"/>
      <c r="F339" s="128" t="s">
        <v>50</v>
      </c>
      <c r="G339" s="127" t="s">
        <v>51</v>
      </c>
      <c r="H339" s="162"/>
      <c r="I339" s="6"/>
      <c r="J339" s="6"/>
      <c r="K339" s="6"/>
      <c r="L339" s="6"/>
      <c r="M339" s="6"/>
      <c r="N339" s="6"/>
      <c r="O339" s="6"/>
      <c r="P339" s="6">
        <v>66</v>
      </c>
      <c r="Q339" s="6">
        <v>92</v>
      </c>
      <c r="R339" s="6">
        <v>61</v>
      </c>
      <c r="S339" s="6">
        <f t="shared" si="51"/>
        <v>219</v>
      </c>
      <c r="T339" s="7"/>
      <c r="U339" s="24"/>
    </row>
    <row r="340" spans="2:21" s="112" customFormat="1" ht="13.5" customHeight="1" x14ac:dyDescent="0.15">
      <c r="B340" s="19"/>
      <c r="C340" s="164"/>
      <c r="D340" s="164"/>
      <c r="E340" s="162"/>
      <c r="F340" s="153" t="s">
        <v>52</v>
      </c>
      <c r="G340" s="119" t="s">
        <v>53</v>
      </c>
      <c r="H340" s="162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>
        <f t="shared" si="51"/>
        <v>0</v>
      </c>
      <c r="T340" s="7"/>
      <c r="U340" s="24"/>
    </row>
    <row r="341" spans="2:21" s="112" customFormat="1" ht="13.5" customHeight="1" x14ac:dyDescent="0.15">
      <c r="B341" s="19"/>
      <c r="C341" s="164"/>
      <c r="D341" s="164"/>
      <c r="E341" s="162"/>
      <c r="F341" s="128" t="s">
        <v>54</v>
      </c>
      <c r="G341" s="127" t="s">
        <v>55</v>
      </c>
      <c r="H341" s="162"/>
      <c r="I341" s="6"/>
      <c r="J341" s="6"/>
      <c r="K341" s="6"/>
      <c r="L341" s="6"/>
      <c r="M341" s="6"/>
      <c r="N341" s="6"/>
      <c r="O341" s="6"/>
      <c r="P341" s="6">
        <v>113</v>
      </c>
      <c r="Q341" s="6">
        <v>156</v>
      </c>
      <c r="R341" s="6">
        <v>104</v>
      </c>
      <c r="S341" s="6">
        <f t="shared" si="51"/>
        <v>373</v>
      </c>
      <c r="T341" s="7"/>
      <c r="U341" s="24"/>
    </row>
    <row r="342" spans="2:21" s="112" customFormat="1" ht="13.5" customHeight="1" x14ac:dyDescent="0.15">
      <c r="B342" s="19"/>
      <c r="C342" s="164"/>
      <c r="D342" s="164"/>
      <c r="E342" s="162"/>
      <c r="F342" s="111" t="s">
        <v>56</v>
      </c>
      <c r="G342" s="110" t="s">
        <v>57</v>
      </c>
      <c r="H342" s="162"/>
      <c r="I342" s="6"/>
      <c r="J342" s="6"/>
      <c r="K342" s="6"/>
      <c r="L342" s="6"/>
      <c r="M342" s="6"/>
      <c r="N342" s="6"/>
      <c r="O342" s="6"/>
      <c r="P342" s="6">
        <v>65</v>
      </c>
      <c r="Q342" s="6">
        <v>90</v>
      </c>
      <c r="R342" s="6">
        <v>60</v>
      </c>
      <c r="S342" s="6">
        <f>SUM(P342:R342)</f>
        <v>215</v>
      </c>
      <c r="T342" s="7"/>
      <c r="U342" s="24"/>
    </row>
    <row r="343" spans="2:21" s="112" customFormat="1" ht="13.5" customHeight="1" x14ac:dyDescent="0.15">
      <c r="B343" s="19"/>
      <c r="C343" s="164"/>
      <c r="D343" s="164"/>
      <c r="E343" s="162"/>
      <c r="F343" s="129" t="s">
        <v>58</v>
      </c>
      <c r="G343" s="130" t="s">
        <v>59</v>
      </c>
      <c r="H343" s="162"/>
      <c r="I343" s="6"/>
      <c r="J343" s="6"/>
      <c r="K343" s="6"/>
      <c r="L343" s="6"/>
      <c r="M343" s="6"/>
      <c r="N343" s="6"/>
      <c r="O343" s="6"/>
      <c r="P343" s="6">
        <v>144</v>
      </c>
      <c r="Q343" s="6">
        <v>200</v>
      </c>
      <c r="R343" s="6">
        <v>133</v>
      </c>
      <c r="S343" s="6">
        <f t="shared" ref="S343:S350" si="52">SUM(P343:R343)</f>
        <v>477</v>
      </c>
      <c r="T343" s="7"/>
      <c r="U343" s="24"/>
    </row>
    <row r="344" spans="2:21" s="112" customFormat="1" ht="13.5" customHeight="1" x14ac:dyDescent="0.15">
      <c r="B344" s="19"/>
      <c r="C344" s="164"/>
      <c r="D344" s="164"/>
      <c r="E344" s="162"/>
      <c r="F344" s="52" t="s">
        <v>60</v>
      </c>
      <c r="G344" s="119" t="s">
        <v>61</v>
      </c>
      <c r="H344" s="162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>
        <f t="shared" si="52"/>
        <v>0</v>
      </c>
      <c r="T344" s="7"/>
      <c r="U344" s="24"/>
    </row>
    <row r="345" spans="2:21" s="112" customFormat="1" ht="13.5" customHeight="1" x14ac:dyDescent="0.15">
      <c r="B345" s="19"/>
      <c r="C345" s="164"/>
      <c r="D345" s="164"/>
      <c r="E345" s="162"/>
      <c r="F345" s="51" t="s">
        <v>62</v>
      </c>
      <c r="G345" s="119" t="s">
        <v>63</v>
      </c>
      <c r="H345" s="162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>
        <f t="shared" si="52"/>
        <v>0</v>
      </c>
      <c r="T345" s="7"/>
      <c r="U345" s="24"/>
    </row>
    <row r="346" spans="2:21" s="112" customFormat="1" ht="13.5" customHeight="1" x14ac:dyDescent="0.15">
      <c r="B346" s="19"/>
      <c r="C346" s="164"/>
      <c r="D346" s="164"/>
      <c r="E346" s="162"/>
      <c r="F346" s="128" t="s">
        <v>64</v>
      </c>
      <c r="G346" s="127" t="s">
        <v>65</v>
      </c>
      <c r="H346" s="162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>
        <f t="shared" si="52"/>
        <v>0</v>
      </c>
      <c r="T346" s="7"/>
      <c r="U346" s="24"/>
    </row>
    <row r="347" spans="2:21" s="112" customFormat="1" ht="13.5" customHeight="1" x14ac:dyDescent="0.15">
      <c r="B347" s="19"/>
      <c r="C347" s="164"/>
      <c r="D347" s="164"/>
      <c r="E347" s="162"/>
      <c r="F347" s="128" t="s">
        <v>66</v>
      </c>
      <c r="G347" s="127" t="s">
        <v>67</v>
      </c>
      <c r="H347" s="162"/>
      <c r="I347" s="6"/>
      <c r="J347" s="6"/>
      <c r="K347" s="6"/>
      <c r="L347" s="6"/>
      <c r="M347" s="6"/>
      <c r="N347" s="6"/>
      <c r="O347" s="6"/>
      <c r="P347" s="6">
        <v>162</v>
      </c>
      <c r="Q347" s="6">
        <v>225</v>
      </c>
      <c r="R347" s="6">
        <v>150</v>
      </c>
      <c r="S347" s="6">
        <f t="shared" si="52"/>
        <v>537</v>
      </c>
      <c r="T347" s="7"/>
      <c r="U347" s="24"/>
    </row>
    <row r="348" spans="2:21" s="112" customFormat="1" ht="13.5" customHeight="1" x14ac:dyDescent="0.15">
      <c r="B348" s="19"/>
      <c r="C348" s="164"/>
      <c r="D348" s="164"/>
      <c r="E348" s="162"/>
      <c r="F348" s="125" t="s">
        <v>68</v>
      </c>
      <c r="G348" s="110" t="s">
        <v>69</v>
      </c>
      <c r="H348" s="115"/>
      <c r="I348" s="6"/>
      <c r="J348" s="6"/>
      <c r="K348" s="6"/>
      <c r="L348" s="6"/>
      <c r="M348" s="6"/>
      <c r="N348" s="6"/>
      <c r="O348" s="6"/>
      <c r="P348" s="6">
        <v>39</v>
      </c>
      <c r="Q348" s="6">
        <v>55</v>
      </c>
      <c r="R348" s="6">
        <v>36</v>
      </c>
      <c r="S348" s="6">
        <f t="shared" si="52"/>
        <v>130</v>
      </c>
      <c r="T348" s="7"/>
      <c r="U348" s="24"/>
    </row>
    <row r="349" spans="2:21" s="112" customFormat="1" ht="13.5" customHeight="1" x14ac:dyDescent="0.15">
      <c r="B349" s="19"/>
      <c r="C349" s="164"/>
      <c r="D349" s="164"/>
      <c r="E349" s="162"/>
      <c r="F349" s="126" t="s">
        <v>70</v>
      </c>
      <c r="G349" s="127" t="s">
        <v>71</v>
      </c>
      <c r="H349" s="11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>
        <f t="shared" si="52"/>
        <v>0</v>
      </c>
      <c r="T349" s="7"/>
      <c r="U349" s="24"/>
    </row>
    <row r="350" spans="2:21" s="112" customFormat="1" ht="13.5" customHeight="1" x14ac:dyDescent="0.15">
      <c r="B350" s="19"/>
      <c r="C350" s="164"/>
      <c r="D350" s="164"/>
      <c r="E350" s="166"/>
      <c r="F350" s="47"/>
      <c r="G350" s="153"/>
      <c r="H350" s="152" t="s">
        <v>33</v>
      </c>
      <c r="I350" s="23"/>
      <c r="J350" s="23"/>
      <c r="K350" s="23"/>
      <c r="L350" s="23"/>
      <c r="M350" s="23"/>
      <c r="N350" s="6"/>
      <c r="O350" s="6"/>
      <c r="P350" s="6"/>
      <c r="Q350" s="6"/>
      <c r="R350" s="6"/>
      <c r="S350" s="6">
        <f t="shared" si="52"/>
        <v>0</v>
      </c>
      <c r="T350" s="7"/>
      <c r="U350" s="24"/>
    </row>
    <row r="351" spans="2:21" s="112" customFormat="1" ht="13.5" customHeight="1" x14ac:dyDescent="0.15">
      <c r="B351" s="19"/>
      <c r="C351" s="164"/>
      <c r="D351" s="165"/>
      <c r="E351" s="144"/>
      <c r="F351" s="47"/>
      <c r="G351" s="153"/>
      <c r="H351" s="118"/>
      <c r="I351" s="22"/>
      <c r="J351" s="22"/>
      <c r="K351" s="22"/>
      <c r="L351" s="22"/>
      <c r="M351" s="22"/>
      <c r="N351" s="22"/>
      <c r="O351" s="22"/>
      <c r="P351" s="22">
        <f>SUM(P336:P350)</f>
        <v>681</v>
      </c>
      <c r="Q351" s="22">
        <f>SUM(Q336:Q350)</f>
        <v>946</v>
      </c>
      <c r="R351" s="22">
        <f>SUM(R338:R349)</f>
        <v>629</v>
      </c>
      <c r="S351" s="22">
        <f>SUM(S338:S349)</f>
        <v>2256</v>
      </c>
      <c r="T351" s="7"/>
      <c r="U351" s="24"/>
    </row>
    <row r="352" spans="2:21" s="112" customFormat="1" ht="13.5" customHeight="1" x14ac:dyDescent="0.15">
      <c r="B352" s="19"/>
      <c r="C352" s="164"/>
      <c r="D352" s="164" t="s">
        <v>113</v>
      </c>
      <c r="E352" s="161"/>
      <c r="F352" s="135" t="s">
        <v>44</v>
      </c>
      <c r="G352" s="127" t="s">
        <v>45</v>
      </c>
      <c r="H352" s="159">
        <v>44524</v>
      </c>
      <c r="I352" s="136"/>
      <c r="J352" s="136"/>
      <c r="K352" s="133"/>
      <c r="L352" s="133"/>
      <c r="M352" s="133"/>
      <c r="N352" s="133"/>
      <c r="O352" s="132"/>
      <c r="P352" s="6"/>
      <c r="Q352" s="6"/>
      <c r="R352" s="6"/>
      <c r="S352" s="6"/>
      <c r="T352" s="7"/>
      <c r="U352" s="24"/>
    </row>
    <row r="353" spans="2:21" s="112" customFormat="1" ht="13.5" customHeight="1" x14ac:dyDescent="0.15">
      <c r="B353" s="19"/>
      <c r="C353" s="164"/>
      <c r="D353" s="164"/>
      <c r="E353" s="162"/>
      <c r="F353" s="128" t="s">
        <v>46</v>
      </c>
      <c r="G353" s="127" t="s">
        <v>47</v>
      </c>
      <c r="H353" s="160"/>
      <c r="I353" s="132"/>
      <c r="J353" s="132"/>
      <c r="K353" s="133"/>
      <c r="L353" s="133"/>
      <c r="M353" s="133"/>
      <c r="N353" s="133"/>
      <c r="O353" s="132"/>
      <c r="P353" s="6"/>
      <c r="Q353" s="6"/>
      <c r="R353" s="6"/>
      <c r="S353" s="6"/>
      <c r="T353" s="7"/>
      <c r="U353" s="24"/>
    </row>
    <row r="354" spans="2:21" s="112" customFormat="1" ht="13.5" customHeight="1" x14ac:dyDescent="0.15">
      <c r="B354" s="19"/>
      <c r="C354" s="164"/>
      <c r="D354" s="164"/>
      <c r="E354" s="162"/>
      <c r="F354" s="128" t="s">
        <v>48</v>
      </c>
      <c r="G354" s="127" t="s">
        <v>49</v>
      </c>
      <c r="H354" s="160"/>
      <c r="I354" s="132"/>
      <c r="J354" s="132"/>
      <c r="K354" s="133">
        <v>14</v>
      </c>
      <c r="L354" s="133">
        <v>31</v>
      </c>
      <c r="M354" s="133">
        <v>39</v>
      </c>
      <c r="N354" s="133">
        <v>18</v>
      </c>
      <c r="O354" s="132"/>
      <c r="P354" s="6"/>
      <c r="Q354" s="6"/>
      <c r="R354" s="6"/>
      <c r="S354" s="6">
        <f>SUM(K354:N354)</f>
        <v>102</v>
      </c>
      <c r="T354" s="7"/>
      <c r="U354" s="24"/>
    </row>
    <row r="355" spans="2:21" s="112" customFormat="1" ht="13.5" customHeight="1" x14ac:dyDescent="0.15">
      <c r="B355" s="19"/>
      <c r="C355" s="164"/>
      <c r="D355" s="164"/>
      <c r="E355" s="162"/>
      <c r="F355" s="128" t="s">
        <v>50</v>
      </c>
      <c r="G355" s="127" t="s">
        <v>51</v>
      </c>
      <c r="H355" s="160"/>
      <c r="I355" s="132"/>
      <c r="J355" s="132"/>
      <c r="K355" s="133">
        <v>10</v>
      </c>
      <c r="L355" s="133">
        <v>22</v>
      </c>
      <c r="M355" s="133">
        <v>28</v>
      </c>
      <c r="N355" s="133">
        <v>13</v>
      </c>
      <c r="O355" s="132"/>
      <c r="P355" s="6"/>
      <c r="Q355" s="6"/>
      <c r="R355" s="6"/>
      <c r="S355" s="6">
        <f>SUM(K355:N355)</f>
        <v>73</v>
      </c>
      <c r="T355" s="7"/>
      <c r="U355" s="24"/>
    </row>
    <row r="356" spans="2:21" s="112" customFormat="1" ht="13.5" customHeight="1" x14ac:dyDescent="0.15">
      <c r="B356" s="19"/>
      <c r="C356" s="164"/>
      <c r="D356" s="164"/>
      <c r="E356" s="162"/>
      <c r="F356" s="128" t="s">
        <v>52</v>
      </c>
      <c r="G356" s="127" t="s">
        <v>53</v>
      </c>
      <c r="H356" s="160"/>
      <c r="I356" s="136"/>
      <c r="J356" s="136"/>
      <c r="K356" s="133"/>
      <c r="L356" s="133"/>
      <c r="M356" s="133"/>
      <c r="N356" s="133"/>
      <c r="O356" s="132"/>
      <c r="P356" s="6"/>
      <c r="Q356" s="6"/>
      <c r="R356" s="6"/>
      <c r="S356" s="6"/>
      <c r="T356" s="7"/>
      <c r="U356" s="24"/>
    </row>
    <row r="357" spans="2:21" s="112" customFormat="1" ht="13.5" customHeight="1" x14ac:dyDescent="0.15">
      <c r="B357" s="19"/>
      <c r="C357" s="164"/>
      <c r="D357" s="164"/>
      <c r="E357" s="162"/>
      <c r="F357" s="128" t="s">
        <v>54</v>
      </c>
      <c r="G357" s="127" t="s">
        <v>55</v>
      </c>
      <c r="H357" s="160"/>
      <c r="I357" s="136"/>
      <c r="J357" s="136"/>
      <c r="K357" s="133">
        <v>17</v>
      </c>
      <c r="L357" s="133">
        <v>37</v>
      </c>
      <c r="M357" s="133">
        <v>48</v>
      </c>
      <c r="N357" s="133">
        <v>22</v>
      </c>
      <c r="O357" s="132"/>
      <c r="P357" s="6"/>
      <c r="Q357" s="6"/>
      <c r="R357" s="6"/>
      <c r="S357" s="6">
        <f>SUM(K357:N357)</f>
        <v>124</v>
      </c>
      <c r="T357" s="7"/>
      <c r="U357" s="24"/>
    </row>
    <row r="358" spans="2:21" s="112" customFormat="1" ht="13.5" customHeight="1" x14ac:dyDescent="0.15">
      <c r="B358" s="19"/>
      <c r="C358" s="164"/>
      <c r="D358" s="164"/>
      <c r="E358" s="162"/>
      <c r="F358" s="137" t="s">
        <v>56</v>
      </c>
      <c r="G358" s="130" t="s">
        <v>57</v>
      </c>
      <c r="H358" s="160"/>
      <c r="I358" s="136"/>
      <c r="J358" s="136"/>
      <c r="K358" s="133">
        <v>10</v>
      </c>
      <c r="L358" s="133">
        <v>21</v>
      </c>
      <c r="M358" s="133">
        <v>27</v>
      </c>
      <c r="N358" s="133">
        <v>13</v>
      </c>
      <c r="O358" s="132"/>
      <c r="P358" s="6"/>
      <c r="Q358" s="6"/>
      <c r="R358" s="6"/>
      <c r="S358" s="6">
        <f>SUM(K358:N358)</f>
        <v>71</v>
      </c>
      <c r="T358" s="7"/>
      <c r="U358" s="24"/>
    </row>
    <row r="359" spans="2:21" s="112" customFormat="1" ht="13.5" customHeight="1" x14ac:dyDescent="0.15">
      <c r="B359" s="19"/>
      <c r="C359" s="164"/>
      <c r="D359" s="164"/>
      <c r="E359" s="162"/>
      <c r="F359" s="129" t="s">
        <v>58</v>
      </c>
      <c r="G359" s="130" t="s">
        <v>59</v>
      </c>
      <c r="H359" s="160"/>
      <c r="I359" s="132"/>
      <c r="J359" s="132"/>
      <c r="K359" s="133">
        <v>22</v>
      </c>
      <c r="L359" s="133">
        <v>48</v>
      </c>
      <c r="M359" s="133">
        <v>61</v>
      </c>
      <c r="N359" s="133">
        <v>28</v>
      </c>
      <c r="O359" s="132"/>
      <c r="P359" s="132"/>
      <c r="Q359" s="132"/>
      <c r="R359" s="132"/>
      <c r="S359" s="132">
        <f>SUM(K359:N359)</f>
        <v>159</v>
      </c>
      <c r="T359" s="7"/>
      <c r="U359" s="24"/>
    </row>
    <row r="360" spans="2:21" s="112" customFormat="1" ht="13.5" customHeight="1" x14ac:dyDescent="0.15">
      <c r="B360" s="19"/>
      <c r="C360" s="164"/>
      <c r="D360" s="164"/>
      <c r="E360" s="162"/>
      <c r="F360" s="138" t="s">
        <v>60</v>
      </c>
      <c r="G360" s="127" t="s">
        <v>61</v>
      </c>
      <c r="H360" s="160"/>
      <c r="I360" s="132"/>
      <c r="J360" s="132"/>
      <c r="K360" s="133"/>
      <c r="L360" s="133"/>
      <c r="M360" s="133"/>
      <c r="N360" s="133"/>
      <c r="O360" s="132"/>
      <c r="P360" s="6"/>
      <c r="Q360" s="6"/>
      <c r="R360" s="6"/>
      <c r="S360" s="6"/>
      <c r="T360" s="7"/>
      <c r="U360" s="24"/>
    </row>
    <row r="361" spans="2:21" s="112" customFormat="1" ht="13.5" customHeight="1" x14ac:dyDescent="0.15">
      <c r="B361" s="19"/>
      <c r="C361" s="164"/>
      <c r="D361" s="164"/>
      <c r="E361" s="162"/>
      <c r="F361" s="126" t="s">
        <v>62</v>
      </c>
      <c r="G361" s="127" t="s">
        <v>63</v>
      </c>
      <c r="H361" s="160"/>
      <c r="I361" s="132"/>
      <c r="J361" s="132"/>
      <c r="K361" s="133"/>
      <c r="L361" s="133"/>
      <c r="M361" s="133"/>
      <c r="N361" s="133"/>
      <c r="O361" s="132"/>
      <c r="P361" s="6"/>
      <c r="Q361" s="6"/>
      <c r="R361" s="6"/>
      <c r="S361" s="6"/>
      <c r="T361" s="7"/>
      <c r="U361" s="24"/>
    </row>
    <row r="362" spans="2:21" s="112" customFormat="1" ht="13.5" customHeight="1" x14ac:dyDescent="0.15">
      <c r="B362" s="19"/>
      <c r="C362" s="164"/>
      <c r="D362" s="164"/>
      <c r="E362" s="162"/>
      <c r="F362" s="128" t="s">
        <v>64</v>
      </c>
      <c r="G362" s="127" t="s">
        <v>65</v>
      </c>
      <c r="H362" s="160"/>
      <c r="I362" s="132"/>
      <c r="J362" s="132"/>
      <c r="K362" s="133"/>
      <c r="L362" s="133"/>
      <c r="M362" s="133"/>
      <c r="N362" s="133"/>
      <c r="O362" s="132"/>
      <c r="P362" s="132"/>
      <c r="Q362" s="132"/>
      <c r="R362" s="132"/>
      <c r="S362" s="132">
        <f>SUM(K362:N362)</f>
        <v>0</v>
      </c>
      <c r="T362" s="7"/>
      <c r="U362" s="24"/>
    </row>
    <row r="363" spans="2:21" s="112" customFormat="1" ht="13.5" customHeight="1" x14ac:dyDescent="0.15">
      <c r="B363" s="19"/>
      <c r="C363" s="164"/>
      <c r="D363" s="164"/>
      <c r="E363" s="162"/>
      <c r="F363" s="128" t="s">
        <v>66</v>
      </c>
      <c r="G363" s="127" t="s">
        <v>67</v>
      </c>
      <c r="H363" s="160"/>
      <c r="I363" s="132"/>
      <c r="J363" s="132"/>
      <c r="K363" s="133">
        <v>25</v>
      </c>
      <c r="L363" s="133">
        <v>54</v>
      </c>
      <c r="M363" s="133">
        <v>69</v>
      </c>
      <c r="N363" s="133">
        <v>32</v>
      </c>
      <c r="O363" s="132"/>
      <c r="P363" s="6"/>
      <c r="Q363" s="6"/>
      <c r="R363" s="6"/>
      <c r="S363" s="6">
        <f>SUM(K363:N363)</f>
        <v>180</v>
      </c>
      <c r="T363" s="7"/>
      <c r="U363" s="149">
        <f>S351+S366+S382</f>
        <v>5386</v>
      </c>
    </row>
    <row r="364" spans="2:21" s="112" customFormat="1" ht="13.5" customHeight="1" x14ac:dyDescent="0.15">
      <c r="B364" s="19"/>
      <c r="C364" s="164"/>
      <c r="D364" s="164"/>
      <c r="E364" s="162"/>
      <c r="F364" s="129" t="s">
        <v>68</v>
      </c>
      <c r="G364" s="130" t="s">
        <v>69</v>
      </c>
      <c r="H364" s="160"/>
      <c r="I364" s="132"/>
      <c r="J364" s="132"/>
      <c r="K364" s="133">
        <v>6</v>
      </c>
      <c r="L364" s="133">
        <v>13</v>
      </c>
      <c r="M364" s="133">
        <v>17</v>
      </c>
      <c r="N364" s="133">
        <v>8</v>
      </c>
      <c r="O364" s="132"/>
      <c r="P364" s="6"/>
      <c r="Q364" s="6"/>
      <c r="R364" s="6"/>
      <c r="S364" s="6">
        <f>SUM(K364:N364)</f>
        <v>44</v>
      </c>
      <c r="T364" s="7"/>
      <c r="U364" s="24"/>
    </row>
    <row r="365" spans="2:21" s="112" customFormat="1" ht="13.5" customHeight="1" x14ac:dyDescent="0.15">
      <c r="B365" s="19"/>
      <c r="C365" s="164"/>
      <c r="D365" s="164"/>
      <c r="E365" s="162"/>
      <c r="F365" s="126" t="s">
        <v>70</v>
      </c>
      <c r="G365" s="127" t="s">
        <v>71</v>
      </c>
      <c r="H365" s="167"/>
      <c r="I365" s="132"/>
      <c r="J365" s="132"/>
      <c r="K365" s="133"/>
      <c r="L365" s="133"/>
      <c r="M365" s="133"/>
      <c r="N365" s="133"/>
      <c r="O365" s="132"/>
      <c r="P365" s="6"/>
      <c r="Q365" s="6"/>
      <c r="R365" s="6"/>
      <c r="S365" s="6">
        <f>SUM(K365:N365)</f>
        <v>0</v>
      </c>
      <c r="T365" s="7"/>
      <c r="U365" s="24"/>
    </row>
    <row r="366" spans="2:21" s="112" customFormat="1" ht="13.5" customHeight="1" x14ac:dyDescent="0.15">
      <c r="B366" s="19"/>
      <c r="C366" s="164"/>
      <c r="D366" s="165"/>
      <c r="E366" s="166"/>
      <c r="F366" s="139"/>
      <c r="G366" s="131"/>
      <c r="H366" s="118"/>
      <c r="I366" s="22"/>
      <c r="J366" s="22"/>
      <c r="K366" s="22">
        <f>SUM(K354:K365)</f>
        <v>104</v>
      </c>
      <c r="L366" s="22">
        <f t="shared" ref="L366:N366" si="53">SUM(L354:L365)</f>
        <v>226</v>
      </c>
      <c r="M366" s="22">
        <f t="shared" si="53"/>
        <v>289</v>
      </c>
      <c r="N366" s="22">
        <f t="shared" si="53"/>
        <v>134</v>
      </c>
      <c r="O366" s="22"/>
      <c r="P366" s="22"/>
      <c r="Q366" s="22"/>
      <c r="R366" s="22"/>
      <c r="S366" s="22">
        <f>SUM(S354:S365)</f>
        <v>753</v>
      </c>
      <c r="T366" s="7"/>
      <c r="U366" s="24"/>
    </row>
    <row r="367" spans="2:21" s="112" customFormat="1" ht="13.5" customHeight="1" x14ac:dyDescent="0.15">
      <c r="B367" s="19"/>
      <c r="C367" s="164"/>
      <c r="D367" s="163" t="s">
        <v>114</v>
      </c>
      <c r="E367" s="168"/>
      <c r="F367" s="135" t="s">
        <v>44</v>
      </c>
      <c r="G367" s="127" t="s">
        <v>45</v>
      </c>
      <c r="H367" s="159">
        <v>44524</v>
      </c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7"/>
      <c r="U367" s="24"/>
    </row>
    <row r="368" spans="2:21" s="112" customFormat="1" ht="13.5" customHeight="1" x14ac:dyDescent="0.15">
      <c r="B368" s="19"/>
      <c r="C368" s="164"/>
      <c r="D368" s="164"/>
      <c r="E368" s="169"/>
      <c r="F368" s="128" t="s">
        <v>46</v>
      </c>
      <c r="G368" s="127" t="s">
        <v>47</v>
      </c>
      <c r="H368" s="160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7"/>
      <c r="U368" s="24"/>
    </row>
    <row r="369" spans="2:21" s="112" customFormat="1" ht="13.5" customHeight="1" x14ac:dyDescent="0.15">
      <c r="B369" s="19"/>
      <c r="C369" s="164"/>
      <c r="D369" s="164"/>
      <c r="E369" s="169"/>
      <c r="F369" s="128" t="s">
        <v>48</v>
      </c>
      <c r="G369" s="127" t="s">
        <v>49</v>
      </c>
      <c r="H369" s="160"/>
      <c r="I369" s="6">
        <v>19</v>
      </c>
      <c r="J369" s="6">
        <v>44</v>
      </c>
      <c r="K369" s="6">
        <v>62</v>
      </c>
      <c r="L369" s="6">
        <v>66</v>
      </c>
      <c r="M369" s="6">
        <v>71</v>
      </c>
      <c r="N369" s="6">
        <v>46</v>
      </c>
      <c r="O369" s="6">
        <v>15</v>
      </c>
      <c r="P369" s="6"/>
      <c r="Q369" s="6"/>
      <c r="R369" s="6"/>
      <c r="S369" s="6">
        <f>SUM(I369:P369)</f>
        <v>323</v>
      </c>
      <c r="T369" s="7"/>
      <c r="U369" s="24"/>
    </row>
    <row r="370" spans="2:21" s="112" customFormat="1" ht="13.5" customHeight="1" x14ac:dyDescent="0.15">
      <c r="B370" s="19"/>
      <c r="C370" s="164"/>
      <c r="D370" s="164"/>
      <c r="E370" s="169"/>
      <c r="F370" s="128" t="s">
        <v>50</v>
      </c>
      <c r="G370" s="127" t="s">
        <v>51</v>
      </c>
      <c r="H370" s="160"/>
      <c r="I370" s="6">
        <v>13</v>
      </c>
      <c r="J370" s="6">
        <v>31</v>
      </c>
      <c r="K370" s="6">
        <v>45</v>
      </c>
      <c r="L370" s="6">
        <v>47</v>
      </c>
      <c r="M370" s="6">
        <v>51</v>
      </c>
      <c r="N370" s="6">
        <v>33</v>
      </c>
      <c r="O370" s="6">
        <v>11</v>
      </c>
      <c r="P370" s="6"/>
      <c r="Q370" s="6"/>
      <c r="R370" s="6"/>
      <c r="S370" s="6">
        <f>SUM(I370:O370)</f>
        <v>231</v>
      </c>
      <c r="T370" s="7"/>
      <c r="U370" s="24"/>
    </row>
    <row r="371" spans="2:21" s="112" customFormat="1" ht="13.5" customHeight="1" x14ac:dyDescent="0.15">
      <c r="B371" s="19"/>
      <c r="C371" s="164"/>
      <c r="D371" s="164"/>
      <c r="E371" s="169"/>
      <c r="F371" s="128" t="s">
        <v>52</v>
      </c>
      <c r="G371" s="127" t="s">
        <v>53</v>
      </c>
      <c r="H371" s="160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7"/>
      <c r="U371" s="24"/>
    </row>
    <row r="372" spans="2:21" s="112" customFormat="1" ht="13.5" customHeight="1" x14ac:dyDescent="0.15">
      <c r="B372" s="19"/>
      <c r="C372" s="164"/>
      <c r="D372" s="164"/>
      <c r="E372" s="169"/>
      <c r="F372" s="128" t="s">
        <v>115</v>
      </c>
      <c r="G372" s="127" t="s">
        <v>55</v>
      </c>
      <c r="H372" s="160"/>
      <c r="I372" s="6">
        <v>23</v>
      </c>
      <c r="J372" s="6">
        <v>53</v>
      </c>
      <c r="K372" s="6">
        <v>76</v>
      </c>
      <c r="L372" s="6">
        <v>80</v>
      </c>
      <c r="M372" s="6">
        <v>86</v>
      </c>
      <c r="N372" s="6">
        <v>56</v>
      </c>
      <c r="O372" s="6">
        <v>18</v>
      </c>
      <c r="P372" s="6"/>
      <c r="Q372" s="6"/>
      <c r="R372" s="6"/>
      <c r="S372" s="6">
        <f>SUM(I372:O372)</f>
        <v>392</v>
      </c>
      <c r="T372" s="7"/>
      <c r="U372" s="24"/>
    </row>
    <row r="373" spans="2:21" s="112" customFormat="1" ht="13.5" customHeight="1" x14ac:dyDescent="0.15">
      <c r="B373" s="19"/>
      <c r="C373" s="164"/>
      <c r="D373" s="164"/>
      <c r="E373" s="169"/>
      <c r="F373" s="137" t="s">
        <v>56</v>
      </c>
      <c r="G373" s="130" t="s">
        <v>57</v>
      </c>
      <c r="H373" s="160"/>
      <c r="I373" s="6">
        <v>13</v>
      </c>
      <c r="J373" s="6">
        <v>31</v>
      </c>
      <c r="K373" s="6">
        <v>44</v>
      </c>
      <c r="L373" s="6">
        <v>46</v>
      </c>
      <c r="M373" s="6">
        <v>50</v>
      </c>
      <c r="N373" s="6">
        <v>32</v>
      </c>
      <c r="O373" s="6">
        <v>10</v>
      </c>
      <c r="P373" s="6"/>
      <c r="Q373" s="6"/>
      <c r="R373" s="6"/>
      <c r="S373" s="6">
        <f>SUM(I373:Q373)</f>
        <v>226</v>
      </c>
      <c r="T373" s="7"/>
      <c r="U373" s="24"/>
    </row>
    <row r="374" spans="2:21" s="112" customFormat="1" ht="13.5" customHeight="1" x14ac:dyDescent="0.15">
      <c r="B374" s="19"/>
      <c r="C374" s="164"/>
      <c r="D374" s="164"/>
      <c r="E374" s="169"/>
      <c r="F374" s="125" t="s">
        <v>58</v>
      </c>
      <c r="G374" s="110" t="s">
        <v>59</v>
      </c>
      <c r="H374" s="160"/>
      <c r="I374" s="6">
        <v>29</v>
      </c>
      <c r="J374" s="6">
        <v>68</v>
      </c>
      <c r="K374" s="6">
        <v>97</v>
      </c>
      <c r="L374" s="6">
        <v>102</v>
      </c>
      <c r="M374" s="6">
        <v>110</v>
      </c>
      <c r="N374" s="6">
        <v>72</v>
      </c>
      <c r="O374" s="6">
        <v>23</v>
      </c>
      <c r="P374" s="6"/>
      <c r="Q374" s="6"/>
      <c r="R374" s="6"/>
      <c r="S374" s="6">
        <f>SUM(I374:Q374)</f>
        <v>501</v>
      </c>
      <c r="T374" s="7"/>
      <c r="U374" s="24"/>
    </row>
    <row r="375" spans="2:21" s="112" customFormat="1" ht="13.5" customHeight="1" x14ac:dyDescent="0.15">
      <c r="B375" s="19"/>
      <c r="C375" s="164"/>
      <c r="D375" s="164"/>
      <c r="E375" s="169"/>
      <c r="F375" s="138" t="s">
        <v>60</v>
      </c>
      <c r="G375" s="127" t="s">
        <v>61</v>
      </c>
      <c r="H375" s="160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7"/>
      <c r="U375" s="24"/>
    </row>
    <row r="376" spans="2:21" s="112" customFormat="1" ht="13.5" customHeight="1" x14ac:dyDescent="0.15">
      <c r="B376" s="19"/>
      <c r="C376" s="164"/>
      <c r="D376" s="164"/>
      <c r="E376" s="169"/>
      <c r="F376" s="126" t="s">
        <v>62</v>
      </c>
      <c r="G376" s="127" t="s">
        <v>63</v>
      </c>
      <c r="H376" s="160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7"/>
      <c r="U376" s="24"/>
    </row>
    <row r="377" spans="2:21" s="112" customFormat="1" ht="13.5" customHeight="1" x14ac:dyDescent="0.15">
      <c r="B377" s="19"/>
      <c r="C377" s="164"/>
      <c r="D377" s="164"/>
      <c r="E377" s="169"/>
      <c r="F377" s="128" t="s">
        <v>64</v>
      </c>
      <c r="G377" s="127" t="s">
        <v>65</v>
      </c>
      <c r="H377" s="160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7"/>
      <c r="U377" s="24"/>
    </row>
    <row r="378" spans="2:21" s="112" customFormat="1" ht="13.5" customHeight="1" x14ac:dyDescent="0.15">
      <c r="B378" s="19"/>
      <c r="C378" s="164"/>
      <c r="D378" s="164"/>
      <c r="E378" s="169"/>
      <c r="F378" s="128" t="s">
        <v>66</v>
      </c>
      <c r="G378" s="127" t="s">
        <v>67</v>
      </c>
      <c r="H378" s="160"/>
      <c r="I378" s="6">
        <v>33</v>
      </c>
      <c r="J378" s="6">
        <v>77</v>
      </c>
      <c r="K378" s="6">
        <v>110</v>
      </c>
      <c r="L378" s="6">
        <v>115</v>
      </c>
      <c r="M378" s="6">
        <v>124</v>
      </c>
      <c r="N378" s="6">
        <v>81</v>
      </c>
      <c r="O378" s="6">
        <v>26</v>
      </c>
      <c r="P378" s="6"/>
      <c r="Q378" s="6"/>
      <c r="R378" s="6"/>
      <c r="S378" s="6">
        <f>SUM(I378:O378)</f>
        <v>566</v>
      </c>
      <c r="T378" s="7"/>
      <c r="U378" s="149">
        <f>S382+S366+S351+S334+S286+S239+S224+S209+T191+T142+T94+T47</f>
        <v>124915</v>
      </c>
    </row>
    <row r="379" spans="2:21" s="112" customFormat="1" ht="13.5" customHeight="1" x14ac:dyDescent="0.15">
      <c r="B379" s="19"/>
      <c r="C379" s="164"/>
      <c r="D379" s="164"/>
      <c r="E379" s="169"/>
      <c r="F379" s="129" t="s">
        <v>68</v>
      </c>
      <c r="G379" s="130" t="s">
        <v>69</v>
      </c>
      <c r="H379" s="160"/>
      <c r="I379" s="6">
        <v>8</v>
      </c>
      <c r="J379" s="6">
        <v>19</v>
      </c>
      <c r="K379" s="6">
        <v>27</v>
      </c>
      <c r="L379" s="6">
        <v>28</v>
      </c>
      <c r="M379" s="6">
        <v>30</v>
      </c>
      <c r="N379" s="6">
        <v>20</v>
      </c>
      <c r="O379" s="6">
        <v>6</v>
      </c>
      <c r="P379" s="6"/>
      <c r="Q379" s="6"/>
      <c r="R379" s="6"/>
      <c r="S379" s="6">
        <f>SUM(I379:O379)</f>
        <v>138</v>
      </c>
      <c r="T379" s="7"/>
      <c r="U379" s="24"/>
    </row>
    <row r="380" spans="2:21" s="112" customFormat="1" ht="13.5" customHeight="1" x14ac:dyDescent="0.15">
      <c r="B380" s="19"/>
      <c r="C380" s="164"/>
      <c r="D380" s="164"/>
      <c r="E380" s="169"/>
      <c r="F380" s="126" t="s">
        <v>70</v>
      </c>
      <c r="G380" s="127" t="s">
        <v>71</v>
      </c>
      <c r="H380" s="160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>
        <f>SUM(I380:Q380)</f>
        <v>0</v>
      </c>
      <c r="T380" s="7"/>
      <c r="U380" s="24"/>
    </row>
    <row r="381" spans="2:21" s="112" customFormat="1" ht="13.5" customHeight="1" x14ac:dyDescent="0.15">
      <c r="B381" s="19"/>
      <c r="C381" s="164"/>
      <c r="D381" s="164"/>
      <c r="E381" s="169"/>
      <c r="F381" s="129"/>
      <c r="G381" s="130"/>
      <c r="H381" s="160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7"/>
      <c r="U381" s="24"/>
    </row>
    <row r="382" spans="2:21" s="112" customFormat="1" ht="13.5" customHeight="1" x14ac:dyDescent="0.15">
      <c r="B382" s="19"/>
      <c r="C382" s="165"/>
      <c r="D382" s="165"/>
      <c r="E382" s="170"/>
      <c r="F382" s="129"/>
      <c r="G382" s="130"/>
      <c r="H382" s="118"/>
      <c r="I382" s="22">
        <f>SUM(I367:I380)</f>
        <v>138</v>
      </c>
      <c r="J382" s="22">
        <f>SUM(J367:J380)</f>
        <v>323</v>
      </c>
      <c r="K382" s="22">
        <f>SUM(K367:K380)</f>
        <v>461</v>
      </c>
      <c r="L382" s="22">
        <f t="shared" ref="L382:R382" si="54">SUM(L367:L380)</f>
        <v>484</v>
      </c>
      <c r="M382" s="22">
        <f t="shared" si="54"/>
        <v>522</v>
      </c>
      <c r="N382" s="22">
        <f t="shared" si="54"/>
        <v>340</v>
      </c>
      <c r="O382" s="22">
        <f t="shared" si="54"/>
        <v>109</v>
      </c>
      <c r="P382" s="22">
        <f t="shared" si="54"/>
        <v>0</v>
      </c>
      <c r="Q382" s="22">
        <f t="shared" si="54"/>
        <v>0</v>
      </c>
      <c r="R382" s="22">
        <f t="shared" si="54"/>
        <v>0</v>
      </c>
      <c r="S382" s="22">
        <f>SUM(S367:S380)</f>
        <v>2377</v>
      </c>
      <c r="T382" s="7"/>
      <c r="U382" s="24"/>
    </row>
    <row r="383" spans="2:21" s="112" customFormat="1" ht="13.5" customHeight="1" x14ac:dyDescent="0.15">
      <c r="B383" s="19"/>
      <c r="C383" s="163">
        <v>4500458563</v>
      </c>
      <c r="D383" s="114" t="s">
        <v>4</v>
      </c>
      <c r="E383" s="143" t="s">
        <v>5</v>
      </c>
      <c r="F383" s="143" t="s">
        <v>6</v>
      </c>
      <c r="G383" s="113"/>
      <c r="H383" s="114" t="s">
        <v>7</v>
      </c>
      <c r="I383" s="114" t="s">
        <v>104</v>
      </c>
      <c r="J383" s="114" t="s">
        <v>105</v>
      </c>
      <c r="K383" s="114" t="s">
        <v>106</v>
      </c>
      <c r="L383" s="114" t="s">
        <v>107</v>
      </c>
      <c r="M383" s="114" t="s">
        <v>108</v>
      </c>
      <c r="N383" s="114" t="s">
        <v>109</v>
      </c>
      <c r="O383" s="114" t="s">
        <v>110</v>
      </c>
      <c r="P383" s="44" t="s">
        <v>8</v>
      </c>
      <c r="Q383" s="44" t="s">
        <v>9</v>
      </c>
      <c r="R383" s="44" t="s">
        <v>10</v>
      </c>
      <c r="S383" s="6" t="s">
        <v>11</v>
      </c>
      <c r="T383" s="197" t="s">
        <v>117</v>
      </c>
      <c r="U383" s="196"/>
    </row>
    <row r="384" spans="2:21" s="112" customFormat="1" ht="13.5" customHeight="1" x14ac:dyDescent="0.15">
      <c r="B384" s="19"/>
      <c r="C384" s="164"/>
      <c r="D384" s="163" t="s">
        <v>112</v>
      </c>
      <c r="E384" s="161"/>
      <c r="F384" s="47" t="s">
        <v>44</v>
      </c>
      <c r="G384" s="119" t="s">
        <v>45</v>
      </c>
      <c r="H384" s="161">
        <v>44468</v>
      </c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>
        <f>SUM(P384:R384)</f>
        <v>0</v>
      </c>
      <c r="U384" s="24"/>
    </row>
    <row r="385" spans="2:21" s="112" customFormat="1" ht="13.5" customHeight="1" x14ac:dyDescent="0.15">
      <c r="B385" s="19"/>
      <c r="C385" s="164"/>
      <c r="D385" s="164"/>
      <c r="E385" s="162"/>
      <c r="F385" s="158" t="s">
        <v>46</v>
      </c>
      <c r="G385" s="119" t="s">
        <v>47</v>
      </c>
      <c r="H385" s="162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>
        <f t="shared" ref="S385:S389" si="55">SUM(P385:R385)</f>
        <v>0</v>
      </c>
      <c r="U385" s="24"/>
    </row>
    <row r="386" spans="2:21" s="112" customFormat="1" ht="13.5" customHeight="1" x14ac:dyDescent="0.15">
      <c r="B386" s="19"/>
      <c r="C386" s="164"/>
      <c r="D386" s="164"/>
      <c r="E386" s="162"/>
      <c r="F386" s="128" t="s">
        <v>48</v>
      </c>
      <c r="G386" s="127" t="s">
        <v>49</v>
      </c>
      <c r="H386" s="162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>
        <f t="shared" si="55"/>
        <v>0</v>
      </c>
      <c r="U386" s="24"/>
    </row>
    <row r="387" spans="2:21" s="112" customFormat="1" ht="13.5" customHeight="1" x14ac:dyDescent="0.15">
      <c r="B387" s="19"/>
      <c r="C387" s="164"/>
      <c r="D387" s="164"/>
      <c r="E387" s="162"/>
      <c r="F387" s="128" t="s">
        <v>50</v>
      </c>
      <c r="G387" s="127" t="s">
        <v>51</v>
      </c>
      <c r="H387" s="162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>
        <f t="shared" si="55"/>
        <v>0</v>
      </c>
      <c r="U387" s="24"/>
    </row>
    <row r="388" spans="2:21" s="112" customFormat="1" ht="13.5" customHeight="1" x14ac:dyDescent="0.15">
      <c r="B388" s="19"/>
      <c r="C388" s="164"/>
      <c r="D388" s="164"/>
      <c r="E388" s="162"/>
      <c r="F388" s="158" t="s">
        <v>52</v>
      </c>
      <c r="G388" s="119" t="s">
        <v>53</v>
      </c>
      <c r="H388" s="162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>
        <f t="shared" si="55"/>
        <v>0</v>
      </c>
      <c r="U388" s="24"/>
    </row>
    <row r="389" spans="2:21" s="112" customFormat="1" ht="13.5" customHeight="1" x14ac:dyDescent="0.15">
      <c r="B389" s="19"/>
      <c r="C389" s="164"/>
      <c r="D389" s="164"/>
      <c r="E389" s="162"/>
      <c r="F389" s="128" t="s">
        <v>54</v>
      </c>
      <c r="G389" s="127" t="s">
        <v>55</v>
      </c>
      <c r="H389" s="162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>
        <f t="shared" si="55"/>
        <v>0</v>
      </c>
      <c r="U389" s="24"/>
    </row>
    <row r="390" spans="2:21" s="112" customFormat="1" ht="13.5" customHeight="1" x14ac:dyDescent="0.15">
      <c r="B390" s="19"/>
      <c r="C390" s="164"/>
      <c r="D390" s="164"/>
      <c r="E390" s="162"/>
      <c r="F390" s="111" t="s">
        <v>56</v>
      </c>
      <c r="G390" s="110" t="s">
        <v>57</v>
      </c>
      <c r="H390" s="162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>
        <f>SUM(P390:R390)</f>
        <v>0</v>
      </c>
      <c r="U390" s="24"/>
    </row>
    <row r="391" spans="2:21" s="112" customFormat="1" ht="13.5" customHeight="1" x14ac:dyDescent="0.15">
      <c r="B391" s="19"/>
      <c r="C391" s="164"/>
      <c r="D391" s="164"/>
      <c r="E391" s="162"/>
      <c r="F391" s="129" t="s">
        <v>58</v>
      </c>
      <c r="G391" s="130" t="s">
        <v>59</v>
      </c>
      <c r="H391" s="162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>
        <f t="shared" ref="S391:S398" si="56">SUM(P391:R391)</f>
        <v>0</v>
      </c>
      <c r="U391" s="24"/>
    </row>
    <row r="392" spans="2:21" s="112" customFormat="1" ht="13.5" customHeight="1" x14ac:dyDescent="0.15">
      <c r="B392" s="19"/>
      <c r="C392" s="164"/>
      <c r="D392" s="164"/>
      <c r="E392" s="162"/>
      <c r="F392" s="52" t="s">
        <v>60</v>
      </c>
      <c r="G392" s="119" t="s">
        <v>61</v>
      </c>
      <c r="H392" s="162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>
        <f t="shared" si="56"/>
        <v>0</v>
      </c>
      <c r="U392" s="24"/>
    </row>
    <row r="393" spans="2:21" s="112" customFormat="1" ht="13.5" customHeight="1" x14ac:dyDescent="0.15">
      <c r="B393" s="19"/>
      <c r="C393" s="164"/>
      <c r="D393" s="164"/>
      <c r="E393" s="162"/>
      <c r="F393" s="51" t="s">
        <v>62</v>
      </c>
      <c r="G393" s="119" t="s">
        <v>63</v>
      </c>
      <c r="H393" s="162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>
        <f t="shared" si="56"/>
        <v>0</v>
      </c>
      <c r="U393" s="24"/>
    </row>
    <row r="394" spans="2:21" s="112" customFormat="1" ht="13.5" customHeight="1" x14ac:dyDescent="0.15">
      <c r="B394" s="19"/>
      <c r="C394" s="164"/>
      <c r="D394" s="164"/>
      <c r="E394" s="162"/>
      <c r="F394" s="128" t="s">
        <v>64</v>
      </c>
      <c r="G394" s="127" t="s">
        <v>65</v>
      </c>
      <c r="H394" s="162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>
        <f t="shared" si="56"/>
        <v>0</v>
      </c>
      <c r="U394" s="24"/>
    </row>
    <row r="395" spans="2:21" s="112" customFormat="1" ht="13.5" customHeight="1" x14ac:dyDescent="0.15">
      <c r="B395" s="19"/>
      <c r="C395" s="164"/>
      <c r="D395" s="164"/>
      <c r="E395" s="162"/>
      <c r="F395" s="128" t="s">
        <v>66</v>
      </c>
      <c r="G395" s="127" t="s">
        <v>67</v>
      </c>
      <c r="H395" s="162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>
        <f t="shared" si="56"/>
        <v>0</v>
      </c>
      <c r="U395" s="24"/>
    </row>
    <row r="396" spans="2:21" s="112" customFormat="1" ht="13.5" customHeight="1" x14ac:dyDescent="0.15">
      <c r="B396" s="19"/>
      <c r="C396" s="164"/>
      <c r="D396" s="164"/>
      <c r="E396" s="162"/>
      <c r="F396" s="125" t="s">
        <v>68</v>
      </c>
      <c r="G396" s="110" t="s">
        <v>69</v>
      </c>
      <c r="H396" s="115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>
        <f t="shared" si="56"/>
        <v>0</v>
      </c>
      <c r="U396" s="24"/>
    </row>
    <row r="397" spans="2:21" s="112" customFormat="1" ht="13.5" customHeight="1" x14ac:dyDescent="0.15">
      <c r="B397" s="19"/>
      <c r="C397" s="164"/>
      <c r="D397" s="164"/>
      <c r="E397" s="162"/>
      <c r="F397" s="126" t="s">
        <v>70</v>
      </c>
      <c r="G397" s="127" t="s">
        <v>71</v>
      </c>
      <c r="H397" s="115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>
        <f t="shared" si="56"/>
        <v>0</v>
      </c>
      <c r="U397" s="24"/>
    </row>
    <row r="398" spans="2:21" s="112" customFormat="1" ht="13.5" customHeight="1" x14ac:dyDescent="0.15">
      <c r="B398" s="19"/>
      <c r="C398" s="164"/>
      <c r="D398" s="164"/>
      <c r="E398" s="166"/>
      <c r="F398" s="47"/>
      <c r="G398" s="158"/>
      <c r="H398" s="156" t="s">
        <v>33</v>
      </c>
      <c r="I398" s="23"/>
      <c r="J398" s="23"/>
      <c r="K398" s="23"/>
      <c r="L398" s="23"/>
      <c r="M398" s="23"/>
      <c r="N398" s="6"/>
      <c r="O398" s="6"/>
      <c r="P398" s="6"/>
      <c r="Q398" s="6"/>
      <c r="R398" s="6"/>
      <c r="S398" s="6">
        <f t="shared" si="56"/>
        <v>0</v>
      </c>
      <c r="U398" s="24"/>
    </row>
    <row r="399" spans="2:21" s="112" customFormat="1" ht="13.5" customHeight="1" x14ac:dyDescent="0.15">
      <c r="B399" s="19"/>
      <c r="C399" s="164"/>
      <c r="D399" s="165"/>
      <c r="E399" s="144"/>
      <c r="F399" s="47"/>
      <c r="G399" s="158"/>
      <c r="H399" s="118"/>
      <c r="I399" s="22"/>
      <c r="J399" s="22"/>
      <c r="K399" s="22"/>
      <c r="L399" s="22"/>
      <c r="M399" s="22"/>
      <c r="N399" s="22"/>
      <c r="O399" s="22"/>
      <c r="P399" s="22">
        <f>SUM(P384:P398)</f>
        <v>0</v>
      </c>
      <c r="Q399" s="22">
        <f>SUM(Q384:Q398)</f>
        <v>0</v>
      </c>
      <c r="R399" s="22">
        <f>SUM(R386:R397)</f>
        <v>0</v>
      </c>
      <c r="S399" s="22">
        <f>SUM(S386:S397)</f>
        <v>0</v>
      </c>
      <c r="U399" s="24"/>
    </row>
    <row r="400" spans="2:21" s="112" customFormat="1" ht="13.5" customHeight="1" x14ac:dyDescent="0.15">
      <c r="B400" s="19"/>
      <c r="C400" s="164"/>
      <c r="D400" s="164" t="s">
        <v>113</v>
      </c>
      <c r="E400" s="161"/>
      <c r="F400" s="135" t="s">
        <v>44</v>
      </c>
      <c r="G400" s="127" t="s">
        <v>45</v>
      </c>
      <c r="H400" s="159">
        <v>44468</v>
      </c>
      <c r="I400" s="136"/>
      <c r="J400" s="136"/>
      <c r="K400" s="133"/>
      <c r="L400" s="133"/>
      <c r="M400" s="133"/>
      <c r="N400" s="133"/>
      <c r="O400" s="132"/>
      <c r="P400" s="6"/>
      <c r="Q400" s="6"/>
      <c r="R400" s="6"/>
      <c r="S400" s="6"/>
      <c r="U400" s="24"/>
    </row>
    <row r="401" spans="2:21" s="112" customFormat="1" ht="13.5" customHeight="1" x14ac:dyDescent="0.15">
      <c r="B401" s="19"/>
      <c r="C401" s="164"/>
      <c r="D401" s="164"/>
      <c r="E401" s="162"/>
      <c r="F401" s="128" t="s">
        <v>46</v>
      </c>
      <c r="G401" s="127" t="s">
        <v>47</v>
      </c>
      <c r="H401" s="160"/>
      <c r="I401" s="132"/>
      <c r="J401" s="132"/>
      <c r="K401" s="133"/>
      <c r="L401" s="133"/>
      <c r="M401" s="133"/>
      <c r="N401" s="133"/>
      <c r="O401" s="132"/>
      <c r="P401" s="6"/>
      <c r="Q401" s="6"/>
      <c r="R401" s="6"/>
      <c r="S401" s="6"/>
      <c r="U401" s="24"/>
    </row>
    <row r="402" spans="2:21" s="112" customFormat="1" ht="13.5" customHeight="1" x14ac:dyDescent="0.15">
      <c r="B402" s="19"/>
      <c r="C402" s="164"/>
      <c r="D402" s="164"/>
      <c r="E402" s="162"/>
      <c r="F402" s="128" t="s">
        <v>48</v>
      </c>
      <c r="G402" s="127" t="s">
        <v>49</v>
      </c>
      <c r="H402" s="160"/>
      <c r="I402" s="132"/>
      <c r="J402" s="132"/>
      <c r="K402" s="133"/>
      <c r="L402" s="133"/>
      <c r="M402" s="133"/>
      <c r="N402" s="133"/>
      <c r="O402" s="132"/>
      <c r="P402" s="6"/>
      <c r="Q402" s="6"/>
      <c r="R402" s="6"/>
      <c r="S402" s="6">
        <f>SUM(K402:N402)</f>
        <v>0</v>
      </c>
      <c r="U402" s="24"/>
    </row>
    <row r="403" spans="2:21" s="112" customFormat="1" ht="13.5" customHeight="1" x14ac:dyDescent="0.15">
      <c r="B403" s="19"/>
      <c r="C403" s="164"/>
      <c r="D403" s="164"/>
      <c r="E403" s="162"/>
      <c r="F403" s="128" t="s">
        <v>50</v>
      </c>
      <c r="G403" s="127" t="s">
        <v>51</v>
      </c>
      <c r="H403" s="160"/>
      <c r="I403" s="132"/>
      <c r="J403" s="132"/>
      <c r="K403" s="133"/>
      <c r="L403" s="133"/>
      <c r="M403" s="133"/>
      <c r="N403" s="133"/>
      <c r="O403" s="132"/>
      <c r="P403" s="6"/>
      <c r="Q403" s="6"/>
      <c r="R403" s="6"/>
      <c r="S403" s="6">
        <f>SUM(K403:N403)</f>
        <v>0</v>
      </c>
      <c r="U403" s="24"/>
    </row>
    <row r="404" spans="2:21" s="112" customFormat="1" ht="13.5" customHeight="1" x14ac:dyDescent="0.15">
      <c r="B404" s="19"/>
      <c r="C404" s="164"/>
      <c r="D404" s="164"/>
      <c r="E404" s="162"/>
      <c r="F404" s="128" t="s">
        <v>52</v>
      </c>
      <c r="G404" s="127" t="s">
        <v>53</v>
      </c>
      <c r="H404" s="160"/>
      <c r="I404" s="136"/>
      <c r="J404" s="136"/>
      <c r="K404" s="133"/>
      <c r="L404" s="133"/>
      <c r="M404" s="133"/>
      <c r="N404" s="133"/>
      <c r="O404" s="132"/>
      <c r="P404" s="6"/>
      <c r="Q404" s="6"/>
      <c r="R404" s="6"/>
      <c r="S404" s="6"/>
      <c r="U404" s="24"/>
    </row>
    <row r="405" spans="2:21" s="112" customFormat="1" ht="13.5" customHeight="1" x14ac:dyDescent="0.15">
      <c r="B405" s="19"/>
      <c r="C405" s="164"/>
      <c r="D405" s="164"/>
      <c r="E405" s="162"/>
      <c r="F405" s="128" t="s">
        <v>54</v>
      </c>
      <c r="G405" s="127" t="s">
        <v>55</v>
      </c>
      <c r="H405" s="160"/>
      <c r="I405" s="136"/>
      <c r="J405" s="136"/>
      <c r="K405" s="133"/>
      <c r="L405" s="133"/>
      <c r="M405" s="133"/>
      <c r="N405" s="133"/>
      <c r="O405" s="132"/>
      <c r="P405" s="6"/>
      <c r="Q405" s="6"/>
      <c r="R405" s="6"/>
      <c r="S405" s="6">
        <f>SUM(K405:N405)</f>
        <v>0</v>
      </c>
      <c r="U405" s="24"/>
    </row>
    <row r="406" spans="2:21" s="112" customFormat="1" ht="13.5" customHeight="1" x14ac:dyDescent="0.15">
      <c r="B406" s="19"/>
      <c r="C406" s="164"/>
      <c r="D406" s="164"/>
      <c r="E406" s="162"/>
      <c r="F406" s="137" t="s">
        <v>56</v>
      </c>
      <c r="G406" s="130" t="s">
        <v>57</v>
      </c>
      <c r="H406" s="160"/>
      <c r="I406" s="136"/>
      <c r="J406" s="136"/>
      <c r="K406" s="133"/>
      <c r="L406" s="133"/>
      <c r="M406" s="133"/>
      <c r="N406" s="133"/>
      <c r="O406" s="132"/>
      <c r="P406" s="6"/>
      <c r="Q406" s="6"/>
      <c r="R406" s="6"/>
      <c r="S406" s="6">
        <f>SUM(K406:N406)</f>
        <v>0</v>
      </c>
      <c r="U406" s="24"/>
    </row>
    <row r="407" spans="2:21" s="112" customFormat="1" ht="13.5" customHeight="1" x14ac:dyDescent="0.15">
      <c r="B407" s="19"/>
      <c r="C407" s="164"/>
      <c r="D407" s="164"/>
      <c r="E407" s="162"/>
      <c r="F407" s="129" t="s">
        <v>58</v>
      </c>
      <c r="G407" s="130" t="s">
        <v>59</v>
      </c>
      <c r="H407" s="160"/>
      <c r="I407" s="132"/>
      <c r="J407" s="132"/>
      <c r="K407" s="133"/>
      <c r="L407" s="133"/>
      <c r="M407" s="133"/>
      <c r="N407" s="133"/>
      <c r="O407" s="132"/>
      <c r="P407" s="132"/>
      <c r="Q407" s="132"/>
      <c r="R407" s="132"/>
      <c r="S407" s="132">
        <f>SUM(K407:N407)</f>
        <v>0</v>
      </c>
      <c r="U407" s="24"/>
    </row>
    <row r="408" spans="2:21" s="112" customFormat="1" ht="13.5" customHeight="1" x14ac:dyDescent="0.15">
      <c r="B408" s="19"/>
      <c r="C408" s="164"/>
      <c r="D408" s="164"/>
      <c r="E408" s="162"/>
      <c r="F408" s="138" t="s">
        <v>60</v>
      </c>
      <c r="G408" s="127" t="s">
        <v>61</v>
      </c>
      <c r="H408" s="160"/>
      <c r="I408" s="132"/>
      <c r="J408" s="132"/>
      <c r="K408" s="133"/>
      <c r="L408" s="133"/>
      <c r="M408" s="133"/>
      <c r="N408" s="133"/>
      <c r="O408" s="132"/>
      <c r="P408" s="6"/>
      <c r="Q408" s="6"/>
      <c r="R408" s="6"/>
      <c r="S408" s="6"/>
      <c r="U408" s="24"/>
    </row>
    <row r="409" spans="2:21" s="112" customFormat="1" ht="13.5" customHeight="1" x14ac:dyDescent="0.15">
      <c r="B409" s="19"/>
      <c r="C409" s="164"/>
      <c r="D409" s="164"/>
      <c r="E409" s="162"/>
      <c r="F409" s="126" t="s">
        <v>62</v>
      </c>
      <c r="G409" s="127" t="s">
        <v>63</v>
      </c>
      <c r="H409" s="160"/>
      <c r="I409" s="132"/>
      <c r="J409" s="132"/>
      <c r="K409" s="133"/>
      <c r="L409" s="133"/>
      <c r="M409" s="133"/>
      <c r="N409" s="133"/>
      <c r="O409" s="132"/>
      <c r="P409" s="6"/>
      <c r="Q409" s="6"/>
      <c r="R409" s="6"/>
      <c r="S409" s="6"/>
      <c r="U409" s="24"/>
    </row>
    <row r="410" spans="2:21" s="112" customFormat="1" ht="13.5" customHeight="1" x14ac:dyDescent="0.15">
      <c r="B410" s="19"/>
      <c r="C410" s="164"/>
      <c r="D410" s="164"/>
      <c r="E410" s="162"/>
      <c r="F410" s="128" t="s">
        <v>64</v>
      </c>
      <c r="G410" s="127" t="s">
        <v>65</v>
      </c>
      <c r="H410" s="160"/>
      <c r="I410" s="132"/>
      <c r="J410" s="132"/>
      <c r="K410" s="133"/>
      <c r="L410" s="133"/>
      <c r="M410" s="133"/>
      <c r="N410" s="133"/>
      <c r="O410" s="132"/>
      <c r="P410" s="132"/>
      <c r="Q410" s="132"/>
      <c r="R410" s="132"/>
      <c r="S410" s="132">
        <f>SUM(K410:N410)</f>
        <v>0</v>
      </c>
      <c r="U410" s="24"/>
    </row>
    <row r="411" spans="2:21" s="112" customFormat="1" ht="13.5" customHeight="1" x14ac:dyDescent="0.15">
      <c r="B411" s="19"/>
      <c r="C411" s="164"/>
      <c r="D411" s="164"/>
      <c r="E411" s="162"/>
      <c r="F411" s="128" t="s">
        <v>66</v>
      </c>
      <c r="G411" s="127" t="s">
        <v>67</v>
      </c>
      <c r="H411" s="160"/>
      <c r="I411" s="132"/>
      <c r="J411" s="132"/>
      <c r="K411" s="133"/>
      <c r="L411" s="133"/>
      <c r="M411" s="133"/>
      <c r="N411" s="133"/>
      <c r="O411" s="132"/>
      <c r="P411" s="6"/>
      <c r="Q411" s="6"/>
      <c r="R411" s="6"/>
      <c r="S411" s="6">
        <f>SUM(K411:N411)</f>
        <v>0</v>
      </c>
      <c r="U411" s="24"/>
    </row>
    <row r="412" spans="2:21" s="112" customFormat="1" ht="13.5" customHeight="1" x14ac:dyDescent="0.15">
      <c r="B412" s="19"/>
      <c r="C412" s="164"/>
      <c r="D412" s="164"/>
      <c r="E412" s="162"/>
      <c r="F412" s="129" t="s">
        <v>68</v>
      </c>
      <c r="G412" s="130" t="s">
        <v>69</v>
      </c>
      <c r="H412" s="160"/>
      <c r="I412" s="132"/>
      <c r="J412" s="132"/>
      <c r="K412" s="133"/>
      <c r="L412" s="133"/>
      <c r="M412" s="133"/>
      <c r="N412" s="133"/>
      <c r="O412" s="132"/>
      <c r="P412" s="6"/>
      <c r="Q412" s="6"/>
      <c r="R412" s="6"/>
      <c r="S412" s="6">
        <f>SUM(K412:N412)</f>
        <v>0</v>
      </c>
      <c r="U412" s="24"/>
    </row>
    <row r="413" spans="2:21" s="112" customFormat="1" ht="13.5" customHeight="1" x14ac:dyDescent="0.15">
      <c r="B413" s="19"/>
      <c r="C413" s="164"/>
      <c r="D413" s="164"/>
      <c r="E413" s="162"/>
      <c r="F413" s="126" t="s">
        <v>70</v>
      </c>
      <c r="G413" s="127" t="s">
        <v>71</v>
      </c>
      <c r="H413" s="167"/>
      <c r="I413" s="132"/>
      <c r="J413" s="132"/>
      <c r="K413" s="133"/>
      <c r="L413" s="133"/>
      <c r="M413" s="133"/>
      <c r="N413" s="133"/>
      <c r="O413" s="132"/>
      <c r="P413" s="6"/>
      <c r="Q413" s="6"/>
      <c r="R413" s="6"/>
      <c r="S413" s="6">
        <f>SUM(K413:N413)</f>
        <v>0</v>
      </c>
      <c r="U413" s="24"/>
    </row>
    <row r="414" spans="2:21" s="112" customFormat="1" ht="13.5" customHeight="1" x14ac:dyDescent="0.15">
      <c r="B414" s="19"/>
      <c r="C414" s="164"/>
      <c r="D414" s="165"/>
      <c r="E414" s="166"/>
      <c r="F414" s="139"/>
      <c r="G414" s="131"/>
      <c r="H414" s="118"/>
      <c r="I414" s="22"/>
      <c r="J414" s="22"/>
      <c r="K414" s="22">
        <f>SUM(K402:K413)</f>
        <v>0</v>
      </c>
      <c r="L414" s="22">
        <f t="shared" ref="L414:N414" si="57">SUM(L402:L413)</f>
        <v>0</v>
      </c>
      <c r="M414" s="22">
        <f t="shared" si="57"/>
        <v>0</v>
      </c>
      <c r="N414" s="22">
        <f t="shared" si="57"/>
        <v>0</v>
      </c>
      <c r="O414" s="22"/>
      <c r="P414" s="22"/>
      <c r="Q414" s="22"/>
      <c r="R414" s="22"/>
      <c r="S414" s="22">
        <f>SUM(S402:S413)</f>
        <v>0</v>
      </c>
      <c r="U414" s="24"/>
    </row>
    <row r="415" spans="2:21" s="112" customFormat="1" ht="13.5" customHeight="1" x14ac:dyDescent="0.15">
      <c r="B415" s="19"/>
      <c r="C415" s="164"/>
      <c r="D415" s="163" t="s">
        <v>114</v>
      </c>
      <c r="E415" s="168"/>
      <c r="F415" s="135" t="s">
        <v>44</v>
      </c>
      <c r="G415" s="127" t="s">
        <v>45</v>
      </c>
      <c r="H415" s="159">
        <v>44468</v>
      </c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U415" s="24"/>
    </row>
    <row r="416" spans="2:21" s="112" customFormat="1" ht="13.5" customHeight="1" x14ac:dyDescent="0.15">
      <c r="B416" s="19"/>
      <c r="C416" s="164"/>
      <c r="D416" s="164"/>
      <c r="E416" s="169"/>
      <c r="F416" s="128" t="s">
        <v>46</v>
      </c>
      <c r="G416" s="127" t="s">
        <v>47</v>
      </c>
      <c r="H416" s="160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U416" s="24"/>
    </row>
    <row r="417" spans="2:21" s="112" customFormat="1" ht="15" customHeight="1" x14ac:dyDescent="0.15">
      <c r="B417" s="19"/>
      <c r="C417" s="164"/>
      <c r="D417" s="164"/>
      <c r="E417" s="169"/>
      <c r="F417" s="128" t="s">
        <v>48</v>
      </c>
      <c r="G417" s="127" t="s">
        <v>49</v>
      </c>
      <c r="H417" s="160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>
        <f>SUM(I417:P417)</f>
        <v>0</v>
      </c>
      <c r="U417" s="24"/>
    </row>
    <row r="418" spans="2:21" s="112" customFormat="1" ht="13.5" customHeight="1" x14ac:dyDescent="0.15">
      <c r="B418" s="19"/>
      <c r="C418" s="164"/>
      <c r="D418" s="164"/>
      <c r="E418" s="169"/>
      <c r="F418" s="128" t="s">
        <v>50</v>
      </c>
      <c r="G418" s="127" t="s">
        <v>51</v>
      </c>
      <c r="H418" s="160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>
        <f>SUM(I418:O418)</f>
        <v>0</v>
      </c>
      <c r="U418" s="24"/>
    </row>
    <row r="419" spans="2:21" s="112" customFormat="1" ht="13.5" customHeight="1" x14ac:dyDescent="0.15">
      <c r="B419" s="19"/>
      <c r="C419" s="164"/>
      <c r="D419" s="164"/>
      <c r="E419" s="169"/>
      <c r="F419" s="128" t="s">
        <v>52</v>
      </c>
      <c r="G419" s="127" t="s">
        <v>53</v>
      </c>
      <c r="H419" s="160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U419" s="24"/>
    </row>
    <row r="420" spans="2:21" s="112" customFormat="1" ht="13.5" customHeight="1" x14ac:dyDescent="0.15">
      <c r="B420" s="19"/>
      <c r="C420" s="164"/>
      <c r="D420" s="164"/>
      <c r="E420" s="169"/>
      <c r="F420" s="128" t="s">
        <v>115</v>
      </c>
      <c r="G420" s="127" t="s">
        <v>55</v>
      </c>
      <c r="H420" s="160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>
        <f>SUM(I420:O420)</f>
        <v>0</v>
      </c>
      <c r="U420" s="149">
        <f>S430</f>
        <v>406</v>
      </c>
    </row>
    <row r="421" spans="2:21" s="112" customFormat="1" ht="13.5" customHeight="1" x14ac:dyDescent="0.15">
      <c r="B421" s="19"/>
      <c r="C421" s="164"/>
      <c r="D421" s="164"/>
      <c r="E421" s="169"/>
      <c r="F421" s="137" t="s">
        <v>56</v>
      </c>
      <c r="G421" s="130" t="s">
        <v>57</v>
      </c>
      <c r="H421" s="160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>
        <f>SUM(I421:Q421)</f>
        <v>0</v>
      </c>
      <c r="U421" s="24"/>
    </row>
    <row r="422" spans="2:21" s="112" customFormat="1" ht="13.5" customHeight="1" x14ac:dyDescent="0.15">
      <c r="B422" s="19"/>
      <c r="C422" s="164"/>
      <c r="D422" s="164"/>
      <c r="E422" s="169"/>
      <c r="F422" s="125" t="s">
        <v>58</v>
      </c>
      <c r="G422" s="110" t="s">
        <v>59</v>
      </c>
      <c r="H422" s="160"/>
      <c r="I422" s="6"/>
      <c r="J422" s="6">
        <v>29</v>
      </c>
      <c r="K422" s="6">
        <v>29</v>
      </c>
      <c r="L422" s="6">
        <v>58</v>
      </c>
      <c r="M422" s="6">
        <v>58</v>
      </c>
      <c r="N422" s="6">
        <v>29</v>
      </c>
      <c r="O422" s="6"/>
      <c r="P422" s="6"/>
      <c r="Q422" s="6"/>
      <c r="R422" s="6"/>
      <c r="S422" s="6">
        <f>SUM(I422:Q422)</f>
        <v>203</v>
      </c>
      <c r="U422" s="24"/>
    </row>
    <row r="423" spans="2:21" s="112" customFormat="1" ht="13.5" customHeight="1" x14ac:dyDescent="0.15">
      <c r="B423" s="19"/>
      <c r="C423" s="164"/>
      <c r="D423" s="164"/>
      <c r="E423" s="169"/>
      <c r="F423" s="138" t="s">
        <v>60</v>
      </c>
      <c r="G423" s="127" t="s">
        <v>61</v>
      </c>
      <c r="H423" s="160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U423" s="24"/>
    </row>
    <row r="424" spans="2:21" s="112" customFormat="1" ht="13.5" customHeight="1" x14ac:dyDescent="0.15">
      <c r="B424" s="19"/>
      <c r="C424" s="164"/>
      <c r="D424" s="164"/>
      <c r="E424" s="169"/>
      <c r="F424" s="126" t="s">
        <v>62</v>
      </c>
      <c r="G424" s="127" t="s">
        <v>63</v>
      </c>
      <c r="H424" s="160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U424" s="24"/>
    </row>
    <row r="425" spans="2:21" s="112" customFormat="1" ht="13.5" customHeight="1" x14ac:dyDescent="0.15">
      <c r="B425" s="19"/>
      <c r="C425" s="164"/>
      <c r="D425" s="164"/>
      <c r="E425" s="169"/>
      <c r="F425" s="128" t="s">
        <v>64</v>
      </c>
      <c r="G425" s="127" t="s">
        <v>65</v>
      </c>
      <c r="H425" s="160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U425" s="24"/>
    </row>
    <row r="426" spans="2:21" s="112" customFormat="1" ht="13.5" customHeight="1" x14ac:dyDescent="0.15">
      <c r="B426" s="19"/>
      <c r="C426" s="164"/>
      <c r="D426" s="164"/>
      <c r="E426" s="169"/>
      <c r="F426" s="128" t="s">
        <v>66</v>
      </c>
      <c r="G426" s="127" t="s">
        <v>67</v>
      </c>
      <c r="H426" s="160"/>
      <c r="I426" s="6"/>
      <c r="J426" s="6">
        <v>29</v>
      </c>
      <c r="K426" s="6">
        <v>29</v>
      </c>
      <c r="L426" s="6">
        <v>58</v>
      </c>
      <c r="M426" s="6">
        <v>58</v>
      </c>
      <c r="N426" s="6">
        <v>29</v>
      </c>
      <c r="O426" s="6"/>
      <c r="P426" s="6"/>
      <c r="Q426" s="6"/>
      <c r="R426" s="6"/>
      <c r="S426" s="6">
        <f>SUM(I426:O426)</f>
        <v>203</v>
      </c>
      <c r="U426" s="24"/>
    </row>
    <row r="427" spans="2:21" s="112" customFormat="1" ht="13.5" customHeight="1" x14ac:dyDescent="0.15">
      <c r="B427" s="19"/>
      <c r="C427" s="164"/>
      <c r="D427" s="164"/>
      <c r="E427" s="169"/>
      <c r="F427" s="129" t="s">
        <v>68</v>
      </c>
      <c r="G427" s="130" t="s">
        <v>69</v>
      </c>
      <c r="H427" s="160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>
        <f>SUM(I427:O427)</f>
        <v>0</v>
      </c>
      <c r="U427" s="24"/>
    </row>
    <row r="428" spans="2:21" s="112" customFormat="1" ht="13.5" customHeight="1" x14ac:dyDescent="0.15">
      <c r="B428" s="19"/>
      <c r="C428" s="164"/>
      <c r="D428" s="164"/>
      <c r="E428" s="169"/>
      <c r="F428" s="126" t="s">
        <v>70</v>
      </c>
      <c r="G428" s="127" t="s">
        <v>71</v>
      </c>
      <c r="H428" s="160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>
        <f>SUM(I428:Q428)</f>
        <v>0</v>
      </c>
      <c r="U428" s="24"/>
    </row>
    <row r="429" spans="2:21" s="112" customFormat="1" ht="13.5" customHeight="1" x14ac:dyDescent="0.15">
      <c r="B429" s="19"/>
      <c r="C429" s="164"/>
      <c r="D429" s="164"/>
      <c r="E429" s="169"/>
      <c r="F429" s="129"/>
      <c r="G429" s="130"/>
      <c r="H429" s="160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U429" s="24"/>
    </row>
    <row r="430" spans="2:21" s="112" customFormat="1" ht="13.5" customHeight="1" x14ac:dyDescent="0.15">
      <c r="B430" s="19"/>
      <c r="C430" s="165"/>
      <c r="D430" s="165"/>
      <c r="E430" s="170"/>
      <c r="F430" s="129"/>
      <c r="G430" s="130"/>
      <c r="H430" s="118"/>
      <c r="I430" s="22">
        <f>SUM(I415:I428)</f>
        <v>0</v>
      </c>
      <c r="J430" s="22">
        <f>SUM(J415:J428)</f>
        <v>58</v>
      </c>
      <c r="K430" s="22">
        <f>SUM(K415:K428)</f>
        <v>58</v>
      </c>
      <c r="L430" s="22">
        <f t="shared" ref="L430:R430" si="58">SUM(L415:L428)</f>
        <v>116</v>
      </c>
      <c r="M430" s="22">
        <f t="shared" si="58"/>
        <v>116</v>
      </c>
      <c r="N430" s="22">
        <f t="shared" si="58"/>
        <v>58</v>
      </c>
      <c r="O430" s="22">
        <f t="shared" si="58"/>
        <v>0</v>
      </c>
      <c r="P430" s="22">
        <f t="shared" si="58"/>
        <v>0</v>
      </c>
      <c r="Q430" s="22">
        <f t="shared" si="58"/>
        <v>0</v>
      </c>
      <c r="R430" s="22">
        <f t="shared" si="58"/>
        <v>0</v>
      </c>
      <c r="S430" s="22">
        <f>SUM(S415:S428)</f>
        <v>406</v>
      </c>
      <c r="U430" s="24"/>
    </row>
    <row r="431" spans="2:21" s="112" customFormat="1" ht="13.5" customHeight="1" x14ac:dyDescent="0.15">
      <c r="B431" s="19"/>
      <c r="C431" s="163">
        <v>45000458564</v>
      </c>
      <c r="D431" s="114" t="s">
        <v>4</v>
      </c>
      <c r="E431" s="143" t="s">
        <v>5</v>
      </c>
      <c r="F431" s="143" t="s">
        <v>6</v>
      </c>
      <c r="G431" s="113"/>
      <c r="H431" s="114" t="s">
        <v>7</v>
      </c>
      <c r="I431" s="114" t="s">
        <v>104</v>
      </c>
      <c r="J431" s="114" t="s">
        <v>105</v>
      </c>
      <c r="K431" s="114" t="s">
        <v>106</v>
      </c>
      <c r="L431" s="114" t="s">
        <v>107</v>
      </c>
      <c r="M431" s="114" t="s">
        <v>108</v>
      </c>
      <c r="N431" s="114" t="s">
        <v>109</v>
      </c>
      <c r="O431" s="114" t="s">
        <v>110</v>
      </c>
      <c r="P431" s="44" t="s">
        <v>8</v>
      </c>
      <c r="Q431" s="44" t="s">
        <v>9</v>
      </c>
      <c r="R431" s="44" t="s">
        <v>10</v>
      </c>
      <c r="S431" s="6" t="s">
        <v>11</v>
      </c>
      <c r="U431" s="24"/>
    </row>
    <row r="432" spans="2:21" s="112" customFormat="1" ht="13.5" customHeight="1" x14ac:dyDescent="0.15">
      <c r="B432" s="19"/>
      <c r="C432" s="164"/>
      <c r="D432" s="163" t="s">
        <v>112</v>
      </c>
      <c r="E432" s="161"/>
      <c r="F432" s="47" t="s">
        <v>44</v>
      </c>
      <c r="G432" s="119" t="s">
        <v>45</v>
      </c>
      <c r="H432" s="161">
        <v>44503</v>
      </c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>
        <f>SUM(P432:R432)</f>
        <v>0</v>
      </c>
      <c r="U432" s="24"/>
    </row>
    <row r="433" spans="2:21" s="112" customFormat="1" ht="13.5" customHeight="1" x14ac:dyDescent="0.15">
      <c r="B433" s="19"/>
      <c r="C433" s="164"/>
      <c r="D433" s="164"/>
      <c r="E433" s="162"/>
      <c r="F433" s="158" t="s">
        <v>46</v>
      </c>
      <c r="G433" s="119" t="s">
        <v>47</v>
      </c>
      <c r="H433" s="162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>
        <f t="shared" ref="S433:S437" si="59">SUM(P433:R433)</f>
        <v>0</v>
      </c>
      <c r="U433" s="24"/>
    </row>
    <row r="434" spans="2:21" s="112" customFormat="1" ht="13.5" customHeight="1" x14ac:dyDescent="0.15">
      <c r="B434" s="19"/>
      <c r="C434" s="164"/>
      <c r="D434" s="164"/>
      <c r="E434" s="162"/>
      <c r="F434" s="128" t="s">
        <v>48</v>
      </c>
      <c r="G434" s="127" t="s">
        <v>49</v>
      </c>
      <c r="H434" s="162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>
        <f t="shared" si="59"/>
        <v>0</v>
      </c>
      <c r="U434" s="24"/>
    </row>
    <row r="435" spans="2:21" s="112" customFormat="1" ht="13.5" customHeight="1" x14ac:dyDescent="0.15">
      <c r="B435" s="19"/>
      <c r="C435" s="164"/>
      <c r="D435" s="164"/>
      <c r="E435" s="162"/>
      <c r="F435" s="128" t="s">
        <v>50</v>
      </c>
      <c r="G435" s="127" t="s">
        <v>51</v>
      </c>
      <c r="H435" s="162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>
        <f t="shared" si="59"/>
        <v>0</v>
      </c>
      <c r="U435" s="24"/>
    </row>
    <row r="436" spans="2:21" s="112" customFormat="1" ht="13.5" customHeight="1" x14ac:dyDescent="0.15">
      <c r="B436" s="19"/>
      <c r="C436" s="164"/>
      <c r="D436" s="164"/>
      <c r="E436" s="162"/>
      <c r="F436" s="158" t="s">
        <v>52</v>
      </c>
      <c r="G436" s="119" t="s">
        <v>53</v>
      </c>
      <c r="H436" s="162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>
        <f t="shared" si="59"/>
        <v>0</v>
      </c>
      <c r="U436" s="24"/>
    </row>
    <row r="437" spans="2:21" s="112" customFormat="1" ht="13.5" customHeight="1" x14ac:dyDescent="0.15">
      <c r="B437" s="19"/>
      <c r="C437" s="164"/>
      <c r="D437" s="164"/>
      <c r="E437" s="162"/>
      <c r="F437" s="128" t="s">
        <v>54</v>
      </c>
      <c r="G437" s="127" t="s">
        <v>55</v>
      </c>
      <c r="H437" s="162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>
        <f t="shared" si="59"/>
        <v>0</v>
      </c>
      <c r="U437" s="24"/>
    </row>
    <row r="438" spans="2:21" s="112" customFormat="1" ht="13.5" customHeight="1" x14ac:dyDescent="0.15">
      <c r="B438" s="19"/>
      <c r="C438" s="164"/>
      <c r="D438" s="164"/>
      <c r="E438" s="162"/>
      <c r="F438" s="111" t="s">
        <v>56</v>
      </c>
      <c r="G438" s="110" t="s">
        <v>57</v>
      </c>
      <c r="H438" s="162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>
        <f>SUM(P438:R438)</f>
        <v>0</v>
      </c>
      <c r="U438" s="24"/>
    </row>
    <row r="439" spans="2:21" s="112" customFormat="1" ht="13.5" customHeight="1" x14ac:dyDescent="0.15">
      <c r="B439" s="19"/>
      <c r="C439" s="164"/>
      <c r="D439" s="164"/>
      <c r="E439" s="162"/>
      <c r="F439" s="129" t="s">
        <v>58</v>
      </c>
      <c r="G439" s="130" t="s">
        <v>59</v>
      </c>
      <c r="H439" s="162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>
        <f t="shared" ref="S439:S446" si="60">SUM(P439:R439)</f>
        <v>0</v>
      </c>
      <c r="U439" s="24"/>
    </row>
    <row r="440" spans="2:21" s="112" customFormat="1" ht="13.5" customHeight="1" x14ac:dyDescent="0.15">
      <c r="B440" s="19"/>
      <c r="C440" s="164"/>
      <c r="D440" s="164"/>
      <c r="E440" s="162"/>
      <c r="F440" s="52" t="s">
        <v>60</v>
      </c>
      <c r="G440" s="119" t="s">
        <v>61</v>
      </c>
      <c r="H440" s="162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>
        <f t="shared" si="60"/>
        <v>0</v>
      </c>
      <c r="U440" s="24"/>
    </row>
    <row r="441" spans="2:21" s="112" customFormat="1" ht="13.5" customHeight="1" x14ac:dyDescent="0.15">
      <c r="B441" s="19"/>
      <c r="C441" s="164"/>
      <c r="D441" s="164"/>
      <c r="E441" s="162"/>
      <c r="F441" s="51" t="s">
        <v>62</v>
      </c>
      <c r="G441" s="119" t="s">
        <v>63</v>
      </c>
      <c r="H441" s="162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>
        <f t="shared" si="60"/>
        <v>0</v>
      </c>
      <c r="U441" s="24"/>
    </row>
    <row r="442" spans="2:21" s="112" customFormat="1" ht="13.5" customHeight="1" x14ac:dyDescent="0.15">
      <c r="B442" s="19"/>
      <c r="C442" s="164"/>
      <c r="D442" s="164"/>
      <c r="E442" s="162"/>
      <c r="F442" s="128" t="s">
        <v>64</v>
      </c>
      <c r="G442" s="127" t="s">
        <v>65</v>
      </c>
      <c r="H442" s="162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>
        <f t="shared" si="60"/>
        <v>0</v>
      </c>
      <c r="U442" s="24"/>
    </row>
    <row r="443" spans="2:21" s="112" customFormat="1" ht="13.5" customHeight="1" x14ac:dyDescent="0.15">
      <c r="B443" s="19"/>
      <c r="C443" s="164"/>
      <c r="D443" s="164"/>
      <c r="E443" s="162"/>
      <c r="F443" s="128" t="s">
        <v>66</v>
      </c>
      <c r="G443" s="127" t="s">
        <v>67</v>
      </c>
      <c r="H443" s="162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>
        <f t="shared" si="60"/>
        <v>0</v>
      </c>
      <c r="U443" s="24"/>
    </row>
    <row r="444" spans="2:21" s="112" customFormat="1" ht="13.5" customHeight="1" x14ac:dyDescent="0.15">
      <c r="B444" s="19"/>
      <c r="C444" s="164"/>
      <c r="D444" s="164"/>
      <c r="E444" s="162"/>
      <c r="F444" s="125" t="s">
        <v>68</v>
      </c>
      <c r="G444" s="110" t="s">
        <v>69</v>
      </c>
      <c r="H444" s="115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>
        <f t="shared" si="60"/>
        <v>0</v>
      </c>
      <c r="U444" s="24"/>
    </row>
    <row r="445" spans="2:21" s="112" customFormat="1" ht="13.5" customHeight="1" x14ac:dyDescent="0.15">
      <c r="B445" s="19"/>
      <c r="C445" s="164"/>
      <c r="D445" s="164"/>
      <c r="E445" s="162"/>
      <c r="F445" s="126" t="s">
        <v>70</v>
      </c>
      <c r="G445" s="127" t="s">
        <v>71</v>
      </c>
      <c r="H445" s="115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>
        <f t="shared" si="60"/>
        <v>0</v>
      </c>
      <c r="U445" s="24"/>
    </row>
    <row r="446" spans="2:21" s="112" customFormat="1" ht="13.5" customHeight="1" x14ac:dyDescent="0.15">
      <c r="B446" s="19"/>
      <c r="C446" s="164"/>
      <c r="D446" s="164"/>
      <c r="E446" s="166"/>
      <c r="F446" s="47"/>
      <c r="G446" s="158"/>
      <c r="H446" s="156" t="s">
        <v>33</v>
      </c>
      <c r="I446" s="23"/>
      <c r="J446" s="23"/>
      <c r="K446" s="23"/>
      <c r="L446" s="23"/>
      <c r="M446" s="23"/>
      <c r="N446" s="6"/>
      <c r="O446" s="6"/>
      <c r="P446" s="6"/>
      <c r="Q446" s="6"/>
      <c r="R446" s="6"/>
      <c r="S446" s="6">
        <f t="shared" si="60"/>
        <v>0</v>
      </c>
      <c r="U446" s="24"/>
    </row>
    <row r="447" spans="2:21" s="112" customFormat="1" ht="13.5" customHeight="1" x14ac:dyDescent="0.15">
      <c r="B447" s="19"/>
      <c r="C447" s="164"/>
      <c r="D447" s="165"/>
      <c r="E447" s="144"/>
      <c r="F447" s="47"/>
      <c r="G447" s="158"/>
      <c r="H447" s="118"/>
      <c r="I447" s="22"/>
      <c r="J447" s="22"/>
      <c r="K447" s="22"/>
      <c r="L447" s="22"/>
      <c r="M447" s="22"/>
      <c r="N447" s="22"/>
      <c r="O447" s="22"/>
      <c r="P447" s="22">
        <f>SUM(P432:P446)</f>
        <v>0</v>
      </c>
      <c r="Q447" s="22">
        <f>SUM(Q432:Q446)</f>
        <v>0</v>
      </c>
      <c r="R447" s="22">
        <f>SUM(R434:R445)</f>
        <v>0</v>
      </c>
      <c r="S447" s="22">
        <f>SUM(S434:S445)</f>
        <v>0</v>
      </c>
      <c r="U447" s="24"/>
    </row>
    <row r="448" spans="2:21" s="112" customFormat="1" ht="13.5" customHeight="1" x14ac:dyDescent="0.15">
      <c r="B448" s="19"/>
      <c r="C448" s="164"/>
      <c r="D448" s="164" t="s">
        <v>113</v>
      </c>
      <c r="E448" s="161"/>
      <c r="F448" s="135" t="s">
        <v>44</v>
      </c>
      <c r="G448" s="127" t="s">
        <v>45</v>
      </c>
      <c r="H448" s="159">
        <v>44503</v>
      </c>
      <c r="I448" s="136"/>
      <c r="J448" s="136"/>
      <c r="K448" s="133"/>
      <c r="L448" s="133"/>
      <c r="M448" s="133"/>
      <c r="N448" s="133"/>
      <c r="O448" s="132"/>
      <c r="P448" s="6"/>
      <c r="Q448" s="6"/>
      <c r="R448" s="6"/>
      <c r="S448" s="6"/>
      <c r="U448" s="24"/>
    </row>
    <row r="449" spans="2:21" s="112" customFormat="1" ht="13.5" customHeight="1" x14ac:dyDescent="0.15">
      <c r="B449" s="19"/>
      <c r="C449" s="164"/>
      <c r="D449" s="164"/>
      <c r="E449" s="162"/>
      <c r="F449" s="128" t="s">
        <v>46</v>
      </c>
      <c r="G449" s="127" t="s">
        <v>47</v>
      </c>
      <c r="H449" s="160"/>
      <c r="I449" s="132"/>
      <c r="J449" s="132"/>
      <c r="K449" s="133"/>
      <c r="L449" s="133"/>
      <c r="M449" s="133"/>
      <c r="N449" s="133"/>
      <c r="O449" s="132"/>
      <c r="P449" s="6"/>
      <c r="Q449" s="6"/>
      <c r="R449" s="6"/>
      <c r="S449" s="6"/>
      <c r="U449" s="24"/>
    </row>
    <row r="450" spans="2:21" s="112" customFormat="1" ht="13.5" customHeight="1" x14ac:dyDescent="0.15">
      <c r="B450" s="19"/>
      <c r="C450" s="164"/>
      <c r="D450" s="164"/>
      <c r="E450" s="162"/>
      <c r="F450" s="128" t="s">
        <v>48</v>
      </c>
      <c r="G450" s="127" t="s">
        <v>49</v>
      </c>
      <c r="H450" s="160"/>
      <c r="I450" s="132"/>
      <c r="J450" s="132"/>
      <c r="K450" s="133"/>
      <c r="L450" s="133"/>
      <c r="M450" s="133"/>
      <c r="N450" s="133"/>
      <c r="O450" s="132"/>
      <c r="P450" s="6"/>
      <c r="Q450" s="6"/>
      <c r="R450" s="6"/>
      <c r="S450" s="6">
        <f>SUM(K450:N450)</f>
        <v>0</v>
      </c>
      <c r="U450" s="24"/>
    </row>
    <row r="451" spans="2:21" s="112" customFormat="1" ht="13.5" customHeight="1" x14ac:dyDescent="0.15">
      <c r="B451" s="19"/>
      <c r="C451" s="164"/>
      <c r="D451" s="164"/>
      <c r="E451" s="162"/>
      <c r="F451" s="128" t="s">
        <v>50</v>
      </c>
      <c r="G451" s="127" t="s">
        <v>51</v>
      </c>
      <c r="H451" s="160"/>
      <c r="I451" s="132"/>
      <c r="J451" s="132"/>
      <c r="K451" s="133"/>
      <c r="L451" s="133"/>
      <c r="M451" s="133"/>
      <c r="N451" s="133"/>
      <c r="O451" s="132"/>
      <c r="P451" s="6"/>
      <c r="Q451" s="6"/>
      <c r="R451" s="6"/>
      <c r="S451" s="6">
        <f>SUM(K451:N451)</f>
        <v>0</v>
      </c>
      <c r="U451" s="24"/>
    </row>
    <row r="452" spans="2:21" s="112" customFormat="1" ht="13.5" customHeight="1" x14ac:dyDescent="0.15">
      <c r="B452" s="19"/>
      <c r="C452" s="164"/>
      <c r="D452" s="164"/>
      <c r="E452" s="162"/>
      <c r="F452" s="128" t="s">
        <v>52</v>
      </c>
      <c r="G452" s="127" t="s">
        <v>53</v>
      </c>
      <c r="H452" s="160"/>
      <c r="I452" s="136"/>
      <c r="J452" s="136"/>
      <c r="K452" s="133"/>
      <c r="L452" s="133"/>
      <c r="M452" s="133"/>
      <c r="N452" s="133"/>
      <c r="O452" s="132"/>
      <c r="P452" s="6"/>
      <c r="Q452" s="6"/>
      <c r="R452" s="6"/>
      <c r="S452" s="6"/>
      <c r="U452" s="24"/>
    </row>
    <row r="453" spans="2:21" s="112" customFormat="1" ht="13.5" customHeight="1" x14ac:dyDescent="0.15">
      <c r="B453" s="19"/>
      <c r="C453" s="164"/>
      <c r="D453" s="164"/>
      <c r="E453" s="162"/>
      <c r="F453" s="128" t="s">
        <v>54</v>
      </c>
      <c r="G453" s="127" t="s">
        <v>55</v>
      </c>
      <c r="H453" s="160"/>
      <c r="I453" s="136"/>
      <c r="J453" s="136"/>
      <c r="K453" s="133"/>
      <c r="L453" s="133"/>
      <c r="M453" s="133"/>
      <c r="N453" s="133"/>
      <c r="O453" s="132"/>
      <c r="P453" s="6"/>
      <c r="Q453" s="6"/>
      <c r="R453" s="6"/>
      <c r="S453" s="6">
        <f>SUM(K453:N453)</f>
        <v>0</v>
      </c>
      <c r="U453" s="24"/>
    </row>
    <row r="454" spans="2:21" s="112" customFormat="1" ht="13.5" customHeight="1" x14ac:dyDescent="0.15">
      <c r="B454" s="19"/>
      <c r="C454" s="164"/>
      <c r="D454" s="164"/>
      <c r="E454" s="162"/>
      <c r="F454" s="137" t="s">
        <v>56</v>
      </c>
      <c r="G454" s="130" t="s">
        <v>57</v>
      </c>
      <c r="H454" s="160"/>
      <c r="I454" s="136"/>
      <c r="J454" s="136"/>
      <c r="K454" s="133"/>
      <c r="L454" s="133"/>
      <c r="M454" s="133"/>
      <c r="N454" s="133"/>
      <c r="O454" s="132"/>
      <c r="P454" s="6"/>
      <c r="Q454" s="6"/>
      <c r="R454" s="6"/>
      <c r="S454" s="6">
        <f>SUM(K454:N454)</f>
        <v>0</v>
      </c>
      <c r="U454" s="24"/>
    </row>
    <row r="455" spans="2:21" s="112" customFormat="1" ht="13.5" customHeight="1" x14ac:dyDescent="0.15">
      <c r="B455" s="19"/>
      <c r="C455" s="164"/>
      <c r="D455" s="164"/>
      <c r="E455" s="162"/>
      <c r="F455" s="129" t="s">
        <v>58</v>
      </c>
      <c r="G455" s="130" t="s">
        <v>59</v>
      </c>
      <c r="H455" s="160"/>
      <c r="I455" s="132"/>
      <c r="J455" s="132"/>
      <c r="K455" s="133"/>
      <c r="L455" s="133"/>
      <c r="M455" s="133"/>
      <c r="N455" s="133"/>
      <c r="O455" s="132"/>
      <c r="P455" s="132"/>
      <c r="Q455" s="132"/>
      <c r="R455" s="132"/>
      <c r="S455" s="132">
        <f>SUM(K455:N455)</f>
        <v>0</v>
      </c>
      <c r="U455" s="24"/>
    </row>
    <row r="456" spans="2:21" s="112" customFormat="1" ht="13.5" customHeight="1" x14ac:dyDescent="0.15">
      <c r="B456" s="19"/>
      <c r="C456" s="164"/>
      <c r="D456" s="164"/>
      <c r="E456" s="162"/>
      <c r="F456" s="138" t="s">
        <v>60</v>
      </c>
      <c r="G456" s="127" t="s">
        <v>61</v>
      </c>
      <c r="H456" s="160"/>
      <c r="I456" s="132"/>
      <c r="J456" s="132"/>
      <c r="K456" s="133"/>
      <c r="L456" s="133"/>
      <c r="M456" s="133"/>
      <c r="N456" s="133"/>
      <c r="O456" s="132"/>
      <c r="P456" s="6"/>
      <c r="Q456" s="6"/>
      <c r="R456" s="6"/>
      <c r="S456" s="6"/>
      <c r="U456" s="24"/>
    </row>
    <row r="457" spans="2:21" s="112" customFormat="1" ht="13.5" customHeight="1" x14ac:dyDescent="0.15">
      <c r="B457" s="19"/>
      <c r="C457" s="164"/>
      <c r="D457" s="164"/>
      <c r="E457" s="162"/>
      <c r="F457" s="126" t="s">
        <v>62</v>
      </c>
      <c r="G457" s="127" t="s">
        <v>63</v>
      </c>
      <c r="H457" s="160"/>
      <c r="I457" s="132"/>
      <c r="J457" s="132"/>
      <c r="K457" s="133"/>
      <c r="L457" s="133"/>
      <c r="M457" s="133"/>
      <c r="N457" s="133"/>
      <c r="O457" s="132"/>
      <c r="P457" s="6"/>
      <c r="Q457" s="6"/>
      <c r="R457" s="6"/>
      <c r="S457" s="6"/>
      <c r="U457" s="24"/>
    </row>
    <row r="458" spans="2:21" s="112" customFormat="1" ht="13.5" customHeight="1" x14ac:dyDescent="0.15">
      <c r="B458" s="19"/>
      <c r="C458" s="164"/>
      <c r="D458" s="164"/>
      <c r="E458" s="162"/>
      <c r="F458" s="128" t="s">
        <v>64</v>
      </c>
      <c r="G458" s="127" t="s">
        <v>65</v>
      </c>
      <c r="H458" s="160"/>
      <c r="I458" s="132"/>
      <c r="J458" s="132"/>
      <c r="K458" s="133"/>
      <c r="L458" s="133"/>
      <c r="M458" s="133"/>
      <c r="N458" s="133"/>
      <c r="O458" s="132"/>
      <c r="P458" s="132"/>
      <c r="Q458" s="132"/>
      <c r="R458" s="132"/>
      <c r="S458" s="132">
        <f>SUM(K458:N458)</f>
        <v>0</v>
      </c>
      <c r="U458" s="24"/>
    </row>
    <row r="459" spans="2:21" s="112" customFormat="1" ht="13.5" customHeight="1" x14ac:dyDescent="0.15">
      <c r="B459" s="19"/>
      <c r="C459" s="164"/>
      <c r="D459" s="164"/>
      <c r="E459" s="162"/>
      <c r="F459" s="128" t="s">
        <v>66</v>
      </c>
      <c r="G459" s="127" t="s">
        <v>67</v>
      </c>
      <c r="H459" s="160"/>
      <c r="I459" s="132"/>
      <c r="J459" s="132"/>
      <c r="K459" s="133"/>
      <c r="L459" s="133"/>
      <c r="M459" s="133"/>
      <c r="N459" s="133"/>
      <c r="O459" s="132"/>
      <c r="P459" s="6"/>
      <c r="Q459" s="6"/>
      <c r="R459" s="6"/>
      <c r="S459" s="6">
        <f>SUM(K459:N459)</f>
        <v>0</v>
      </c>
      <c r="U459" s="24"/>
    </row>
    <row r="460" spans="2:21" s="112" customFormat="1" ht="13.5" customHeight="1" x14ac:dyDescent="0.15">
      <c r="B460" s="19"/>
      <c r="C460" s="164"/>
      <c r="D460" s="164"/>
      <c r="E460" s="162"/>
      <c r="F460" s="129" t="s">
        <v>68</v>
      </c>
      <c r="G460" s="130" t="s">
        <v>69</v>
      </c>
      <c r="H460" s="160"/>
      <c r="I460" s="132"/>
      <c r="J460" s="132"/>
      <c r="K460" s="133"/>
      <c r="L460" s="133"/>
      <c r="M460" s="133"/>
      <c r="N460" s="133"/>
      <c r="O460" s="132"/>
      <c r="P460" s="6"/>
      <c r="Q460" s="6"/>
      <c r="R460" s="6"/>
      <c r="S460" s="6">
        <f>SUM(K460:N460)</f>
        <v>0</v>
      </c>
      <c r="U460" s="24"/>
    </row>
    <row r="461" spans="2:21" s="112" customFormat="1" ht="13.5" customHeight="1" x14ac:dyDescent="0.15">
      <c r="B461" s="19"/>
      <c r="C461" s="164"/>
      <c r="D461" s="164"/>
      <c r="E461" s="162"/>
      <c r="F461" s="126" t="s">
        <v>70</v>
      </c>
      <c r="G461" s="127" t="s">
        <v>71</v>
      </c>
      <c r="H461" s="167"/>
      <c r="I461" s="132"/>
      <c r="J461" s="132"/>
      <c r="K461" s="133"/>
      <c r="L461" s="133"/>
      <c r="M461" s="133"/>
      <c r="N461" s="133"/>
      <c r="O461" s="132"/>
      <c r="P461" s="6"/>
      <c r="Q461" s="6"/>
      <c r="R461" s="6"/>
      <c r="S461" s="6">
        <f>SUM(K461:N461)</f>
        <v>0</v>
      </c>
      <c r="U461" s="24"/>
    </row>
    <row r="462" spans="2:21" s="112" customFormat="1" ht="13.5" customHeight="1" x14ac:dyDescent="0.15">
      <c r="B462" s="19"/>
      <c r="C462" s="164"/>
      <c r="D462" s="165"/>
      <c r="E462" s="166"/>
      <c r="F462" s="139"/>
      <c r="G462" s="131"/>
      <c r="H462" s="118"/>
      <c r="I462" s="22"/>
      <c r="J462" s="22"/>
      <c r="K462" s="22">
        <f>SUM(K450:K461)</f>
        <v>0</v>
      </c>
      <c r="L462" s="22">
        <f t="shared" ref="L462:N462" si="61">SUM(L450:L461)</f>
        <v>0</v>
      </c>
      <c r="M462" s="22">
        <f t="shared" si="61"/>
        <v>0</v>
      </c>
      <c r="N462" s="22">
        <f t="shared" si="61"/>
        <v>0</v>
      </c>
      <c r="O462" s="22"/>
      <c r="P462" s="22"/>
      <c r="Q462" s="22"/>
      <c r="R462" s="22"/>
      <c r="S462" s="22">
        <f>SUM(S450:S461)</f>
        <v>0</v>
      </c>
      <c r="U462" s="24"/>
    </row>
    <row r="463" spans="2:21" s="112" customFormat="1" ht="13.5" customHeight="1" x14ac:dyDescent="0.15">
      <c r="B463" s="19"/>
      <c r="C463" s="164"/>
      <c r="D463" s="163" t="s">
        <v>114</v>
      </c>
      <c r="E463" s="168"/>
      <c r="F463" s="135" t="s">
        <v>44</v>
      </c>
      <c r="G463" s="127" t="s">
        <v>45</v>
      </c>
      <c r="H463" s="159">
        <v>44503</v>
      </c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U463" s="24"/>
    </row>
    <row r="464" spans="2:21" s="112" customFormat="1" ht="13.5" customHeight="1" x14ac:dyDescent="0.15">
      <c r="B464" s="19"/>
      <c r="C464" s="164"/>
      <c r="D464" s="164"/>
      <c r="E464" s="169"/>
      <c r="F464" s="128" t="s">
        <v>46</v>
      </c>
      <c r="G464" s="127" t="s">
        <v>47</v>
      </c>
      <c r="H464" s="160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U464" s="24"/>
    </row>
    <row r="465" spans="2:21" s="112" customFormat="1" ht="13.5" customHeight="1" x14ac:dyDescent="0.15">
      <c r="B465" s="19"/>
      <c r="C465" s="164"/>
      <c r="D465" s="164"/>
      <c r="E465" s="169"/>
      <c r="F465" s="128" t="s">
        <v>48</v>
      </c>
      <c r="G465" s="127" t="s">
        <v>49</v>
      </c>
      <c r="H465" s="160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>
        <f>SUM(I465:P465)</f>
        <v>0</v>
      </c>
      <c r="U465" s="24"/>
    </row>
    <row r="466" spans="2:21" s="112" customFormat="1" ht="13.5" customHeight="1" x14ac:dyDescent="0.15">
      <c r="B466" s="19"/>
      <c r="C466" s="164"/>
      <c r="D466" s="164"/>
      <c r="E466" s="169"/>
      <c r="F466" s="128" t="s">
        <v>50</v>
      </c>
      <c r="G466" s="127" t="s">
        <v>51</v>
      </c>
      <c r="H466" s="160"/>
      <c r="I466" s="6"/>
      <c r="J466" s="6">
        <v>29</v>
      </c>
      <c r="K466" s="6">
        <v>29</v>
      </c>
      <c r="L466" s="6">
        <v>58</v>
      </c>
      <c r="M466" s="6">
        <v>58</v>
      </c>
      <c r="N466" s="6">
        <v>29</v>
      </c>
      <c r="O466" s="6"/>
      <c r="P466" s="6"/>
      <c r="Q466" s="6"/>
      <c r="R466" s="6"/>
      <c r="S466" s="6">
        <f>SUM(I466:O466)</f>
        <v>203</v>
      </c>
      <c r="T466" s="112">
        <v>3.72</v>
      </c>
      <c r="U466" s="24"/>
    </row>
    <row r="467" spans="2:21" s="112" customFormat="1" ht="13.5" customHeight="1" x14ac:dyDescent="0.15">
      <c r="B467" s="19"/>
      <c r="C467" s="164"/>
      <c r="D467" s="164"/>
      <c r="E467" s="169"/>
      <c r="F467" s="128" t="s">
        <v>52</v>
      </c>
      <c r="G467" s="127" t="s">
        <v>53</v>
      </c>
      <c r="H467" s="160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U467" s="24"/>
    </row>
    <row r="468" spans="2:21" s="112" customFormat="1" ht="13.5" customHeight="1" x14ac:dyDescent="0.15">
      <c r="B468" s="19"/>
      <c r="C468" s="164"/>
      <c r="D468" s="164"/>
      <c r="E468" s="169"/>
      <c r="F468" s="128" t="s">
        <v>115</v>
      </c>
      <c r="G468" s="127" t="s">
        <v>55</v>
      </c>
      <c r="H468" s="160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>
        <f>SUM(I468:O468)</f>
        <v>0</v>
      </c>
      <c r="U468" s="24"/>
    </row>
    <row r="469" spans="2:21" s="112" customFormat="1" ht="13.5" customHeight="1" x14ac:dyDescent="0.15">
      <c r="B469" s="19"/>
      <c r="C469" s="164"/>
      <c r="D469" s="164"/>
      <c r="E469" s="169"/>
      <c r="F469" s="137" t="s">
        <v>56</v>
      </c>
      <c r="G469" s="130" t="s">
        <v>57</v>
      </c>
      <c r="H469" s="160"/>
      <c r="I469" s="6"/>
      <c r="J469" s="6">
        <v>29</v>
      </c>
      <c r="K469" s="6">
        <v>29</v>
      </c>
      <c r="L469" s="6">
        <v>58</v>
      </c>
      <c r="M469" s="6">
        <v>58</v>
      </c>
      <c r="N469" s="6">
        <v>29</v>
      </c>
      <c r="O469" s="6"/>
      <c r="P469" s="6"/>
      <c r="Q469" s="6"/>
      <c r="R469" s="6"/>
      <c r="S469" s="6">
        <f>SUM(I469:Q469)</f>
        <v>203</v>
      </c>
      <c r="T469" s="112">
        <v>3.56</v>
      </c>
      <c r="U469" s="149">
        <f>S478</f>
        <v>1885</v>
      </c>
    </row>
    <row r="470" spans="2:21" s="112" customFormat="1" ht="13.5" customHeight="1" x14ac:dyDescent="0.15">
      <c r="B470" s="19"/>
      <c r="C470" s="164"/>
      <c r="D470" s="164"/>
      <c r="E470" s="169"/>
      <c r="F470" s="125" t="s">
        <v>58</v>
      </c>
      <c r="G470" s="110" t="s">
        <v>59</v>
      </c>
      <c r="H470" s="160"/>
      <c r="I470" s="6"/>
      <c r="J470" s="6">
        <v>96</v>
      </c>
      <c r="K470" s="6">
        <v>132</v>
      </c>
      <c r="L470" s="6">
        <v>156</v>
      </c>
      <c r="M470" s="6">
        <v>180</v>
      </c>
      <c r="N470" s="6">
        <v>108</v>
      </c>
      <c r="O470" s="6"/>
      <c r="P470" s="6"/>
      <c r="Q470" s="6"/>
      <c r="R470" s="6"/>
      <c r="S470" s="6">
        <f>SUM(I470:Q470)</f>
        <v>672</v>
      </c>
      <c r="T470" s="112">
        <v>3.63</v>
      </c>
      <c r="U470" s="24"/>
    </row>
    <row r="471" spans="2:21" s="112" customFormat="1" ht="13.5" customHeight="1" x14ac:dyDescent="0.15">
      <c r="B471" s="19"/>
      <c r="C471" s="164"/>
      <c r="D471" s="164"/>
      <c r="E471" s="169"/>
      <c r="F471" s="138" t="s">
        <v>60</v>
      </c>
      <c r="G471" s="127" t="s">
        <v>61</v>
      </c>
      <c r="H471" s="160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U471" s="24"/>
    </row>
    <row r="472" spans="2:21" s="112" customFormat="1" ht="13.5" customHeight="1" x14ac:dyDescent="0.15">
      <c r="B472" s="19"/>
      <c r="C472" s="164"/>
      <c r="D472" s="164"/>
      <c r="E472" s="169"/>
      <c r="F472" s="126" t="s">
        <v>62</v>
      </c>
      <c r="G472" s="127" t="s">
        <v>63</v>
      </c>
      <c r="H472" s="160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U472" s="24"/>
    </row>
    <row r="473" spans="2:21" s="112" customFormat="1" ht="13.5" customHeight="1" x14ac:dyDescent="0.15">
      <c r="B473" s="19"/>
      <c r="C473" s="164"/>
      <c r="D473" s="164"/>
      <c r="E473" s="169"/>
      <c r="F473" s="128" t="s">
        <v>64</v>
      </c>
      <c r="G473" s="127" t="s">
        <v>65</v>
      </c>
      <c r="H473" s="160"/>
      <c r="I473" s="6"/>
      <c r="J473" s="6">
        <v>33</v>
      </c>
      <c r="K473" s="6">
        <v>33</v>
      </c>
      <c r="L473" s="6">
        <v>66</v>
      </c>
      <c r="M473" s="6">
        <v>66</v>
      </c>
      <c r="N473" s="6">
        <v>33</v>
      </c>
      <c r="O473" s="6"/>
      <c r="P473" s="6"/>
      <c r="Q473" s="6"/>
      <c r="R473" s="6"/>
      <c r="S473" s="6">
        <f>SUM(J473:O473)</f>
        <v>231</v>
      </c>
      <c r="T473" s="112">
        <v>3.63</v>
      </c>
      <c r="U473" s="24"/>
    </row>
    <row r="474" spans="2:21" s="112" customFormat="1" ht="13.5" customHeight="1" x14ac:dyDescent="0.15">
      <c r="B474" s="19"/>
      <c r="C474" s="164"/>
      <c r="D474" s="164"/>
      <c r="E474" s="169"/>
      <c r="F474" s="128" t="s">
        <v>66</v>
      </c>
      <c r="G474" s="127" t="s">
        <v>67</v>
      </c>
      <c r="H474" s="160"/>
      <c r="I474" s="6"/>
      <c r="J474" s="6">
        <v>84</v>
      </c>
      <c r="K474" s="6">
        <v>120</v>
      </c>
      <c r="L474" s="6">
        <v>132</v>
      </c>
      <c r="M474" s="6">
        <v>156</v>
      </c>
      <c r="N474" s="6">
        <v>84</v>
      </c>
      <c r="O474" s="6"/>
      <c r="P474" s="6"/>
      <c r="Q474" s="6"/>
      <c r="R474" s="6"/>
      <c r="S474" s="6">
        <f>SUM(I474:O474)</f>
        <v>576</v>
      </c>
      <c r="T474" s="112">
        <v>4.1500000000000004</v>
      </c>
      <c r="U474" s="24"/>
    </row>
    <row r="475" spans="2:21" s="112" customFormat="1" ht="13.5" customHeight="1" x14ac:dyDescent="0.15">
      <c r="B475" s="19"/>
      <c r="C475" s="164"/>
      <c r="D475" s="164"/>
      <c r="E475" s="169"/>
      <c r="F475" s="129" t="s">
        <v>68</v>
      </c>
      <c r="G475" s="130" t="s">
        <v>69</v>
      </c>
      <c r="H475" s="160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>
        <f>SUM(I475:O475)</f>
        <v>0</v>
      </c>
      <c r="U475" s="24"/>
    </row>
    <row r="476" spans="2:21" s="112" customFormat="1" ht="13.5" customHeight="1" x14ac:dyDescent="0.15">
      <c r="B476" s="19"/>
      <c r="C476" s="164"/>
      <c r="D476" s="164"/>
      <c r="E476" s="169"/>
      <c r="F476" s="126" t="s">
        <v>70</v>
      </c>
      <c r="G476" s="127" t="s">
        <v>71</v>
      </c>
      <c r="H476" s="160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>
        <f>SUM(I476:Q476)</f>
        <v>0</v>
      </c>
      <c r="U476" s="24"/>
    </row>
    <row r="477" spans="2:21" s="112" customFormat="1" ht="13.5" customHeight="1" x14ac:dyDescent="0.15">
      <c r="B477" s="19"/>
      <c r="C477" s="164"/>
      <c r="D477" s="164"/>
      <c r="E477" s="169"/>
      <c r="F477" s="129"/>
      <c r="G477" s="130"/>
      <c r="H477" s="160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U477" s="24"/>
    </row>
    <row r="478" spans="2:21" s="112" customFormat="1" ht="13.5" customHeight="1" x14ac:dyDescent="0.15">
      <c r="B478" s="19"/>
      <c r="C478" s="165"/>
      <c r="D478" s="165"/>
      <c r="E478" s="170"/>
      <c r="F478" s="129"/>
      <c r="G478" s="130"/>
      <c r="H478" s="118"/>
      <c r="I478" s="22">
        <f>SUM(I463:I476)</f>
        <v>0</v>
      </c>
      <c r="J478" s="22">
        <f>SUM(J463:J476)</f>
        <v>271</v>
      </c>
      <c r="K478" s="22">
        <f>SUM(K463:K476)</f>
        <v>343</v>
      </c>
      <c r="L478" s="22">
        <f t="shared" ref="L478:R478" si="62">SUM(L463:L476)</f>
        <v>470</v>
      </c>
      <c r="M478" s="22">
        <f t="shared" si="62"/>
        <v>518</v>
      </c>
      <c r="N478" s="22">
        <f t="shared" si="62"/>
        <v>283</v>
      </c>
      <c r="O478" s="22">
        <f t="shared" si="62"/>
        <v>0</v>
      </c>
      <c r="P478" s="22">
        <f t="shared" si="62"/>
        <v>0</v>
      </c>
      <c r="Q478" s="22">
        <f t="shared" si="62"/>
        <v>0</v>
      </c>
      <c r="R478" s="22">
        <f t="shared" si="62"/>
        <v>0</v>
      </c>
      <c r="S478" s="22">
        <f>SUM(S463:S476)</f>
        <v>1885</v>
      </c>
      <c r="U478" s="24"/>
    </row>
    <row r="479" spans="2:21" s="112" customFormat="1" ht="13.5" customHeight="1" x14ac:dyDescent="0.15">
      <c r="B479" s="19"/>
      <c r="C479" s="163">
        <v>4500458566</v>
      </c>
      <c r="D479" s="114" t="s">
        <v>4</v>
      </c>
      <c r="E479" s="143" t="s">
        <v>5</v>
      </c>
      <c r="F479" s="143" t="s">
        <v>6</v>
      </c>
      <c r="G479" s="113"/>
      <c r="H479" s="114" t="s">
        <v>7</v>
      </c>
      <c r="I479" s="114" t="s">
        <v>104</v>
      </c>
      <c r="J479" s="114" t="s">
        <v>105</v>
      </c>
      <c r="K479" s="114" t="s">
        <v>106</v>
      </c>
      <c r="L479" s="114" t="s">
        <v>107</v>
      </c>
      <c r="M479" s="114" t="s">
        <v>108</v>
      </c>
      <c r="N479" s="114" t="s">
        <v>109</v>
      </c>
      <c r="O479" s="114" t="s">
        <v>110</v>
      </c>
      <c r="P479" s="44" t="s">
        <v>8</v>
      </c>
      <c r="Q479" s="44" t="s">
        <v>9</v>
      </c>
      <c r="R479" s="44" t="s">
        <v>10</v>
      </c>
      <c r="S479" s="6" t="s">
        <v>11</v>
      </c>
      <c r="U479" s="24"/>
    </row>
    <row r="480" spans="2:21" s="112" customFormat="1" ht="13.5" customHeight="1" x14ac:dyDescent="0.15">
      <c r="B480" s="19"/>
      <c r="C480" s="164"/>
      <c r="D480" s="163" t="s">
        <v>112</v>
      </c>
      <c r="E480" s="161"/>
      <c r="F480" s="47" t="s">
        <v>44</v>
      </c>
      <c r="G480" s="119" t="s">
        <v>45</v>
      </c>
      <c r="H480" s="161">
        <v>44524</v>
      </c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>
        <f>SUM(P480:R480)</f>
        <v>0</v>
      </c>
      <c r="U480" s="24"/>
    </row>
    <row r="481" spans="2:21" s="112" customFormat="1" ht="13.5" customHeight="1" x14ac:dyDescent="0.15">
      <c r="B481" s="19"/>
      <c r="C481" s="164"/>
      <c r="D481" s="164"/>
      <c r="E481" s="162"/>
      <c r="F481" s="158" t="s">
        <v>46</v>
      </c>
      <c r="G481" s="119" t="s">
        <v>47</v>
      </c>
      <c r="H481" s="162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>
        <f t="shared" ref="S481:S485" si="63">SUM(P481:R481)</f>
        <v>0</v>
      </c>
      <c r="U481" s="24"/>
    </row>
    <row r="482" spans="2:21" s="112" customFormat="1" ht="13.5" customHeight="1" x14ac:dyDescent="0.15">
      <c r="B482" s="19"/>
      <c r="C482" s="164"/>
      <c r="D482" s="164"/>
      <c r="E482" s="162"/>
      <c r="F482" s="128" t="s">
        <v>48</v>
      </c>
      <c r="G482" s="127" t="s">
        <v>49</v>
      </c>
      <c r="H482" s="162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>
        <f t="shared" si="63"/>
        <v>0</v>
      </c>
      <c r="U482" s="24"/>
    </row>
    <row r="483" spans="2:21" s="112" customFormat="1" ht="13.5" customHeight="1" x14ac:dyDescent="0.15">
      <c r="B483" s="19"/>
      <c r="C483" s="164"/>
      <c r="D483" s="164"/>
      <c r="E483" s="162"/>
      <c r="F483" s="128" t="s">
        <v>50</v>
      </c>
      <c r="G483" s="127" t="s">
        <v>51</v>
      </c>
      <c r="H483" s="162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>
        <f t="shared" si="63"/>
        <v>0</v>
      </c>
      <c r="U483" s="24"/>
    </row>
    <row r="484" spans="2:21" s="112" customFormat="1" ht="13.5" customHeight="1" x14ac:dyDescent="0.15">
      <c r="B484" s="19"/>
      <c r="C484" s="164"/>
      <c r="D484" s="164"/>
      <c r="E484" s="162"/>
      <c r="F484" s="158" t="s">
        <v>52</v>
      </c>
      <c r="G484" s="119" t="s">
        <v>53</v>
      </c>
      <c r="H484" s="162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>
        <f t="shared" si="63"/>
        <v>0</v>
      </c>
      <c r="U484" s="24"/>
    </row>
    <row r="485" spans="2:21" s="112" customFormat="1" ht="13.5" customHeight="1" x14ac:dyDescent="0.15">
      <c r="B485" s="19"/>
      <c r="C485" s="164"/>
      <c r="D485" s="164"/>
      <c r="E485" s="162"/>
      <c r="F485" s="128" t="s">
        <v>54</v>
      </c>
      <c r="G485" s="127" t="s">
        <v>55</v>
      </c>
      <c r="H485" s="162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>
        <f t="shared" si="63"/>
        <v>0</v>
      </c>
      <c r="U485" s="24"/>
    </row>
    <row r="486" spans="2:21" s="112" customFormat="1" ht="13.5" customHeight="1" x14ac:dyDescent="0.15">
      <c r="B486" s="19"/>
      <c r="C486" s="164"/>
      <c r="D486" s="164"/>
      <c r="E486" s="162"/>
      <c r="F486" s="111" t="s">
        <v>56</v>
      </c>
      <c r="G486" s="110" t="s">
        <v>57</v>
      </c>
      <c r="H486" s="162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>
        <f>SUM(P486:R486)</f>
        <v>0</v>
      </c>
      <c r="U486" s="24"/>
    </row>
    <row r="487" spans="2:21" s="112" customFormat="1" ht="13.5" customHeight="1" x14ac:dyDescent="0.15">
      <c r="B487" s="19"/>
      <c r="C487" s="164"/>
      <c r="D487" s="164"/>
      <c r="E487" s="162"/>
      <c r="F487" s="129" t="s">
        <v>58</v>
      </c>
      <c r="G487" s="130" t="s">
        <v>59</v>
      </c>
      <c r="H487" s="162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>
        <f t="shared" ref="S487:S494" si="64">SUM(P487:R487)</f>
        <v>0</v>
      </c>
      <c r="U487" s="24"/>
    </row>
    <row r="488" spans="2:21" s="112" customFormat="1" ht="13.5" customHeight="1" x14ac:dyDescent="0.15">
      <c r="B488" s="19"/>
      <c r="C488" s="164"/>
      <c r="D488" s="164"/>
      <c r="E488" s="162"/>
      <c r="F488" s="52" t="s">
        <v>60</v>
      </c>
      <c r="G488" s="119" t="s">
        <v>61</v>
      </c>
      <c r="H488" s="162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>
        <f t="shared" si="64"/>
        <v>0</v>
      </c>
      <c r="U488" s="24"/>
    </row>
    <row r="489" spans="2:21" s="112" customFormat="1" ht="13.5" customHeight="1" x14ac:dyDescent="0.15">
      <c r="B489" s="19"/>
      <c r="C489" s="164"/>
      <c r="D489" s="164"/>
      <c r="E489" s="162"/>
      <c r="F489" s="51" t="s">
        <v>62</v>
      </c>
      <c r="G489" s="119" t="s">
        <v>63</v>
      </c>
      <c r="H489" s="162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>
        <f t="shared" si="64"/>
        <v>0</v>
      </c>
      <c r="U489" s="24"/>
    </row>
    <row r="490" spans="2:21" s="112" customFormat="1" ht="13.5" customHeight="1" x14ac:dyDescent="0.15">
      <c r="B490" s="19"/>
      <c r="C490" s="164"/>
      <c r="D490" s="164"/>
      <c r="E490" s="162"/>
      <c r="F490" s="128" t="s">
        <v>64</v>
      </c>
      <c r="G490" s="127" t="s">
        <v>65</v>
      </c>
      <c r="H490" s="162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>
        <f t="shared" si="64"/>
        <v>0</v>
      </c>
      <c r="U490" s="24"/>
    </row>
    <row r="491" spans="2:21" s="112" customFormat="1" ht="13.5" customHeight="1" x14ac:dyDescent="0.15">
      <c r="B491" s="19"/>
      <c r="C491" s="164"/>
      <c r="D491" s="164"/>
      <c r="E491" s="162"/>
      <c r="F491" s="128" t="s">
        <v>66</v>
      </c>
      <c r="G491" s="127" t="s">
        <v>67</v>
      </c>
      <c r="H491" s="162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>
        <f t="shared" si="64"/>
        <v>0</v>
      </c>
      <c r="U491" s="24"/>
    </row>
    <row r="492" spans="2:21" s="112" customFormat="1" ht="13.5" customHeight="1" x14ac:dyDescent="0.15">
      <c r="B492" s="19"/>
      <c r="C492" s="164"/>
      <c r="D492" s="164"/>
      <c r="E492" s="162"/>
      <c r="F492" s="125" t="s">
        <v>68</v>
      </c>
      <c r="G492" s="110" t="s">
        <v>69</v>
      </c>
      <c r="H492" s="115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>
        <f t="shared" si="64"/>
        <v>0</v>
      </c>
      <c r="U492" s="24"/>
    </row>
    <row r="493" spans="2:21" s="112" customFormat="1" ht="13.5" customHeight="1" x14ac:dyDescent="0.15">
      <c r="B493" s="19"/>
      <c r="C493" s="164"/>
      <c r="D493" s="164"/>
      <c r="E493" s="162"/>
      <c r="F493" s="126" t="s">
        <v>70</v>
      </c>
      <c r="G493" s="127" t="s">
        <v>71</v>
      </c>
      <c r="H493" s="115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>
        <f t="shared" si="64"/>
        <v>0</v>
      </c>
      <c r="U493" s="24"/>
    </row>
    <row r="494" spans="2:21" s="112" customFormat="1" ht="13.5" customHeight="1" x14ac:dyDescent="0.15">
      <c r="B494" s="19"/>
      <c r="C494" s="164"/>
      <c r="D494" s="164"/>
      <c r="E494" s="166"/>
      <c r="F494" s="47"/>
      <c r="G494" s="158"/>
      <c r="H494" s="156" t="s">
        <v>33</v>
      </c>
      <c r="I494" s="23"/>
      <c r="J494" s="23"/>
      <c r="K494" s="23"/>
      <c r="L494" s="23"/>
      <c r="M494" s="23"/>
      <c r="N494" s="6"/>
      <c r="O494" s="6"/>
      <c r="P494" s="6"/>
      <c r="Q494" s="6"/>
      <c r="R494" s="6"/>
      <c r="S494" s="6">
        <f t="shared" si="64"/>
        <v>0</v>
      </c>
      <c r="U494" s="24"/>
    </row>
    <row r="495" spans="2:21" s="112" customFormat="1" ht="13.5" customHeight="1" x14ac:dyDescent="0.15">
      <c r="B495" s="19"/>
      <c r="C495" s="164"/>
      <c r="D495" s="165"/>
      <c r="E495" s="144"/>
      <c r="F495" s="47"/>
      <c r="G495" s="158"/>
      <c r="H495" s="118"/>
      <c r="I495" s="22"/>
      <c r="J495" s="22"/>
      <c r="K495" s="22"/>
      <c r="L495" s="22"/>
      <c r="M495" s="22"/>
      <c r="N495" s="22"/>
      <c r="O495" s="22"/>
      <c r="P495" s="22">
        <f>SUM(P480:P494)</f>
        <v>0</v>
      </c>
      <c r="Q495" s="22">
        <f>SUM(Q480:Q494)</f>
        <v>0</v>
      </c>
      <c r="R495" s="22">
        <f>SUM(R482:R493)</f>
        <v>0</v>
      </c>
      <c r="S495" s="22">
        <f>SUM(S482:S493)</f>
        <v>0</v>
      </c>
      <c r="U495" s="24"/>
    </row>
    <row r="496" spans="2:21" s="112" customFormat="1" ht="13.5" customHeight="1" x14ac:dyDescent="0.15">
      <c r="B496" s="19"/>
      <c r="C496" s="164"/>
      <c r="D496" s="164" t="s">
        <v>113</v>
      </c>
      <c r="E496" s="161"/>
      <c r="F496" s="135" t="s">
        <v>44</v>
      </c>
      <c r="G496" s="127" t="s">
        <v>45</v>
      </c>
      <c r="H496" s="159">
        <v>44524</v>
      </c>
      <c r="I496" s="136"/>
      <c r="J496" s="136"/>
      <c r="K496" s="133"/>
      <c r="L496" s="133"/>
      <c r="M496" s="133"/>
      <c r="N496" s="133"/>
      <c r="O496" s="132"/>
      <c r="P496" s="6"/>
      <c r="Q496" s="6"/>
      <c r="R496" s="6"/>
      <c r="S496" s="6"/>
      <c r="U496" s="24"/>
    </row>
    <row r="497" spans="2:21" s="112" customFormat="1" ht="13.5" customHeight="1" x14ac:dyDescent="0.15">
      <c r="B497" s="19"/>
      <c r="C497" s="164"/>
      <c r="D497" s="164"/>
      <c r="E497" s="162"/>
      <c r="F497" s="128" t="s">
        <v>46</v>
      </c>
      <c r="G497" s="127" t="s">
        <v>47</v>
      </c>
      <c r="H497" s="160"/>
      <c r="I497" s="132"/>
      <c r="J497" s="132"/>
      <c r="K497" s="133"/>
      <c r="L497" s="133"/>
      <c r="M497" s="133"/>
      <c r="N497" s="133"/>
      <c r="O497" s="132"/>
      <c r="P497" s="6"/>
      <c r="Q497" s="6"/>
      <c r="R497" s="6"/>
      <c r="S497" s="6"/>
      <c r="U497" s="24"/>
    </row>
    <row r="498" spans="2:21" s="112" customFormat="1" ht="13.5" customHeight="1" x14ac:dyDescent="0.15">
      <c r="B498" s="19"/>
      <c r="C498" s="164"/>
      <c r="D498" s="164"/>
      <c r="E498" s="162"/>
      <c r="F498" s="128" t="s">
        <v>48</v>
      </c>
      <c r="G498" s="127" t="s">
        <v>49</v>
      </c>
      <c r="H498" s="160"/>
      <c r="I498" s="132"/>
      <c r="J498" s="132"/>
      <c r="K498" s="133"/>
      <c r="L498" s="133"/>
      <c r="M498" s="133"/>
      <c r="N498" s="133"/>
      <c r="O498" s="132"/>
      <c r="P498" s="6"/>
      <c r="Q498" s="6"/>
      <c r="R498" s="6"/>
      <c r="S498" s="6">
        <f>SUM(K498:N498)</f>
        <v>0</v>
      </c>
      <c r="U498" s="24"/>
    </row>
    <row r="499" spans="2:21" s="112" customFormat="1" ht="13.5" customHeight="1" x14ac:dyDescent="0.15">
      <c r="B499" s="19"/>
      <c r="C499" s="164"/>
      <c r="D499" s="164"/>
      <c r="E499" s="162"/>
      <c r="F499" s="128" t="s">
        <v>50</v>
      </c>
      <c r="G499" s="127" t="s">
        <v>51</v>
      </c>
      <c r="H499" s="160"/>
      <c r="I499" s="132"/>
      <c r="J499" s="132"/>
      <c r="K499" s="133"/>
      <c r="L499" s="133"/>
      <c r="M499" s="133"/>
      <c r="N499" s="133"/>
      <c r="O499" s="132"/>
      <c r="P499" s="6"/>
      <c r="Q499" s="6"/>
      <c r="R499" s="6"/>
      <c r="S499" s="6">
        <f>SUM(K499:N499)</f>
        <v>0</v>
      </c>
      <c r="U499" s="24"/>
    </row>
    <row r="500" spans="2:21" s="112" customFormat="1" ht="13.5" customHeight="1" x14ac:dyDescent="0.15">
      <c r="B500" s="19"/>
      <c r="C500" s="164"/>
      <c r="D500" s="164"/>
      <c r="E500" s="162"/>
      <c r="F500" s="128" t="s">
        <v>52</v>
      </c>
      <c r="G500" s="127" t="s">
        <v>53</v>
      </c>
      <c r="H500" s="160"/>
      <c r="I500" s="136"/>
      <c r="J500" s="136"/>
      <c r="K500" s="133"/>
      <c r="L500" s="133"/>
      <c r="M500" s="133"/>
      <c r="N500" s="133"/>
      <c r="O500" s="132"/>
      <c r="P500" s="6"/>
      <c r="Q500" s="6"/>
      <c r="R500" s="6"/>
      <c r="S500" s="6"/>
      <c r="U500" s="24"/>
    </row>
    <row r="501" spans="2:21" s="112" customFormat="1" ht="13.5" customHeight="1" x14ac:dyDescent="0.15">
      <c r="B501" s="19"/>
      <c r="C501" s="164"/>
      <c r="D501" s="164"/>
      <c r="E501" s="162"/>
      <c r="F501" s="128" t="s">
        <v>54</v>
      </c>
      <c r="G501" s="127" t="s">
        <v>55</v>
      </c>
      <c r="H501" s="160"/>
      <c r="I501" s="136"/>
      <c r="J501" s="136"/>
      <c r="K501" s="133"/>
      <c r="L501" s="133"/>
      <c r="M501" s="133"/>
      <c r="N501" s="133"/>
      <c r="O501" s="132"/>
      <c r="P501" s="6"/>
      <c r="Q501" s="6"/>
      <c r="R501" s="6"/>
      <c r="S501" s="6">
        <f>SUM(K501:N501)</f>
        <v>0</v>
      </c>
      <c r="U501" s="24"/>
    </row>
    <row r="502" spans="2:21" s="112" customFormat="1" ht="13.5" customHeight="1" x14ac:dyDescent="0.15">
      <c r="B502" s="19"/>
      <c r="C502" s="164"/>
      <c r="D502" s="164"/>
      <c r="E502" s="162"/>
      <c r="F502" s="137" t="s">
        <v>56</v>
      </c>
      <c r="G502" s="130" t="s">
        <v>57</v>
      </c>
      <c r="H502" s="160"/>
      <c r="I502" s="136"/>
      <c r="J502" s="136"/>
      <c r="K502" s="133"/>
      <c r="L502" s="133"/>
      <c r="M502" s="133"/>
      <c r="N502" s="133"/>
      <c r="O502" s="132"/>
      <c r="P502" s="6"/>
      <c r="Q502" s="6"/>
      <c r="R502" s="6"/>
      <c r="S502" s="6">
        <f>SUM(K502:N502)</f>
        <v>0</v>
      </c>
      <c r="U502" s="24"/>
    </row>
    <row r="503" spans="2:21" s="112" customFormat="1" ht="13.5" customHeight="1" x14ac:dyDescent="0.15">
      <c r="B503" s="19"/>
      <c r="C503" s="164"/>
      <c r="D503" s="164"/>
      <c r="E503" s="162"/>
      <c r="F503" s="129" t="s">
        <v>58</v>
      </c>
      <c r="G503" s="130" t="s">
        <v>59</v>
      </c>
      <c r="H503" s="160"/>
      <c r="I503" s="132"/>
      <c r="J503" s="132"/>
      <c r="K503" s="133"/>
      <c r="L503" s="133"/>
      <c r="M503" s="133"/>
      <c r="N503" s="133"/>
      <c r="O503" s="132"/>
      <c r="P503" s="132"/>
      <c r="Q503" s="132"/>
      <c r="R503" s="132"/>
      <c r="S503" s="132">
        <f>SUM(K503:N503)</f>
        <v>0</v>
      </c>
      <c r="U503" s="24"/>
    </row>
    <row r="504" spans="2:21" s="112" customFormat="1" ht="13.5" customHeight="1" x14ac:dyDescent="0.15">
      <c r="B504" s="19"/>
      <c r="C504" s="164"/>
      <c r="D504" s="164"/>
      <c r="E504" s="162"/>
      <c r="F504" s="138" t="s">
        <v>60</v>
      </c>
      <c r="G504" s="127" t="s">
        <v>61</v>
      </c>
      <c r="H504" s="160"/>
      <c r="I504" s="132"/>
      <c r="J504" s="132"/>
      <c r="K504" s="133"/>
      <c r="L504" s="133"/>
      <c r="M504" s="133"/>
      <c r="N504" s="133"/>
      <c r="O504" s="132"/>
      <c r="P504" s="6"/>
      <c r="Q504" s="6"/>
      <c r="R504" s="6"/>
      <c r="S504" s="6"/>
      <c r="U504" s="24"/>
    </row>
    <row r="505" spans="2:21" s="112" customFormat="1" ht="13.5" customHeight="1" x14ac:dyDescent="0.15">
      <c r="B505" s="19"/>
      <c r="C505" s="164"/>
      <c r="D505" s="164"/>
      <c r="E505" s="162"/>
      <c r="F505" s="126" t="s">
        <v>62</v>
      </c>
      <c r="G505" s="127" t="s">
        <v>63</v>
      </c>
      <c r="H505" s="160"/>
      <c r="I505" s="132"/>
      <c r="J505" s="132"/>
      <c r="K505" s="133"/>
      <c r="L505" s="133"/>
      <c r="M505" s="133"/>
      <c r="N505" s="133"/>
      <c r="O505" s="132"/>
      <c r="P505" s="6"/>
      <c r="Q505" s="6"/>
      <c r="R505" s="6"/>
      <c r="S505" s="6"/>
      <c r="U505" s="24"/>
    </row>
    <row r="506" spans="2:21" s="112" customFormat="1" ht="13.5" customHeight="1" x14ac:dyDescent="0.15">
      <c r="B506" s="19"/>
      <c r="C506" s="164"/>
      <c r="D506" s="164"/>
      <c r="E506" s="162"/>
      <c r="F506" s="128" t="s">
        <v>64</v>
      </c>
      <c r="G506" s="127" t="s">
        <v>65</v>
      </c>
      <c r="H506" s="160"/>
      <c r="I506" s="132"/>
      <c r="J506" s="132"/>
      <c r="K506" s="133"/>
      <c r="L506" s="133"/>
      <c r="M506" s="133"/>
      <c r="N506" s="133"/>
      <c r="O506" s="132"/>
      <c r="P506" s="132"/>
      <c r="Q506" s="132"/>
      <c r="R506" s="132"/>
      <c r="S506" s="132">
        <f>SUM(K506:N506)</f>
        <v>0</v>
      </c>
      <c r="U506" s="24"/>
    </row>
    <row r="507" spans="2:21" s="112" customFormat="1" ht="13.5" customHeight="1" x14ac:dyDescent="0.15">
      <c r="B507" s="19"/>
      <c r="C507" s="164"/>
      <c r="D507" s="164"/>
      <c r="E507" s="162"/>
      <c r="F507" s="128" t="s">
        <v>66</v>
      </c>
      <c r="G507" s="127" t="s">
        <v>67</v>
      </c>
      <c r="H507" s="160"/>
      <c r="I507" s="132"/>
      <c r="J507" s="132"/>
      <c r="K507" s="133"/>
      <c r="L507" s="133"/>
      <c r="M507" s="133"/>
      <c r="N507" s="133"/>
      <c r="O507" s="132"/>
      <c r="P507" s="6"/>
      <c r="Q507" s="6"/>
      <c r="R507" s="6"/>
      <c r="S507" s="6">
        <f>SUM(K507:N507)</f>
        <v>0</v>
      </c>
      <c r="U507" s="24"/>
    </row>
    <row r="508" spans="2:21" s="112" customFormat="1" ht="13.5" customHeight="1" x14ac:dyDescent="0.15">
      <c r="B508" s="19"/>
      <c r="C508" s="164"/>
      <c r="D508" s="164"/>
      <c r="E508" s="162"/>
      <c r="F508" s="129" t="s">
        <v>68</v>
      </c>
      <c r="G508" s="130" t="s">
        <v>69</v>
      </c>
      <c r="H508" s="160"/>
      <c r="I508" s="132"/>
      <c r="J508" s="132"/>
      <c r="K508" s="133"/>
      <c r="L508" s="133"/>
      <c r="M508" s="133"/>
      <c r="N508" s="133"/>
      <c r="O508" s="132"/>
      <c r="P508" s="6"/>
      <c r="Q508" s="6"/>
      <c r="R508" s="6"/>
      <c r="S508" s="6">
        <f>SUM(K508:N508)</f>
        <v>0</v>
      </c>
      <c r="U508" s="24"/>
    </row>
    <row r="509" spans="2:21" s="112" customFormat="1" ht="13.5" customHeight="1" x14ac:dyDescent="0.15">
      <c r="B509" s="19"/>
      <c r="C509" s="164"/>
      <c r="D509" s="164"/>
      <c r="E509" s="162"/>
      <c r="F509" s="126" t="s">
        <v>70</v>
      </c>
      <c r="G509" s="127" t="s">
        <v>71</v>
      </c>
      <c r="H509" s="167"/>
      <c r="I509" s="132"/>
      <c r="J509" s="132"/>
      <c r="K509" s="133"/>
      <c r="L509" s="133"/>
      <c r="M509" s="133"/>
      <c r="N509" s="133"/>
      <c r="O509" s="132"/>
      <c r="P509" s="6"/>
      <c r="Q509" s="6"/>
      <c r="R509" s="6"/>
      <c r="S509" s="6">
        <f>SUM(K509:N509)</f>
        <v>0</v>
      </c>
      <c r="U509" s="24"/>
    </row>
    <row r="510" spans="2:21" s="112" customFormat="1" ht="13.5" customHeight="1" x14ac:dyDescent="0.15">
      <c r="B510" s="19"/>
      <c r="C510" s="164"/>
      <c r="D510" s="165"/>
      <c r="E510" s="166"/>
      <c r="F510" s="139"/>
      <c r="G510" s="131"/>
      <c r="H510" s="118"/>
      <c r="I510" s="22"/>
      <c r="J510" s="22"/>
      <c r="K510" s="22">
        <f>SUM(K498:K509)</f>
        <v>0</v>
      </c>
      <c r="L510" s="22">
        <f t="shared" ref="L510:N510" si="65">SUM(L498:L509)</f>
        <v>0</v>
      </c>
      <c r="M510" s="22">
        <f t="shared" si="65"/>
        <v>0</v>
      </c>
      <c r="N510" s="22">
        <f t="shared" si="65"/>
        <v>0</v>
      </c>
      <c r="O510" s="22"/>
      <c r="P510" s="22"/>
      <c r="Q510" s="22"/>
      <c r="R510" s="22"/>
      <c r="S510" s="22">
        <f>SUM(S498:S509)</f>
        <v>0</v>
      </c>
      <c r="U510" s="24"/>
    </row>
    <row r="511" spans="2:21" s="112" customFormat="1" ht="13.5" customHeight="1" x14ac:dyDescent="0.15">
      <c r="B511" s="19"/>
      <c r="C511" s="164"/>
      <c r="D511" s="163" t="s">
        <v>114</v>
      </c>
      <c r="E511" s="168"/>
      <c r="F511" s="135" t="s">
        <v>44</v>
      </c>
      <c r="G511" s="127" t="s">
        <v>45</v>
      </c>
      <c r="H511" s="159">
        <v>44524</v>
      </c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U511" s="24"/>
    </row>
    <row r="512" spans="2:21" s="112" customFormat="1" ht="13.5" customHeight="1" x14ac:dyDescent="0.15">
      <c r="B512" s="19"/>
      <c r="C512" s="164"/>
      <c r="D512" s="164"/>
      <c r="E512" s="169"/>
      <c r="F512" s="128" t="s">
        <v>46</v>
      </c>
      <c r="G512" s="127" t="s">
        <v>47</v>
      </c>
      <c r="H512" s="160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U512" s="24"/>
    </row>
    <row r="513" spans="2:21" s="112" customFormat="1" ht="13.5" customHeight="1" x14ac:dyDescent="0.15">
      <c r="B513" s="19"/>
      <c r="C513" s="164"/>
      <c r="D513" s="164"/>
      <c r="E513" s="169"/>
      <c r="F513" s="128" t="s">
        <v>48</v>
      </c>
      <c r="G513" s="127" t="s">
        <v>49</v>
      </c>
      <c r="H513" s="160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>
        <f>SUM(I513:P513)</f>
        <v>0</v>
      </c>
      <c r="U513" s="24"/>
    </row>
    <row r="514" spans="2:21" s="112" customFormat="1" ht="13.5" customHeight="1" x14ac:dyDescent="0.15">
      <c r="B514" s="19"/>
      <c r="C514" s="164"/>
      <c r="D514" s="164"/>
      <c r="E514" s="169"/>
      <c r="F514" s="128" t="s">
        <v>50</v>
      </c>
      <c r="G514" s="127" t="s">
        <v>51</v>
      </c>
      <c r="H514" s="160"/>
      <c r="I514" s="6"/>
      <c r="J514" s="6">
        <v>36</v>
      </c>
      <c r="K514" s="6">
        <v>48</v>
      </c>
      <c r="L514" s="6">
        <v>60</v>
      </c>
      <c r="M514" s="6">
        <v>72</v>
      </c>
      <c r="N514" s="6">
        <v>36</v>
      </c>
      <c r="O514" s="6"/>
      <c r="P514" s="6"/>
      <c r="Q514" s="6"/>
      <c r="R514" s="6"/>
      <c r="S514" s="6">
        <f>SUM(I514:O514)</f>
        <v>252</v>
      </c>
      <c r="T514" s="112">
        <v>3.72</v>
      </c>
      <c r="U514" s="24"/>
    </row>
    <row r="515" spans="2:21" s="112" customFormat="1" ht="13.5" customHeight="1" x14ac:dyDescent="0.15">
      <c r="B515" s="19"/>
      <c r="C515" s="164"/>
      <c r="D515" s="164"/>
      <c r="E515" s="169"/>
      <c r="F515" s="128" t="s">
        <v>52</v>
      </c>
      <c r="G515" s="127" t="s">
        <v>53</v>
      </c>
      <c r="H515" s="160"/>
      <c r="I515" s="6"/>
      <c r="J515" s="39">
        <v>29</v>
      </c>
      <c r="K515" s="39">
        <v>29</v>
      </c>
      <c r="L515" s="39">
        <v>58</v>
      </c>
      <c r="M515" s="39">
        <v>58</v>
      </c>
      <c r="N515" s="39">
        <v>29</v>
      </c>
      <c r="O515" s="39"/>
      <c r="P515" s="39"/>
      <c r="Q515" s="39"/>
      <c r="R515" s="39"/>
      <c r="S515" s="39">
        <f>SUM(J515:N515)</f>
        <v>203</v>
      </c>
      <c r="T515" s="112">
        <v>3.66</v>
      </c>
      <c r="U515" s="24"/>
    </row>
    <row r="516" spans="2:21" s="112" customFormat="1" ht="13.5" customHeight="1" x14ac:dyDescent="0.15">
      <c r="B516" s="19"/>
      <c r="C516" s="164"/>
      <c r="D516" s="164"/>
      <c r="E516" s="169"/>
      <c r="F516" s="128" t="s">
        <v>115</v>
      </c>
      <c r="G516" s="127" t="s">
        <v>55</v>
      </c>
      <c r="H516" s="160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>
        <f>SUM(I516:O516)</f>
        <v>0</v>
      </c>
      <c r="U516" s="24"/>
    </row>
    <row r="517" spans="2:21" s="112" customFormat="1" ht="13.5" customHeight="1" x14ac:dyDescent="0.15">
      <c r="B517" s="19"/>
      <c r="C517" s="164"/>
      <c r="D517" s="164"/>
      <c r="E517" s="169"/>
      <c r="F517" s="137" t="s">
        <v>56</v>
      </c>
      <c r="G517" s="130" t="s">
        <v>57</v>
      </c>
      <c r="H517" s="160"/>
      <c r="I517" s="6"/>
      <c r="J517" s="6">
        <v>60</v>
      </c>
      <c r="K517" s="6">
        <v>96</v>
      </c>
      <c r="L517" s="6">
        <v>96</v>
      </c>
      <c r="M517" s="6">
        <v>120</v>
      </c>
      <c r="N517" s="6">
        <v>72</v>
      </c>
      <c r="O517" s="6"/>
      <c r="P517" s="6"/>
      <c r="Q517" s="6"/>
      <c r="R517" s="6"/>
      <c r="S517" s="6">
        <f>SUM(I517:Q517)</f>
        <v>444</v>
      </c>
      <c r="T517" s="112">
        <v>3.56</v>
      </c>
      <c r="U517" s="24"/>
    </row>
    <row r="518" spans="2:21" s="112" customFormat="1" ht="13.5" customHeight="1" x14ac:dyDescent="0.15">
      <c r="B518" s="19"/>
      <c r="C518" s="164"/>
      <c r="D518" s="164"/>
      <c r="E518" s="169"/>
      <c r="F518" s="125" t="s">
        <v>58</v>
      </c>
      <c r="G518" s="110" t="s">
        <v>59</v>
      </c>
      <c r="H518" s="160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>
        <f>SUM(I518:Q518)</f>
        <v>0</v>
      </c>
      <c r="U518" s="24"/>
    </row>
    <row r="519" spans="2:21" s="112" customFormat="1" ht="13.5" customHeight="1" x14ac:dyDescent="0.15">
      <c r="B519" s="19"/>
      <c r="C519" s="164"/>
      <c r="D519" s="164"/>
      <c r="E519" s="169"/>
      <c r="F519" s="138" t="s">
        <v>60</v>
      </c>
      <c r="G519" s="127" t="s">
        <v>61</v>
      </c>
      <c r="H519" s="160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U519" s="24"/>
    </row>
    <row r="520" spans="2:21" s="112" customFormat="1" ht="13.5" customHeight="1" x14ac:dyDescent="0.15">
      <c r="B520" s="19"/>
      <c r="C520" s="164"/>
      <c r="D520" s="164"/>
      <c r="E520" s="169"/>
      <c r="F520" s="126" t="s">
        <v>62</v>
      </c>
      <c r="G520" s="127" t="s">
        <v>63</v>
      </c>
      <c r="H520" s="160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U520" s="24"/>
    </row>
    <row r="521" spans="2:21" s="112" customFormat="1" ht="13.5" customHeight="1" x14ac:dyDescent="0.15">
      <c r="B521" s="19"/>
      <c r="C521" s="164"/>
      <c r="D521" s="164"/>
      <c r="E521" s="169"/>
      <c r="F521" s="128" t="s">
        <v>64</v>
      </c>
      <c r="G521" s="127" t="s">
        <v>65</v>
      </c>
      <c r="H521" s="160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>
        <f>SUM(J521:O521)</f>
        <v>0</v>
      </c>
      <c r="U521" s="24"/>
    </row>
    <row r="522" spans="2:21" s="112" customFormat="1" ht="13.5" customHeight="1" x14ac:dyDescent="0.15">
      <c r="B522" s="19"/>
      <c r="C522" s="164"/>
      <c r="D522" s="164"/>
      <c r="E522" s="169"/>
      <c r="F522" s="128" t="s">
        <v>66</v>
      </c>
      <c r="G522" s="127" t="s">
        <v>67</v>
      </c>
      <c r="H522" s="160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>
        <f>SUM(I522:O522)</f>
        <v>0</v>
      </c>
      <c r="U522" s="149">
        <f>S526</f>
        <v>899</v>
      </c>
    </row>
    <row r="523" spans="2:21" s="112" customFormat="1" ht="13.5" customHeight="1" x14ac:dyDescent="0.15">
      <c r="B523" s="19"/>
      <c r="C523" s="164"/>
      <c r="D523" s="164"/>
      <c r="E523" s="169"/>
      <c r="F523" s="129" t="s">
        <v>68</v>
      </c>
      <c r="G523" s="130" t="s">
        <v>69</v>
      </c>
      <c r="H523" s="160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>
        <f>SUM(I523:O523)</f>
        <v>0</v>
      </c>
      <c r="U523" s="24"/>
    </row>
    <row r="524" spans="2:21" s="112" customFormat="1" ht="13.5" customHeight="1" x14ac:dyDescent="0.15">
      <c r="B524" s="19"/>
      <c r="C524" s="164"/>
      <c r="D524" s="164"/>
      <c r="E524" s="169"/>
      <c r="F524" s="126" t="s">
        <v>70</v>
      </c>
      <c r="G524" s="127" t="s">
        <v>71</v>
      </c>
      <c r="H524" s="160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>
        <f>SUM(I524:Q524)</f>
        <v>0</v>
      </c>
      <c r="U524" s="24"/>
    </row>
    <row r="525" spans="2:21" s="112" customFormat="1" ht="13.5" customHeight="1" x14ac:dyDescent="0.15">
      <c r="B525" s="19"/>
      <c r="C525" s="164"/>
      <c r="D525" s="164"/>
      <c r="E525" s="169"/>
      <c r="F525" s="129"/>
      <c r="G525" s="130"/>
      <c r="H525" s="160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U525" s="24"/>
    </row>
    <row r="526" spans="2:21" s="112" customFormat="1" ht="13.5" customHeight="1" x14ac:dyDescent="0.15">
      <c r="B526" s="19"/>
      <c r="C526" s="165"/>
      <c r="D526" s="165"/>
      <c r="E526" s="170"/>
      <c r="F526" s="129"/>
      <c r="G526" s="130"/>
      <c r="H526" s="118"/>
      <c r="I526" s="22">
        <f>SUM(I511:I524)</f>
        <v>0</v>
      </c>
      <c r="J526" s="22">
        <f>SUM(J511:J524)</f>
        <v>125</v>
      </c>
      <c r="K526" s="22">
        <f>SUM(K511:K524)</f>
        <v>173</v>
      </c>
      <c r="L526" s="22">
        <f t="shared" ref="L526:R526" si="66">SUM(L511:L524)</f>
        <v>214</v>
      </c>
      <c r="M526" s="22">
        <f t="shared" si="66"/>
        <v>250</v>
      </c>
      <c r="N526" s="22">
        <f t="shared" si="66"/>
        <v>137</v>
      </c>
      <c r="O526" s="22">
        <f t="shared" si="66"/>
        <v>0</v>
      </c>
      <c r="P526" s="22">
        <f t="shared" si="66"/>
        <v>0</v>
      </c>
      <c r="Q526" s="22">
        <f t="shared" si="66"/>
        <v>0</v>
      </c>
      <c r="R526" s="22">
        <f t="shared" si="66"/>
        <v>0</v>
      </c>
      <c r="S526" s="22">
        <f>SUM(S511:S524)</f>
        <v>899</v>
      </c>
      <c r="U526" s="24"/>
    </row>
    <row r="527" spans="2:21" s="112" customFormat="1" ht="13.5" customHeight="1" x14ac:dyDescent="0.15">
      <c r="B527" s="19"/>
      <c r="C527" s="163">
        <v>4500458569</v>
      </c>
      <c r="D527" s="114" t="s">
        <v>4</v>
      </c>
      <c r="E527" s="143" t="s">
        <v>5</v>
      </c>
      <c r="F527" s="143" t="s">
        <v>6</v>
      </c>
      <c r="G527" s="113"/>
      <c r="H527" s="114" t="s">
        <v>7</v>
      </c>
      <c r="I527" s="114" t="s">
        <v>104</v>
      </c>
      <c r="J527" s="114" t="s">
        <v>105</v>
      </c>
      <c r="K527" s="114" t="s">
        <v>106</v>
      </c>
      <c r="L527" s="114" t="s">
        <v>107</v>
      </c>
      <c r="M527" s="114" t="s">
        <v>108</v>
      </c>
      <c r="N527" s="114" t="s">
        <v>109</v>
      </c>
      <c r="O527" s="114" t="s">
        <v>110</v>
      </c>
      <c r="P527" s="44" t="s">
        <v>8</v>
      </c>
      <c r="Q527" s="44" t="s">
        <v>9</v>
      </c>
      <c r="R527" s="44" t="s">
        <v>10</v>
      </c>
      <c r="S527" s="6" t="s">
        <v>11</v>
      </c>
      <c r="U527" s="24"/>
    </row>
    <row r="528" spans="2:21" s="112" customFormat="1" ht="13.5" customHeight="1" x14ac:dyDescent="0.15">
      <c r="B528" s="19"/>
      <c r="C528" s="164"/>
      <c r="D528" s="163" t="s">
        <v>112</v>
      </c>
      <c r="E528" s="161"/>
      <c r="F528" s="47" t="s">
        <v>44</v>
      </c>
      <c r="G528" s="119" t="s">
        <v>45</v>
      </c>
      <c r="H528" s="161">
        <v>44552</v>
      </c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>
        <f>SUM(P528:R528)</f>
        <v>0</v>
      </c>
      <c r="U528" s="24"/>
    </row>
    <row r="529" spans="2:21" s="112" customFormat="1" ht="13.5" customHeight="1" x14ac:dyDescent="0.15">
      <c r="B529" s="19"/>
      <c r="C529" s="164"/>
      <c r="D529" s="164"/>
      <c r="E529" s="162"/>
      <c r="F529" s="158" t="s">
        <v>46</v>
      </c>
      <c r="G529" s="119" t="s">
        <v>47</v>
      </c>
      <c r="H529" s="162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>
        <f t="shared" ref="S529:S533" si="67">SUM(P529:R529)</f>
        <v>0</v>
      </c>
      <c r="U529" s="24"/>
    </row>
    <row r="530" spans="2:21" s="112" customFormat="1" ht="13.5" customHeight="1" x14ac:dyDescent="0.15">
      <c r="B530" s="19"/>
      <c r="C530" s="164"/>
      <c r="D530" s="164"/>
      <c r="E530" s="162"/>
      <c r="F530" s="128" t="s">
        <v>48</v>
      </c>
      <c r="G530" s="127" t="s">
        <v>49</v>
      </c>
      <c r="H530" s="162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>
        <f t="shared" si="67"/>
        <v>0</v>
      </c>
      <c r="U530" s="24"/>
    </row>
    <row r="531" spans="2:21" s="112" customFormat="1" ht="13.5" customHeight="1" x14ac:dyDescent="0.15">
      <c r="B531" s="19"/>
      <c r="C531" s="164"/>
      <c r="D531" s="164"/>
      <c r="E531" s="162"/>
      <c r="F531" s="128" t="s">
        <v>50</v>
      </c>
      <c r="G531" s="127" t="s">
        <v>51</v>
      </c>
      <c r="H531" s="162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>
        <f t="shared" si="67"/>
        <v>0</v>
      </c>
      <c r="U531" s="24"/>
    </row>
    <row r="532" spans="2:21" s="112" customFormat="1" ht="13.5" customHeight="1" x14ac:dyDescent="0.15">
      <c r="B532" s="19"/>
      <c r="C532" s="164"/>
      <c r="D532" s="164"/>
      <c r="E532" s="162"/>
      <c r="F532" s="158" t="s">
        <v>52</v>
      </c>
      <c r="G532" s="119" t="s">
        <v>53</v>
      </c>
      <c r="H532" s="162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>
        <f t="shared" si="67"/>
        <v>0</v>
      </c>
      <c r="U532" s="24"/>
    </row>
    <row r="533" spans="2:21" s="112" customFormat="1" ht="13.5" customHeight="1" x14ac:dyDescent="0.15">
      <c r="B533" s="19"/>
      <c r="C533" s="164"/>
      <c r="D533" s="164"/>
      <c r="E533" s="162"/>
      <c r="F533" s="128" t="s">
        <v>54</v>
      </c>
      <c r="G533" s="127" t="s">
        <v>55</v>
      </c>
      <c r="H533" s="162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>
        <f t="shared" si="67"/>
        <v>0</v>
      </c>
      <c r="U533" s="24"/>
    </row>
    <row r="534" spans="2:21" s="112" customFormat="1" ht="13.5" customHeight="1" x14ac:dyDescent="0.15">
      <c r="B534" s="19"/>
      <c r="C534" s="164"/>
      <c r="D534" s="164"/>
      <c r="E534" s="162"/>
      <c r="F534" s="111" t="s">
        <v>56</v>
      </c>
      <c r="G534" s="110" t="s">
        <v>57</v>
      </c>
      <c r="H534" s="162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>
        <f>SUM(P534:R534)</f>
        <v>0</v>
      </c>
      <c r="U534" s="24"/>
    </row>
    <row r="535" spans="2:21" s="112" customFormat="1" ht="13.5" customHeight="1" x14ac:dyDescent="0.15">
      <c r="B535" s="19"/>
      <c r="C535" s="164"/>
      <c r="D535" s="164"/>
      <c r="E535" s="162"/>
      <c r="F535" s="129" t="s">
        <v>58</v>
      </c>
      <c r="G535" s="130" t="s">
        <v>59</v>
      </c>
      <c r="H535" s="162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>
        <f t="shared" ref="S535:S542" si="68">SUM(P535:R535)</f>
        <v>0</v>
      </c>
      <c r="U535" s="24"/>
    </row>
    <row r="536" spans="2:21" s="112" customFormat="1" ht="13.5" customHeight="1" x14ac:dyDescent="0.15">
      <c r="B536" s="19"/>
      <c r="C536" s="164"/>
      <c r="D536" s="164"/>
      <c r="E536" s="162"/>
      <c r="F536" s="52" t="s">
        <v>60</v>
      </c>
      <c r="G536" s="119" t="s">
        <v>61</v>
      </c>
      <c r="H536" s="162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>
        <f t="shared" si="68"/>
        <v>0</v>
      </c>
      <c r="U536" s="24"/>
    </row>
    <row r="537" spans="2:21" s="112" customFormat="1" ht="13.5" customHeight="1" x14ac:dyDescent="0.15">
      <c r="B537" s="19"/>
      <c r="C537" s="164"/>
      <c r="D537" s="164"/>
      <c r="E537" s="162"/>
      <c r="F537" s="51" t="s">
        <v>62</v>
      </c>
      <c r="G537" s="119" t="s">
        <v>63</v>
      </c>
      <c r="H537" s="162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>
        <f t="shared" si="68"/>
        <v>0</v>
      </c>
      <c r="U537" s="24"/>
    </row>
    <row r="538" spans="2:21" s="112" customFormat="1" ht="13.5" customHeight="1" x14ac:dyDescent="0.15">
      <c r="B538" s="19"/>
      <c r="C538" s="164"/>
      <c r="D538" s="164"/>
      <c r="E538" s="162"/>
      <c r="F538" s="128" t="s">
        <v>64</v>
      </c>
      <c r="G538" s="127" t="s">
        <v>65</v>
      </c>
      <c r="H538" s="162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>
        <f t="shared" si="68"/>
        <v>0</v>
      </c>
      <c r="U538" s="24"/>
    </row>
    <row r="539" spans="2:21" s="112" customFormat="1" ht="13.5" customHeight="1" x14ac:dyDescent="0.15">
      <c r="B539" s="19"/>
      <c r="C539" s="164"/>
      <c r="D539" s="164"/>
      <c r="E539" s="162"/>
      <c r="F539" s="128" t="s">
        <v>66</v>
      </c>
      <c r="G539" s="127" t="s">
        <v>67</v>
      </c>
      <c r="H539" s="162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>
        <f t="shared" si="68"/>
        <v>0</v>
      </c>
      <c r="U539" s="24"/>
    </row>
    <row r="540" spans="2:21" s="112" customFormat="1" ht="13.5" customHeight="1" x14ac:dyDescent="0.15">
      <c r="B540" s="19"/>
      <c r="C540" s="164"/>
      <c r="D540" s="164"/>
      <c r="E540" s="162"/>
      <c r="F540" s="125" t="s">
        <v>68</v>
      </c>
      <c r="G540" s="110" t="s">
        <v>69</v>
      </c>
      <c r="H540" s="115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>
        <f t="shared" si="68"/>
        <v>0</v>
      </c>
      <c r="U540" s="24"/>
    </row>
    <row r="541" spans="2:21" s="112" customFormat="1" ht="13.5" customHeight="1" x14ac:dyDescent="0.15">
      <c r="B541" s="19"/>
      <c r="C541" s="164"/>
      <c r="D541" s="164"/>
      <c r="E541" s="162"/>
      <c r="F541" s="126" t="s">
        <v>70</v>
      </c>
      <c r="G541" s="127" t="s">
        <v>71</v>
      </c>
      <c r="H541" s="115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>
        <f t="shared" si="68"/>
        <v>0</v>
      </c>
      <c r="U541" s="24"/>
    </row>
    <row r="542" spans="2:21" s="112" customFormat="1" ht="13.5" customHeight="1" x14ac:dyDescent="0.15">
      <c r="B542" s="19"/>
      <c r="C542" s="164"/>
      <c r="D542" s="164"/>
      <c r="E542" s="166"/>
      <c r="F542" s="47"/>
      <c r="G542" s="158"/>
      <c r="H542" s="156" t="s">
        <v>33</v>
      </c>
      <c r="I542" s="23"/>
      <c r="J542" s="23"/>
      <c r="K542" s="23"/>
      <c r="L542" s="23"/>
      <c r="M542" s="23"/>
      <c r="N542" s="6"/>
      <c r="O542" s="6"/>
      <c r="P542" s="6"/>
      <c r="Q542" s="6"/>
      <c r="R542" s="6"/>
      <c r="S542" s="6">
        <f t="shared" si="68"/>
        <v>0</v>
      </c>
      <c r="U542" s="24"/>
    </row>
    <row r="543" spans="2:21" s="112" customFormat="1" ht="13.5" customHeight="1" x14ac:dyDescent="0.15">
      <c r="B543" s="19"/>
      <c r="C543" s="164"/>
      <c r="D543" s="165"/>
      <c r="E543" s="144"/>
      <c r="F543" s="47"/>
      <c r="G543" s="158"/>
      <c r="H543" s="118"/>
      <c r="I543" s="22"/>
      <c r="J543" s="22"/>
      <c r="K543" s="22"/>
      <c r="L543" s="22"/>
      <c r="M543" s="22"/>
      <c r="N543" s="22"/>
      <c r="O543" s="22"/>
      <c r="P543" s="22">
        <f>SUM(P528:P542)</f>
        <v>0</v>
      </c>
      <c r="Q543" s="22">
        <f>SUM(Q528:Q542)</f>
        <v>0</v>
      </c>
      <c r="R543" s="22">
        <f>SUM(R530:R541)</f>
        <v>0</v>
      </c>
      <c r="S543" s="22">
        <f>SUM(S530:S541)</f>
        <v>0</v>
      </c>
      <c r="U543" s="24"/>
    </row>
    <row r="544" spans="2:21" s="112" customFormat="1" ht="13.5" customHeight="1" x14ac:dyDescent="0.15">
      <c r="B544" s="19"/>
      <c r="C544" s="164"/>
      <c r="D544" s="164" t="s">
        <v>113</v>
      </c>
      <c r="E544" s="161"/>
      <c r="F544" s="135" t="s">
        <v>44</v>
      </c>
      <c r="G544" s="127" t="s">
        <v>45</v>
      </c>
      <c r="H544" s="159">
        <v>44552</v>
      </c>
      <c r="I544" s="136"/>
      <c r="J544" s="136"/>
      <c r="K544" s="133"/>
      <c r="L544" s="133"/>
      <c r="M544" s="133"/>
      <c r="N544" s="133"/>
      <c r="O544" s="132"/>
      <c r="P544" s="6"/>
      <c r="Q544" s="6"/>
      <c r="R544" s="6"/>
      <c r="S544" s="6"/>
      <c r="U544" s="24"/>
    </row>
    <row r="545" spans="2:21" s="112" customFormat="1" ht="13.5" customHeight="1" x14ac:dyDescent="0.15">
      <c r="B545" s="19"/>
      <c r="C545" s="164"/>
      <c r="D545" s="164"/>
      <c r="E545" s="162"/>
      <c r="F545" s="128" t="s">
        <v>46</v>
      </c>
      <c r="G545" s="127" t="s">
        <v>47</v>
      </c>
      <c r="H545" s="160"/>
      <c r="I545" s="132"/>
      <c r="J545" s="132"/>
      <c r="K545" s="133"/>
      <c r="L545" s="133"/>
      <c r="M545" s="133"/>
      <c r="N545" s="133"/>
      <c r="O545" s="132"/>
      <c r="P545" s="6"/>
      <c r="Q545" s="6"/>
      <c r="R545" s="6"/>
      <c r="S545" s="6"/>
      <c r="U545" s="24"/>
    </row>
    <row r="546" spans="2:21" s="112" customFormat="1" ht="13.5" customHeight="1" x14ac:dyDescent="0.15">
      <c r="B546" s="19"/>
      <c r="C546" s="164"/>
      <c r="D546" s="164"/>
      <c r="E546" s="162"/>
      <c r="F546" s="128" t="s">
        <v>48</v>
      </c>
      <c r="G546" s="127" t="s">
        <v>49</v>
      </c>
      <c r="H546" s="160"/>
      <c r="I546" s="132"/>
      <c r="J546" s="132"/>
      <c r="K546" s="133"/>
      <c r="L546" s="133"/>
      <c r="M546" s="133"/>
      <c r="N546" s="133"/>
      <c r="O546" s="132"/>
      <c r="P546" s="6"/>
      <c r="Q546" s="6"/>
      <c r="R546" s="6"/>
      <c r="S546" s="6">
        <f>SUM(K546:N546)</f>
        <v>0</v>
      </c>
      <c r="U546" s="24"/>
    </row>
    <row r="547" spans="2:21" s="112" customFormat="1" ht="13.5" customHeight="1" x14ac:dyDescent="0.15">
      <c r="B547" s="19"/>
      <c r="C547" s="164"/>
      <c r="D547" s="164"/>
      <c r="E547" s="162"/>
      <c r="F547" s="128" t="s">
        <v>50</v>
      </c>
      <c r="G547" s="127" t="s">
        <v>51</v>
      </c>
      <c r="H547" s="160"/>
      <c r="I547" s="132"/>
      <c r="J547" s="132"/>
      <c r="K547" s="133"/>
      <c r="L547" s="133"/>
      <c r="M547" s="133"/>
      <c r="N547" s="133"/>
      <c r="O547" s="132"/>
      <c r="P547" s="6"/>
      <c r="Q547" s="6"/>
      <c r="R547" s="6"/>
      <c r="S547" s="6">
        <f>SUM(K547:N547)</f>
        <v>0</v>
      </c>
      <c r="U547" s="24"/>
    </row>
    <row r="548" spans="2:21" s="112" customFormat="1" ht="13.5" customHeight="1" x14ac:dyDescent="0.15">
      <c r="B548" s="19"/>
      <c r="C548" s="164"/>
      <c r="D548" s="164"/>
      <c r="E548" s="162"/>
      <c r="F548" s="128" t="s">
        <v>52</v>
      </c>
      <c r="G548" s="127" t="s">
        <v>53</v>
      </c>
      <c r="H548" s="160"/>
      <c r="I548" s="136"/>
      <c r="J548" s="136"/>
      <c r="K548" s="133"/>
      <c r="L548" s="133"/>
      <c r="M548" s="133"/>
      <c r="N548" s="133"/>
      <c r="O548" s="132"/>
      <c r="P548" s="6"/>
      <c r="Q548" s="6"/>
      <c r="R548" s="6"/>
      <c r="S548" s="6"/>
      <c r="U548" s="24"/>
    </row>
    <row r="549" spans="2:21" s="112" customFormat="1" ht="13.5" customHeight="1" x14ac:dyDescent="0.15">
      <c r="B549" s="19"/>
      <c r="C549" s="164"/>
      <c r="D549" s="164"/>
      <c r="E549" s="162"/>
      <c r="F549" s="128" t="s">
        <v>54</v>
      </c>
      <c r="G549" s="127" t="s">
        <v>55</v>
      </c>
      <c r="H549" s="160"/>
      <c r="I549" s="136"/>
      <c r="J549" s="136"/>
      <c r="K549" s="133"/>
      <c r="L549" s="133"/>
      <c r="M549" s="133"/>
      <c r="N549" s="133"/>
      <c r="O549" s="132"/>
      <c r="P549" s="6"/>
      <c r="Q549" s="6"/>
      <c r="R549" s="6"/>
      <c r="S549" s="6">
        <f>SUM(K549:N549)</f>
        <v>0</v>
      </c>
      <c r="U549" s="24"/>
    </row>
    <row r="550" spans="2:21" s="112" customFormat="1" ht="13.5" customHeight="1" x14ac:dyDescent="0.15">
      <c r="B550" s="19"/>
      <c r="C550" s="164"/>
      <c r="D550" s="164"/>
      <c r="E550" s="162"/>
      <c r="F550" s="137" t="s">
        <v>56</v>
      </c>
      <c r="G550" s="130" t="s">
        <v>57</v>
      </c>
      <c r="H550" s="160"/>
      <c r="I550" s="136"/>
      <c r="J550" s="136"/>
      <c r="K550" s="133"/>
      <c r="L550" s="133"/>
      <c r="M550" s="133"/>
      <c r="N550" s="133"/>
      <c r="O550" s="132"/>
      <c r="P550" s="6"/>
      <c r="Q550" s="6"/>
      <c r="R550" s="6"/>
      <c r="S550" s="6">
        <f>SUM(K550:N550)</f>
        <v>0</v>
      </c>
      <c r="U550" s="24"/>
    </row>
    <row r="551" spans="2:21" s="112" customFormat="1" ht="13.5" customHeight="1" x14ac:dyDescent="0.15">
      <c r="B551" s="19"/>
      <c r="C551" s="164"/>
      <c r="D551" s="164"/>
      <c r="E551" s="162"/>
      <c r="F551" s="129" t="s">
        <v>58</v>
      </c>
      <c r="G551" s="130" t="s">
        <v>59</v>
      </c>
      <c r="H551" s="160"/>
      <c r="I551" s="132"/>
      <c r="J551" s="132"/>
      <c r="K551" s="133"/>
      <c r="L551" s="133"/>
      <c r="M551" s="133"/>
      <c r="N551" s="133"/>
      <c r="O551" s="132"/>
      <c r="P551" s="132"/>
      <c r="Q551" s="132"/>
      <c r="R551" s="132"/>
      <c r="S551" s="132">
        <f>SUM(K551:N551)</f>
        <v>0</v>
      </c>
      <c r="U551" s="24"/>
    </row>
    <row r="552" spans="2:21" s="112" customFormat="1" ht="13.5" customHeight="1" x14ac:dyDescent="0.15">
      <c r="B552" s="19"/>
      <c r="C552" s="164"/>
      <c r="D552" s="164"/>
      <c r="E552" s="162"/>
      <c r="F552" s="138" t="s">
        <v>60</v>
      </c>
      <c r="G552" s="127" t="s">
        <v>61</v>
      </c>
      <c r="H552" s="160"/>
      <c r="I552" s="132"/>
      <c r="J552" s="132"/>
      <c r="K552" s="133"/>
      <c r="L552" s="133"/>
      <c r="M552" s="133"/>
      <c r="N552" s="133"/>
      <c r="O552" s="132"/>
      <c r="P552" s="6"/>
      <c r="Q552" s="6"/>
      <c r="R552" s="6"/>
      <c r="S552" s="6"/>
      <c r="U552" s="24"/>
    </row>
    <row r="553" spans="2:21" s="112" customFormat="1" ht="13.5" customHeight="1" x14ac:dyDescent="0.15">
      <c r="B553" s="19"/>
      <c r="C553" s="164"/>
      <c r="D553" s="164"/>
      <c r="E553" s="162"/>
      <c r="F553" s="126" t="s">
        <v>62</v>
      </c>
      <c r="G553" s="127" t="s">
        <v>63</v>
      </c>
      <c r="H553" s="160"/>
      <c r="I553" s="132"/>
      <c r="J553" s="132"/>
      <c r="K553" s="133"/>
      <c r="L553" s="133"/>
      <c r="M553" s="133"/>
      <c r="N553" s="133"/>
      <c r="O553" s="132"/>
      <c r="P553" s="6"/>
      <c r="Q553" s="6"/>
      <c r="R553" s="6"/>
      <c r="S553" s="6"/>
      <c r="U553" s="24"/>
    </row>
    <row r="554" spans="2:21" s="112" customFormat="1" ht="13.5" customHeight="1" x14ac:dyDescent="0.15">
      <c r="B554" s="19"/>
      <c r="C554" s="164"/>
      <c r="D554" s="164"/>
      <c r="E554" s="162"/>
      <c r="F554" s="128" t="s">
        <v>64</v>
      </c>
      <c r="G554" s="127" t="s">
        <v>65</v>
      </c>
      <c r="H554" s="160"/>
      <c r="I554" s="132"/>
      <c r="J554" s="132"/>
      <c r="K554" s="133"/>
      <c r="L554" s="133"/>
      <c r="M554" s="133"/>
      <c r="N554" s="133"/>
      <c r="O554" s="132"/>
      <c r="P554" s="132"/>
      <c r="Q554" s="132"/>
      <c r="R554" s="132"/>
      <c r="S554" s="132">
        <f>SUM(K554:N554)</f>
        <v>0</v>
      </c>
      <c r="U554" s="24"/>
    </row>
    <row r="555" spans="2:21" s="112" customFormat="1" ht="13.5" customHeight="1" x14ac:dyDescent="0.15">
      <c r="B555" s="19"/>
      <c r="C555" s="164"/>
      <c r="D555" s="164"/>
      <c r="E555" s="162"/>
      <c r="F555" s="128" t="s">
        <v>66</v>
      </c>
      <c r="G555" s="127" t="s">
        <v>67</v>
      </c>
      <c r="H555" s="160"/>
      <c r="I555" s="132"/>
      <c r="J555" s="132"/>
      <c r="K555" s="133"/>
      <c r="L555" s="133"/>
      <c r="M555" s="133"/>
      <c r="N555" s="133"/>
      <c r="O555" s="132"/>
      <c r="P555" s="6"/>
      <c r="Q555" s="6"/>
      <c r="R555" s="6"/>
      <c r="S555" s="6">
        <f>SUM(K555:N555)</f>
        <v>0</v>
      </c>
      <c r="U555" s="24"/>
    </row>
    <row r="556" spans="2:21" s="112" customFormat="1" ht="13.5" customHeight="1" x14ac:dyDescent="0.15">
      <c r="B556" s="19"/>
      <c r="C556" s="164"/>
      <c r="D556" s="164"/>
      <c r="E556" s="162"/>
      <c r="F556" s="129" t="s">
        <v>68</v>
      </c>
      <c r="G556" s="130" t="s">
        <v>69</v>
      </c>
      <c r="H556" s="160"/>
      <c r="I556" s="132"/>
      <c r="J556" s="132"/>
      <c r="K556" s="133"/>
      <c r="L556" s="133"/>
      <c r="M556" s="133"/>
      <c r="N556" s="133"/>
      <c r="O556" s="132"/>
      <c r="P556" s="6"/>
      <c r="Q556" s="6"/>
      <c r="R556" s="6"/>
      <c r="S556" s="6">
        <f>SUM(K556:N556)</f>
        <v>0</v>
      </c>
      <c r="U556" s="24"/>
    </row>
    <row r="557" spans="2:21" s="112" customFormat="1" ht="13.5" customHeight="1" x14ac:dyDescent="0.15">
      <c r="B557" s="19"/>
      <c r="C557" s="164"/>
      <c r="D557" s="164"/>
      <c r="E557" s="162"/>
      <c r="F557" s="126" t="s">
        <v>70</v>
      </c>
      <c r="G557" s="127" t="s">
        <v>71</v>
      </c>
      <c r="H557" s="167"/>
      <c r="I557" s="132"/>
      <c r="J557" s="132"/>
      <c r="K557" s="133"/>
      <c r="L557" s="133"/>
      <c r="M557" s="133"/>
      <c r="N557" s="133"/>
      <c r="O557" s="132"/>
      <c r="P557" s="6"/>
      <c r="Q557" s="6"/>
      <c r="R557" s="6"/>
      <c r="S557" s="6">
        <f>SUM(K557:N557)</f>
        <v>0</v>
      </c>
      <c r="U557" s="24"/>
    </row>
    <row r="558" spans="2:21" s="112" customFormat="1" ht="13.5" customHeight="1" x14ac:dyDescent="0.15">
      <c r="B558" s="19"/>
      <c r="C558" s="164"/>
      <c r="D558" s="165"/>
      <c r="E558" s="166"/>
      <c r="F558" s="139"/>
      <c r="G558" s="131"/>
      <c r="H558" s="118"/>
      <c r="I558" s="22"/>
      <c r="J558" s="22"/>
      <c r="K558" s="22">
        <f>SUM(K546:K557)</f>
        <v>0</v>
      </c>
      <c r="L558" s="22">
        <f t="shared" ref="L558:N558" si="69">SUM(L546:L557)</f>
        <v>0</v>
      </c>
      <c r="M558" s="22">
        <f t="shared" si="69"/>
        <v>0</v>
      </c>
      <c r="N558" s="22">
        <f t="shared" si="69"/>
        <v>0</v>
      </c>
      <c r="O558" s="22"/>
      <c r="P558" s="22"/>
      <c r="Q558" s="22"/>
      <c r="R558" s="22"/>
      <c r="S558" s="22">
        <f>SUM(S546:S557)</f>
        <v>0</v>
      </c>
      <c r="U558" s="24"/>
    </row>
    <row r="559" spans="2:21" s="112" customFormat="1" ht="13.5" customHeight="1" x14ac:dyDescent="0.15">
      <c r="B559" s="19"/>
      <c r="C559" s="164"/>
      <c r="D559" s="163" t="s">
        <v>114</v>
      </c>
      <c r="E559" s="168"/>
      <c r="F559" s="135" t="s">
        <v>44</v>
      </c>
      <c r="G559" s="127" t="s">
        <v>45</v>
      </c>
      <c r="H559" s="159">
        <v>44552</v>
      </c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U559" s="24"/>
    </row>
    <row r="560" spans="2:21" s="112" customFormat="1" ht="13.5" customHeight="1" x14ac:dyDescent="0.15">
      <c r="B560" s="19"/>
      <c r="C560" s="164"/>
      <c r="D560" s="164"/>
      <c r="E560" s="169"/>
      <c r="F560" s="128" t="s">
        <v>46</v>
      </c>
      <c r="G560" s="127" t="s">
        <v>47</v>
      </c>
      <c r="H560" s="160"/>
      <c r="I560" s="6"/>
      <c r="J560" s="6">
        <v>29</v>
      </c>
      <c r="K560" s="6">
        <v>29</v>
      </c>
      <c r="L560" s="6">
        <v>58</v>
      </c>
      <c r="M560" s="6">
        <v>58</v>
      </c>
      <c r="N560" s="6">
        <v>29</v>
      </c>
      <c r="O560" s="6"/>
      <c r="P560" s="6"/>
      <c r="Q560" s="6"/>
      <c r="R560" s="6"/>
      <c r="S560" s="6">
        <f>SUM(J560:O560)</f>
        <v>203</v>
      </c>
      <c r="U560" s="24"/>
    </row>
    <row r="561" spans="2:21" s="112" customFormat="1" ht="13.5" customHeight="1" x14ac:dyDescent="0.15">
      <c r="B561" s="19"/>
      <c r="C561" s="164"/>
      <c r="D561" s="164"/>
      <c r="E561" s="169"/>
      <c r="F561" s="128" t="s">
        <v>48</v>
      </c>
      <c r="G561" s="127" t="s">
        <v>49</v>
      </c>
      <c r="H561" s="160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>
        <f>SUM(I561:P561)</f>
        <v>0</v>
      </c>
      <c r="U561" s="24"/>
    </row>
    <row r="562" spans="2:21" s="112" customFormat="1" ht="13.5" customHeight="1" x14ac:dyDescent="0.15">
      <c r="B562" s="19"/>
      <c r="C562" s="164"/>
      <c r="D562" s="164"/>
      <c r="E562" s="169"/>
      <c r="F562" s="128" t="s">
        <v>50</v>
      </c>
      <c r="G562" s="127" t="s">
        <v>51</v>
      </c>
      <c r="H562" s="160"/>
      <c r="I562" s="6"/>
      <c r="J562" s="132"/>
      <c r="K562" s="132"/>
      <c r="L562" s="132"/>
      <c r="M562" s="132"/>
      <c r="N562" s="132"/>
      <c r="O562" s="132"/>
      <c r="P562" s="132"/>
      <c r="Q562" s="6"/>
      <c r="R562" s="6"/>
      <c r="S562" s="6">
        <f>SUM(I562:O562)</f>
        <v>0</v>
      </c>
      <c r="U562" s="24"/>
    </row>
    <row r="563" spans="2:21" s="112" customFormat="1" ht="13.5" customHeight="1" x14ac:dyDescent="0.15">
      <c r="B563" s="19"/>
      <c r="C563" s="164"/>
      <c r="D563" s="164"/>
      <c r="E563" s="169"/>
      <c r="F563" s="128" t="s">
        <v>52</v>
      </c>
      <c r="G563" s="127" t="s">
        <v>53</v>
      </c>
      <c r="H563" s="160"/>
      <c r="I563" s="6"/>
      <c r="J563" s="132">
        <v>36</v>
      </c>
      <c r="K563" s="132">
        <v>36</v>
      </c>
      <c r="L563" s="132">
        <v>48</v>
      </c>
      <c r="M563" s="132">
        <v>60</v>
      </c>
      <c r="N563" s="132">
        <v>36</v>
      </c>
      <c r="O563" s="132"/>
      <c r="P563" s="132"/>
      <c r="Q563" s="39"/>
      <c r="R563" s="39"/>
      <c r="S563" s="132">
        <f>SUM(J563:N563)</f>
        <v>216</v>
      </c>
      <c r="T563" s="112">
        <v>3.66</v>
      </c>
      <c r="U563" s="24"/>
    </row>
    <row r="564" spans="2:21" s="112" customFormat="1" ht="13.5" customHeight="1" x14ac:dyDescent="0.15">
      <c r="B564" s="19"/>
      <c r="C564" s="164"/>
      <c r="D564" s="164"/>
      <c r="E564" s="169"/>
      <c r="F564" s="128" t="s">
        <v>115</v>
      </c>
      <c r="G564" s="127" t="s">
        <v>55</v>
      </c>
      <c r="H564" s="160"/>
      <c r="I564" s="6"/>
      <c r="J564" s="132"/>
      <c r="K564" s="132"/>
      <c r="L564" s="132"/>
      <c r="M564" s="132"/>
      <c r="N564" s="132"/>
      <c r="O564" s="132"/>
      <c r="P564" s="132"/>
      <c r="Q564" s="6"/>
      <c r="R564" s="6"/>
      <c r="S564" s="6">
        <f>SUM(I564:O564)</f>
        <v>0</v>
      </c>
      <c r="U564" s="24"/>
    </row>
    <row r="565" spans="2:21" s="112" customFormat="1" ht="13.5" customHeight="1" x14ac:dyDescent="0.15">
      <c r="B565" s="19"/>
      <c r="C565" s="164"/>
      <c r="D565" s="164"/>
      <c r="E565" s="169"/>
      <c r="F565" s="137" t="s">
        <v>56</v>
      </c>
      <c r="G565" s="130" t="s">
        <v>57</v>
      </c>
      <c r="H565" s="160"/>
      <c r="I565" s="6"/>
      <c r="J565" s="132"/>
      <c r="K565" s="132"/>
      <c r="L565" s="132"/>
      <c r="M565" s="132"/>
      <c r="N565" s="132"/>
      <c r="O565" s="132"/>
      <c r="P565" s="132"/>
      <c r="Q565" s="6"/>
      <c r="R565" s="6"/>
      <c r="S565" s="6">
        <f>SUM(I565:Q565)</f>
        <v>0</v>
      </c>
      <c r="U565" s="24"/>
    </row>
    <row r="566" spans="2:21" s="112" customFormat="1" ht="13.5" customHeight="1" x14ac:dyDescent="0.15">
      <c r="B566" s="19"/>
      <c r="C566" s="164"/>
      <c r="D566" s="164"/>
      <c r="E566" s="169"/>
      <c r="F566" s="125" t="s">
        <v>58</v>
      </c>
      <c r="G566" s="110" t="s">
        <v>59</v>
      </c>
      <c r="H566" s="160"/>
      <c r="I566" s="6"/>
      <c r="J566" s="132"/>
      <c r="K566" s="132"/>
      <c r="L566" s="132"/>
      <c r="M566" s="132"/>
      <c r="N566" s="132"/>
      <c r="O566" s="132"/>
      <c r="P566" s="132"/>
      <c r="Q566" s="6"/>
      <c r="R566" s="6"/>
      <c r="S566" s="6">
        <f>SUM(I566:Q566)</f>
        <v>0</v>
      </c>
      <c r="U566" s="24"/>
    </row>
    <row r="567" spans="2:21" s="112" customFormat="1" ht="13.5" customHeight="1" x14ac:dyDescent="0.15">
      <c r="B567" s="19"/>
      <c r="C567" s="164"/>
      <c r="D567" s="164"/>
      <c r="E567" s="169"/>
      <c r="F567" s="138" t="s">
        <v>60</v>
      </c>
      <c r="G567" s="127" t="s">
        <v>61</v>
      </c>
      <c r="H567" s="160"/>
      <c r="I567" s="6"/>
      <c r="J567" s="132"/>
      <c r="K567" s="132"/>
      <c r="L567" s="132"/>
      <c r="M567" s="132"/>
      <c r="N567" s="132"/>
      <c r="O567" s="132"/>
      <c r="P567" s="132"/>
      <c r="Q567" s="6"/>
      <c r="R567" s="6"/>
      <c r="S567" s="6"/>
      <c r="U567" s="24"/>
    </row>
    <row r="568" spans="2:21" s="112" customFormat="1" ht="13.5" customHeight="1" x14ac:dyDescent="0.15">
      <c r="B568" s="19"/>
      <c r="C568" s="164"/>
      <c r="D568" s="164"/>
      <c r="E568" s="169"/>
      <c r="F568" s="126" t="s">
        <v>62</v>
      </c>
      <c r="G568" s="127" t="s">
        <v>63</v>
      </c>
      <c r="H568" s="160"/>
      <c r="I568" s="6"/>
      <c r="J568" s="132">
        <v>29</v>
      </c>
      <c r="K568" s="132">
        <v>29</v>
      </c>
      <c r="L568" s="132">
        <v>58</v>
      </c>
      <c r="M568" s="132">
        <v>58</v>
      </c>
      <c r="N568" s="132">
        <v>29</v>
      </c>
      <c r="O568" s="132"/>
      <c r="P568" s="132"/>
      <c r="Q568" s="6"/>
      <c r="R568" s="6"/>
      <c r="S568" s="6">
        <f>SUM(J568:O568)</f>
        <v>203</v>
      </c>
      <c r="U568" s="24"/>
    </row>
    <row r="569" spans="2:21" s="112" customFormat="1" ht="13.5" customHeight="1" x14ac:dyDescent="0.15">
      <c r="B569" s="19"/>
      <c r="C569" s="164"/>
      <c r="D569" s="164"/>
      <c r="E569" s="169"/>
      <c r="F569" s="128" t="s">
        <v>64</v>
      </c>
      <c r="G569" s="127" t="s">
        <v>65</v>
      </c>
      <c r="H569" s="160"/>
      <c r="I569" s="6"/>
      <c r="J569" s="132"/>
      <c r="K569" s="132"/>
      <c r="L569" s="132"/>
      <c r="M569" s="132"/>
      <c r="N569" s="132"/>
      <c r="O569" s="132"/>
      <c r="P569" s="132"/>
      <c r="Q569" s="6"/>
      <c r="R569" s="6"/>
      <c r="S569" s="6">
        <f>SUM(J569:O569)</f>
        <v>0</v>
      </c>
      <c r="U569" s="24"/>
    </row>
    <row r="570" spans="2:21" s="112" customFormat="1" ht="13.5" customHeight="1" x14ac:dyDescent="0.15">
      <c r="B570" s="19"/>
      <c r="C570" s="164"/>
      <c r="D570" s="164"/>
      <c r="E570" s="169"/>
      <c r="F570" s="128" t="s">
        <v>66</v>
      </c>
      <c r="G570" s="127" t="s">
        <v>67</v>
      </c>
      <c r="H570" s="160"/>
      <c r="I570" s="6"/>
      <c r="J570" s="132"/>
      <c r="K570" s="132"/>
      <c r="L570" s="132"/>
      <c r="M570" s="132"/>
      <c r="N570" s="132"/>
      <c r="O570" s="132"/>
      <c r="P570" s="132"/>
      <c r="Q570" s="6"/>
      <c r="R570" s="6"/>
      <c r="S570" s="6">
        <f>SUM(I570:O570)</f>
        <v>0</v>
      </c>
      <c r="U570" s="24"/>
    </row>
    <row r="571" spans="2:21" s="112" customFormat="1" ht="13.5" customHeight="1" x14ac:dyDescent="0.15">
      <c r="B571" s="19"/>
      <c r="C571" s="164"/>
      <c r="D571" s="164"/>
      <c r="E571" s="169"/>
      <c r="F571" s="129" t="s">
        <v>68</v>
      </c>
      <c r="G571" s="130" t="s">
        <v>69</v>
      </c>
      <c r="H571" s="160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>
        <f>SUM(I571:O571)</f>
        <v>0</v>
      </c>
      <c r="U571" s="24"/>
    </row>
    <row r="572" spans="2:21" s="112" customFormat="1" ht="13.5" customHeight="1" x14ac:dyDescent="0.15">
      <c r="B572" s="19"/>
      <c r="C572" s="164"/>
      <c r="D572" s="164"/>
      <c r="E572" s="169"/>
      <c r="F572" s="126" t="s">
        <v>70</v>
      </c>
      <c r="G572" s="127" t="s">
        <v>71</v>
      </c>
      <c r="H572" s="160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>
        <f>SUM(I572:Q572)</f>
        <v>0</v>
      </c>
      <c r="U572" s="149">
        <f>S574</f>
        <v>622</v>
      </c>
    </row>
    <row r="573" spans="2:21" s="112" customFormat="1" ht="13.5" customHeight="1" x14ac:dyDescent="0.15">
      <c r="B573" s="19"/>
      <c r="C573" s="164"/>
      <c r="D573" s="164"/>
      <c r="E573" s="169"/>
      <c r="F573" s="129"/>
      <c r="G573" s="130"/>
      <c r="H573" s="160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U573" s="24"/>
    </row>
    <row r="574" spans="2:21" s="112" customFormat="1" ht="13.5" customHeight="1" x14ac:dyDescent="0.15">
      <c r="B574" s="19"/>
      <c r="C574" s="165"/>
      <c r="D574" s="165"/>
      <c r="E574" s="170"/>
      <c r="F574" s="129"/>
      <c r="G574" s="130"/>
      <c r="H574" s="118"/>
      <c r="I574" s="22">
        <f>SUM(I559:I572)</f>
        <v>0</v>
      </c>
      <c r="J574" s="22">
        <f>SUM(J559:J572)</f>
        <v>94</v>
      </c>
      <c r="K574" s="22">
        <f>SUM(K559:K572)</f>
        <v>94</v>
      </c>
      <c r="L574" s="22">
        <f t="shared" ref="L574:R574" si="70">SUM(L559:L572)</f>
        <v>164</v>
      </c>
      <c r="M574" s="22">
        <f t="shared" si="70"/>
        <v>176</v>
      </c>
      <c r="N574" s="22">
        <f t="shared" si="70"/>
        <v>94</v>
      </c>
      <c r="O574" s="22">
        <f t="shared" si="70"/>
        <v>0</v>
      </c>
      <c r="P574" s="22">
        <f t="shared" si="70"/>
        <v>0</v>
      </c>
      <c r="Q574" s="22">
        <f t="shared" si="70"/>
        <v>0</v>
      </c>
      <c r="R574" s="22">
        <f t="shared" si="70"/>
        <v>0</v>
      </c>
      <c r="S574" s="22">
        <f>SUM(S559:S572)</f>
        <v>622</v>
      </c>
      <c r="U574" s="24"/>
    </row>
    <row r="575" spans="2:21" s="112" customFormat="1" ht="13.5" customHeight="1" x14ac:dyDescent="0.15">
      <c r="B575" s="19"/>
      <c r="C575" s="163">
        <v>4500458571</v>
      </c>
      <c r="D575" s="114" t="s">
        <v>4</v>
      </c>
      <c r="E575" s="143" t="s">
        <v>5</v>
      </c>
      <c r="F575" s="143" t="s">
        <v>6</v>
      </c>
      <c r="G575" s="113"/>
      <c r="H575" s="114" t="s">
        <v>7</v>
      </c>
      <c r="I575" s="114" t="s">
        <v>104</v>
      </c>
      <c r="J575" s="114" t="s">
        <v>105</v>
      </c>
      <c r="K575" s="114" t="s">
        <v>106</v>
      </c>
      <c r="L575" s="114" t="s">
        <v>107</v>
      </c>
      <c r="M575" s="114" t="s">
        <v>108</v>
      </c>
      <c r="N575" s="114" t="s">
        <v>109</v>
      </c>
      <c r="O575" s="114" t="s">
        <v>110</v>
      </c>
      <c r="P575" s="44" t="s">
        <v>8</v>
      </c>
      <c r="Q575" s="44" t="s">
        <v>9</v>
      </c>
      <c r="R575" s="44" t="s">
        <v>10</v>
      </c>
      <c r="S575" s="6" t="s">
        <v>11</v>
      </c>
      <c r="U575" s="24"/>
    </row>
    <row r="576" spans="2:21" s="112" customFormat="1" ht="13.5" customHeight="1" x14ac:dyDescent="0.15">
      <c r="B576" s="19"/>
      <c r="C576" s="164"/>
      <c r="D576" s="163" t="s">
        <v>112</v>
      </c>
      <c r="E576" s="161"/>
      <c r="F576" s="47" t="s">
        <v>44</v>
      </c>
      <c r="G576" s="119" t="s">
        <v>45</v>
      </c>
      <c r="H576" s="161">
        <v>44215</v>
      </c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>
        <f>SUM(P576:R576)</f>
        <v>0</v>
      </c>
      <c r="U576" s="24"/>
    </row>
    <row r="577" spans="2:21" s="112" customFormat="1" ht="13.5" customHeight="1" x14ac:dyDescent="0.15">
      <c r="B577" s="19"/>
      <c r="C577" s="164"/>
      <c r="D577" s="164"/>
      <c r="E577" s="162"/>
      <c r="F577" s="158" t="s">
        <v>46</v>
      </c>
      <c r="G577" s="119" t="s">
        <v>47</v>
      </c>
      <c r="H577" s="162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>
        <f t="shared" ref="S577:S581" si="71">SUM(P577:R577)</f>
        <v>0</v>
      </c>
      <c r="U577" s="24"/>
    </row>
    <row r="578" spans="2:21" s="112" customFormat="1" ht="13.5" customHeight="1" x14ac:dyDescent="0.15">
      <c r="B578" s="19"/>
      <c r="C578" s="164"/>
      <c r="D578" s="164"/>
      <c r="E578" s="162"/>
      <c r="F578" s="128" t="s">
        <v>48</v>
      </c>
      <c r="G578" s="127" t="s">
        <v>49</v>
      </c>
      <c r="H578" s="162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>
        <f t="shared" si="71"/>
        <v>0</v>
      </c>
      <c r="U578" s="24"/>
    </row>
    <row r="579" spans="2:21" s="112" customFormat="1" ht="13.5" customHeight="1" x14ac:dyDescent="0.15">
      <c r="B579" s="19"/>
      <c r="C579" s="164"/>
      <c r="D579" s="164"/>
      <c r="E579" s="162"/>
      <c r="F579" s="128" t="s">
        <v>50</v>
      </c>
      <c r="G579" s="127" t="s">
        <v>51</v>
      </c>
      <c r="H579" s="162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>
        <f t="shared" si="71"/>
        <v>0</v>
      </c>
      <c r="U579" s="24"/>
    </row>
    <row r="580" spans="2:21" s="112" customFormat="1" ht="13.5" customHeight="1" x14ac:dyDescent="0.15">
      <c r="B580" s="19"/>
      <c r="C580" s="164"/>
      <c r="D580" s="164"/>
      <c r="E580" s="162"/>
      <c r="F580" s="158" t="s">
        <v>52</v>
      </c>
      <c r="G580" s="119" t="s">
        <v>53</v>
      </c>
      <c r="H580" s="162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>
        <f t="shared" si="71"/>
        <v>0</v>
      </c>
      <c r="U580" s="24"/>
    </row>
    <row r="581" spans="2:21" s="112" customFormat="1" ht="13.5" customHeight="1" x14ac:dyDescent="0.15">
      <c r="B581" s="19"/>
      <c r="C581" s="164"/>
      <c r="D581" s="164"/>
      <c r="E581" s="162"/>
      <c r="F581" s="128" t="s">
        <v>54</v>
      </c>
      <c r="G581" s="127" t="s">
        <v>55</v>
      </c>
      <c r="H581" s="162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>
        <f t="shared" si="71"/>
        <v>0</v>
      </c>
      <c r="U581" s="24"/>
    </row>
    <row r="582" spans="2:21" s="112" customFormat="1" ht="13.5" customHeight="1" x14ac:dyDescent="0.15">
      <c r="B582" s="19"/>
      <c r="C582" s="164"/>
      <c r="D582" s="164"/>
      <c r="E582" s="162"/>
      <c r="F582" s="111" t="s">
        <v>56</v>
      </c>
      <c r="G582" s="110" t="s">
        <v>57</v>
      </c>
      <c r="H582" s="162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>
        <f>SUM(P582:R582)</f>
        <v>0</v>
      </c>
      <c r="U582" s="24"/>
    </row>
    <row r="583" spans="2:21" s="112" customFormat="1" ht="13.5" customHeight="1" x14ac:dyDescent="0.15">
      <c r="B583" s="19"/>
      <c r="C583" s="164"/>
      <c r="D583" s="164"/>
      <c r="E583" s="162"/>
      <c r="F583" s="129" t="s">
        <v>58</v>
      </c>
      <c r="G583" s="130" t="s">
        <v>59</v>
      </c>
      <c r="H583" s="162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>
        <f t="shared" ref="S583:S590" si="72">SUM(P583:R583)</f>
        <v>0</v>
      </c>
      <c r="U583" s="24"/>
    </row>
    <row r="584" spans="2:21" s="112" customFormat="1" ht="13.5" customHeight="1" x14ac:dyDescent="0.15">
      <c r="B584" s="19"/>
      <c r="C584" s="164"/>
      <c r="D584" s="164"/>
      <c r="E584" s="162"/>
      <c r="F584" s="52" t="s">
        <v>60</v>
      </c>
      <c r="G584" s="119" t="s">
        <v>61</v>
      </c>
      <c r="H584" s="162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>
        <f t="shared" si="72"/>
        <v>0</v>
      </c>
      <c r="U584" s="24"/>
    </row>
    <row r="585" spans="2:21" s="112" customFormat="1" ht="13.5" customHeight="1" x14ac:dyDescent="0.15">
      <c r="B585" s="19"/>
      <c r="C585" s="164"/>
      <c r="D585" s="164"/>
      <c r="E585" s="162"/>
      <c r="F585" s="51" t="s">
        <v>62</v>
      </c>
      <c r="G585" s="119" t="s">
        <v>63</v>
      </c>
      <c r="H585" s="162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>
        <f t="shared" si="72"/>
        <v>0</v>
      </c>
      <c r="U585" s="24"/>
    </row>
    <row r="586" spans="2:21" s="112" customFormat="1" ht="13.5" customHeight="1" x14ac:dyDescent="0.15">
      <c r="B586" s="19"/>
      <c r="C586" s="164"/>
      <c r="D586" s="164"/>
      <c r="E586" s="162"/>
      <c r="F586" s="128" t="s">
        <v>64</v>
      </c>
      <c r="G586" s="127" t="s">
        <v>65</v>
      </c>
      <c r="H586" s="162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>
        <f t="shared" si="72"/>
        <v>0</v>
      </c>
      <c r="U586" s="24"/>
    </row>
    <row r="587" spans="2:21" s="112" customFormat="1" ht="13.5" customHeight="1" x14ac:dyDescent="0.15">
      <c r="B587" s="19"/>
      <c r="C587" s="164"/>
      <c r="D587" s="164"/>
      <c r="E587" s="162"/>
      <c r="F587" s="128" t="s">
        <v>66</v>
      </c>
      <c r="G587" s="127" t="s">
        <v>67</v>
      </c>
      <c r="H587" s="162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>
        <f t="shared" si="72"/>
        <v>0</v>
      </c>
      <c r="U587" s="24"/>
    </row>
    <row r="588" spans="2:21" s="112" customFormat="1" ht="13.5" customHeight="1" x14ac:dyDescent="0.15">
      <c r="B588" s="19"/>
      <c r="C588" s="164"/>
      <c r="D588" s="164"/>
      <c r="E588" s="162"/>
      <c r="F588" s="125" t="s">
        <v>68</v>
      </c>
      <c r="G588" s="110" t="s">
        <v>69</v>
      </c>
      <c r="H588" s="11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>
        <f t="shared" si="72"/>
        <v>0</v>
      </c>
      <c r="U588" s="24"/>
    </row>
    <row r="589" spans="2:21" s="112" customFormat="1" ht="13.5" customHeight="1" x14ac:dyDescent="0.15">
      <c r="B589" s="19"/>
      <c r="C589" s="164"/>
      <c r="D589" s="164"/>
      <c r="E589" s="162"/>
      <c r="F589" s="126" t="s">
        <v>70</v>
      </c>
      <c r="G589" s="127" t="s">
        <v>71</v>
      </c>
      <c r="H589" s="115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>
        <f t="shared" si="72"/>
        <v>0</v>
      </c>
      <c r="U589" s="24"/>
    </row>
    <row r="590" spans="2:21" s="112" customFormat="1" ht="13.5" customHeight="1" x14ac:dyDescent="0.15">
      <c r="B590" s="19"/>
      <c r="C590" s="164"/>
      <c r="D590" s="164"/>
      <c r="E590" s="166"/>
      <c r="F590" s="47"/>
      <c r="G590" s="158"/>
      <c r="H590" s="156" t="s">
        <v>33</v>
      </c>
      <c r="I590" s="23"/>
      <c r="J590" s="23"/>
      <c r="K590" s="23"/>
      <c r="L590" s="23"/>
      <c r="M590" s="23"/>
      <c r="N590" s="6"/>
      <c r="O590" s="6"/>
      <c r="P590" s="6"/>
      <c r="Q590" s="6"/>
      <c r="R590" s="6"/>
      <c r="S590" s="6">
        <f t="shared" si="72"/>
        <v>0</v>
      </c>
      <c r="U590" s="24"/>
    </row>
    <row r="591" spans="2:21" s="112" customFormat="1" ht="13.5" customHeight="1" x14ac:dyDescent="0.15">
      <c r="B591" s="19"/>
      <c r="C591" s="164"/>
      <c r="D591" s="165"/>
      <c r="E591" s="144"/>
      <c r="F591" s="47"/>
      <c r="G591" s="158"/>
      <c r="H591" s="118"/>
      <c r="I591" s="22"/>
      <c r="J591" s="22"/>
      <c r="K591" s="22"/>
      <c r="L591" s="22"/>
      <c r="M591" s="22"/>
      <c r="N591" s="22"/>
      <c r="O591" s="22"/>
      <c r="P591" s="22">
        <f>SUM(P576:P590)</f>
        <v>0</v>
      </c>
      <c r="Q591" s="22">
        <f>SUM(Q576:Q590)</f>
        <v>0</v>
      </c>
      <c r="R591" s="22">
        <f>SUM(R578:R589)</f>
        <v>0</v>
      </c>
      <c r="S591" s="22">
        <f>SUM(S578:S589)</f>
        <v>0</v>
      </c>
      <c r="U591" s="24"/>
    </row>
    <row r="592" spans="2:21" s="112" customFormat="1" ht="13.5" customHeight="1" x14ac:dyDescent="0.15">
      <c r="B592" s="19"/>
      <c r="C592" s="164"/>
      <c r="D592" s="164" t="s">
        <v>113</v>
      </c>
      <c r="E592" s="161"/>
      <c r="F592" s="135" t="s">
        <v>44</v>
      </c>
      <c r="G592" s="127" t="s">
        <v>45</v>
      </c>
      <c r="H592" s="159">
        <v>44215</v>
      </c>
      <c r="I592" s="136"/>
      <c r="J592" s="136"/>
      <c r="K592" s="133"/>
      <c r="L592" s="133"/>
      <c r="M592" s="133"/>
      <c r="N592" s="133"/>
      <c r="O592" s="132"/>
      <c r="P592" s="6"/>
      <c r="Q592" s="6"/>
      <c r="R592" s="6"/>
      <c r="S592" s="6"/>
      <c r="U592" s="24"/>
    </row>
    <row r="593" spans="2:21" s="112" customFormat="1" ht="13.5" customHeight="1" x14ac:dyDescent="0.15">
      <c r="B593" s="19"/>
      <c r="C593" s="164"/>
      <c r="D593" s="164"/>
      <c r="E593" s="162"/>
      <c r="F593" s="128" t="s">
        <v>46</v>
      </c>
      <c r="G593" s="127" t="s">
        <v>47</v>
      </c>
      <c r="H593" s="160"/>
      <c r="I593" s="132"/>
      <c r="J593" s="132"/>
      <c r="K593" s="133"/>
      <c r="L593" s="133"/>
      <c r="M593" s="133"/>
      <c r="N593" s="133"/>
      <c r="O593" s="132"/>
      <c r="P593" s="6"/>
      <c r="Q593" s="6"/>
      <c r="R593" s="6"/>
      <c r="S593" s="6"/>
      <c r="U593" s="24"/>
    </row>
    <row r="594" spans="2:21" s="112" customFormat="1" ht="13.5" customHeight="1" x14ac:dyDescent="0.15">
      <c r="B594" s="19"/>
      <c r="C594" s="164"/>
      <c r="D594" s="164"/>
      <c r="E594" s="162"/>
      <c r="F594" s="128" t="s">
        <v>48</v>
      </c>
      <c r="G594" s="127" t="s">
        <v>49</v>
      </c>
      <c r="H594" s="160"/>
      <c r="I594" s="132"/>
      <c r="J594" s="132"/>
      <c r="K594" s="133"/>
      <c r="L594" s="133"/>
      <c r="M594" s="133"/>
      <c r="N594" s="133"/>
      <c r="O594" s="132"/>
      <c r="P594" s="6"/>
      <c r="Q594" s="6"/>
      <c r="R594" s="6"/>
      <c r="S594" s="6">
        <f>SUM(K594:N594)</f>
        <v>0</v>
      </c>
      <c r="U594" s="24"/>
    </row>
    <row r="595" spans="2:21" s="112" customFormat="1" ht="13.5" customHeight="1" x14ac:dyDescent="0.15">
      <c r="B595" s="19"/>
      <c r="C595" s="164"/>
      <c r="D595" s="164"/>
      <c r="E595" s="162"/>
      <c r="F595" s="128" t="s">
        <v>50</v>
      </c>
      <c r="G595" s="127" t="s">
        <v>51</v>
      </c>
      <c r="H595" s="160"/>
      <c r="I595" s="132"/>
      <c r="J595" s="132"/>
      <c r="K595" s="133"/>
      <c r="L595" s="133"/>
      <c r="M595" s="133"/>
      <c r="N595" s="133"/>
      <c r="O595" s="132"/>
      <c r="P595" s="6"/>
      <c r="Q595" s="6"/>
      <c r="R595" s="6"/>
      <c r="S595" s="6">
        <f>SUM(K595:N595)</f>
        <v>0</v>
      </c>
      <c r="U595" s="24"/>
    </row>
    <row r="596" spans="2:21" s="112" customFormat="1" ht="13.5" customHeight="1" x14ac:dyDescent="0.15">
      <c r="B596" s="19"/>
      <c r="C596" s="164"/>
      <c r="D596" s="164"/>
      <c r="E596" s="162"/>
      <c r="F596" s="128" t="s">
        <v>52</v>
      </c>
      <c r="G596" s="127" t="s">
        <v>53</v>
      </c>
      <c r="H596" s="160"/>
      <c r="I596" s="136"/>
      <c r="J596" s="136"/>
      <c r="K596" s="133"/>
      <c r="L596" s="133"/>
      <c r="M596" s="133"/>
      <c r="N596" s="133"/>
      <c r="O596" s="132"/>
      <c r="P596" s="6"/>
      <c r="Q596" s="6"/>
      <c r="R596" s="6"/>
      <c r="S596" s="6"/>
      <c r="U596" s="24"/>
    </row>
    <row r="597" spans="2:21" s="112" customFormat="1" ht="13.5" customHeight="1" x14ac:dyDescent="0.15">
      <c r="B597" s="19"/>
      <c r="C597" s="164"/>
      <c r="D597" s="164"/>
      <c r="E597" s="162"/>
      <c r="F597" s="128" t="s">
        <v>54</v>
      </c>
      <c r="G597" s="127" t="s">
        <v>55</v>
      </c>
      <c r="H597" s="160"/>
      <c r="I597" s="136"/>
      <c r="J597" s="136"/>
      <c r="K597" s="133"/>
      <c r="L597" s="133"/>
      <c r="M597" s="133"/>
      <c r="N597" s="133"/>
      <c r="O597" s="132"/>
      <c r="P597" s="6"/>
      <c r="Q597" s="6"/>
      <c r="R597" s="6"/>
      <c r="S597" s="6">
        <f>SUM(K597:N597)</f>
        <v>0</v>
      </c>
      <c r="U597" s="24"/>
    </row>
    <row r="598" spans="2:21" s="112" customFormat="1" ht="13.5" customHeight="1" x14ac:dyDescent="0.15">
      <c r="B598" s="19"/>
      <c r="C598" s="164"/>
      <c r="D598" s="164"/>
      <c r="E598" s="162"/>
      <c r="F598" s="137" t="s">
        <v>56</v>
      </c>
      <c r="G598" s="130" t="s">
        <v>57</v>
      </c>
      <c r="H598" s="160"/>
      <c r="I598" s="136"/>
      <c r="J598" s="136"/>
      <c r="K598" s="133"/>
      <c r="L598" s="133"/>
      <c r="M598" s="133"/>
      <c r="N598" s="133"/>
      <c r="O598" s="132"/>
      <c r="P598" s="6"/>
      <c r="Q598" s="6"/>
      <c r="R598" s="6"/>
      <c r="S598" s="6">
        <f>SUM(K598:N598)</f>
        <v>0</v>
      </c>
      <c r="U598" s="24"/>
    </row>
    <row r="599" spans="2:21" s="112" customFormat="1" ht="13.5" customHeight="1" x14ac:dyDescent="0.15">
      <c r="B599" s="19"/>
      <c r="C599" s="164"/>
      <c r="D599" s="164"/>
      <c r="E599" s="162"/>
      <c r="F599" s="129" t="s">
        <v>58</v>
      </c>
      <c r="G599" s="130" t="s">
        <v>59</v>
      </c>
      <c r="H599" s="160"/>
      <c r="I599" s="132"/>
      <c r="J599" s="132"/>
      <c r="K599" s="133"/>
      <c r="L599" s="133"/>
      <c r="M599" s="133"/>
      <c r="N599" s="133"/>
      <c r="O599" s="132"/>
      <c r="P599" s="132"/>
      <c r="Q599" s="132"/>
      <c r="R599" s="132"/>
      <c r="S599" s="132">
        <f>SUM(K599:N599)</f>
        <v>0</v>
      </c>
      <c r="U599" s="24"/>
    </row>
    <row r="600" spans="2:21" s="112" customFormat="1" ht="13.5" customHeight="1" x14ac:dyDescent="0.15">
      <c r="B600" s="19"/>
      <c r="C600" s="164"/>
      <c r="D600" s="164"/>
      <c r="E600" s="162"/>
      <c r="F600" s="138" t="s">
        <v>60</v>
      </c>
      <c r="G600" s="127" t="s">
        <v>61</v>
      </c>
      <c r="H600" s="160"/>
      <c r="I600" s="132"/>
      <c r="J600" s="132"/>
      <c r="K600" s="133"/>
      <c r="L600" s="133"/>
      <c r="M600" s="133"/>
      <c r="N600" s="133"/>
      <c r="O600" s="132"/>
      <c r="P600" s="6"/>
      <c r="Q600" s="6"/>
      <c r="R600" s="6"/>
      <c r="S600" s="6"/>
      <c r="U600" s="24"/>
    </row>
    <row r="601" spans="2:21" s="112" customFormat="1" ht="13.5" customHeight="1" x14ac:dyDescent="0.15">
      <c r="B601" s="19"/>
      <c r="C601" s="164"/>
      <c r="D601" s="164"/>
      <c r="E601" s="162"/>
      <c r="F601" s="126" t="s">
        <v>62</v>
      </c>
      <c r="G601" s="127" t="s">
        <v>63</v>
      </c>
      <c r="H601" s="160"/>
      <c r="I601" s="132"/>
      <c r="J601" s="132"/>
      <c r="K601" s="133"/>
      <c r="L601" s="133"/>
      <c r="M601" s="133"/>
      <c r="N601" s="133"/>
      <c r="O601" s="132"/>
      <c r="P601" s="6"/>
      <c r="Q601" s="6"/>
      <c r="R601" s="6"/>
      <c r="S601" s="6"/>
      <c r="U601" s="24"/>
    </row>
    <row r="602" spans="2:21" s="112" customFormat="1" ht="13.5" customHeight="1" x14ac:dyDescent="0.15">
      <c r="B602" s="19"/>
      <c r="C602" s="164"/>
      <c r="D602" s="164"/>
      <c r="E602" s="162"/>
      <c r="F602" s="128" t="s">
        <v>64</v>
      </c>
      <c r="G602" s="127" t="s">
        <v>65</v>
      </c>
      <c r="H602" s="160"/>
      <c r="I602" s="132"/>
      <c r="J602" s="132"/>
      <c r="K602" s="133"/>
      <c r="L602" s="133"/>
      <c r="M602" s="133"/>
      <c r="N602" s="133"/>
      <c r="O602" s="132"/>
      <c r="P602" s="132"/>
      <c r="Q602" s="132"/>
      <c r="R602" s="132"/>
      <c r="S602" s="132">
        <f>SUM(K602:N602)</f>
        <v>0</v>
      </c>
      <c r="U602" s="24"/>
    </row>
    <row r="603" spans="2:21" s="112" customFormat="1" ht="13.5" customHeight="1" x14ac:dyDescent="0.15">
      <c r="B603" s="19"/>
      <c r="C603" s="164"/>
      <c r="D603" s="164"/>
      <c r="E603" s="162"/>
      <c r="F603" s="128" t="s">
        <v>66</v>
      </c>
      <c r="G603" s="127" t="s">
        <v>67</v>
      </c>
      <c r="H603" s="160"/>
      <c r="I603" s="132"/>
      <c r="J603" s="132"/>
      <c r="K603" s="133"/>
      <c r="L603" s="133"/>
      <c r="M603" s="133"/>
      <c r="N603" s="133"/>
      <c r="O603" s="132"/>
      <c r="P603" s="6"/>
      <c r="Q603" s="6"/>
      <c r="R603" s="6"/>
      <c r="S603" s="6">
        <f>SUM(K603:N603)</f>
        <v>0</v>
      </c>
      <c r="U603" s="24"/>
    </row>
    <row r="604" spans="2:21" s="112" customFormat="1" ht="13.5" customHeight="1" x14ac:dyDescent="0.15">
      <c r="B604" s="19"/>
      <c r="C604" s="164"/>
      <c r="D604" s="164"/>
      <c r="E604" s="162"/>
      <c r="F604" s="129" t="s">
        <v>68</v>
      </c>
      <c r="G604" s="130" t="s">
        <v>69</v>
      </c>
      <c r="H604" s="160"/>
      <c r="I604" s="132"/>
      <c r="J604" s="132"/>
      <c r="K604" s="133"/>
      <c r="L604" s="133"/>
      <c r="M604" s="133"/>
      <c r="N604" s="133"/>
      <c r="O604" s="132"/>
      <c r="P604" s="6"/>
      <c r="Q604" s="6"/>
      <c r="R604" s="6"/>
      <c r="S604" s="6">
        <f>SUM(K604:N604)</f>
        <v>0</v>
      </c>
      <c r="U604" s="24"/>
    </row>
    <row r="605" spans="2:21" s="112" customFormat="1" ht="13.5" customHeight="1" x14ac:dyDescent="0.15">
      <c r="B605" s="19"/>
      <c r="C605" s="164"/>
      <c r="D605" s="164"/>
      <c r="E605" s="162"/>
      <c r="F605" s="126" t="s">
        <v>70</v>
      </c>
      <c r="G605" s="127" t="s">
        <v>71</v>
      </c>
      <c r="H605" s="167"/>
      <c r="I605" s="132"/>
      <c r="J605" s="132"/>
      <c r="K605" s="133"/>
      <c r="L605" s="133"/>
      <c r="M605" s="133"/>
      <c r="N605" s="133"/>
      <c r="O605" s="132"/>
      <c r="P605" s="6"/>
      <c r="Q605" s="6"/>
      <c r="R605" s="6"/>
      <c r="S605" s="6">
        <f>SUM(K605:N605)</f>
        <v>0</v>
      </c>
      <c r="U605" s="24"/>
    </row>
    <row r="606" spans="2:21" s="112" customFormat="1" ht="13.5" customHeight="1" x14ac:dyDescent="0.15">
      <c r="B606" s="19"/>
      <c r="C606" s="164"/>
      <c r="D606" s="165"/>
      <c r="E606" s="166"/>
      <c r="F606" s="139"/>
      <c r="G606" s="131"/>
      <c r="H606" s="118"/>
      <c r="I606" s="22"/>
      <c r="J606" s="22"/>
      <c r="K606" s="22">
        <f>SUM(K594:K605)</f>
        <v>0</v>
      </c>
      <c r="L606" s="22">
        <f t="shared" ref="L606:N606" si="73">SUM(L594:L605)</f>
        <v>0</v>
      </c>
      <c r="M606" s="22">
        <f t="shared" si="73"/>
        <v>0</v>
      </c>
      <c r="N606" s="22">
        <f t="shared" si="73"/>
        <v>0</v>
      </c>
      <c r="O606" s="22"/>
      <c r="P606" s="22"/>
      <c r="Q606" s="22"/>
      <c r="R606" s="22"/>
      <c r="S606" s="22">
        <f>SUM(S594:S605)</f>
        <v>0</v>
      </c>
      <c r="U606" s="24"/>
    </row>
    <row r="607" spans="2:21" s="112" customFormat="1" ht="13.5" customHeight="1" x14ac:dyDescent="0.15">
      <c r="B607" s="19"/>
      <c r="C607" s="164"/>
      <c r="D607" s="163" t="s">
        <v>114</v>
      </c>
      <c r="E607" s="168"/>
      <c r="F607" s="135" t="s">
        <v>44</v>
      </c>
      <c r="G607" s="127" t="s">
        <v>45</v>
      </c>
      <c r="H607" s="159">
        <v>44215</v>
      </c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U607" s="24"/>
    </row>
    <row r="608" spans="2:21" s="112" customFormat="1" ht="13.5" customHeight="1" x14ac:dyDescent="0.15">
      <c r="B608" s="19"/>
      <c r="C608" s="164"/>
      <c r="D608" s="164"/>
      <c r="E608" s="169"/>
      <c r="F608" s="128" t="s">
        <v>46</v>
      </c>
      <c r="G608" s="127" t="s">
        <v>47</v>
      </c>
      <c r="H608" s="160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>
        <f>SUM(J608:O608)</f>
        <v>0</v>
      </c>
      <c r="U608" s="24"/>
    </row>
    <row r="609" spans="2:21" s="112" customFormat="1" ht="13.5" customHeight="1" x14ac:dyDescent="0.15">
      <c r="B609" s="19"/>
      <c r="C609" s="164"/>
      <c r="D609" s="164"/>
      <c r="E609" s="169"/>
      <c r="F609" s="128" t="s">
        <v>48</v>
      </c>
      <c r="G609" s="127" t="s">
        <v>49</v>
      </c>
      <c r="H609" s="160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>
        <f>SUM(I609:P609)</f>
        <v>0</v>
      </c>
      <c r="U609" s="24"/>
    </row>
    <row r="610" spans="2:21" s="112" customFormat="1" ht="13.5" customHeight="1" x14ac:dyDescent="0.15">
      <c r="B610" s="19"/>
      <c r="C610" s="164"/>
      <c r="D610" s="164"/>
      <c r="E610" s="169"/>
      <c r="F610" s="128" t="s">
        <v>50</v>
      </c>
      <c r="G610" s="127" t="s">
        <v>51</v>
      </c>
      <c r="H610" s="160"/>
      <c r="I610" s="6"/>
      <c r="J610" s="132"/>
      <c r="K610" s="132"/>
      <c r="L610" s="132"/>
      <c r="M610" s="132"/>
      <c r="N610" s="132"/>
      <c r="O610" s="132"/>
      <c r="P610" s="132"/>
      <c r="Q610" s="6"/>
      <c r="R610" s="6"/>
      <c r="S610" s="6">
        <f>SUM(I610:O610)</f>
        <v>0</v>
      </c>
      <c r="U610" s="24"/>
    </row>
    <row r="611" spans="2:21" s="112" customFormat="1" ht="13.5" customHeight="1" x14ac:dyDescent="0.15">
      <c r="B611" s="19"/>
      <c r="C611" s="164"/>
      <c r="D611" s="164"/>
      <c r="E611" s="169"/>
      <c r="F611" s="128" t="s">
        <v>52</v>
      </c>
      <c r="G611" s="127" t="s">
        <v>53</v>
      </c>
      <c r="H611" s="160"/>
      <c r="I611" s="6"/>
      <c r="J611" s="132"/>
      <c r="K611" s="132"/>
      <c r="L611" s="132"/>
      <c r="M611" s="132"/>
      <c r="N611" s="132"/>
      <c r="O611" s="132"/>
      <c r="P611" s="132"/>
      <c r="Q611" s="39"/>
      <c r="R611" s="39"/>
      <c r="S611" s="132">
        <f>SUM(J611:N611)</f>
        <v>0</v>
      </c>
      <c r="U611" s="24"/>
    </row>
    <row r="612" spans="2:21" s="112" customFormat="1" ht="13.5" customHeight="1" x14ac:dyDescent="0.15">
      <c r="B612" s="19"/>
      <c r="C612" s="164"/>
      <c r="D612" s="164"/>
      <c r="E612" s="169"/>
      <c r="F612" s="128" t="s">
        <v>115</v>
      </c>
      <c r="G612" s="127" t="s">
        <v>55</v>
      </c>
      <c r="H612" s="160"/>
      <c r="I612" s="6"/>
      <c r="J612" s="132"/>
      <c r="K612" s="132"/>
      <c r="L612" s="132"/>
      <c r="M612" s="132"/>
      <c r="N612" s="132"/>
      <c r="O612" s="132"/>
      <c r="P612" s="132"/>
      <c r="Q612" s="6"/>
      <c r="R612" s="6"/>
      <c r="S612" s="6">
        <f>SUM(I612:O612)</f>
        <v>0</v>
      </c>
      <c r="U612" s="24"/>
    </row>
    <row r="613" spans="2:21" s="112" customFormat="1" ht="13.5" customHeight="1" x14ac:dyDescent="0.15">
      <c r="B613" s="19"/>
      <c r="C613" s="164"/>
      <c r="D613" s="164"/>
      <c r="E613" s="169"/>
      <c r="F613" s="137" t="s">
        <v>56</v>
      </c>
      <c r="G613" s="130" t="s">
        <v>57</v>
      </c>
      <c r="H613" s="160"/>
      <c r="I613" s="6"/>
      <c r="J613" s="132"/>
      <c r="K613" s="132"/>
      <c r="L613" s="132"/>
      <c r="M613" s="132"/>
      <c r="N613" s="132"/>
      <c r="O613" s="132"/>
      <c r="P613" s="132"/>
      <c r="Q613" s="6"/>
      <c r="R613" s="6"/>
      <c r="S613" s="6">
        <f>SUM(I613:Q613)</f>
        <v>0</v>
      </c>
      <c r="U613" s="24"/>
    </row>
    <row r="614" spans="2:21" s="112" customFormat="1" ht="13.5" customHeight="1" x14ac:dyDescent="0.15">
      <c r="B614" s="19"/>
      <c r="C614" s="164"/>
      <c r="D614" s="164"/>
      <c r="E614" s="169"/>
      <c r="F614" s="125" t="s">
        <v>58</v>
      </c>
      <c r="G614" s="110" t="s">
        <v>59</v>
      </c>
      <c r="H614" s="160"/>
      <c r="I614" s="6"/>
      <c r="J614" s="132"/>
      <c r="K614" s="132"/>
      <c r="L614" s="132"/>
      <c r="M614" s="132"/>
      <c r="N614" s="132"/>
      <c r="O614" s="132"/>
      <c r="P614" s="132"/>
      <c r="Q614" s="6"/>
      <c r="R614" s="6"/>
      <c r="S614" s="6">
        <f>SUM(I614:Q614)</f>
        <v>0</v>
      </c>
      <c r="U614" s="24"/>
    </row>
    <row r="615" spans="2:21" s="112" customFormat="1" ht="13.5" customHeight="1" x14ac:dyDescent="0.15">
      <c r="B615" s="19"/>
      <c r="C615" s="164"/>
      <c r="D615" s="164"/>
      <c r="E615" s="169"/>
      <c r="F615" s="138" t="s">
        <v>60</v>
      </c>
      <c r="G615" s="127" t="s">
        <v>61</v>
      </c>
      <c r="H615" s="160"/>
      <c r="I615" s="6"/>
      <c r="J615" s="132"/>
      <c r="K615" s="132"/>
      <c r="L615" s="132"/>
      <c r="M615" s="132"/>
      <c r="N615" s="132"/>
      <c r="O615" s="132"/>
      <c r="P615" s="132"/>
      <c r="Q615" s="6"/>
      <c r="R615" s="6"/>
      <c r="S615" s="6"/>
      <c r="U615" s="24"/>
    </row>
    <row r="616" spans="2:21" s="112" customFormat="1" ht="13.5" customHeight="1" x14ac:dyDescent="0.15">
      <c r="B616" s="19"/>
      <c r="C616" s="164"/>
      <c r="D616" s="164"/>
      <c r="E616" s="169"/>
      <c r="F616" s="126" t="s">
        <v>62</v>
      </c>
      <c r="G616" s="127" t="s">
        <v>63</v>
      </c>
      <c r="H616" s="160"/>
      <c r="I616" s="6"/>
      <c r="J616" s="132">
        <v>12</v>
      </c>
      <c r="K616" s="132">
        <v>12</v>
      </c>
      <c r="L616" s="132">
        <v>12</v>
      </c>
      <c r="M616" s="132">
        <v>12</v>
      </c>
      <c r="N616" s="132">
        <v>12</v>
      </c>
      <c r="O616" s="132"/>
      <c r="P616" s="132"/>
      <c r="Q616" s="6"/>
      <c r="R616" s="6"/>
      <c r="S616" s="6">
        <f>SUM(J616:O616)</f>
        <v>60</v>
      </c>
      <c r="T616" s="112">
        <v>3.63</v>
      </c>
      <c r="U616" s="24"/>
    </row>
    <row r="617" spans="2:21" s="112" customFormat="1" ht="13.5" customHeight="1" x14ac:dyDescent="0.15">
      <c r="B617" s="19"/>
      <c r="C617" s="164"/>
      <c r="D617" s="164"/>
      <c r="E617" s="169"/>
      <c r="F617" s="128" t="s">
        <v>64</v>
      </c>
      <c r="G617" s="127" t="s">
        <v>65</v>
      </c>
      <c r="H617" s="160"/>
      <c r="I617" s="6"/>
      <c r="J617" s="132"/>
      <c r="K617" s="132"/>
      <c r="L617" s="132"/>
      <c r="M617" s="132"/>
      <c r="N617" s="132"/>
      <c r="O617" s="132"/>
      <c r="P617" s="132"/>
      <c r="Q617" s="6"/>
      <c r="R617" s="6"/>
      <c r="S617" s="6">
        <f>SUM(J617:O617)</f>
        <v>0</v>
      </c>
      <c r="U617" s="24"/>
    </row>
    <row r="618" spans="2:21" s="112" customFormat="1" ht="13.5" customHeight="1" x14ac:dyDescent="0.15">
      <c r="B618" s="19"/>
      <c r="C618" s="164"/>
      <c r="D618" s="164"/>
      <c r="E618" s="169"/>
      <c r="F618" s="128" t="s">
        <v>66</v>
      </c>
      <c r="G618" s="127" t="s">
        <v>67</v>
      </c>
      <c r="H618" s="160"/>
      <c r="I618" s="6"/>
      <c r="J618" s="132"/>
      <c r="K618" s="132"/>
      <c r="L618" s="132"/>
      <c r="M618" s="132"/>
      <c r="N618" s="132"/>
      <c r="O618" s="132"/>
      <c r="P618" s="132"/>
      <c r="Q618" s="6"/>
      <c r="R618" s="6"/>
      <c r="S618" s="6">
        <f>SUM(I618:O618)</f>
        <v>0</v>
      </c>
      <c r="U618" s="24"/>
    </row>
    <row r="619" spans="2:21" s="112" customFormat="1" ht="13.5" customHeight="1" x14ac:dyDescent="0.15">
      <c r="B619" s="19"/>
      <c r="C619" s="164"/>
      <c r="D619" s="164"/>
      <c r="E619" s="169"/>
      <c r="F619" s="129" t="s">
        <v>68</v>
      </c>
      <c r="G619" s="130" t="s">
        <v>69</v>
      </c>
      <c r="H619" s="160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>
        <f>SUM(I619:O619)</f>
        <v>0</v>
      </c>
      <c r="U619" s="24"/>
    </row>
    <row r="620" spans="2:21" s="112" customFormat="1" ht="13.5" customHeight="1" x14ac:dyDescent="0.15">
      <c r="B620" s="19"/>
      <c r="C620" s="164"/>
      <c r="D620" s="164"/>
      <c r="E620" s="169"/>
      <c r="F620" s="126" t="s">
        <v>70</v>
      </c>
      <c r="G620" s="127" t="s">
        <v>71</v>
      </c>
      <c r="H620" s="160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>
        <f>SUM(I620:Q620)</f>
        <v>0</v>
      </c>
      <c r="U620" s="149">
        <f>S622</f>
        <v>60</v>
      </c>
    </row>
    <row r="621" spans="2:21" s="112" customFormat="1" ht="13.5" customHeight="1" x14ac:dyDescent="0.15">
      <c r="B621" s="19"/>
      <c r="C621" s="164"/>
      <c r="D621" s="164"/>
      <c r="E621" s="169"/>
      <c r="F621" s="129"/>
      <c r="G621" s="130"/>
      <c r="H621" s="160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U621" s="24"/>
    </row>
    <row r="622" spans="2:21" s="112" customFormat="1" ht="13.5" customHeight="1" x14ac:dyDescent="0.15">
      <c r="B622" s="19"/>
      <c r="C622" s="165"/>
      <c r="D622" s="165"/>
      <c r="E622" s="170"/>
      <c r="F622" s="129"/>
      <c r="G622" s="130"/>
      <c r="H622" s="118"/>
      <c r="I622" s="22">
        <f>SUM(I607:I620)</f>
        <v>0</v>
      </c>
      <c r="J622" s="22">
        <f>SUM(J607:J620)</f>
        <v>12</v>
      </c>
      <c r="K622" s="22">
        <f>SUM(K607:K620)</f>
        <v>12</v>
      </c>
      <c r="L622" s="22">
        <f t="shared" ref="L622:R622" si="74">SUM(L607:L620)</f>
        <v>12</v>
      </c>
      <c r="M622" s="22">
        <f t="shared" si="74"/>
        <v>12</v>
      </c>
      <c r="N622" s="22">
        <f t="shared" si="74"/>
        <v>12</v>
      </c>
      <c r="O622" s="22">
        <f t="shared" si="74"/>
        <v>0</v>
      </c>
      <c r="P622" s="22">
        <f t="shared" si="74"/>
        <v>0</v>
      </c>
      <c r="Q622" s="22">
        <f t="shared" si="74"/>
        <v>0</v>
      </c>
      <c r="R622" s="22">
        <f t="shared" si="74"/>
        <v>0</v>
      </c>
      <c r="S622" s="22">
        <f>SUM(S607:S620)</f>
        <v>60</v>
      </c>
      <c r="U622" s="24"/>
    </row>
    <row r="623" spans="2:21" s="112" customFormat="1" ht="13.5" customHeight="1" x14ac:dyDescent="0.15">
      <c r="B623" s="19"/>
      <c r="C623" s="163">
        <v>4500458651</v>
      </c>
      <c r="D623" s="114" t="s">
        <v>4</v>
      </c>
      <c r="E623" s="143" t="s">
        <v>5</v>
      </c>
      <c r="F623" s="143" t="s">
        <v>6</v>
      </c>
      <c r="G623" s="113"/>
      <c r="H623" s="114" t="s">
        <v>7</v>
      </c>
      <c r="I623" s="114" t="s">
        <v>104</v>
      </c>
      <c r="J623" s="114" t="s">
        <v>105</v>
      </c>
      <c r="K623" s="114" t="s">
        <v>106</v>
      </c>
      <c r="L623" s="114" t="s">
        <v>107</v>
      </c>
      <c r="M623" s="114" t="s">
        <v>108</v>
      </c>
      <c r="N623" s="114" t="s">
        <v>109</v>
      </c>
      <c r="O623" s="114" t="s">
        <v>110</v>
      </c>
      <c r="P623" s="44" t="s">
        <v>8</v>
      </c>
      <c r="Q623" s="44" t="s">
        <v>9</v>
      </c>
      <c r="R623" s="44" t="s">
        <v>10</v>
      </c>
      <c r="S623" s="6" t="s">
        <v>11</v>
      </c>
      <c r="U623" s="24"/>
    </row>
    <row r="624" spans="2:21" s="112" customFormat="1" ht="13.5" customHeight="1" x14ac:dyDescent="0.15">
      <c r="B624" s="19"/>
      <c r="C624" s="164"/>
      <c r="D624" s="163" t="s">
        <v>112</v>
      </c>
      <c r="E624" s="161"/>
      <c r="F624" s="47" t="s">
        <v>44</v>
      </c>
      <c r="G624" s="119" t="s">
        <v>45</v>
      </c>
      <c r="H624" s="161">
        <v>44468</v>
      </c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>
        <f>SUM(P624:R624)</f>
        <v>0</v>
      </c>
      <c r="U624" s="24"/>
    </row>
    <row r="625" spans="2:21" s="112" customFormat="1" ht="13.5" customHeight="1" x14ac:dyDescent="0.15">
      <c r="B625" s="19"/>
      <c r="C625" s="164"/>
      <c r="D625" s="164"/>
      <c r="E625" s="162"/>
      <c r="F625" s="158" t="s">
        <v>46</v>
      </c>
      <c r="G625" s="119" t="s">
        <v>47</v>
      </c>
      <c r="H625" s="162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>
        <f t="shared" ref="S625:S629" si="75">SUM(P625:R625)</f>
        <v>0</v>
      </c>
      <c r="U625" s="24"/>
    </row>
    <row r="626" spans="2:21" s="112" customFormat="1" ht="13.5" customHeight="1" x14ac:dyDescent="0.15">
      <c r="B626" s="19"/>
      <c r="C626" s="164"/>
      <c r="D626" s="164"/>
      <c r="E626" s="162"/>
      <c r="F626" s="128" t="s">
        <v>48</v>
      </c>
      <c r="G626" s="127" t="s">
        <v>49</v>
      </c>
      <c r="H626" s="162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>
        <f t="shared" si="75"/>
        <v>0</v>
      </c>
      <c r="U626" s="24"/>
    </row>
    <row r="627" spans="2:21" s="112" customFormat="1" ht="13.5" customHeight="1" x14ac:dyDescent="0.15">
      <c r="B627" s="19"/>
      <c r="C627" s="164"/>
      <c r="D627" s="164"/>
      <c r="E627" s="162"/>
      <c r="F627" s="128" t="s">
        <v>50</v>
      </c>
      <c r="G627" s="127" t="s">
        <v>51</v>
      </c>
      <c r="H627" s="162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>
        <f t="shared" si="75"/>
        <v>0</v>
      </c>
      <c r="U627" s="24"/>
    </row>
    <row r="628" spans="2:21" s="112" customFormat="1" ht="13.5" customHeight="1" x14ac:dyDescent="0.15">
      <c r="B628" s="19"/>
      <c r="C628" s="164"/>
      <c r="D628" s="164"/>
      <c r="E628" s="162"/>
      <c r="F628" s="158" t="s">
        <v>52</v>
      </c>
      <c r="G628" s="119" t="s">
        <v>53</v>
      </c>
      <c r="H628" s="162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>
        <f t="shared" si="75"/>
        <v>0</v>
      </c>
      <c r="U628" s="24"/>
    </row>
    <row r="629" spans="2:21" s="112" customFormat="1" ht="13.5" customHeight="1" x14ac:dyDescent="0.15">
      <c r="B629" s="19"/>
      <c r="C629" s="164"/>
      <c r="D629" s="164"/>
      <c r="E629" s="162"/>
      <c r="F629" s="128" t="s">
        <v>54</v>
      </c>
      <c r="G629" s="127" t="s">
        <v>55</v>
      </c>
      <c r="H629" s="162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>
        <f t="shared" si="75"/>
        <v>0</v>
      </c>
      <c r="U629" s="24"/>
    </row>
    <row r="630" spans="2:21" s="112" customFormat="1" ht="13.5" customHeight="1" x14ac:dyDescent="0.15">
      <c r="B630" s="19"/>
      <c r="C630" s="164"/>
      <c r="D630" s="164"/>
      <c r="E630" s="162"/>
      <c r="F630" s="111" t="s">
        <v>56</v>
      </c>
      <c r="G630" s="110" t="s">
        <v>57</v>
      </c>
      <c r="H630" s="162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>
        <f>SUM(P630:R630)</f>
        <v>0</v>
      </c>
      <c r="U630" s="24"/>
    </row>
    <row r="631" spans="2:21" s="112" customFormat="1" ht="13.5" customHeight="1" x14ac:dyDescent="0.15">
      <c r="B631" s="19"/>
      <c r="C631" s="164"/>
      <c r="D631" s="164"/>
      <c r="E631" s="162"/>
      <c r="F631" s="129" t="s">
        <v>58</v>
      </c>
      <c r="G631" s="130" t="s">
        <v>59</v>
      </c>
      <c r="H631" s="162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>
        <f t="shared" ref="S631:S638" si="76">SUM(P631:R631)</f>
        <v>0</v>
      </c>
      <c r="U631" s="24"/>
    </row>
    <row r="632" spans="2:21" s="112" customFormat="1" ht="13.5" customHeight="1" x14ac:dyDescent="0.15">
      <c r="B632" s="19"/>
      <c r="C632" s="164"/>
      <c r="D632" s="164"/>
      <c r="E632" s="162"/>
      <c r="F632" s="52" t="s">
        <v>60</v>
      </c>
      <c r="G632" s="119" t="s">
        <v>61</v>
      </c>
      <c r="H632" s="162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>
        <f t="shared" si="76"/>
        <v>0</v>
      </c>
      <c r="U632" s="24"/>
    </row>
    <row r="633" spans="2:21" s="112" customFormat="1" ht="13.5" customHeight="1" x14ac:dyDescent="0.15">
      <c r="B633" s="19"/>
      <c r="C633" s="164"/>
      <c r="D633" s="164"/>
      <c r="E633" s="162"/>
      <c r="F633" s="51" t="s">
        <v>62</v>
      </c>
      <c r="G633" s="119" t="s">
        <v>63</v>
      </c>
      <c r="H633" s="162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>
        <f t="shared" si="76"/>
        <v>0</v>
      </c>
      <c r="U633" s="24"/>
    </row>
    <row r="634" spans="2:21" s="112" customFormat="1" ht="13.5" customHeight="1" x14ac:dyDescent="0.15">
      <c r="B634" s="19"/>
      <c r="C634" s="164"/>
      <c r="D634" s="164"/>
      <c r="E634" s="162"/>
      <c r="F634" s="128" t="s">
        <v>64</v>
      </c>
      <c r="G634" s="127" t="s">
        <v>65</v>
      </c>
      <c r="H634" s="162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>
        <f t="shared" si="76"/>
        <v>0</v>
      </c>
      <c r="U634" s="24"/>
    </row>
    <row r="635" spans="2:21" s="112" customFormat="1" ht="13.5" customHeight="1" x14ac:dyDescent="0.15">
      <c r="B635" s="19"/>
      <c r="C635" s="164"/>
      <c r="D635" s="164"/>
      <c r="E635" s="162"/>
      <c r="F635" s="128" t="s">
        <v>66</v>
      </c>
      <c r="G635" s="127" t="s">
        <v>67</v>
      </c>
      <c r="H635" s="162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>
        <f t="shared" si="76"/>
        <v>0</v>
      </c>
      <c r="U635" s="24"/>
    </row>
    <row r="636" spans="2:21" s="112" customFormat="1" ht="13.5" customHeight="1" x14ac:dyDescent="0.15">
      <c r="B636" s="19"/>
      <c r="C636" s="164"/>
      <c r="D636" s="164"/>
      <c r="E636" s="162"/>
      <c r="F636" s="125" t="s">
        <v>68</v>
      </c>
      <c r="G636" s="110" t="s">
        <v>69</v>
      </c>
      <c r="H636" s="115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>
        <f t="shared" si="76"/>
        <v>0</v>
      </c>
      <c r="U636" s="24"/>
    </row>
    <row r="637" spans="2:21" s="112" customFormat="1" ht="13.5" customHeight="1" x14ac:dyDescent="0.15">
      <c r="B637" s="19"/>
      <c r="C637" s="164"/>
      <c r="D637" s="164"/>
      <c r="E637" s="162"/>
      <c r="F637" s="126" t="s">
        <v>70</v>
      </c>
      <c r="G637" s="127" t="s">
        <v>71</v>
      </c>
      <c r="H637" s="115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>
        <f t="shared" si="76"/>
        <v>0</v>
      </c>
      <c r="U637" s="24"/>
    </row>
    <row r="638" spans="2:21" s="112" customFormat="1" ht="13.5" customHeight="1" x14ac:dyDescent="0.15">
      <c r="B638" s="19"/>
      <c r="C638" s="164"/>
      <c r="D638" s="164"/>
      <c r="E638" s="166"/>
      <c r="F638" s="47"/>
      <c r="G638" s="158"/>
      <c r="H638" s="156" t="s">
        <v>33</v>
      </c>
      <c r="I638" s="23"/>
      <c r="J638" s="23"/>
      <c r="K638" s="23"/>
      <c r="L638" s="23"/>
      <c r="M638" s="23"/>
      <c r="N638" s="6"/>
      <c r="O638" s="6"/>
      <c r="P638" s="6"/>
      <c r="Q638" s="6"/>
      <c r="R638" s="6"/>
      <c r="S638" s="6">
        <f t="shared" si="76"/>
        <v>0</v>
      </c>
      <c r="U638" s="24"/>
    </row>
    <row r="639" spans="2:21" s="112" customFormat="1" ht="13.5" customHeight="1" x14ac:dyDescent="0.15">
      <c r="B639" s="19"/>
      <c r="C639" s="164"/>
      <c r="D639" s="165"/>
      <c r="E639" s="144"/>
      <c r="F639" s="47"/>
      <c r="G639" s="158"/>
      <c r="H639" s="118"/>
      <c r="I639" s="22"/>
      <c r="J639" s="22"/>
      <c r="K639" s="22"/>
      <c r="L639" s="22"/>
      <c r="M639" s="22"/>
      <c r="N639" s="22"/>
      <c r="O639" s="22"/>
      <c r="P639" s="22">
        <f>SUM(P624:P638)</f>
        <v>0</v>
      </c>
      <c r="Q639" s="22">
        <f>SUM(Q624:Q638)</f>
        <v>0</v>
      </c>
      <c r="R639" s="22">
        <f>SUM(R626:R637)</f>
        <v>0</v>
      </c>
      <c r="S639" s="22">
        <f>SUM(S626:S637)</f>
        <v>0</v>
      </c>
      <c r="U639" s="24"/>
    </row>
    <row r="640" spans="2:21" s="112" customFormat="1" ht="13.5" customHeight="1" x14ac:dyDescent="0.15">
      <c r="B640" s="19"/>
      <c r="C640" s="164"/>
      <c r="D640" s="164" t="s">
        <v>113</v>
      </c>
      <c r="E640" s="161"/>
      <c r="F640" s="135" t="s">
        <v>44</v>
      </c>
      <c r="G640" s="127" t="s">
        <v>45</v>
      </c>
      <c r="H640" s="159">
        <v>44468</v>
      </c>
      <c r="I640" s="136"/>
      <c r="J640" s="136"/>
      <c r="K640" s="133"/>
      <c r="L640" s="133"/>
      <c r="M640" s="133"/>
      <c r="N640" s="133"/>
      <c r="O640" s="132"/>
      <c r="P640" s="6"/>
      <c r="Q640" s="6"/>
      <c r="R640" s="6"/>
      <c r="S640" s="6"/>
      <c r="U640" s="24"/>
    </row>
    <row r="641" spans="2:21" s="112" customFormat="1" ht="13.5" customHeight="1" x14ac:dyDescent="0.15">
      <c r="B641" s="19"/>
      <c r="C641" s="164"/>
      <c r="D641" s="164"/>
      <c r="E641" s="162"/>
      <c r="F641" s="128" t="s">
        <v>46</v>
      </c>
      <c r="G641" s="127" t="s">
        <v>47</v>
      </c>
      <c r="H641" s="160"/>
      <c r="I641" s="132"/>
      <c r="J641" s="132"/>
      <c r="K641" s="133"/>
      <c r="L641" s="133"/>
      <c r="M641" s="133"/>
      <c r="N641" s="133"/>
      <c r="O641" s="132"/>
      <c r="P641" s="6"/>
      <c r="Q641" s="6"/>
      <c r="R641" s="6"/>
      <c r="S641" s="6"/>
      <c r="U641" s="24"/>
    </row>
    <row r="642" spans="2:21" s="112" customFormat="1" ht="13.5" customHeight="1" x14ac:dyDescent="0.15">
      <c r="B642" s="19"/>
      <c r="C642" s="164"/>
      <c r="D642" s="164"/>
      <c r="E642" s="162"/>
      <c r="F642" s="128" t="s">
        <v>48</v>
      </c>
      <c r="G642" s="127" t="s">
        <v>49</v>
      </c>
      <c r="H642" s="160"/>
      <c r="I642" s="132"/>
      <c r="J642" s="132"/>
      <c r="K642" s="133"/>
      <c r="L642" s="133"/>
      <c r="M642" s="133"/>
      <c r="N642" s="133"/>
      <c r="O642" s="132"/>
      <c r="P642" s="6"/>
      <c r="Q642" s="6"/>
      <c r="R642" s="6"/>
      <c r="S642" s="6">
        <f>SUM(K642:N642)</f>
        <v>0</v>
      </c>
      <c r="U642" s="24"/>
    </row>
    <row r="643" spans="2:21" s="112" customFormat="1" ht="13.5" customHeight="1" x14ac:dyDescent="0.15">
      <c r="B643" s="19"/>
      <c r="C643" s="164"/>
      <c r="D643" s="164"/>
      <c r="E643" s="162"/>
      <c r="F643" s="128" t="s">
        <v>50</v>
      </c>
      <c r="G643" s="127" t="s">
        <v>51</v>
      </c>
      <c r="H643" s="160"/>
      <c r="I643" s="132"/>
      <c r="J643" s="132"/>
      <c r="K643" s="133"/>
      <c r="L643" s="133"/>
      <c r="M643" s="133"/>
      <c r="N643" s="133"/>
      <c r="O643" s="132"/>
      <c r="P643" s="6"/>
      <c r="Q643" s="6"/>
      <c r="R643" s="6"/>
      <c r="S643" s="6">
        <f>SUM(K643:N643)</f>
        <v>0</v>
      </c>
      <c r="U643" s="24"/>
    </row>
    <row r="644" spans="2:21" s="112" customFormat="1" ht="13.5" customHeight="1" x14ac:dyDescent="0.15">
      <c r="B644" s="19"/>
      <c r="C644" s="164"/>
      <c r="D644" s="164"/>
      <c r="E644" s="162"/>
      <c r="F644" s="128" t="s">
        <v>52</v>
      </c>
      <c r="G644" s="127" t="s">
        <v>53</v>
      </c>
      <c r="H644" s="160"/>
      <c r="I644" s="136"/>
      <c r="J644" s="136"/>
      <c r="K644" s="133"/>
      <c r="L644" s="133"/>
      <c r="M644" s="133"/>
      <c r="N644" s="133"/>
      <c r="O644" s="132"/>
      <c r="P644" s="6"/>
      <c r="Q644" s="6"/>
      <c r="R644" s="6"/>
      <c r="S644" s="6"/>
      <c r="U644" s="24"/>
    </row>
    <row r="645" spans="2:21" s="112" customFormat="1" ht="13.5" customHeight="1" x14ac:dyDescent="0.15">
      <c r="B645" s="19"/>
      <c r="C645" s="164"/>
      <c r="D645" s="164"/>
      <c r="E645" s="162"/>
      <c r="F645" s="128" t="s">
        <v>54</v>
      </c>
      <c r="G645" s="127" t="s">
        <v>55</v>
      </c>
      <c r="H645" s="160"/>
      <c r="I645" s="136"/>
      <c r="J645" s="136"/>
      <c r="K645" s="133"/>
      <c r="L645" s="133"/>
      <c r="M645" s="133"/>
      <c r="N645" s="133"/>
      <c r="O645" s="132"/>
      <c r="P645" s="6"/>
      <c r="Q645" s="6"/>
      <c r="R645" s="6"/>
      <c r="S645" s="6">
        <f>SUM(K645:N645)</f>
        <v>0</v>
      </c>
      <c r="U645" s="24"/>
    </row>
    <row r="646" spans="2:21" s="112" customFormat="1" ht="13.5" customHeight="1" x14ac:dyDescent="0.15">
      <c r="B646" s="19"/>
      <c r="C646" s="164"/>
      <c r="D646" s="164"/>
      <c r="E646" s="162"/>
      <c r="F646" s="137" t="s">
        <v>56</v>
      </c>
      <c r="G646" s="130" t="s">
        <v>57</v>
      </c>
      <c r="H646" s="160"/>
      <c r="I646" s="136"/>
      <c r="J646" s="136"/>
      <c r="K646" s="133"/>
      <c r="L646" s="133"/>
      <c r="M646" s="133"/>
      <c r="N646" s="133"/>
      <c r="O646" s="132"/>
      <c r="P646" s="6"/>
      <c r="Q646" s="6"/>
      <c r="R646" s="6"/>
      <c r="S646" s="6">
        <f>SUM(K646:N646)</f>
        <v>0</v>
      </c>
      <c r="U646" s="24"/>
    </row>
    <row r="647" spans="2:21" s="112" customFormat="1" ht="13.5" customHeight="1" x14ac:dyDescent="0.15">
      <c r="B647" s="19"/>
      <c r="C647" s="164"/>
      <c r="D647" s="164"/>
      <c r="E647" s="162"/>
      <c r="F647" s="129" t="s">
        <v>58</v>
      </c>
      <c r="G647" s="130" t="s">
        <v>59</v>
      </c>
      <c r="H647" s="160"/>
      <c r="I647" s="132"/>
      <c r="J647" s="132"/>
      <c r="K647" s="133"/>
      <c r="L647" s="133"/>
      <c r="M647" s="133"/>
      <c r="N647" s="133"/>
      <c r="O647" s="132"/>
      <c r="P647" s="132"/>
      <c r="Q647" s="132"/>
      <c r="R647" s="132"/>
      <c r="S647" s="132">
        <f>SUM(K647:N647)</f>
        <v>0</v>
      </c>
      <c r="U647" s="24"/>
    </row>
    <row r="648" spans="2:21" s="112" customFormat="1" ht="13.5" customHeight="1" x14ac:dyDescent="0.15">
      <c r="B648" s="19"/>
      <c r="C648" s="164"/>
      <c r="D648" s="164"/>
      <c r="E648" s="162"/>
      <c r="F648" s="138" t="s">
        <v>60</v>
      </c>
      <c r="G648" s="127" t="s">
        <v>61</v>
      </c>
      <c r="H648" s="160"/>
      <c r="I648" s="132"/>
      <c r="J648" s="132"/>
      <c r="K648" s="133"/>
      <c r="L648" s="133"/>
      <c r="M648" s="133"/>
      <c r="N648" s="133"/>
      <c r="O648" s="132"/>
      <c r="P648" s="6"/>
      <c r="Q648" s="6"/>
      <c r="R648" s="6"/>
      <c r="S648" s="6"/>
      <c r="U648" s="24"/>
    </row>
    <row r="649" spans="2:21" s="112" customFormat="1" ht="13.5" customHeight="1" x14ac:dyDescent="0.15">
      <c r="B649" s="19"/>
      <c r="C649" s="164"/>
      <c r="D649" s="164"/>
      <c r="E649" s="162"/>
      <c r="F649" s="126" t="s">
        <v>62</v>
      </c>
      <c r="G649" s="127" t="s">
        <v>63</v>
      </c>
      <c r="H649" s="160"/>
      <c r="I649" s="132"/>
      <c r="J649" s="132"/>
      <c r="K649" s="133"/>
      <c r="L649" s="133"/>
      <c r="M649" s="133"/>
      <c r="N649" s="133"/>
      <c r="O649" s="132"/>
      <c r="P649" s="6"/>
      <c r="Q649" s="6"/>
      <c r="R649" s="6"/>
      <c r="S649" s="6"/>
      <c r="U649" s="24"/>
    </row>
    <row r="650" spans="2:21" s="112" customFormat="1" ht="13.5" customHeight="1" x14ac:dyDescent="0.15">
      <c r="B650" s="19"/>
      <c r="C650" s="164"/>
      <c r="D650" s="164"/>
      <c r="E650" s="162"/>
      <c r="F650" s="128" t="s">
        <v>64</v>
      </c>
      <c r="G650" s="127" t="s">
        <v>65</v>
      </c>
      <c r="H650" s="160"/>
      <c r="I650" s="132"/>
      <c r="J650" s="132"/>
      <c r="K650" s="133"/>
      <c r="L650" s="133"/>
      <c r="M650" s="133"/>
      <c r="N650" s="133"/>
      <c r="O650" s="132"/>
      <c r="P650" s="132"/>
      <c r="Q650" s="132"/>
      <c r="R650" s="132"/>
      <c r="S650" s="132">
        <f>SUM(K650:N650)</f>
        <v>0</v>
      </c>
      <c r="U650" s="24"/>
    </row>
    <row r="651" spans="2:21" s="112" customFormat="1" ht="13.5" customHeight="1" x14ac:dyDescent="0.15">
      <c r="B651" s="19"/>
      <c r="C651" s="164"/>
      <c r="D651" s="164"/>
      <c r="E651" s="162"/>
      <c r="F651" s="128" t="s">
        <v>66</v>
      </c>
      <c r="G651" s="127" t="s">
        <v>67</v>
      </c>
      <c r="H651" s="160"/>
      <c r="I651" s="132"/>
      <c r="J651" s="132"/>
      <c r="K651" s="133"/>
      <c r="L651" s="133"/>
      <c r="M651" s="133"/>
      <c r="N651" s="133"/>
      <c r="O651" s="132"/>
      <c r="P651" s="6"/>
      <c r="Q651" s="6"/>
      <c r="R651" s="6"/>
      <c r="S651" s="6">
        <f>SUM(K651:N651)</f>
        <v>0</v>
      </c>
      <c r="U651" s="24"/>
    </row>
    <row r="652" spans="2:21" s="112" customFormat="1" ht="13.5" customHeight="1" x14ac:dyDescent="0.15">
      <c r="B652" s="19"/>
      <c r="C652" s="164"/>
      <c r="D652" s="164"/>
      <c r="E652" s="162"/>
      <c r="F652" s="129" t="s">
        <v>68</v>
      </c>
      <c r="G652" s="130" t="s">
        <v>69</v>
      </c>
      <c r="H652" s="160"/>
      <c r="I652" s="132"/>
      <c r="J652" s="132"/>
      <c r="K652" s="133"/>
      <c r="L652" s="133"/>
      <c r="M652" s="133"/>
      <c r="N652" s="133"/>
      <c r="O652" s="132"/>
      <c r="P652" s="6"/>
      <c r="Q652" s="6"/>
      <c r="R652" s="6"/>
      <c r="S652" s="6">
        <f>SUM(K652:N652)</f>
        <v>0</v>
      </c>
      <c r="U652" s="24"/>
    </row>
    <row r="653" spans="2:21" s="112" customFormat="1" ht="13.5" customHeight="1" x14ac:dyDescent="0.15">
      <c r="B653" s="19"/>
      <c r="C653" s="164"/>
      <c r="D653" s="164"/>
      <c r="E653" s="162"/>
      <c r="F653" s="126" t="s">
        <v>70</v>
      </c>
      <c r="G653" s="127" t="s">
        <v>71</v>
      </c>
      <c r="H653" s="167"/>
      <c r="I653" s="132"/>
      <c r="J653" s="132"/>
      <c r="K653" s="133"/>
      <c r="L653" s="133"/>
      <c r="M653" s="133"/>
      <c r="N653" s="133"/>
      <c r="O653" s="132"/>
      <c r="P653" s="6"/>
      <c r="Q653" s="6"/>
      <c r="R653" s="6"/>
      <c r="S653" s="6">
        <f>SUM(K653:N653)</f>
        <v>0</v>
      </c>
      <c r="U653" s="24"/>
    </row>
    <row r="654" spans="2:21" s="112" customFormat="1" ht="13.5" customHeight="1" x14ac:dyDescent="0.15">
      <c r="B654" s="19"/>
      <c r="C654" s="164"/>
      <c r="D654" s="165"/>
      <c r="E654" s="166"/>
      <c r="F654" s="139"/>
      <c r="G654" s="131"/>
      <c r="H654" s="118"/>
      <c r="I654" s="22"/>
      <c r="J654" s="22"/>
      <c r="K654" s="22">
        <f>SUM(K642:K653)</f>
        <v>0</v>
      </c>
      <c r="L654" s="22">
        <f t="shared" ref="L654:N654" si="77">SUM(L642:L653)</f>
        <v>0</v>
      </c>
      <c r="M654" s="22">
        <f t="shared" si="77"/>
        <v>0</v>
      </c>
      <c r="N654" s="22">
        <f t="shared" si="77"/>
        <v>0</v>
      </c>
      <c r="O654" s="22"/>
      <c r="P654" s="22"/>
      <c r="Q654" s="22"/>
      <c r="R654" s="22"/>
      <c r="S654" s="22">
        <f>SUM(S642:S653)</f>
        <v>0</v>
      </c>
      <c r="T654" s="112" t="s">
        <v>119</v>
      </c>
      <c r="U654" s="24"/>
    </row>
    <row r="655" spans="2:21" s="112" customFormat="1" ht="13.5" customHeight="1" x14ac:dyDescent="0.15">
      <c r="B655" s="19"/>
      <c r="C655" s="164"/>
      <c r="D655" s="163" t="s">
        <v>114</v>
      </c>
      <c r="E655" s="168"/>
      <c r="F655" s="135" t="s">
        <v>44</v>
      </c>
      <c r="G655" s="127" t="s">
        <v>45</v>
      </c>
      <c r="H655" s="159">
        <v>44468</v>
      </c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U655" s="24"/>
    </row>
    <row r="656" spans="2:21" s="112" customFormat="1" ht="13.5" customHeight="1" x14ac:dyDescent="0.15">
      <c r="B656" s="19"/>
      <c r="C656" s="164"/>
      <c r="D656" s="164"/>
      <c r="E656" s="169"/>
      <c r="F656" s="128" t="s">
        <v>46</v>
      </c>
      <c r="G656" s="127" t="s">
        <v>47</v>
      </c>
      <c r="H656" s="160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>
        <f>SUM(J656:O656)</f>
        <v>0</v>
      </c>
      <c r="U656" s="24"/>
    </row>
    <row r="657" spans="2:21" s="112" customFormat="1" ht="13.5" customHeight="1" x14ac:dyDescent="0.15">
      <c r="B657" s="19"/>
      <c r="C657" s="164"/>
      <c r="D657" s="164"/>
      <c r="E657" s="169"/>
      <c r="F657" s="128" t="s">
        <v>48</v>
      </c>
      <c r="G657" s="127" t="s">
        <v>49</v>
      </c>
      <c r="H657" s="160"/>
      <c r="I657" s="6"/>
      <c r="J657" s="6"/>
      <c r="K657" s="6">
        <v>270</v>
      </c>
      <c r="L657" s="6">
        <v>270</v>
      </c>
      <c r="M657" s="6">
        <v>270</v>
      </c>
      <c r="N657" s="6">
        <v>270</v>
      </c>
      <c r="O657" s="6">
        <v>135</v>
      </c>
      <c r="P657" s="6"/>
      <c r="Q657" s="6"/>
      <c r="R657" s="6"/>
      <c r="S657" s="6">
        <f>SUM(I657:P657)</f>
        <v>1215</v>
      </c>
      <c r="T657" s="112">
        <v>4.55</v>
      </c>
      <c r="U657" s="149">
        <f>S670</f>
        <v>8505</v>
      </c>
    </row>
    <row r="658" spans="2:21" s="112" customFormat="1" ht="13.5" customHeight="1" x14ac:dyDescent="0.15">
      <c r="B658" s="19"/>
      <c r="C658" s="164"/>
      <c r="D658" s="164"/>
      <c r="E658" s="169"/>
      <c r="F658" s="128" t="s">
        <v>50</v>
      </c>
      <c r="G658" s="127" t="s">
        <v>51</v>
      </c>
      <c r="H658" s="160"/>
      <c r="I658" s="6"/>
      <c r="J658" s="132"/>
      <c r="K658" s="132">
        <v>270</v>
      </c>
      <c r="L658" s="132">
        <v>270</v>
      </c>
      <c r="M658" s="132">
        <v>270</v>
      </c>
      <c r="N658" s="132">
        <v>270</v>
      </c>
      <c r="O658" s="132">
        <v>135</v>
      </c>
      <c r="P658" s="132"/>
      <c r="Q658" s="6"/>
      <c r="R658" s="6"/>
      <c r="S658" s="6">
        <f>SUM(I658:O658)</f>
        <v>1215</v>
      </c>
      <c r="T658" s="112">
        <v>3.72</v>
      </c>
      <c r="U658" s="24"/>
    </row>
    <row r="659" spans="2:21" s="112" customFormat="1" ht="13.5" customHeight="1" x14ac:dyDescent="0.15">
      <c r="B659" s="19"/>
      <c r="C659" s="164"/>
      <c r="D659" s="164"/>
      <c r="E659" s="169"/>
      <c r="F659" s="128" t="s">
        <v>52</v>
      </c>
      <c r="G659" s="127" t="s">
        <v>53</v>
      </c>
      <c r="H659" s="160"/>
      <c r="I659" s="6"/>
      <c r="J659" s="132"/>
      <c r="K659" s="132"/>
      <c r="L659" s="132"/>
      <c r="M659" s="132"/>
      <c r="N659" s="132"/>
      <c r="O659" s="132"/>
      <c r="P659" s="132"/>
      <c r="Q659" s="39"/>
      <c r="R659" s="39"/>
      <c r="S659" s="132">
        <f>SUM(J659:N659)</f>
        <v>0</v>
      </c>
      <c r="T659" s="112" t="s">
        <v>118</v>
      </c>
      <c r="U659" s="24"/>
    </row>
    <row r="660" spans="2:21" s="112" customFormat="1" ht="13.5" customHeight="1" x14ac:dyDescent="0.15">
      <c r="B660" s="19"/>
      <c r="C660" s="164"/>
      <c r="D660" s="164"/>
      <c r="E660" s="169"/>
      <c r="F660" s="128" t="s">
        <v>115</v>
      </c>
      <c r="G660" s="127" t="s">
        <v>55</v>
      </c>
      <c r="H660" s="160"/>
      <c r="I660" s="6"/>
      <c r="J660" s="132"/>
      <c r="K660" s="132">
        <v>270</v>
      </c>
      <c r="L660" s="132">
        <v>270</v>
      </c>
      <c r="M660" s="132">
        <v>270</v>
      </c>
      <c r="N660" s="132">
        <v>270</v>
      </c>
      <c r="O660" s="132">
        <v>135</v>
      </c>
      <c r="P660" s="132"/>
      <c r="Q660" s="6"/>
      <c r="R660" s="6"/>
      <c r="S660" s="6">
        <f>SUM(I660:O660)</f>
        <v>1215</v>
      </c>
      <c r="T660" s="112">
        <v>3.58</v>
      </c>
      <c r="U660" s="24"/>
    </row>
    <row r="661" spans="2:21" s="112" customFormat="1" ht="13.5" customHeight="1" x14ac:dyDescent="0.15">
      <c r="B661" s="19"/>
      <c r="C661" s="164"/>
      <c r="D661" s="164"/>
      <c r="E661" s="169"/>
      <c r="F661" s="137" t="s">
        <v>56</v>
      </c>
      <c r="G661" s="130" t="s">
        <v>57</v>
      </c>
      <c r="H661" s="160"/>
      <c r="I661" s="6"/>
      <c r="J661" s="132"/>
      <c r="K661" s="132">
        <v>270</v>
      </c>
      <c r="L661" s="132">
        <v>270</v>
      </c>
      <c r="M661" s="132">
        <v>270</v>
      </c>
      <c r="N661" s="132">
        <v>270</v>
      </c>
      <c r="O661" s="132">
        <v>135</v>
      </c>
      <c r="P661" s="132"/>
      <c r="Q661" s="6"/>
      <c r="R661" s="6"/>
      <c r="S661" s="6">
        <f>SUM(I661:Q661)</f>
        <v>1215</v>
      </c>
      <c r="T661" s="112">
        <v>3.56</v>
      </c>
      <c r="U661" s="24"/>
    </row>
    <row r="662" spans="2:21" s="112" customFormat="1" ht="13.5" customHeight="1" x14ac:dyDescent="0.15">
      <c r="B662" s="19"/>
      <c r="C662" s="164"/>
      <c r="D662" s="164"/>
      <c r="E662" s="169"/>
      <c r="F662" s="125" t="s">
        <v>58</v>
      </c>
      <c r="G662" s="110" t="s">
        <v>59</v>
      </c>
      <c r="H662" s="160"/>
      <c r="I662" s="6"/>
      <c r="J662" s="132"/>
      <c r="K662" s="132"/>
      <c r="L662" s="132"/>
      <c r="M662" s="132"/>
      <c r="N662" s="132"/>
      <c r="O662" s="132"/>
      <c r="P662" s="132"/>
      <c r="Q662" s="6"/>
      <c r="R662" s="6"/>
      <c r="S662" s="6">
        <f>SUM(I662:Q662)</f>
        <v>0</v>
      </c>
      <c r="U662" s="24"/>
    </row>
    <row r="663" spans="2:21" s="112" customFormat="1" ht="13.5" customHeight="1" x14ac:dyDescent="0.15">
      <c r="B663" s="19"/>
      <c r="C663" s="164"/>
      <c r="D663" s="164"/>
      <c r="E663" s="169"/>
      <c r="F663" s="138" t="s">
        <v>60</v>
      </c>
      <c r="G663" s="127" t="s">
        <v>61</v>
      </c>
      <c r="H663" s="160"/>
      <c r="I663" s="6"/>
      <c r="J663" s="132"/>
      <c r="K663" s="132"/>
      <c r="L663" s="132"/>
      <c r="M663" s="132"/>
      <c r="N663" s="132"/>
      <c r="O663" s="132"/>
      <c r="P663" s="132"/>
      <c r="Q663" s="6"/>
      <c r="R663" s="6"/>
      <c r="S663" s="6"/>
      <c r="U663" s="24"/>
    </row>
    <row r="664" spans="2:21" s="112" customFormat="1" ht="13.5" customHeight="1" x14ac:dyDescent="0.15">
      <c r="B664" s="19"/>
      <c r="C664" s="164"/>
      <c r="D664" s="164"/>
      <c r="E664" s="169"/>
      <c r="F664" s="126" t="s">
        <v>62</v>
      </c>
      <c r="G664" s="127" t="s">
        <v>63</v>
      </c>
      <c r="H664" s="160"/>
      <c r="I664" s="6"/>
      <c r="J664" s="132"/>
      <c r="K664" s="132"/>
      <c r="L664" s="132"/>
      <c r="M664" s="132"/>
      <c r="N664" s="132"/>
      <c r="O664" s="132"/>
      <c r="P664" s="132"/>
      <c r="Q664" s="6"/>
      <c r="R664" s="6"/>
      <c r="S664" s="6">
        <f>SUM(J664:O664)</f>
        <v>0</v>
      </c>
      <c r="U664" s="24"/>
    </row>
    <row r="665" spans="2:21" s="112" customFormat="1" ht="13.5" customHeight="1" x14ac:dyDescent="0.15">
      <c r="B665" s="19"/>
      <c r="C665" s="164"/>
      <c r="D665" s="164"/>
      <c r="E665" s="169"/>
      <c r="F665" s="128" t="s">
        <v>64</v>
      </c>
      <c r="G665" s="127" t="s">
        <v>65</v>
      </c>
      <c r="H665" s="160"/>
      <c r="I665" s="6"/>
      <c r="J665" s="132"/>
      <c r="K665" s="132">
        <v>270</v>
      </c>
      <c r="L665" s="132">
        <v>270</v>
      </c>
      <c r="M665" s="132">
        <v>270</v>
      </c>
      <c r="N665" s="132">
        <v>270</v>
      </c>
      <c r="O665" s="132">
        <v>135</v>
      </c>
      <c r="P665" s="132"/>
      <c r="Q665" s="6"/>
      <c r="R665" s="6"/>
      <c r="S665" s="6">
        <f>SUM(J665:O665)</f>
        <v>1215</v>
      </c>
      <c r="T665" s="112">
        <v>3.63</v>
      </c>
      <c r="U665" s="24"/>
    </row>
    <row r="666" spans="2:21" s="112" customFormat="1" ht="13.5" customHeight="1" x14ac:dyDescent="0.15">
      <c r="B666" s="19"/>
      <c r="C666" s="164"/>
      <c r="D666" s="164"/>
      <c r="E666" s="169"/>
      <c r="F666" s="128" t="s">
        <v>66</v>
      </c>
      <c r="G666" s="127" t="s">
        <v>67</v>
      </c>
      <c r="H666" s="160"/>
      <c r="I666" s="6"/>
      <c r="J666" s="132"/>
      <c r="K666" s="132">
        <v>270</v>
      </c>
      <c r="L666" s="132">
        <v>270</v>
      </c>
      <c r="M666" s="132">
        <v>270</v>
      </c>
      <c r="N666" s="132">
        <v>270</v>
      </c>
      <c r="O666" s="132">
        <v>135</v>
      </c>
      <c r="P666" s="132"/>
      <c r="Q666" s="6"/>
      <c r="R666" s="6"/>
      <c r="S666" s="6">
        <f>SUM(I666:O666)</f>
        <v>1215</v>
      </c>
      <c r="T666" s="112">
        <v>4.1500000000000004</v>
      </c>
      <c r="U666" s="24"/>
    </row>
    <row r="667" spans="2:21" s="112" customFormat="1" ht="13.5" customHeight="1" x14ac:dyDescent="0.15">
      <c r="B667" s="19"/>
      <c r="C667" s="164"/>
      <c r="D667" s="164"/>
      <c r="E667" s="169"/>
      <c r="F667" s="129" t="s">
        <v>68</v>
      </c>
      <c r="G667" s="130" t="s">
        <v>69</v>
      </c>
      <c r="H667" s="160"/>
      <c r="I667" s="6"/>
      <c r="J667" s="6"/>
      <c r="K667" s="6">
        <v>270</v>
      </c>
      <c r="L667" s="6">
        <v>270</v>
      </c>
      <c r="M667" s="6">
        <v>270</v>
      </c>
      <c r="N667" s="6">
        <v>270</v>
      </c>
      <c r="O667" s="6">
        <v>135</v>
      </c>
      <c r="P667" s="6"/>
      <c r="Q667" s="6"/>
      <c r="R667" s="6"/>
      <c r="S667" s="6">
        <f>SUM(I667:O667)</f>
        <v>1215</v>
      </c>
      <c r="T667" s="112">
        <v>3.69</v>
      </c>
      <c r="U667" s="24"/>
    </row>
    <row r="668" spans="2:21" s="112" customFormat="1" ht="13.5" customHeight="1" x14ac:dyDescent="0.15">
      <c r="B668" s="19"/>
      <c r="C668" s="164"/>
      <c r="D668" s="164"/>
      <c r="E668" s="169"/>
      <c r="F668" s="126" t="s">
        <v>70</v>
      </c>
      <c r="G668" s="127" t="s">
        <v>71</v>
      </c>
      <c r="H668" s="160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>
        <f>SUM(I668:Q668)</f>
        <v>0</v>
      </c>
      <c r="U668" s="24"/>
    </row>
    <row r="669" spans="2:21" s="112" customFormat="1" ht="13.5" customHeight="1" x14ac:dyDescent="0.15">
      <c r="B669" s="19"/>
      <c r="C669" s="164"/>
      <c r="D669" s="164"/>
      <c r="E669" s="169"/>
      <c r="F669" s="129"/>
      <c r="G669" s="130"/>
      <c r="H669" s="160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U669" s="24"/>
    </row>
    <row r="670" spans="2:21" s="112" customFormat="1" ht="13.5" customHeight="1" x14ac:dyDescent="0.15">
      <c r="B670" s="19"/>
      <c r="C670" s="165"/>
      <c r="D670" s="165"/>
      <c r="E670" s="170"/>
      <c r="F670" s="129"/>
      <c r="G670" s="130"/>
      <c r="H670" s="118"/>
      <c r="I670" s="22">
        <f>SUM(I655:I668)</f>
        <v>0</v>
      </c>
      <c r="J670" s="22">
        <f>SUM(J655:J668)</f>
        <v>0</v>
      </c>
      <c r="K670" s="22">
        <f>SUM(K655:K668)</f>
        <v>1890</v>
      </c>
      <c r="L670" s="22">
        <f t="shared" ref="L670:R670" si="78">SUM(L655:L668)</f>
        <v>1890</v>
      </c>
      <c r="M670" s="22">
        <f t="shared" si="78"/>
        <v>1890</v>
      </c>
      <c r="N670" s="22">
        <f t="shared" si="78"/>
        <v>1890</v>
      </c>
      <c r="O670" s="22">
        <f t="shared" si="78"/>
        <v>945</v>
      </c>
      <c r="P670" s="22">
        <f t="shared" si="78"/>
        <v>0</v>
      </c>
      <c r="Q670" s="22">
        <f t="shared" si="78"/>
        <v>0</v>
      </c>
      <c r="R670" s="22">
        <f t="shared" si="78"/>
        <v>0</v>
      </c>
      <c r="S670" s="22">
        <f>SUM(S655:S668)</f>
        <v>8505</v>
      </c>
      <c r="U670" s="24"/>
    </row>
    <row r="671" spans="2:21" s="112" customFormat="1" ht="13.5" customHeight="1" x14ac:dyDescent="0.15">
      <c r="B671" s="19"/>
      <c r="C671" s="154"/>
      <c r="D671" s="155"/>
      <c r="E671" s="157"/>
      <c r="F671" s="129"/>
      <c r="G671" s="130"/>
      <c r="H671" s="115"/>
      <c r="I671" s="6"/>
      <c r="J671" s="6"/>
      <c r="K671" s="6"/>
      <c r="L671" s="6"/>
      <c r="M671" s="6"/>
      <c r="N671" s="6"/>
      <c r="O671" s="6"/>
      <c r="P671" s="195"/>
      <c r="Q671" s="195"/>
      <c r="R671" s="195"/>
      <c r="S671" s="6"/>
      <c r="U671" s="24"/>
    </row>
    <row r="672" spans="2:21" s="112" customFormat="1" ht="13.5" customHeight="1" x14ac:dyDescent="0.15">
      <c r="B672" s="19"/>
      <c r="C672" s="154"/>
      <c r="D672" s="155"/>
      <c r="E672" s="157"/>
      <c r="F672" s="129"/>
      <c r="G672" s="130"/>
      <c r="H672" s="115"/>
      <c r="I672" s="6"/>
      <c r="J672" s="6"/>
      <c r="K672" s="6"/>
      <c r="L672" s="6"/>
      <c r="M672" s="6"/>
      <c r="N672" s="6"/>
      <c r="O672" s="6"/>
      <c r="P672" s="195"/>
      <c r="Q672" s="195"/>
      <c r="R672" s="195"/>
      <c r="S672" s="6"/>
      <c r="U672" s="24"/>
    </row>
    <row r="673" spans="2:21" s="112" customFormat="1" ht="13.5" customHeight="1" x14ac:dyDescent="0.15">
      <c r="B673" s="19"/>
      <c r="C673" s="154"/>
      <c r="D673" s="155"/>
      <c r="E673" s="157"/>
      <c r="F673" s="129"/>
      <c r="G673" s="130"/>
      <c r="H673" s="115"/>
      <c r="I673" s="6"/>
      <c r="J673" s="6"/>
      <c r="K673" s="6"/>
      <c r="L673" s="6"/>
      <c r="M673" s="6"/>
      <c r="N673" s="6"/>
      <c r="O673" s="6"/>
      <c r="P673" s="195"/>
      <c r="Q673" s="195"/>
      <c r="R673" s="195"/>
      <c r="S673" s="6"/>
      <c r="U673" s="24"/>
    </row>
    <row r="674" spans="2:21" s="112" customFormat="1" ht="13.5" customHeight="1" x14ac:dyDescent="0.15">
      <c r="B674" s="19"/>
      <c r="C674" s="154"/>
      <c r="D674" s="155"/>
      <c r="E674" s="157"/>
      <c r="F674" s="129"/>
      <c r="G674" s="130"/>
      <c r="H674" s="115"/>
      <c r="I674" s="6"/>
      <c r="J674" s="6"/>
      <c r="K674" s="6"/>
      <c r="L674" s="6"/>
      <c r="M674" s="6"/>
      <c r="N674" s="6"/>
      <c r="O674" s="6"/>
      <c r="P674" s="195"/>
      <c r="Q674" s="195"/>
      <c r="R674" s="195"/>
      <c r="S674" s="6"/>
      <c r="U674" s="24"/>
    </row>
    <row r="675" spans="2:21" s="112" customFormat="1" ht="13.5" customHeight="1" x14ac:dyDescent="0.15">
      <c r="B675" s="19"/>
      <c r="C675" s="154"/>
      <c r="D675" s="155"/>
      <c r="E675" s="157"/>
      <c r="F675" s="129"/>
      <c r="G675" s="130"/>
      <c r="H675" s="115"/>
      <c r="I675" s="6"/>
      <c r="J675" s="6"/>
      <c r="K675" s="6"/>
      <c r="L675" s="6"/>
      <c r="M675" s="6"/>
      <c r="N675" s="6"/>
      <c r="O675" s="6"/>
      <c r="P675" s="195"/>
      <c r="Q675" s="195"/>
      <c r="R675" s="195"/>
      <c r="S675" s="6"/>
      <c r="U675" s="24"/>
    </row>
    <row r="676" spans="2:21" s="112" customFormat="1" ht="13.5" customHeight="1" x14ac:dyDescent="0.15">
      <c r="B676" s="19"/>
      <c r="C676" s="154"/>
      <c r="D676" s="155"/>
      <c r="E676" s="157"/>
      <c r="F676" s="129"/>
      <c r="G676" s="130"/>
      <c r="H676" s="115"/>
      <c r="I676" s="6"/>
      <c r="J676" s="6"/>
      <c r="K676" s="6"/>
      <c r="L676" s="6"/>
      <c r="M676" s="6"/>
      <c r="N676" s="6"/>
      <c r="O676" s="6"/>
      <c r="P676" s="195"/>
      <c r="Q676" s="195"/>
      <c r="R676" s="195"/>
      <c r="S676" s="6"/>
      <c r="U676" s="24"/>
    </row>
    <row r="677" spans="2:21" s="112" customFormat="1" ht="13.5" customHeight="1" x14ac:dyDescent="0.15">
      <c r="B677" s="19"/>
      <c r="C677" s="154"/>
      <c r="D677" s="155"/>
      <c r="E677" s="157"/>
      <c r="F677" s="129"/>
      <c r="G677" s="130"/>
      <c r="H677" s="115"/>
      <c r="I677" s="6"/>
      <c r="J677" s="6"/>
      <c r="K677" s="6"/>
      <c r="L677" s="6"/>
      <c r="M677" s="6"/>
      <c r="N677" s="6"/>
      <c r="O677" s="6"/>
      <c r="P677" s="195"/>
      <c r="Q677" s="195"/>
      <c r="R677" s="195"/>
      <c r="S677" s="6"/>
      <c r="U677" s="24"/>
    </row>
    <row r="678" spans="2:21" s="112" customFormat="1" ht="13.5" customHeight="1" x14ac:dyDescent="0.15">
      <c r="B678" s="19"/>
      <c r="C678" s="154"/>
      <c r="D678" s="155"/>
      <c r="E678" s="157"/>
      <c r="F678" s="129"/>
      <c r="G678" s="130"/>
      <c r="H678" s="115"/>
      <c r="I678" s="6"/>
      <c r="J678" s="6"/>
      <c r="K678" s="6"/>
      <c r="L678" s="6"/>
      <c r="M678" s="6"/>
      <c r="N678" s="6"/>
      <c r="O678" s="6"/>
      <c r="P678" s="195"/>
      <c r="Q678" s="195"/>
      <c r="R678" s="195"/>
      <c r="S678" s="6"/>
      <c r="U678" s="24"/>
    </row>
    <row r="679" spans="2:21" s="112" customFormat="1" ht="13.5" customHeight="1" x14ac:dyDescent="0.15">
      <c r="B679" s="19"/>
      <c r="C679" s="154"/>
      <c r="D679" s="155"/>
      <c r="E679" s="157"/>
      <c r="F679" s="129"/>
      <c r="G679" s="130"/>
      <c r="H679" s="115"/>
      <c r="I679" s="6"/>
      <c r="J679" s="6"/>
      <c r="K679" s="6"/>
      <c r="L679" s="6"/>
      <c r="M679" s="6"/>
      <c r="N679" s="6"/>
      <c r="O679" s="6"/>
      <c r="P679" s="195"/>
      <c r="Q679" s="195"/>
      <c r="R679" s="195"/>
      <c r="S679" s="6"/>
      <c r="U679" s="24"/>
    </row>
    <row r="680" spans="2:21" s="112" customFormat="1" ht="13.5" customHeight="1" x14ac:dyDescent="0.15">
      <c r="B680" s="19"/>
      <c r="C680" s="154"/>
      <c r="D680" s="155"/>
      <c r="E680" s="157"/>
      <c r="F680" s="129"/>
      <c r="G680" s="130"/>
      <c r="H680" s="115"/>
      <c r="I680" s="6"/>
      <c r="J680" s="6"/>
      <c r="K680" s="6"/>
      <c r="L680" s="6"/>
      <c r="M680" s="6"/>
      <c r="N680" s="6"/>
      <c r="O680" s="6"/>
      <c r="P680" s="195"/>
      <c r="Q680" s="195"/>
      <c r="R680" s="195"/>
      <c r="S680" s="6"/>
      <c r="U680" s="24"/>
    </row>
    <row r="681" spans="2:21" s="112" customFormat="1" ht="13.5" customHeight="1" x14ac:dyDescent="0.15">
      <c r="B681" s="19"/>
      <c r="C681" s="154"/>
      <c r="D681" s="155"/>
      <c r="E681" s="157"/>
      <c r="F681" s="129"/>
      <c r="G681" s="130"/>
      <c r="H681" s="115"/>
      <c r="I681" s="6"/>
      <c r="J681" s="6"/>
      <c r="K681" s="6"/>
      <c r="L681" s="6"/>
      <c r="M681" s="6"/>
      <c r="N681" s="6"/>
      <c r="O681" s="6"/>
      <c r="P681" s="195"/>
      <c r="Q681" s="195"/>
      <c r="R681" s="195"/>
      <c r="S681" s="6"/>
      <c r="U681" s="24"/>
    </row>
    <row r="682" spans="2:21" s="112" customFormat="1" ht="13.5" customHeight="1" x14ac:dyDescent="0.15">
      <c r="B682" s="19"/>
      <c r="C682" s="154"/>
      <c r="D682" s="155"/>
      <c r="E682" s="157"/>
      <c r="F682" s="129"/>
      <c r="G682" s="130"/>
      <c r="H682" s="115"/>
      <c r="I682" s="6"/>
      <c r="J682" s="6"/>
      <c r="K682" s="6"/>
      <c r="L682" s="6"/>
      <c r="M682" s="6"/>
      <c r="N682" s="6"/>
      <c r="O682" s="6"/>
      <c r="P682" s="195"/>
      <c r="Q682" s="195"/>
      <c r="R682" s="195"/>
      <c r="S682" s="6"/>
      <c r="U682" s="24"/>
    </row>
    <row r="683" spans="2:21" s="112" customFormat="1" ht="13.5" customHeight="1" x14ac:dyDescent="0.15">
      <c r="B683" s="19"/>
      <c r="C683" s="154"/>
      <c r="D683" s="155"/>
      <c r="E683" s="157"/>
      <c r="F683" s="129"/>
      <c r="G683" s="130"/>
      <c r="H683" s="115"/>
      <c r="I683" s="6"/>
      <c r="J683" s="6"/>
      <c r="K683" s="6"/>
      <c r="L683" s="6"/>
      <c r="M683" s="6"/>
      <c r="N683" s="6"/>
      <c r="O683" s="6"/>
      <c r="P683" s="195"/>
      <c r="Q683" s="195"/>
      <c r="R683" s="195"/>
      <c r="S683" s="6"/>
      <c r="U683" s="24"/>
    </row>
    <row r="684" spans="2:21" s="112" customFormat="1" ht="13.5" customHeight="1" x14ac:dyDescent="0.15">
      <c r="B684" s="19"/>
      <c r="C684" s="154"/>
      <c r="D684" s="155"/>
      <c r="E684" s="157"/>
      <c r="F684" s="129"/>
      <c r="G684" s="130"/>
      <c r="H684" s="115"/>
      <c r="I684" s="6"/>
      <c r="J684" s="6"/>
      <c r="K684" s="6"/>
      <c r="L684" s="6"/>
      <c r="M684" s="6"/>
      <c r="N684" s="6"/>
      <c r="O684" s="6"/>
      <c r="P684" s="195"/>
      <c r="Q684" s="195"/>
      <c r="R684" s="195"/>
      <c r="S684" s="6"/>
      <c r="U684" s="24"/>
    </row>
    <row r="685" spans="2:21" s="112" customFormat="1" ht="13.5" customHeight="1" x14ac:dyDescent="0.15">
      <c r="B685" s="19"/>
      <c r="C685" s="154"/>
      <c r="D685" s="155"/>
      <c r="E685" s="157"/>
      <c r="F685" s="129"/>
      <c r="G685" s="130"/>
      <c r="H685" s="115"/>
      <c r="I685" s="6"/>
      <c r="J685" s="6"/>
      <c r="K685" s="6"/>
      <c r="L685" s="6"/>
      <c r="M685" s="6"/>
      <c r="N685" s="6"/>
      <c r="O685" s="6"/>
      <c r="P685" s="195"/>
      <c r="Q685" s="195"/>
      <c r="R685" s="195"/>
      <c r="S685" s="6"/>
      <c r="U685" s="24"/>
    </row>
    <row r="686" spans="2:21" s="112" customFormat="1" ht="13.5" customHeight="1" x14ac:dyDescent="0.15">
      <c r="B686" s="19"/>
      <c r="C686" s="154"/>
      <c r="D686" s="155"/>
      <c r="E686" s="157"/>
      <c r="F686" s="129"/>
      <c r="G686" s="130"/>
      <c r="H686" s="115"/>
      <c r="I686" s="6"/>
      <c r="J686" s="6"/>
      <c r="K686" s="6"/>
      <c r="L686" s="6"/>
      <c r="M686" s="6"/>
      <c r="N686" s="6"/>
      <c r="O686" s="6"/>
      <c r="P686" s="195"/>
      <c r="Q686" s="195"/>
      <c r="R686" s="195"/>
      <c r="S686" s="6"/>
      <c r="U686" s="24"/>
    </row>
    <row r="687" spans="2:21" s="112" customFormat="1" ht="13.5" customHeight="1" x14ac:dyDescent="0.15">
      <c r="B687" s="19"/>
      <c r="C687" s="154"/>
      <c r="D687" s="155"/>
      <c r="E687" s="157"/>
      <c r="F687" s="129"/>
      <c r="G687" s="130"/>
      <c r="H687" s="115"/>
      <c r="I687" s="6"/>
      <c r="J687" s="6"/>
      <c r="K687" s="6"/>
      <c r="L687" s="6"/>
      <c r="M687" s="6"/>
      <c r="N687" s="6"/>
      <c r="O687" s="6"/>
      <c r="P687" s="195"/>
      <c r="Q687" s="195"/>
      <c r="R687" s="195"/>
      <c r="S687" s="6"/>
      <c r="U687" s="24"/>
    </row>
    <row r="688" spans="2:21" s="112" customFormat="1" ht="13.5" customHeight="1" x14ac:dyDescent="0.15">
      <c r="B688" s="19"/>
      <c r="C688" s="176" t="s">
        <v>11</v>
      </c>
      <c r="D688" s="114" t="s">
        <v>4</v>
      </c>
      <c r="E688" s="143" t="s">
        <v>5</v>
      </c>
      <c r="F688" s="143" t="s">
        <v>6</v>
      </c>
      <c r="G688" s="113"/>
      <c r="H688" s="114" t="s">
        <v>7</v>
      </c>
      <c r="I688" s="114" t="s">
        <v>104</v>
      </c>
      <c r="J688" s="114" t="s">
        <v>105</v>
      </c>
      <c r="K688" s="114" t="s">
        <v>106</v>
      </c>
      <c r="L688" s="114" t="s">
        <v>107</v>
      </c>
      <c r="M688" s="114" t="s">
        <v>108</v>
      </c>
      <c r="N688" s="114" t="s">
        <v>109</v>
      </c>
      <c r="O688" s="114" t="s">
        <v>110</v>
      </c>
      <c r="P688" s="44" t="s">
        <v>8</v>
      </c>
      <c r="Q688" s="44" t="s">
        <v>9</v>
      </c>
      <c r="R688" s="44" t="s">
        <v>10</v>
      </c>
      <c r="S688" s="6" t="s">
        <v>11</v>
      </c>
      <c r="T688" s="7"/>
      <c r="U688" s="24"/>
    </row>
    <row r="689" spans="2:21" s="112" customFormat="1" ht="13.5" customHeight="1" x14ac:dyDescent="0.15">
      <c r="B689" s="19"/>
      <c r="C689" s="177"/>
      <c r="D689" s="163" t="s">
        <v>112</v>
      </c>
      <c r="E689" s="161"/>
      <c r="F689" s="47" t="s">
        <v>44</v>
      </c>
      <c r="G689" s="119" t="s">
        <v>45</v>
      </c>
      <c r="H689" s="161"/>
      <c r="I689" s="6">
        <f t="shared" ref="I689:R689" si="79">I4+I51+I99+I147+I194+I241+I288</f>
        <v>0</v>
      </c>
      <c r="J689" s="6">
        <f t="shared" si="79"/>
        <v>0</v>
      </c>
      <c r="K689" s="6">
        <f t="shared" si="79"/>
        <v>0</v>
      </c>
      <c r="L689" s="6">
        <f t="shared" si="79"/>
        <v>0</v>
      </c>
      <c r="M689" s="6">
        <f t="shared" si="79"/>
        <v>0</v>
      </c>
      <c r="N689" s="6">
        <f t="shared" si="79"/>
        <v>0</v>
      </c>
      <c r="O689" s="6">
        <f t="shared" si="79"/>
        <v>0</v>
      </c>
      <c r="P689" s="6">
        <f t="shared" si="79"/>
        <v>0</v>
      </c>
      <c r="Q689" s="6">
        <f t="shared" si="79"/>
        <v>0</v>
      </c>
      <c r="R689" s="6">
        <f t="shared" si="79"/>
        <v>0</v>
      </c>
      <c r="S689" s="6">
        <f>SUM(P689:R689)</f>
        <v>0</v>
      </c>
      <c r="T689" s="7"/>
      <c r="U689" s="24"/>
    </row>
    <row r="690" spans="2:21" s="112" customFormat="1" ht="13.5" customHeight="1" x14ac:dyDescent="0.15">
      <c r="B690" s="19"/>
      <c r="C690" s="177"/>
      <c r="D690" s="164"/>
      <c r="E690" s="162"/>
      <c r="F690" s="79" t="s">
        <v>46</v>
      </c>
      <c r="G690" s="119" t="s">
        <v>47</v>
      </c>
      <c r="H690" s="162"/>
      <c r="I690" s="6">
        <f t="shared" ref="I690:R690" si="80">I5+I52+I100+I148+I195+I242+I289</f>
        <v>0</v>
      </c>
      <c r="J690" s="6">
        <f t="shared" si="80"/>
        <v>0</v>
      </c>
      <c r="K690" s="6">
        <f t="shared" si="80"/>
        <v>0</v>
      </c>
      <c r="L690" s="6">
        <f t="shared" si="80"/>
        <v>0</v>
      </c>
      <c r="M690" s="6">
        <f t="shared" si="80"/>
        <v>0</v>
      </c>
      <c r="N690" s="6">
        <f t="shared" si="80"/>
        <v>0</v>
      </c>
      <c r="O690" s="6">
        <f t="shared" si="80"/>
        <v>0</v>
      </c>
      <c r="P690" s="6">
        <f t="shared" si="80"/>
        <v>0</v>
      </c>
      <c r="Q690" s="6">
        <f t="shared" si="80"/>
        <v>0</v>
      </c>
      <c r="R690" s="6">
        <f t="shared" si="80"/>
        <v>0</v>
      </c>
      <c r="S690" s="6">
        <f t="shared" ref="S690:S694" si="81">SUM(P690:R690)</f>
        <v>0</v>
      </c>
      <c r="T690" s="7"/>
      <c r="U690" s="24"/>
    </row>
    <row r="691" spans="2:21" s="112" customFormat="1" ht="13.5" customHeight="1" x14ac:dyDescent="0.15">
      <c r="B691" s="19"/>
      <c r="C691" s="177"/>
      <c r="D691" s="164"/>
      <c r="E691" s="162"/>
      <c r="F691" s="128" t="s">
        <v>48</v>
      </c>
      <c r="G691" s="127" t="s">
        <v>49</v>
      </c>
      <c r="H691" s="162"/>
      <c r="I691" s="6">
        <f>I6+I53+I101+I149+I196+I243+I290</f>
        <v>0</v>
      </c>
      <c r="J691" s="6">
        <f>J6+J53+J101+J149+J196+J243+J290</f>
        <v>0</v>
      </c>
      <c r="K691" s="6">
        <f>K6+K53+K101+K149+K196+K243+K290</f>
        <v>0</v>
      </c>
      <c r="L691" s="6">
        <f>L6+L53+L101+L149+L196+L243+L290</f>
        <v>0</v>
      </c>
      <c r="M691" s="6">
        <f>M6+M53+M101+M149+M196+M243+M290</f>
        <v>0</v>
      </c>
      <c r="N691" s="6">
        <f>N6+N53+N101+N149+N196+N243+N290</f>
        <v>0</v>
      </c>
      <c r="O691" s="6">
        <f>O6+O53+O101+O149+O196+O243+O290</f>
        <v>0</v>
      </c>
      <c r="P691" s="6">
        <f>P6+P53+P101+P149+P196+P243+P290+P338</f>
        <v>1871</v>
      </c>
      <c r="Q691" s="6">
        <f>Q6+Q53+Q101+Q149+Q196+Q243+Q290+Q338</f>
        <v>1819</v>
      </c>
      <c r="R691" s="6">
        <f>R6+R53+R101+R149+R196+R243+R290+R338</f>
        <v>1063</v>
      </c>
      <c r="S691" s="6">
        <f t="shared" si="81"/>
        <v>4753</v>
      </c>
      <c r="T691" s="7">
        <v>4.87</v>
      </c>
      <c r="U691" s="150" t="s">
        <v>49</v>
      </c>
    </row>
    <row r="692" spans="2:21" s="112" customFormat="1" ht="13.5" customHeight="1" x14ac:dyDescent="0.15">
      <c r="B692" s="19"/>
      <c r="C692" s="177"/>
      <c r="D692" s="164"/>
      <c r="E692" s="162"/>
      <c r="F692" s="128" t="s">
        <v>50</v>
      </c>
      <c r="G692" s="127" t="s">
        <v>51</v>
      </c>
      <c r="H692" s="162"/>
      <c r="I692" s="6">
        <f>I7+I54+I102+I150+I197+I244+I291</f>
        <v>0</v>
      </c>
      <c r="J692" s="6">
        <f>J7+J54+J102+J150+J197+J244+J291</f>
        <v>0</v>
      </c>
      <c r="K692" s="6">
        <f>K7+K54+K102+K150+K197+K244+K291</f>
        <v>0</v>
      </c>
      <c r="L692" s="6">
        <f>L7+L54+L102+L150+L197+L244+L291</f>
        <v>0</v>
      </c>
      <c r="M692" s="6">
        <f>M7+M54+M102+M150+M197+M244+M291</f>
        <v>0</v>
      </c>
      <c r="N692" s="6">
        <f>N7+N54+N102+N150+N197+N244+N291</f>
        <v>0</v>
      </c>
      <c r="O692" s="6">
        <f>O7+O54+O102+O150+O197+O244+O291</f>
        <v>0</v>
      </c>
      <c r="P692" s="6">
        <f>P7+P54+P102+P150+P197+P244+P291+P339</f>
        <v>528</v>
      </c>
      <c r="Q692" s="6">
        <f>Q7+Q54+Q102+Q150+Q197+Q244+Q291+Q339</f>
        <v>1452</v>
      </c>
      <c r="R692" s="6">
        <f>R7+R54+R102+R150+R197+R244+R291+R339</f>
        <v>669</v>
      </c>
      <c r="S692" s="6">
        <f t="shared" si="81"/>
        <v>2649</v>
      </c>
      <c r="T692" s="7">
        <v>3.99</v>
      </c>
      <c r="U692" s="150" t="s">
        <v>51</v>
      </c>
    </row>
    <row r="693" spans="2:21" s="112" customFormat="1" ht="13.5" customHeight="1" x14ac:dyDescent="0.15">
      <c r="B693" s="19"/>
      <c r="C693" s="177"/>
      <c r="D693" s="164"/>
      <c r="E693" s="162"/>
      <c r="F693" s="79" t="s">
        <v>52</v>
      </c>
      <c r="G693" s="119" t="s">
        <v>53</v>
      </c>
      <c r="H693" s="162"/>
      <c r="I693" s="6">
        <f>I8+I55+I103+I151+I198+I245+I292</f>
        <v>0</v>
      </c>
      <c r="J693" s="6">
        <f>J8+J55+J103+J151+J198+J245+J292</f>
        <v>0</v>
      </c>
      <c r="K693" s="6">
        <f>K8+K55+K103+K151+K198+K245+K292</f>
        <v>0</v>
      </c>
      <c r="L693" s="6">
        <f>L8+L55+L103+L151+L198+L245+L292</f>
        <v>0</v>
      </c>
      <c r="M693" s="6">
        <f>M8+M55+M103+M151+M198+M245+M292</f>
        <v>0</v>
      </c>
      <c r="N693" s="6">
        <f>N8+N55+N103+N151+N198+N245+N292</f>
        <v>0</v>
      </c>
      <c r="O693" s="6">
        <f>O8+O55+O103+O151+O198+O245+O292</f>
        <v>0</v>
      </c>
      <c r="P693" s="6">
        <f>P8+P55+P103+P151+P198+P245+P292+P340</f>
        <v>0</v>
      </c>
      <c r="Q693" s="6">
        <f>Q8+Q55+Q103+Q151+Q198+Q245+Q292+Q340</f>
        <v>0</v>
      </c>
      <c r="R693" s="6">
        <f>R8+R55+R103+R151+R198+R245+R292+R340</f>
        <v>0</v>
      </c>
      <c r="S693" s="6">
        <f t="shared" si="81"/>
        <v>0</v>
      </c>
      <c r="T693" s="7"/>
      <c r="U693" s="150"/>
    </row>
    <row r="694" spans="2:21" s="112" customFormat="1" ht="13.5" customHeight="1" x14ac:dyDescent="0.15">
      <c r="B694" s="19"/>
      <c r="C694" s="177"/>
      <c r="D694" s="164"/>
      <c r="E694" s="162"/>
      <c r="F694" s="128" t="s">
        <v>54</v>
      </c>
      <c r="G694" s="127" t="s">
        <v>55</v>
      </c>
      <c r="H694" s="162"/>
      <c r="I694" s="6">
        <f>I9+I56+I104+I152+I199+I246+I293</f>
        <v>0</v>
      </c>
      <c r="J694" s="6">
        <f>J9+J56+J104+J152+J199+J246+J293</f>
        <v>0</v>
      </c>
      <c r="K694" s="6">
        <f>K9+K56+K104+K152+K199+K246+K293</f>
        <v>0</v>
      </c>
      <c r="L694" s="6">
        <f>L9+L56+L104+L152+L199+L246+L293</f>
        <v>0</v>
      </c>
      <c r="M694" s="6">
        <f>M9+M56+M104+M152+M199+M246+M293</f>
        <v>0</v>
      </c>
      <c r="N694" s="6">
        <f>N9+N56+N104+N152+N199+N246+N293</f>
        <v>0</v>
      </c>
      <c r="O694" s="6">
        <f>O9+O56+O104+O152+O199+O246+O293</f>
        <v>0</v>
      </c>
      <c r="P694" s="6">
        <f>P9+P56+P104+P152+P199+P246+P293+P341</f>
        <v>1387</v>
      </c>
      <c r="Q694" s="6">
        <f>Q9+Q56+Q104+Q152+Q199+Q246+Q293+Q341</f>
        <v>1573</v>
      </c>
      <c r="R694" s="6">
        <f>R9+R56+R104+R152+R199+R246+R293+R341</f>
        <v>953</v>
      </c>
      <c r="S694" s="6">
        <f t="shared" si="81"/>
        <v>3913</v>
      </c>
      <c r="T694" s="7">
        <v>3.84</v>
      </c>
      <c r="U694" s="150" t="s">
        <v>55</v>
      </c>
    </row>
    <row r="695" spans="2:21" s="112" customFormat="1" ht="13.5" customHeight="1" x14ac:dyDescent="0.15">
      <c r="B695" s="19"/>
      <c r="C695" s="177"/>
      <c r="D695" s="164"/>
      <c r="E695" s="162"/>
      <c r="F695" s="111" t="s">
        <v>56</v>
      </c>
      <c r="G695" s="110" t="s">
        <v>57</v>
      </c>
      <c r="H695" s="162"/>
      <c r="I695" s="6">
        <f>I10+I57+I105+I153+I200+I247+I294</f>
        <v>0</v>
      </c>
      <c r="J695" s="6">
        <f>J10+J57+J105+J153+J200+J247+J294</f>
        <v>0</v>
      </c>
      <c r="K695" s="6">
        <f>K10+K57+K105+K153+K200+K247+K294</f>
        <v>0</v>
      </c>
      <c r="L695" s="6">
        <f>L10+L57+L105+L153+L200+L247+L294</f>
        <v>0</v>
      </c>
      <c r="M695" s="6">
        <f>M10+M57+M105+M153+M200+M247+M294</f>
        <v>0</v>
      </c>
      <c r="N695" s="6">
        <f>N10+N57+N105+N153+N200+N247+N294</f>
        <v>0</v>
      </c>
      <c r="O695" s="6">
        <f>O10+O57+O105+O153+O200+O247+O294</f>
        <v>0</v>
      </c>
      <c r="P695" s="6">
        <f>P10+P57+P105+P153+P200+P247+P294+P342</f>
        <v>341</v>
      </c>
      <c r="Q695" s="6">
        <f>Q10+Q57+Q105+Q153+Q200+Q247+Q294+Q342</f>
        <v>897</v>
      </c>
      <c r="R695" s="6">
        <f>R10+R57+R105+R153+R200+R247+R294+R342</f>
        <v>593</v>
      </c>
      <c r="S695" s="6">
        <f>SUM(P695:R695)</f>
        <v>1831</v>
      </c>
      <c r="T695" s="7">
        <v>3.82</v>
      </c>
      <c r="U695" s="148" t="s">
        <v>57</v>
      </c>
    </row>
    <row r="696" spans="2:21" s="112" customFormat="1" ht="13.5" customHeight="1" x14ac:dyDescent="0.15">
      <c r="B696" s="19"/>
      <c r="C696" s="177"/>
      <c r="D696" s="164"/>
      <c r="E696" s="162"/>
      <c r="F696" s="129" t="s">
        <v>58</v>
      </c>
      <c r="G696" s="130" t="s">
        <v>59</v>
      </c>
      <c r="H696" s="162"/>
      <c r="I696" s="6">
        <f>I11+I58+I106+I154+I201+I248+I295</f>
        <v>0</v>
      </c>
      <c r="J696" s="6">
        <f>J11+J58+J106+J154+J201+J248+J295</f>
        <v>0</v>
      </c>
      <c r="K696" s="6">
        <f>K11+K58+K106+K154+K201+K248+K295</f>
        <v>0</v>
      </c>
      <c r="L696" s="6">
        <f>L11+L58+L106+L154+L201+L248+L295</f>
        <v>0</v>
      </c>
      <c r="M696" s="6">
        <f>M11+M58+M106+M154+M201+M248+M295</f>
        <v>0</v>
      </c>
      <c r="N696" s="6">
        <f>N11+N58+N106+N154+N201+N248+N295</f>
        <v>0</v>
      </c>
      <c r="O696" s="6">
        <f>O11+O58+O106+O154+O201+O248+O295</f>
        <v>0</v>
      </c>
      <c r="P696" s="6">
        <f>P11+P58+P106+P154+P201+P248+P295+P343</f>
        <v>1232</v>
      </c>
      <c r="Q696" s="6">
        <f>Q11+Q58+Q106+Q154+Q201+Q248+Q295+Q343</f>
        <v>1408</v>
      </c>
      <c r="R696" s="6">
        <f>R11+R58+R106+R154+R201+R248+R295+R343</f>
        <v>859</v>
      </c>
      <c r="S696" s="6">
        <f t="shared" ref="S696:S703" si="82">SUM(P696:R696)</f>
        <v>3499</v>
      </c>
      <c r="T696" s="7">
        <v>3.9</v>
      </c>
      <c r="U696" s="148" t="s">
        <v>59</v>
      </c>
    </row>
    <row r="697" spans="2:21" s="112" customFormat="1" ht="13.5" customHeight="1" x14ac:dyDescent="0.15">
      <c r="B697" s="19"/>
      <c r="C697" s="177"/>
      <c r="D697" s="164"/>
      <c r="E697" s="162"/>
      <c r="F697" s="52" t="s">
        <v>60</v>
      </c>
      <c r="G697" s="119" t="s">
        <v>61</v>
      </c>
      <c r="H697" s="162"/>
      <c r="I697" s="6">
        <f>I12+I59+I107+I155+I202+I249+I296</f>
        <v>0</v>
      </c>
      <c r="J697" s="6">
        <f>J12+J59+J107+J155+J202+J249+J296</f>
        <v>0</v>
      </c>
      <c r="K697" s="6">
        <f>K12+K59+K107+K155+K202+K249+K296</f>
        <v>0</v>
      </c>
      <c r="L697" s="6">
        <f>L12+L59+L107+L155+L202+L249+L296</f>
        <v>0</v>
      </c>
      <c r="M697" s="6">
        <f>M12+M59+M107+M155+M202+M249+M296</f>
        <v>0</v>
      </c>
      <c r="N697" s="6">
        <f>N12+N59+N107+N155+N202+N249+N296</f>
        <v>0</v>
      </c>
      <c r="O697" s="6">
        <f>O12+O59+O107+O155+O202+O249+O296</f>
        <v>0</v>
      </c>
      <c r="P697" s="6">
        <f>P12+P59+P107+P155+P202+P249+P296</f>
        <v>0</v>
      </c>
      <c r="Q697" s="6">
        <f>Q12+Q59+Q107+Q155+Q202+Q249+Q296</f>
        <v>0</v>
      </c>
      <c r="R697" s="6">
        <f>R12+R59+R107+R155+R202+R249+R296</f>
        <v>0</v>
      </c>
      <c r="S697" s="6">
        <f t="shared" si="82"/>
        <v>0</v>
      </c>
      <c r="T697" s="7"/>
      <c r="U697" s="150"/>
    </row>
    <row r="698" spans="2:21" s="112" customFormat="1" ht="13.5" customHeight="1" x14ac:dyDescent="0.15">
      <c r="B698" s="19"/>
      <c r="C698" s="177"/>
      <c r="D698" s="164"/>
      <c r="E698" s="162"/>
      <c r="F698" s="51" t="s">
        <v>62</v>
      </c>
      <c r="G698" s="119" t="s">
        <v>63</v>
      </c>
      <c r="H698" s="162"/>
      <c r="I698" s="6">
        <f>I13+I60+I108+I156+I203+I250+I297</f>
        <v>0</v>
      </c>
      <c r="J698" s="6">
        <f>J13+J60+J108+J156+J203+J250+J297</f>
        <v>0</v>
      </c>
      <c r="K698" s="6">
        <f>K13+K60+K108+K156+K203+K250+K297</f>
        <v>0</v>
      </c>
      <c r="L698" s="6">
        <f>L13+L60+L108+L156+L203+L250+L297</f>
        <v>0</v>
      </c>
      <c r="M698" s="6">
        <f>M13+M60+M108+M156+M203+M250+M297</f>
        <v>0</v>
      </c>
      <c r="N698" s="6">
        <f>N13+N60+N108+N156+N203+N250+N297</f>
        <v>0</v>
      </c>
      <c r="O698" s="6">
        <f>O13+O60+O108+O156+O203+O250+O297</f>
        <v>0</v>
      </c>
      <c r="P698" s="6">
        <f>P13+P60+P108+P156+P203+P250+P297</f>
        <v>0</v>
      </c>
      <c r="Q698" s="6">
        <f>Q13+Q60+Q108+Q156+Q203+Q250+Q297</f>
        <v>0</v>
      </c>
      <c r="R698" s="6">
        <f>R13+R60+R108+R156+R203+R250+R297</f>
        <v>0</v>
      </c>
      <c r="S698" s="6">
        <f t="shared" si="82"/>
        <v>0</v>
      </c>
      <c r="T698" s="7"/>
      <c r="U698" s="150"/>
    </row>
    <row r="699" spans="2:21" s="112" customFormat="1" ht="13.5" customHeight="1" x14ac:dyDescent="0.15">
      <c r="B699" s="19"/>
      <c r="C699" s="177"/>
      <c r="D699" s="164"/>
      <c r="E699" s="162"/>
      <c r="F699" s="128" t="s">
        <v>64</v>
      </c>
      <c r="G699" s="127" t="s">
        <v>65</v>
      </c>
      <c r="H699" s="162"/>
      <c r="I699" s="6">
        <f>I14+I61+I109+I157+I204+I251+I298</f>
        <v>0</v>
      </c>
      <c r="J699" s="6">
        <f>J14+J61+J109+J157+J204+J251+J298</f>
        <v>0</v>
      </c>
      <c r="K699" s="6">
        <f>K14+K61+K109+K157+K204+K251+K298</f>
        <v>0</v>
      </c>
      <c r="L699" s="6">
        <f>L14+L61+L109+L157+L204+L251+L298</f>
        <v>0</v>
      </c>
      <c r="M699" s="6">
        <f>M14+M61+M109+M157+M204+M251+M298</f>
        <v>0</v>
      </c>
      <c r="N699" s="6">
        <f>N14+N61+N109+N157+N204+N251+N298</f>
        <v>0</v>
      </c>
      <c r="O699" s="6">
        <f>O14+O61+O109+O157+O204+O251+O298</f>
        <v>0</v>
      </c>
      <c r="P699" s="6">
        <f>P14+P61+P109+P157+P204+P251+P298</f>
        <v>691</v>
      </c>
      <c r="Q699" s="6">
        <f>Q14+Q61+Q109+Q157+Q204+Q251+Q298</f>
        <v>1037</v>
      </c>
      <c r="R699" s="6">
        <f>R14+R61+R109+R157+R204+R251+R298</f>
        <v>740</v>
      </c>
      <c r="S699" s="6">
        <f t="shared" si="82"/>
        <v>2468</v>
      </c>
      <c r="T699" s="7">
        <v>3.95</v>
      </c>
      <c r="U699" s="150" t="s">
        <v>65</v>
      </c>
    </row>
    <row r="700" spans="2:21" s="112" customFormat="1" ht="13.5" customHeight="1" x14ac:dyDescent="0.15">
      <c r="B700" s="19"/>
      <c r="C700" s="177"/>
      <c r="D700" s="164"/>
      <c r="E700" s="162"/>
      <c r="F700" s="128" t="s">
        <v>66</v>
      </c>
      <c r="G700" s="127" t="s">
        <v>67</v>
      </c>
      <c r="H700" s="162"/>
      <c r="I700" s="6">
        <f>I15+I62+I110+I158+I205+I252+I299</f>
        <v>0</v>
      </c>
      <c r="J700" s="6">
        <f>J15+J62+J110+J158+J205+J252+J299</f>
        <v>0</v>
      </c>
      <c r="K700" s="6">
        <f>K15+K62+K110+K158+K205+K252+K299</f>
        <v>0</v>
      </c>
      <c r="L700" s="6">
        <f>L15+L62+L110+L158+L205+L252+L299</f>
        <v>0</v>
      </c>
      <c r="M700" s="6">
        <f>M15+M62+M110+M158+M205+M252+M299</f>
        <v>0</v>
      </c>
      <c r="N700" s="6">
        <f>N15+N62+N110+N158+N205+N252+N299</f>
        <v>0</v>
      </c>
      <c r="O700" s="6">
        <f>O15+O62+O110+O158+O205+O252+O299</f>
        <v>0</v>
      </c>
      <c r="P700" s="6">
        <f>P15+P62+P110+P158+P205+P252+P299+P347</f>
        <v>1516</v>
      </c>
      <c r="Q700" s="6">
        <f>Q15+Q62+Q110+Q158+Q205+Q252+Q299+Q347</f>
        <v>2117</v>
      </c>
      <c r="R700" s="6">
        <f>R15+R62+R110+R158+R205+R252+R299+R347</f>
        <v>1412</v>
      </c>
      <c r="S700" s="6">
        <f t="shared" si="82"/>
        <v>5045</v>
      </c>
      <c r="T700" s="7">
        <v>4.42</v>
      </c>
      <c r="U700" s="150" t="s">
        <v>67</v>
      </c>
    </row>
    <row r="701" spans="2:21" s="112" customFormat="1" ht="13.5" customHeight="1" x14ac:dyDescent="0.15">
      <c r="B701" s="19"/>
      <c r="C701" s="177"/>
      <c r="D701" s="164"/>
      <c r="E701" s="162"/>
      <c r="F701" s="125" t="s">
        <v>68</v>
      </c>
      <c r="G701" s="110" t="s">
        <v>69</v>
      </c>
      <c r="H701" s="115"/>
      <c r="I701" s="6">
        <f>I16+I63+I111+I159+I206+I253+I300</f>
        <v>0</v>
      </c>
      <c r="J701" s="6">
        <f>J16+J63+J111+J159+J206+J253+J300</f>
        <v>0</v>
      </c>
      <c r="K701" s="6">
        <f>K16+K63+K111+K159+K206+K253+K300</f>
        <v>0</v>
      </c>
      <c r="L701" s="6">
        <f>L16+L63+L111+L159+L206+L253+L300</f>
        <v>0</v>
      </c>
      <c r="M701" s="6">
        <f>M16+M63+M111+M159+M206+M253+M300</f>
        <v>0</v>
      </c>
      <c r="N701" s="6">
        <f>N16+N63+N111+N159+N206+N253+N300</f>
        <v>0</v>
      </c>
      <c r="O701" s="6">
        <f>O16+O63+O111+O159+O206+O253+O300</f>
        <v>0</v>
      </c>
      <c r="P701" s="6">
        <f>P16+P63+P111+P159+P206+P253+P300+P348</f>
        <v>497</v>
      </c>
      <c r="Q701" s="6">
        <f>Q16+Q63+Q111+Q159+Q206+Q253+Q300+Q348</f>
        <v>818</v>
      </c>
      <c r="R701" s="6">
        <f>R16+R63+R111+R159+R206+R253+R300+R348</f>
        <v>510</v>
      </c>
      <c r="S701" s="6">
        <f t="shared" si="82"/>
        <v>1825</v>
      </c>
      <c r="T701" s="7">
        <v>3.9</v>
      </c>
      <c r="U701" s="151" t="s">
        <v>69</v>
      </c>
    </row>
    <row r="702" spans="2:21" s="112" customFormat="1" ht="13.5" customHeight="1" x14ac:dyDescent="0.15">
      <c r="B702" s="19"/>
      <c r="C702" s="177"/>
      <c r="D702" s="164"/>
      <c r="E702" s="162"/>
      <c r="F702" s="126" t="s">
        <v>70</v>
      </c>
      <c r="G702" s="127" t="s">
        <v>71</v>
      </c>
      <c r="H702" s="115"/>
      <c r="I702" s="6">
        <f>I17+I64+I112+I160+I207+I254+I301</f>
        <v>0</v>
      </c>
      <c r="J702" s="6">
        <f>J17+J64+J112+J160+J207+J254+J301</f>
        <v>0</v>
      </c>
      <c r="K702" s="6">
        <f>K17+K64+K112+K160+K207+K254+K301</f>
        <v>0</v>
      </c>
      <c r="L702" s="6">
        <f>L17+L64+L112+L160+L207+L254+L301</f>
        <v>0</v>
      </c>
      <c r="M702" s="6">
        <f>M17+M64+M112+M160+M207+M254+M301</f>
        <v>0</v>
      </c>
      <c r="N702" s="6">
        <f>N17+N64+N112+N160+N207+N254+N301</f>
        <v>0</v>
      </c>
      <c r="O702" s="6">
        <f>O17+O64+O112+O160+O207+O254+O301</f>
        <v>0</v>
      </c>
      <c r="P702" s="6">
        <f>P17+P64+P112+P160+P207+P254+P301</f>
        <v>578</v>
      </c>
      <c r="Q702" s="6">
        <f>Q17+Q64+Q112+Q160+Q207+Q254+Q301</f>
        <v>867</v>
      </c>
      <c r="R702" s="6">
        <f>R17+R64+R112+R160+R207+R254+R301</f>
        <v>483</v>
      </c>
      <c r="S702" s="6">
        <f t="shared" si="82"/>
        <v>1928</v>
      </c>
      <c r="T702" s="7">
        <v>3.96</v>
      </c>
      <c r="U702" s="150" t="s">
        <v>71</v>
      </c>
    </row>
    <row r="703" spans="2:21" s="112" customFormat="1" ht="13.5" customHeight="1" x14ac:dyDescent="0.15">
      <c r="B703" s="19"/>
      <c r="C703" s="177"/>
      <c r="D703" s="164"/>
      <c r="E703" s="166"/>
      <c r="F703" s="47"/>
      <c r="G703" s="79"/>
      <c r="H703" s="123" t="s">
        <v>33</v>
      </c>
      <c r="I703" s="23"/>
      <c r="J703" s="23"/>
      <c r="K703" s="23"/>
      <c r="L703" s="23"/>
      <c r="M703" s="23"/>
      <c r="N703" s="6"/>
      <c r="O703" s="6"/>
      <c r="P703" s="6"/>
      <c r="Q703" s="6"/>
      <c r="R703" s="6"/>
      <c r="S703" s="6">
        <f t="shared" si="82"/>
        <v>0</v>
      </c>
      <c r="T703" s="7"/>
      <c r="U703" s="24"/>
    </row>
    <row r="704" spans="2:21" s="112" customFormat="1" ht="13.5" customHeight="1" x14ac:dyDescent="0.15">
      <c r="B704" s="19"/>
      <c r="C704" s="177"/>
      <c r="D704" s="165"/>
      <c r="E704" s="144"/>
      <c r="F704" s="47"/>
      <c r="G704" s="79"/>
      <c r="H704" s="118"/>
      <c r="I704" s="22">
        <f>SUM(I689:I703)</f>
        <v>0</v>
      </c>
      <c r="J704" s="22">
        <f t="shared" ref="J704:R704" si="83">SUM(J689:J703)</f>
        <v>0</v>
      </c>
      <c r="K704" s="22">
        <f t="shared" si="83"/>
        <v>0</v>
      </c>
      <c r="L704" s="22">
        <f t="shared" si="83"/>
        <v>0</v>
      </c>
      <c r="M704" s="22">
        <f t="shared" si="83"/>
        <v>0</v>
      </c>
      <c r="N704" s="22">
        <f t="shared" si="83"/>
        <v>0</v>
      </c>
      <c r="O704" s="22">
        <f t="shared" si="83"/>
        <v>0</v>
      </c>
      <c r="P704" s="22">
        <f t="shared" si="83"/>
        <v>8641</v>
      </c>
      <c r="Q704" s="22">
        <f t="shared" si="83"/>
        <v>11988</v>
      </c>
      <c r="R704" s="22">
        <f t="shared" si="83"/>
        <v>7282</v>
      </c>
      <c r="S704" s="22">
        <f>SUM(S691:S702)</f>
        <v>27911</v>
      </c>
      <c r="T704" s="7"/>
      <c r="U704" s="24"/>
    </row>
    <row r="705" spans="2:22" s="112" customFormat="1" ht="13.5" customHeight="1" x14ac:dyDescent="0.15">
      <c r="B705" s="19"/>
      <c r="C705" s="177"/>
      <c r="D705" s="164" t="s">
        <v>113</v>
      </c>
      <c r="E705" s="161"/>
      <c r="F705" s="135" t="s">
        <v>44</v>
      </c>
      <c r="G705" s="127" t="s">
        <v>45</v>
      </c>
      <c r="H705" s="159"/>
      <c r="I705" s="136">
        <f t="shared" ref="I705:R705" si="84">I20+I67+I115+I163+I210+I257+I304</f>
        <v>0</v>
      </c>
      <c r="J705" s="136">
        <f t="shared" si="84"/>
        <v>0</v>
      </c>
      <c r="K705" s="136">
        <f t="shared" si="84"/>
        <v>0</v>
      </c>
      <c r="L705" s="136">
        <f t="shared" si="84"/>
        <v>0</v>
      </c>
      <c r="M705" s="136">
        <f t="shared" si="84"/>
        <v>0</v>
      </c>
      <c r="N705" s="136">
        <f t="shared" si="84"/>
        <v>0</v>
      </c>
      <c r="O705" s="136">
        <f t="shared" si="84"/>
        <v>0</v>
      </c>
      <c r="P705" s="136">
        <f t="shared" si="84"/>
        <v>0</v>
      </c>
      <c r="Q705" s="136">
        <f t="shared" si="84"/>
        <v>0</v>
      </c>
      <c r="R705" s="136">
        <f t="shared" si="84"/>
        <v>0</v>
      </c>
      <c r="S705" s="6">
        <f>SUM(I705:R705)</f>
        <v>0</v>
      </c>
      <c r="T705" s="7"/>
      <c r="U705" s="150"/>
    </row>
    <row r="706" spans="2:22" s="112" customFormat="1" ht="13.5" customHeight="1" x14ac:dyDescent="0.15">
      <c r="B706" s="19"/>
      <c r="C706" s="177"/>
      <c r="D706" s="164"/>
      <c r="E706" s="162"/>
      <c r="F706" s="128" t="s">
        <v>46</v>
      </c>
      <c r="G706" s="127" t="s">
        <v>47</v>
      </c>
      <c r="H706" s="160"/>
      <c r="I706" s="136">
        <f t="shared" ref="I706:R706" si="85">I21+I68+I116+I164+I211+I258+I305</f>
        <v>0</v>
      </c>
      <c r="J706" s="136">
        <f t="shared" si="85"/>
        <v>0</v>
      </c>
      <c r="K706" s="136">
        <f t="shared" si="85"/>
        <v>0</v>
      </c>
      <c r="L706" s="136">
        <f t="shared" si="85"/>
        <v>0</v>
      </c>
      <c r="M706" s="136">
        <f t="shared" si="85"/>
        <v>0</v>
      </c>
      <c r="N706" s="136">
        <f t="shared" si="85"/>
        <v>0</v>
      </c>
      <c r="O706" s="136">
        <f t="shared" si="85"/>
        <v>0</v>
      </c>
      <c r="P706" s="136">
        <f t="shared" si="85"/>
        <v>0</v>
      </c>
      <c r="Q706" s="136">
        <f t="shared" si="85"/>
        <v>0</v>
      </c>
      <c r="R706" s="136">
        <f t="shared" si="85"/>
        <v>0</v>
      </c>
      <c r="S706" s="6">
        <f t="shared" ref="S706:S718" si="86">SUM(I706:R706)</f>
        <v>0</v>
      </c>
      <c r="T706" s="7"/>
      <c r="U706" s="150"/>
    </row>
    <row r="707" spans="2:22" s="112" customFormat="1" ht="13.5" customHeight="1" x14ac:dyDescent="0.15">
      <c r="B707" s="19"/>
      <c r="C707" s="177"/>
      <c r="D707" s="164"/>
      <c r="E707" s="162"/>
      <c r="F707" s="128" t="s">
        <v>48</v>
      </c>
      <c r="G707" s="127" t="s">
        <v>49</v>
      </c>
      <c r="H707" s="160"/>
      <c r="I707" s="136">
        <f>I22+I69+I117+I165+I212+I259+I306</f>
        <v>0</v>
      </c>
      <c r="J707" s="136">
        <f>J22+J69+J117+J165+J212+J259+J306</f>
        <v>0</v>
      </c>
      <c r="K707" s="136">
        <f>K22+K69+K117+K165+K212+K259+K306+K354</f>
        <v>529</v>
      </c>
      <c r="L707" s="136">
        <f>L22+L69+L117+L165+L212+L259+L306+L354</f>
        <v>932</v>
      </c>
      <c r="M707" s="136">
        <f>M22+M69+M117+M165+M212+M259+M306+M354</f>
        <v>966</v>
      </c>
      <c r="N707" s="136">
        <f>N22+N69+N117+N165+N212+N259+N306+N354</f>
        <v>253</v>
      </c>
      <c r="O707" s="136">
        <f>O22+O69+O117+O165+O212+O259+O306</f>
        <v>0</v>
      </c>
      <c r="P707" s="136">
        <f>P22+P69+P117+P165+P212+P259+P306</f>
        <v>0</v>
      </c>
      <c r="Q707" s="136">
        <f>Q22+Q69+Q117+Q165+Q212+Q259+Q306</f>
        <v>0</v>
      </c>
      <c r="R707" s="136">
        <f>R22+R69+R117+R165+R212+R259+R306</f>
        <v>0</v>
      </c>
      <c r="S707" s="6">
        <f t="shared" si="86"/>
        <v>2680</v>
      </c>
      <c r="T707" s="7">
        <v>4.55</v>
      </c>
      <c r="U707" s="150" t="s">
        <v>49</v>
      </c>
    </row>
    <row r="708" spans="2:22" s="112" customFormat="1" ht="13.5" customHeight="1" x14ac:dyDescent="0.15">
      <c r="B708" s="19"/>
      <c r="C708" s="177"/>
      <c r="D708" s="164"/>
      <c r="E708" s="162"/>
      <c r="F708" s="128" t="s">
        <v>50</v>
      </c>
      <c r="G708" s="127" t="s">
        <v>51</v>
      </c>
      <c r="H708" s="160"/>
      <c r="I708" s="136">
        <f>I23+I70+I118+I166+I213+I260+I307</f>
        <v>0</v>
      </c>
      <c r="J708" s="136">
        <f>J23+J70+J118+J166+J213+J260+J307</f>
        <v>0</v>
      </c>
      <c r="K708" s="136">
        <f>K23+K70+K118+K166+K213+K260+K307+K355</f>
        <v>165</v>
      </c>
      <c r="L708" s="136">
        <f>L23+L70+L118+L166+L213+L260+L307+L355</f>
        <v>348</v>
      </c>
      <c r="M708" s="136">
        <f>M23+M70+M118+M166+M213+M260+M307+M355</f>
        <v>528</v>
      </c>
      <c r="N708" s="136">
        <f>N23+N70+N118+N166+N213+N260+N307+N355</f>
        <v>302</v>
      </c>
      <c r="O708" s="136">
        <f>O23+O70+O118+O166+O213+O260+O307</f>
        <v>0</v>
      </c>
      <c r="P708" s="136">
        <f>P23+P70+P118+P166+P213+P260+P307</f>
        <v>0</v>
      </c>
      <c r="Q708" s="136">
        <f>Q23+Q70+Q118+Q166+Q213+Q260+Q307</f>
        <v>0</v>
      </c>
      <c r="R708" s="136">
        <f>R23+R70+R118+R166+R213+R260+R307</f>
        <v>0</v>
      </c>
      <c r="S708" s="6">
        <f t="shared" si="86"/>
        <v>1343</v>
      </c>
      <c r="T708" s="7">
        <v>3.72</v>
      </c>
      <c r="U708" s="150" t="s">
        <v>51</v>
      </c>
    </row>
    <row r="709" spans="2:22" s="112" customFormat="1" ht="13.5" customHeight="1" x14ac:dyDescent="0.15">
      <c r="B709" s="19"/>
      <c r="C709" s="177"/>
      <c r="D709" s="164"/>
      <c r="E709" s="162"/>
      <c r="F709" s="128" t="s">
        <v>52</v>
      </c>
      <c r="G709" s="127" t="s">
        <v>53</v>
      </c>
      <c r="H709" s="160"/>
      <c r="I709" s="136">
        <f>I24+I71+I119+I167+I214+I261+I308</f>
        <v>0</v>
      </c>
      <c r="J709" s="136">
        <f>J24+J71+J119+J167+J214+J261+J308</f>
        <v>0</v>
      </c>
      <c r="K709" s="136">
        <f>K24+K71+K119+K167+K214+K261+K308</f>
        <v>0</v>
      </c>
      <c r="L709" s="136">
        <f>L24+L71+L119+L167+L214+L261+L308</f>
        <v>0</v>
      </c>
      <c r="M709" s="136">
        <f>M24+M71+M119+M167+M214+M261+M308</f>
        <v>0</v>
      </c>
      <c r="N709" s="136">
        <f>N24+N71+N119+N167+N214+N261+N308</f>
        <v>0</v>
      </c>
      <c r="O709" s="136">
        <f>O24+O71+O119+O167+O214+O261+O308</f>
        <v>0</v>
      </c>
      <c r="P709" s="136">
        <f>P24+P71+P119+P167+P214+P261+P308</f>
        <v>0</v>
      </c>
      <c r="Q709" s="136">
        <f>Q24+Q71+Q119+Q167+Q214+Q261+Q308</f>
        <v>0</v>
      </c>
      <c r="R709" s="136">
        <f>R24+R71+R119+R167+R214+R261+R308</f>
        <v>0</v>
      </c>
      <c r="S709" s="6">
        <f t="shared" si="86"/>
        <v>0</v>
      </c>
      <c r="T709" s="7"/>
      <c r="U709" s="150"/>
    </row>
    <row r="710" spans="2:22" s="112" customFormat="1" ht="13.5" customHeight="1" x14ac:dyDescent="0.15">
      <c r="B710" s="19"/>
      <c r="C710" s="177"/>
      <c r="D710" s="164"/>
      <c r="E710" s="162"/>
      <c r="F710" s="128" t="s">
        <v>54</v>
      </c>
      <c r="G710" s="127" t="s">
        <v>55</v>
      </c>
      <c r="H710" s="160"/>
      <c r="I710" s="136">
        <f>I25+I72+I120+I168+I215+I262+I309</f>
        <v>0</v>
      </c>
      <c r="J710" s="136">
        <f>J25+J72+J120+J168+J215+J262+J309</f>
        <v>0</v>
      </c>
      <c r="K710" s="136">
        <f>K25+K72+K120+K168+K215+K262+K309+K357</f>
        <v>366</v>
      </c>
      <c r="L710" s="136">
        <f>L25+L72+L120+L168+L215+L262+L309+L357</f>
        <v>608</v>
      </c>
      <c r="M710" s="136">
        <f>M25+M72+M120+M168+M215+M262+M309+M357</f>
        <v>674</v>
      </c>
      <c r="N710" s="136">
        <f>N25+N72+N120+N168+N215+N262+N309+N357</f>
        <v>318</v>
      </c>
      <c r="O710" s="136">
        <f>O25+O72+O120+O168+O215+O262+O309</f>
        <v>0</v>
      </c>
      <c r="P710" s="136">
        <f>P25+P72+P120+P168+P215+P262+P309</f>
        <v>0</v>
      </c>
      <c r="Q710" s="136">
        <f>Q25+Q72+Q120+Q168+Q215+Q262+Q309</f>
        <v>0</v>
      </c>
      <c r="R710" s="136">
        <f>R25+R72+R120+R168+R215+R262+R309</f>
        <v>0</v>
      </c>
      <c r="S710" s="6">
        <f t="shared" si="86"/>
        <v>1966</v>
      </c>
      <c r="T710" s="7">
        <v>3.58</v>
      </c>
      <c r="U710" s="150" t="s">
        <v>55</v>
      </c>
    </row>
    <row r="711" spans="2:22" s="112" customFormat="1" ht="13.5" customHeight="1" x14ac:dyDescent="0.15">
      <c r="B711" s="19"/>
      <c r="C711" s="177"/>
      <c r="D711" s="164"/>
      <c r="E711" s="162"/>
      <c r="F711" s="137" t="s">
        <v>56</v>
      </c>
      <c r="G711" s="130" t="s">
        <v>57</v>
      </c>
      <c r="H711" s="160"/>
      <c r="I711" s="136">
        <f>I26+I73+I121+I169+I216+I263+I310</f>
        <v>0</v>
      </c>
      <c r="J711" s="136">
        <f>J26+J73+J121+J169+J216+J263+J310</f>
        <v>0</v>
      </c>
      <c r="K711" s="136">
        <f>K26+K73+K121+K169+K216+K263+K310+K358</f>
        <v>77</v>
      </c>
      <c r="L711" s="136">
        <f>L26+L73+L121+L169+L216+L263+L310+L358</f>
        <v>192</v>
      </c>
      <c r="M711" s="136">
        <f>M26+M73+M121+M169+M216+M263+M310+M358</f>
        <v>438</v>
      </c>
      <c r="N711" s="136">
        <f>N26+N73+N121+N169+N216+N263+N310+N358</f>
        <v>218</v>
      </c>
      <c r="O711" s="136">
        <f>O26+O73+O121+O169+O216+O263+O310</f>
        <v>0</v>
      </c>
      <c r="P711" s="136">
        <f>P26+P73+P121+P169+P216+P263+P310</f>
        <v>0</v>
      </c>
      <c r="Q711" s="136">
        <f>Q26+Q73+Q121+Q169+Q216+Q263+Q310</f>
        <v>0</v>
      </c>
      <c r="R711" s="136">
        <f>R26+R73+R121+R169+R216+R263+R310</f>
        <v>0</v>
      </c>
      <c r="S711" s="6">
        <f t="shared" si="86"/>
        <v>925</v>
      </c>
      <c r="T711" s="7">
        <v>3.56</v>
      </c>
      <c r="U711" s="148" t="s">
        <v>57</v>
      </c>
    </row>
    <row r="712" spans="2:22" s="112" customFormat="1" ht="13.5" customHeight="1" x14ac:dyDescent="0.15">
      <c r="B712" s="19"/>
      <c r="C712" s="177"/>
      <c r="D712" s="164"/>
      <c r="E712" s="162"/>
      <c r="F712" s="129" t="s">
        <v>58</v>
      </c>
      <c r="G712" s="130" t="s">
        <v>59</v>
      </c>
      <c r="H712" s="160"/>
      <c r="I712" s="136">
        <f>I27+I74+I122+I170+I217+I264+I311</f>
        <v>0</v>
      </c>
      <c r="J712" s="136">
        <f>J27+J74+J122+J170+J217+J264+J311</f>
        <v>0</v>
      </c>
      <c r="K712" s="136">
        <f>K27+K74+K122+K170+K217+K264+K311+K359</f>
        <v>325</v>
      </c>
      <c r="L712" s="136">
        <f>L27+L74+L122+L170+L217+L264+L311+L359</f>
        <v>540</v>
      </c>
      <c r="M712" s="136">
        <f>M27+M74+M122+M170+M217+M264+M311+M359</f>
        <v>601</v>
      </c>
      <c r="N712" s="136">
        <f>N27+N74+N122+N170+N217+N264+N311+N359</f>
        <v>285</v>
      </c>
      <c r="O712" s="136">
        <f>O27+O74+O122+O170+O217+O264+O311</f>
        <v>0</v>
      </c>
      <c r="P712" s="136">
        <f>P27+P74+P122+P170+P217+P264+P311</f>
        <v>0</v>
      </c>
      <c r="Q712" s="136">
        <f>Q27+Q74+Q122+Q170+Q217+Q264+Q311</f>
        <v>0</v>
      </c>
      <c r="R712" s="136">
        <f>R27+R74+R122+R170+R217+R264+R311</f>
        <v>0</v>
      </c>
      <c r="S712" s="6">
        <f t="shared" si="86"/>
        <v>1751</v>
      </c>
      <c r="T712" s="7">
        <v>3.63</v>
      </c>
      <c r="U712" s="148" t="s">
        <v>59</v>
      </c>
    </row>
    <row r="713" spans="2:22" s="112" customFormat="1" ht="13.5" customHeight="1" x14ac:dyDescent="0.15">
      <c r="B713" s="19"/>
      <c r="C713" s="177"/>
      <c r="D713" s="164"/>
      <c r="E713" s="162"/>
      <c r="F713" s="138" t="s">
        <v>60</v>
      </c>
      <c r="G713" s="127" t="s">
        <v>61</v>
      </c>
      <c r="H713" s="160"/>
      <c r="I713" s="136">
        <f>I28+I75+I123+I171+I218+I265+I312</f>
        <v>0</v>
      </c>
      <c r="J713" s="136">
        <f>J28+J75+J123+J171+J218+J265+J312</f>
        <v>0</v>
      </c>
      <c r="K713" s="136">
        <f>K28+K75+K123+K171+K218+K265+K312</f>
        <v>0</v>
      </c>
      <c r="L713" s="136">
        <f>L28+L75+L123+L171+L218+L265+L312</f>
        <v>0</v>
      </c>
      <c r="M713" s="136">
        <f>M28+M75+M123+M171+M218+M265+M312</f>
        <v>0</v>
      </c>
      <c r="N713" s="136">
        <f>N28+N75+N123+N171+N218+N265+N312</f>
        <v>0</v>
      </c>
      <c r="O713" s="136">
        <f>O28+O75+O123+O171+O218+O265+O312</f>
        <v>0</v>
      </c>
      <c r="P713" s="136">
        <f>P28+P75+P123+P171+P218+P265+P312</f>
        <v>0</v>
      </c>
      <c r="Q713" s="136">
        <f>Q28+Q75+Q123+Q171+Q218+Q265+Q312</f>
        <v>0</v>
      </c>
      <c r="R713" s="136">
        <f>R28+R75+R123+R171+R218+R265+R312</f>
        <v>0</v>
      </c>
      <c r="S713" s="6">
        <f t="shared" si="86"/>
        <v>0</v>
      </c>
      <c r="T713" s="7"/>
      <c r="U713" s="150"/>
    </row>
    <row r="714" spans="2:22" s="112" customFormat="1" ht="13.5" customHeight="1" x14ac:dyDescent="0.15">
      <c r="B714" s="19"/>
      <c r="C714" s="177"/>
      <c r="D714" s="164"/>
      <c r="E714" s="162"/>
      <c r="F714" s="126" t="s">
        <v>62</v>
      </c>
      <c r="G714" s="127" t="s">
        <v>63</v>
      </c>
      <c r="H714" s="160"/>
      <c r="I714" s="136">
        <f>I29+I76+I124+I172+I219+I266+I313</f>
        <v>0</v>
      </c>
      <c r="J714" s="136">
        <f>J29+J76+J124+J172+J219+J266+J313</f>
        <v>0</v>
      </c>
      <c r="K714" s="136">
        <f>K29+K76+K124+K172+K219+K266+K313</f>
        <v>0</v>
      </c>
      <c r="L714" s="136">
        <f>L29+L76+L124+L172+L219+L266+L313</f>
        <v>0</v>
      </c>
      <c r="M714" s="136">
        <f>M29+M76+M124+M172+M219+M266+M313</f>
        <v>0</v>
      </c>
      <c r="N714" s="136">
        <f>N29+N76+N124+N172+N219+N266+N313</f>
        <v>0</v>
      </c>
      <c r="O714" s="136">
        <f>O29+O76+O124+O172+O219+O266+O313</f>
        <v>0</v>
      </c>
      <c r="P714" s="136">
        <f>P29+P76+P124+P172+P219+P266+P313</f>
        <v>0</v>
      </c>
      <c r="Q714" s="136">
        <f>Q29+Q76+Q124+Q172+Q219+Q266+Q313</f>
        <v>0</v>
      </c>
      <c r="R714" s="136">
        <f>R29+R76+R124+R172+R219+R266+R313</f>
        <v>0</v>
      </c>
      <c r="S714" s="6">
        <f t="shared" si="86"/>
        <v>0</v>
      </c>
      <c r="T714" s="7"/>
      <c r="U714" s="150"/>
    </row>
    <row r="715" spans="2:22" s="112" customFormat="1" ht="13.5" customHeight="1" x14ac:dyDescent="0.15">
      <c r="B715" s="19"/>
      <c r="C715" s="177"/>
      <c r="D715" s="164"/>
      <c r="E715" s="162"/>
      <c r="F715" s="128" t="s">
        <v>64</v>
      </c>
      <c r="G715" s="127" t="s">
        <v>65</v>
      </c>
      <c r="H715" s="160"/>
      <c r="I715" s="136">
        <f>I30+I77+I125+I173+I220+I267+I314</f>
        <v>0</v>
      </c>
      <c r="J715" s="136">
        <f>J30+J77+J125+J173+J220+J267+J314</f>
        <v>0</v>
      </c>
      <c r="K715" s="136">
        <f>K30+K77+K125+K173+K220+K267+K314</f>
        <v>219</v>
      </c>
      <c r="L715" s="136">
        <f>L30+L77+L125+L173+L220+L267+L314</f>
        <v>551</v>
      </c>
      <c r="M715" s="136">
        <f>M30+M77+M125+M173+M220+M267+M314</f>
        <v>375</v>
      </c>
      <c r="N715" s="136">
        <f>N30+N77+N125+N173+N220+N267+N314</f>
        <v>205</v>
      </c>
      <c r="O715" s="136">
        <f>O30+O77+O125+O173+O220+O267+O314</f>
        <v>0</v>
      </c>
      <c r="P715" s="136">
        <f>P30+P77+P125+P173+P220+P267+P314</f>
        <v>0</v>
      </c>
      <c r="Q715" s="136">
        <f>Q30+Q77+Q125+Q173+Q220+Q267+Q314</f>
        <v>0</v>
      </c>
      <c r="R715" s="136">
        <f>R30+R77+R125+R173+R220+R267+R314</f>
        <v>0</v>
      </c>
      <c r="S715" s="6">
        <f t="shared" si="86"/>
        <v>1350</v>
      </c>
      <c r="T715" s="7">
        <v>3.69</v>
      </c>
      <c r="U715" s="150" t="s">
        <v>65</v>
      </c>
      <c r="V715" s="112">
        <v>3.63</v>
      </c>
    </row>
    <row r="716" spans="2:22" s="112" customFormat="1" ht="13.5" customHeight="1" x14ac:dyDescent="0.15">
      <c r="B716" s="19"/>
      <c r="C716" s="177"/>
      <c r="D716" s="164"/>
      <c r="E716" s="162"/>
      <c r="F716" s="128" t="s">
        <v>66</v>
      </c>
      <c r="G716" s="127" t="s">
        <v>67</v>
      </c>
      <c r="H716" s="160"/>
      <c r="I716" s="136">
        <f>I31+I78+I126+I174+I221+I268+I315</f>
        <v>0</v>
      </c>
      <c r="J716" s="136">
        <f>J31+J78+J126+J174+J221+J268+J315</f>
        <v>0</v>
      </c>
      <c r="K716" s="136">
        <f>K31+K78+K126+K174+K221+K268+K315+K363</f>
        <v>342</v>
      </c>
      <c r="L716" s="136">
        <f>L31+L78+L126+L174+L221+L268+L315+L363</f>
        <v>729</v>
      </c>
      <c r="M716" s="136">
        <f>M31+M78+M126+M174+M221+M268+M315+M363</f>
        <v>926</v>
      </c>
      <c r="N716" s="136">
        <f>N31+N78+N126+N174+N221+N268+N315+N363</f>
        <v>437</v>
      </c>
      <c r="O716" s="136">
        <f>O31+O78+O126+O174+O221+O268+O315</f>
        <v>0</v>
      </c>
      <c r="P716" s="136">
        <f>P31+P78+P126+P174+P221+P268+P315</f>
        <v>0</v>
      </c>
      <c r="Q716" s="136">
        <f>Q31+Q78+Q126+Q174+Q221+Q268+Q315</f>
        <v>0</v>
      </c>
      <c r="R716" s="136">
        <f>R31+R78+R126+R174+R221+R268+R315</f>
        <v>0</v>
      </c>
      <c r="S716" s="6">
        <f t="shared" si="86"/>
        <v>2434</v>
      </c>
      <c r="T716" s="7">
        <v>4.1500000000000004</v>
      </c>
      <c r="U716" s="150" t="s">
        <v>67</v>
      </c>
    </row>
    <row r="717" spans="2:22" s="112" customFormat="1" ht="13.5" customHeight="1" x14ac:dyDescent="0.15">
      <c r="B717" s="19"/>
      <c r="C717" s="177"/>
      <c r="D717" s="164"/>
      <c r="E717" s="162"/>
      <c r="F717" s="129" t="s">
        <v>68</v>
      </c>
      <c r="G717" s="130" t="s">
        <v>69</v>
      </c>
      <c r="H717" s="160"/>
      <c r="I717" s="136">
        <f>I32+I79+I127+I175+I222+I269+I316</f>
        <v>0</v>
      </c>
      <c r="J717" s="136">
        <f>J32+J79+J127+J175+J222+J269+J316</f>
        <v>0</v>
      </c>
      <c r="K717" s="136">
        <f>K32+K79+K127+K175+K222+K269+K316+K364</f>
        <v>127</v>
      </c>
      <c r="L717" s="136">
        <f>L32+L79+L127+L175+L222+L269+L316+L364</f>
        <v>271</v>
      </c>
      <c r="M717" s="136">
        <f>M32+M79+M127+M175+M222+M269+M316+M364</f>
        <v>374</v>
      </c>
      <c r="N717" s="136">
        <f>N32+N79+N127+N175+N222+N269+N316+N364</f>
        <v>255</v>
      </c>
      <c r="O717" s="136">
        <f>O32+O79+O127+O175+O222+O269+O316</f>
        <v>0</v>
      </c>
      <c r="P717" s="136">
        <f>P32+P79+P127+P175+P222+P269+P316</f>
        <v>0</v>
      </c>
      <c r="Q717" s="136">
        <f>Q32+Q79+Q127+Q175+Q222+Q269+Q316</f>
        <v>0</v>
      </c>
      <c r="R717" s="136">
        <f>R32+R79+R127+R175+R222+R269+R316</f>
        <v>0</v>
      </c>
      <c r="S717" s="6">
        <f t="shared" si="86"/>
        <v>1027</v>
      </c>
      <c r="T717" s="7">
        <v>3.63</v>
      </c>
      <c r="U717" s="151" t="s">
        <v>69</v>
      </c>
      <c r="V717" s="112">
        <v>3.69</v>
      </c>
    </row>
    <row r="718" spans="2:22" s="112" customFormat="1" ht="13.5" customHeight="1" x14ac:dyDescent="0.15">
      <c r="B718" s="19"/>
      <c r="C718" s="177"/>
      <c r="D718" s="164"/>
      <c r="E718" s="162"/>
      <c r="F718" s="126" t="s">
        <v>70</v>
      </c>
      <c r="G718" s="127" t="s">
        <v>71</v>
      </c>
      <c r="H718" s="167"/>
      <c r="I718" s="136">
        <f>I33+I80+I128+I176+I223+I270+I317</f>
        <v>0</v>
      </c>
      <c r="J718" s="136">
        <f>J33+J80+J128+J176+J223+J270+J317</f>
        <v>0</v>
      </c>
      <c r="K718" s="136">
        <f>K33+K80+K128+K176+K223+K270+K317</f>
        <v>163</v>
      </c>
      <c r="L718" s="136">
        <f>L33+L80+L128+L176+L223+L270+L317</f>
        <v>188</v>
      </c>
      <c r="M718" s="136">
        <f>M33+M80+M128+M176+M223+M270+M317</f>
        <v>270</v>
      </c>
      <c r="N718" s="136">
        <f>N33+N80+N128+N176+N223+N270+N317</f>
        <v>197</v>
      </c>
      <c r="O718" s="136">
        <f>O33+O80+O128+O176+O223+O270+O317</f>
        <v>0</v>
      </c>
      <c r="P718" s="136">
        <f>P33+P80+P128+P176+P223+P270+P317</f>
        <v>0</v>
      </c>
      <c r="Q718" s="136">
        <f>Q33+Q80+Q128+Q176+Q223+Q270+Q317</f>
        <v>0</v>
      </c>
      <c r="R718" s="136">
        <f>R33+R80+R128+R176+R223+R270+R317</f>
        <v>0</v>
      </c>
      <c r="S718" s="6">
        <f t="shared" si="86"/>
        <v>818</v>
      </c>
      <c r="T718" s="7">
        <v>3.7</v>
      </c>
      <c r="U718" s="150" t="s">
        <v>71</v>
      </c>
    </row>
    <row r="719" spans="2:22" s="112" customFormat="1" ht="13.5" customHeight="1" x14ac:dyDescent="0.15">
      <c r="B719" s="19"/>
      <c r="C719" s="177"/>
      <c r="D719" s="165"/>
      <c r="E719" s="166"/>
      <c r="F719" s="139"/>
      <c r="G719" s="131"/>
      <c r="H719" s="118"/>
      <c r="I719" s="22">
        <f>SUM(I705:I718)</f>
        <v>0</v>
      </c>
      <c r="J719" s="22">
        <f t="shared" ref="J719:R719" si="87">SUM(J705:J718)</f>
        <v>0</v>
      </c>
      <c r="K719" s="22">
        <f>SUM(K705:K718)</f>
        <v>2313</v>
      </c>
      <c r="L719" s="22">
        <f>SUM(L705:L718)</f>
        <v>4359</v>
      </c>
      <c r="M719" s="22">
        <f>SUM(M705:M718)</f>
        <v>5152</v>
      </c>
      <c r="N719" s="22">
        <f t="shared" si="87"/>
        <v>2470</v>
      </c>
      <c r="O719" s="22">
        <f t="shared" si="87"/>
        <v>0</v>
      </c>
      <c r="P719" s="22">
        <f t="shared" si="87"/>
        <v>0</v>
      </c>
      <c r="Q719" s="22">
        <f t="shared" si="87"/>
        <v>0</v>
      </c>
      <c r="R719" s="22">
        <f t="shared" si="87"/>
        <v>0</v>
      </c>
      <c r="S719" s="22">
        <f>SUM(S705:S718)</f>
        <v>14294</v>
      </c>
      <c r="T719" s="7"/>
      <c r="U719" s="24"/>
    </row>
    <row r="720" spans="2:22" s="112" customFormat="1" ht="13.5" customHeight="1" x14ac:dyDescent="0.15">
      <c r="B720" s="19"/>
      <c r="C720" s="177"/>
      <c r="D720" s="163" t="s">
        <v>114</v>
      </c>
      <c r="E720" s="168"/>
      <c r="F720" s="135" t="s">
        <v>44</v>
      </c>
      <c r="G720" s="127" t="s">
        <v>45</v>
      </c>
      <c r="H720" s="159"/>
      <c r="I720" s="6">
        <f t="shared" ref="I720:R720" si="88">I35+I82+I130+I178+I225+I272+I319</f>
        <v>0</v>
      </c>
      <c r="J720" s="6">
        <f t="shared" si="88"/>
        <v>0</v>
      </c>
      <c r="K720" s="6">
        <f t="shared" si="88"/>
        <v>0</v>
      </c>
      <c r="L720" s="6">
        <f t="shared" si="88"/>
        <v>0</v>
      </c>
      <c r="M720" s="6">
        <f t="shared" si="88"/>
        <v>0</v>
      </c>
      <c r="N720" s="6">
        <f t="shared" si="88"/>
        <v>0</v>
      </c>
      <c r="O720" s="6">
        <f t="shared" si="88"/>
        <v>0</v>
      </c>
      <c r="P720" s="6">
        <f t="shared" si="88"/>
        <v>0</v>
      </c>
      <c r="Q720" s="6">
        <f t="shared" si="88"/>
        <v>0</v>
      </c>
      <c r="R720" s="6">
        <f t="shared" si="88"/>
        <v>0</v>
      </c>
      <c r="S720" s="6">
        <f>SUM(I720:R720)</f>
        <v>0</v>
      </c>
      <c r="T720" s="7"/>
      <c r="U720" s="24"/>
    </row>
    <row r="721" spans="2:24" s="112" customFormat="1" ht="13.5" customHeight="1" x14ac:dyDescent="0.15">
      <c r="B721" s="19"/>
      <c r="C721" s="177"/>
      <c r="D721" s="164"/>
      <c r="E721" s="169"/>
      <c r="F721" s="128" t="s">
        <v>46</v>
      </c>
      <c r="G721" s="127" t="s">
        <v>47</v>
      </c>
      <c r="H721" s="160"/>
      <c r="I721" s="6">
        <f>I36+I83+I131+I179+I226+I273+I320+I416+I464+I512+I560+I608+I656</f>
        <v>0</v>
      </c>
      <c r="J721" s="6">
        <f t="shared" ref="J721:O721" si="89">J36+J83+J131+J179+J226+J273+J320+J416+J464+J512+J560+J608+J656</f>
        <v>29</v>
      </c>
      <c r="K721" s="6">
        <f t="shared" si="89"/>
        <v>29</v>
      </c>
      <c r="L721" s="6">
        <f t="shared" si="89"/>
        <v>58</v>
      </c>
      <c r="M721" s="6">
        <f t="shared" si="89"/>
        <v>58</v>
      </c>
      <c r="N721" s="6">
        <f t="shared" si="89"/>
        <v>29</v>
      </c>
      <c r="O721" s="6">
        <f t="shared" si="89"/>
        <v>0</v>
      </c>
      <c r="P721" s="6">
        <f t="shared" ref="I721:R721" si="90">P36+P83+P131+P179+P226+P273+P320</f>
        <v>0</v>
      </c>
      <c r="Q721" s="6">
        <f t="shared" si="90"/>
        <v>0</v>
      </c>
      <c r="R721" s="6">
        <f t="shared" si="90"/>
        <v>0</v>
      </c>
      <c r="S721" s="6">
        <f t="shared" ref="S721:S733" si="91">SUM(I721:R721)</f>
        <v>203</v>
      </c>
      <c r="T721" s="7"/>
      <c r="U721" s="24"/>
    </row>
    <row r="722" spans="2:24" s="112" customFormat="1" ht="13.5" customHeight="1" x14ac:dyDescent="0.15">
      <c r="B722" s="19"/>
      <c r="C722" s="177"/>
      <c r="D722" s="164"/>
      <c r="E722" s="169"/>
      <c r="F722" s="128" t="s">
        <v>48</v>
      </c>
      <c r="G722" s="127" t="s">
        <v>49</v>
      </c>
      <c r="H722" s="160"/>
      <c r="I722" s="6">
        <f>I37+I84+I132+I180+I227+I274+I321+I369+I417+I513+I561+I609+I657</f>
        <v>1378</v>
      </c>
      <c r="J722" s="6">
        <f>J37+J84+J132+J180+J227+J274+J321+J369+J417+J465+J513+J561+J609+J657</f>
        <v>3513</v>
      </c>
      <c r="K722" s="6">
        <f>K37+K84+K132+K180+K227+K274+K321+K369+K417+K513+K561+K609+K657</f>
        <v>4542</v>
      </c>
      <c r="L722" s="6">
        <f t="shared" ref="L722:O722" si="92">L37+L84+L132+L180+L227+L274+L321+L369+L417+L465+L513+L561+L609+L657</f>
        <v>3293</v>
      </c>
      <c r="M722" s="6">
        <f t="shared" ref="M722:O722" si="93">M37+M84+M132+M180+M227+M274+M321+M369+M417+M513+M561+M609+M657</f>
        <v>3327</v>
      </c>
      <c r="N722" s="6">
        <f t="shared" ref="N722:O722" si="94">N37+N84+N132+N180+N227+N274+N321+N369+N417+N465+N513+N561+N609+N657</f>
        <v>1843</v>
      </c>
      <c r="O722" s="6">
        <f t="shared" ref="O722" si="95">O37+O84+O132+O180+O227+O274+O321+O369+O417+O513+O561+O609+O657</f>
        <v>502</v>
      </c>
      <c r="P722" s="6">
        <f>P37+P84+P132+P180+P227+P274+P321</f>
        <v>0</v>
      </c>
      <c r="Q722" s="6">
        <f>Q37+Q84+Q132+Q180+Q227+Q274+Q321</f>
        <v>0</v>
      </c>
      <c r="R722" s="6">
        <f>R37+R84+R132+R180+R227+R274+R321</f>
        <v>0</v>
      </c>
      <c r="S722" s="6">
        <f>SUM(I722:R722)</f>
        <v>18398</v>
      </c>
      <c r="T722" s="7"/>
      <c r="U722" s="24"/>
    </row>
    <row r="723" spans="2:24" s="112" customFormat="1" ht="13.5" customHeight="1" x14ac:dyDescent="0.15">
      <c r="B723" s="19"/>
      <c r="C723" s="177"/>
      <c r="D723" s="164"/>
      <c r="E723" s="169"/>
      <c r="F723" s="128" t="s">
        <v>50</v>
      </c>
      <c r="G723" s="127" t="s">
        <v>51</v>
      </c>
      <c r="H723" s="160"/>
      <c r="I723" s="6">
        <f>I38+I85+I133+I181+I228+I275+I322+I370+I418+I466+I514+I562+I610+I658</f>
        <v>208</v>
      </c>
      <c r="J723" s="6">
        <f>J38+J85+J133+J181+J228+J275+J322+J370+J418+J466+J514+J562+J610+J658</f>
        <v>644</v>
      </c>
      <c r="K723" s="6">
        <f t="shared" ref="J723:O723" si="96">K38+K85+K133+K181+K228+K275+K322+K370+K418+K466+K514+K562+K610+K658</f>
        <v>1404</v>
      </c>
      <c r="L723" s="6">
        <f t="shared" si="96"/>
        <v>1819</v>
      </c>
      <c r="M723" s="6">
        <f t="shared" si="96"/>
        <v>2235</v>
      </c>
      <c r="N723" s="6">
        <f t="shared" si="96"/>
        <v>1633</v>
      </c>
      <c r="O723" s="6">
        <f t="shared" si="96"/>
        <v>594</v>
      </c>
      <c r="P723" s="6">
        <f>P38+P85+P133+P181+P228+P275+P322</f>
        <v>0</v>
      </c>
      <c r="Q723" s="6">
        <f>Q38+Q85+Q133+Q181+Q228+Q275+Q322</f>
        <v>0</v>
      </c>
      <c r="R723" s="6">
        <f>R38+R85+R133+R181+R228+R275+R322</f>
        <v>0</v>
      </c>
      <c r="S723" s="6">
        <f t="shared" si="91"/>
        <v>8537</v>
      </c>
      <c r="T723" s="7"/>
      <c r="U723" s="24"/>
    </row>
    <row r="724" spans="2:24" s="112" customFormat="1" ht="13.5" customHeight="1" x14ac:dyDescent="0.15">
      <c r="B724" s="19"/>
      <c r="C724" s="177"/>
      <c r="D724" s="164"/>
      <c r="E724" s="169"/>
      <c r="F724" s="128" t="s">
        <v>52</v>
      </c>
      <c r="G724" s="127" t="s">
        <v>53</v>
      </c>
      <c r="H724" s="160"/>
      <c r="I724" s="6">
        <f>I39+I86+I134+I182+I229+I276+I323+I419+I371+I467+I515+I563+I611+I659</f>
        <v>0</v>
      </c>
      <c r="J724" s="6">
        <f t="shared" ref="J724:O724" si="97">J39+J86+J134+J182+J229+J276+J323+J419+J371+J467+J515+J563+J611+J659</f>
        <v>65</v>
      </c>
      <c r="K724" s="6">
        <f t="shared" si="97"/>
        <v>65</v>
      </c>
      <c r="L724" s="6">
        <f t="shared" si="97"/>
        <v>106</v>
      </c>
      <c r="M724" s="6">
        <f t="shared" si="97"/>
        <v>118</v>
      </c>
      <c r="N724" s="6">
        <f t="shared" si="97"/>
        <v>65</v>
      </c>
      <c r="O724" s="6">
        <f t="shared" si="97"/>
        <v>0</v>
      </c>
      <c r="P724" s="6">
        <f>P39+P86+P134+P182+P229+P276+P323</f>
        <v>0</v>
      </c>
      <c r="Q724" s="6">
        <f>Q39+Q86+Q134+Q182+Q229+Q276+Q323</f>
        <v>0</v>
      </c>
      <c r="R724" s="6">
        <f>R39+R86+R134+R182+R229+R276+R323</f>
        <v>0</v>
      </c>
      <c r="S724" s="6">
        <f t="shared" si="91"/>
        <v>419</v>
      </c>
      <c r="T724" s="7"/>
      <c r="U724" s="24"/>
    </row>
    <row r="725" spans="2:24" s="112" customFormat="1" ht="13.5" customHeight="1" x14ac:dyDescent="0.15">
      <c r="B725" s="19"/>
      <c r="C725" s="177"/>
      <c r="D725" s="164"/>
      <c r="E725" s="169"/>
      <c r="F725" s="128" t="s">
        <v>115</v>
      </c>
      <c r="G725" s="127" t="s">
        <v>55</v>
      </c>
      <c r="H725" s="160"/>
      <c r="I725" s="6">
        <f>I40+I87+I135+I183+I230+I277+I324+I372+I420+I468+I485+I516+I564+I612+I660</f>
        <v>532</v>
      </c>
      <c r="J725" s="6">
        <f>J40+J87+J135+J183+J230+J277+J324+J372+J420+J468+J485+J516+J564+J612+J660</f>
        <v>1249</v>
      </c>
      <c r="K725" s="6">
        <f t="shared" ref="J725:O725" si="98">K40+K87+K135+K183+K230+K277+K324+K372+K420+K468+K485+K516+K564+K612+K660</f>
        <v>2051</v>
      </c>
      <c r="L725" s="6">
        <f t="shared" si="98"/>
        <v>2142</v>
      </c>
      <c r="M725" s="6">
        <f t="shared" si="98"/>
        <v>2281</v>
      </c>
      <c r="N725" s="6">
        <f t="shared" si="98"/>
        <v>1575</v>
      </c>
      <c r="O725" s="6">
        <f t="shared" si="98"/>
        <v>556</v>
      </c>
      <c r="P725" s="6">
        <f>P40+P87+P135+P183+P230+P277+P324</f>
        <v>0</v>
      </c>
      <c r="Q725" s="6">
        <f>Q40+Q87+Q135+Q183+Q230+Q277+Q324</f>
        <v>0</v>
      </c>
      <c r="R725" s="6">
        <f>R40+R87+R135+R183+R230+R277+R324</f>
        <v>0</v>
      </c>
      <c r="S725" s="6">
        <f t="shared" si="91"/>
        <v>10386</v>
      </c>
      <c r="T725" s="7"/>
      <c r="U725" s="24"/>
    </row>
    <row r="726" spans="2:24" s="112" customFormat="1" ht="13.5" customHeight="1" x14ac:dyDescent="0.15">
      <c r="B726" s="19"/>
      <c r="C726" s="177"/>
      <c r="D726" s="164"/>
      <c r="E726" s="169"/>
      <c r="F726" s="137" t="s">
        <v>56</v>
      </c>
      <c r="G726" s="130" t="s">
        <v>57</v>
      </c>
      <c r="H726" s="160"/>
      <c r="I726" s="6">
        <f>I41+I88+I136+I184+I231+I278+I325+I373+I421+I469+I517+I565+I613+I661</f>
        <v>156</v>
      </c>
      <c r="J726" s="6">
        <f t="shared" ref="J726:O726" si="99">J41+J88+J136+J184+J231+J278+J325+J373+J421+J469+J517+J565+J613+J661</f>
        <v>559</v>
      </c>
      <c r="K726" s="6">
        <f t="shared" si="99"/>
        <v>1180</v>
      </c>
      <c r="L726" s="6">
        <f t="shared" si="99"/>
        <v>1498</v>
      </c>
      <c r="M726" s="6">
        <f t="shared" si="99"/>
        <v>2352</v>
      </c>
      <c r="N726" s="6">
        <f t="shared" si="99"/>
        <v>2063</v>
      </c>
      <c r="O726" s="6">
        <f t="shared" si="99"/>
        <v>893</v>
      </c>
      <c r="P726" s="6">
        <f>P41+P88+P136+P184+P231+P278+P325</f>
        <v>0</v>
      </c>
      <c r="Q726" s="6">
        <f>Q41+Q88+Q136+Q184+Q231+Q278+Q325</f>
        <v>0</v>
      </c>
      <c r="R726" s="6">
        <f>R41+R88+R136+R184+R231+R278+R325</f>
        <v>0</v>
      </c>
      <c r="S726" s="6">
        <f t="shared" si="91"/>
        <v>8701</v>
      </c>
      <c r="T726" s="7"/>
      <c r="U726" s="24"/>
    </row>
    <row r="727" spans="2:24" s="112" customFormat="1" ht="13.5" customHeight="1" x14ac:dyDescent="0.15">
      <c r="B727" s="19"/>
      <c r="C727" s="177"/>
      <c r="D727" s="164"/>
      <c r="E727" s="169"/>
      <c r="F727" s="125" t="s">
        <v>58</v>
      </c>
      <c r="G727" s="110" t="s">
        <v>59</v>
      </c>
      <c r="H727" s="160"/>
      <c r="I727" s="6">
        <f>I42+I89+I137+I185+I232+I279+I326+I374+I422+I470+I518+I566+I614+I662</f>
        <v>707</v>
      </c>
      <c r="J727" s="6">
        <f t="shared" ref="J727:O727" si="100">J42+J89+J137+J185+J232+J279+J326+J374+J422+J470+J518+J566+J614+J662</f>
        <v>1769</v>
      </c>
      <c r="K727" s="6">
        <f t="shared" si="100"/>
        <v>2535</v>
      </c>
      <c r="L727" s="6">
        <f t="shared" si="100"/>
        <v>2737</v>
      </c>
      <c r="M727" s="6">
        <f t="shared" si="100"/>
        <v>3021</v>
      </c>
      <c r="N727" s="6">
        <f t="shared" si="100"/>
        <v>1974</v>
      </c>
      <c r="O727" s="6">
        <f t="shared" si="100"/>
        <v>535</v>
      </c>
      <c r="P727" s="6">
        <f>P42+P89+P137+P185+P232+P279+P326</f>
        <v>0</v>
      </c>
      <c r="Q727" s="6">
        <f>Q42+Q89+Q137+Q185+Q232+Q279+Q326</f>
        <v>0</v>
      </c>
      <c r="R727" s="6">
        <f>R42+R89+R137+R185+R232+R279+R326</f>
        <v>0</v>
      </c>
      <c r="S727" s="6">
        <f t="shared" si="91"/>
        <v>13278</v>
      </c>
      <c r="T727" s="7"/>
      <c r="U727" s="24"/>
    </row>
    <row r="728" spans="2:24" s="112" customFormat="1" ht="13.5" customHeight="1" x14ac:dyDescent="0.15">
      <c r="B728" s="19"/>
      <c r="C728" s="177"/>
      <c r="D728" s="164"/>
      <c r="E728" s="169"/>
      <c r="F728" s="138" t="s">
        <v>60</v>
      </c>
      <c r="G728" s="127" t="s">
        <v>61</v>
      </c>
      <c r="H728" s="160"/>
      <c r="I728" s="6">
        <f>I43+I90+I138+I186+I233+I280+I327+I423+I471+I519+I567+I615+I663</f>
        <v>0</v>
      </c>
      <c r="J728" s="6">
        <f t="shared" ref="J728:O728" si="101">J43+J90+J138+J186+J233+J280+J327+J423+J471+J519+J567+J615+J663</f>
        <v>0</v>
      </c>
      <c r="K728" s="6">
        <f t="shared" si="101"/>
        <v>0</v>
      </c>
      <c r="L728" s="6">
        <f t="shared" si="101"/>
        <v>0</v>
      </c>
      <c r="M728" s="6">
        <f t="shared" si="101"/>
        <v>0</v>
      </c>
      <c r="N728" s="6">
        <f t="shared" si="101"/>
        <v>0</v>
      </c>
      <c r="O728" s="6">
        <f t="shared" si="101"/>
        <v>0</v>
      </c>
      <c r="P728" s="6">
        <f>P43+P90+P138+P186+P233+P280+P327</f>
        <v>0</v>
      </c>
      <c r="Q728" s="6">
        <f>Q43+Q90+Q138+Q186+Q233+Q280+Q327</f>
        <v>0</v>
      </c>
      <c r="R728" s="6">
        <f>R43+R90+R138+R186+R233+R280+R327</f>
        <v>0</v>
      </c>
      <c r="S728" s="6">
        <f t="shared" si="91"/>
        <v>0</v>
      </c>
      <c r="T728" s="7"/>
      <c r="U728" s="24"/>
    </row>
    <row r="729" spans="2:24" s="112" customFormat="1" ht="13.5" customHeight="1" x14ac:dyDescent="0.15">
      <c r="B729" s="19"/>
      <c r="C729" s="177"/>
      <c r="D729" s="164"/>
      <c r="E729" s="169"/>
      <c r="F729" s="126" t="s">
        <v>62</v>
      </c>
      <c r="G729" s="127" t="s">
        <v>63</v>
      </c>
      <c r="H729" s="160"/>
      <c r="I729" s="6">
        <f>I44+I91+I139+I187+I234+I281+I328+I424+I472+I520+I568+I616+I664</f>
        <v>0</v>
      </c>
      <c r="J729" s="6">
        <f t="shared" ref="J729:O729" si="102">J44+J91+J139+J187+J234+J281+J328+J424+J472+J520+J568+J616+J664</f>
        <v>41</v>
      </c>
      <c r="K729" s="6">
        <f t="shared" si="102"/>
        <v>41</v>
      </c>
      <c r="L729" s="6">
        <f t="shared" si="102"/>
        <v>70</v>
      </c>
      <c r="M729" s="6">
        <f t="shared" si="102"/>
        <v>70</v>
      </c>
      <c r="N729" s="6">
        <f t="shared" si="102"/>
        <v>41</v>
      </c>
      <c r="O729" s="6">
        <f t="shared" si="102"/>
        <v>0</v>
      </c>
      <c r="P729" s="6">
        <f>P44+P91+P139+P187+P234+P281+P328</f>
        <v>0</v>
      </c>
      <c r="Q729" s="6">
        <f>Q44+Q91+Q139+Q187+Q234+Q281+Q328</f>
        <v>0</v>
      </c>
      <c r="R729" s="6">
        <f>R44+R91+R139+R187+R234+R281+R328</f>
        <v>0</v>
      </c>
      <c r="S729" s="6">
        <f t="shared" si="91"/>
        <v>263</v>
      </c>
      <c r="T729" s="7"/>
      <c r="U729" s="24"/>
    </row>
    <row r="730" spans="2:24" s="112" customFormat="1" ht="13.5" customHeight="1" x14ac:dyDescent="0.15">
      <c r="B730" s="19"/>
      <c r="C730" s="177"/>
      <c r="D730" s="164"/>
      <c r="E730" s="169"/>
      <c r="F730" s="128" t="s">
        <v>64</v>
      </c>
      <c r="G730" s="127" t="s">
        <v>65</v>
      </c>
      <c r="H730" s="160"/>
      <c r="I730" s="6">
        <f>I45+I92+I140+I188+I235+I282+I329+I425+I473+I521+I569+I617+I665</f>
        <v>337</v>
      </c>
      <c r="J730" s="6">
        <f t="shared" ref="J730:O730" si="103">J45+J92+J140+J188+J235+J282+J329+J425+J473+J521+J569+J617+J665</f>
        <v>1124</v>
      </c>
      <c r="K730" s="6">
        <f t="shared" si="103"/>
        <v>1921</v>
      </c>
      <c r="L730" s="6">
        <f t="shared" si="103"/>
        <v>1990</v>
      </c>
      <c r="M730" s="6">
        <f t="shared" si="103"/>
        <v>1844</v>
      </c>
      <c r="N730" s="6">
        <f t="shared" si="103"/>
        <v>1191</v>
      </c>
      <c r="O730" s="6">
        <f t="shared" si="103"/>
        <v>440</v>
      </c>
      <c r="P730" s="6">
        <f>P45+P92+P140+P188+P235+P282+P329</f>
        <v>0</v>
      </c>
      <c r="Q730" s="6">
        <f>Q45+Q92+Q140+Q188+Q235+Q282+Q329</f>
        <v>0</v>
      </c>
      <c r="R730" s="6">
        <f>R45+R92+R140+R188+R235+R282+R329</f>
        <v>0</v>
      </c>
      <c r="S730" s="6">
        <f t="shared" si="91"/>
        <v>8847</v>
      </c>
      <c r="T730" s="7"/>
      <c r="U730" s="24"/>
    </row>
    <row r="731" spans="2:24" s="112" customFormat="1" ht="13.5" customHeight="1" x14ac:dyDescent="0.15">
      <c r="B731" s="19"/>
      <c r="C731" s="177"/>
      <c r="D731" s="164"/>
      <c r="E731" s="169"/>
      <c r="F731" s="128" t="s">
        <v>66</v>
      </c>
      <c r="G731" s="127" t="s">
        <v>67</v>
      </c>
      <c r="H731" s="160"/>
      <c r="I731" s="6">
        <f>I46+I93+I141+I189+I236+I283+I330+I378+I426+I474+I522+I570+I618+I666</f>
        <v>261</v>
      </c>
      <c r="J731" s="6">
        <f t="shared" ref="J731:O731" si="104">J46+J93+J141+J189+J236+J283+J330+J378+J426+J474+J522+J570+J618+J666</f>
        <v>988</v>
      </c>
      <c r="K731" s="6">
        <f t="shared" si="104"/>
        <v>2056</v>
      </c>
      <c r="L731" s="6">
        <f t="shared" si="104"/>
        <v>2384</v>
      </c>
      <c r="M731" s="6">
        <f t="shared" si="104"/>
        <v>3815</v>
      </c>
      <c r="N731" s="6">
        <f t="shared" si="104"/>
        <v>2757</v>
      </c>
      <c r="O731" s="6">
        <f t="shared" si="104"/>
        <v>938</v>
      </c>
      <c r="P731" s="6">
        <f>P46+P93+P141+P189+P236+P283+P330</f>
        <v>0</v>
      </c>
      <c r="Q731" s="6">
        <f>Q46+Q93+Q141+Q189+Q236+Q283+Q330</f>
        <v>0</v>
      </c>
      <c r="R731" s="6">
        <f>R46+R93+R141+R189+R236+R283+R330</f>
        <v>0</v>
      </c>
      <c r="S731" s="6">
        <f t="shared" si="91"/>
        <v>13199</v>
      </c>
      <c r="T731" s="7"/>
      <c r="U731" s="24"/>
    </row>
    <row r="732" spans="2:24" s="112" customFormat="1" ht="13.5" customHeight="1" x14ac:dyDescent="0.15">
      <c r="B732" s="19"/>
      <c r="C732" s="177"/>
      <c r="D732" s="164"/>
      <c r="E732" s="169"/>
      <c r="F732" s="129" t="s">
        <v>68</v>
      </c>
      <c r="G732" s="130" t="s">
        <v>69</v>
      </c>
      <c r="H732" s="160"/>
      <c r="I732" s="6">
        <f>I47+I94+I142+I190+I237+I284+I331+I379+I427+I44+I475+I523+I571+I619+I667</f>
        <v>223</v>
      </c>
      <c r="J732" s="6">
        <f t="shared" ref="J732:O732" si="105">J47+J94+J142+J190+J237+J284+J331+J379+J427+J44+J475+J523+J571+J619+J667</f>
        <v>750</v>
      </c>
      <c r="K732" s="6">
        <f t="shared" si="105"/>
        <v>1331</v>
      </c>
      <c r="L732" s="6">
        <f t="shared" si="105"/>
        <v>1515</v>
      </c>
      <c r="M732" s="6">
        <f t="shared" si="105"/>
        <v>2011</v>
      </c>
      <c r="N732" s="6">
        <f t="shared" si="105"/>
        <v>1508</v>
      </c>
      <c r="O732" s="6">
        <f t="shared" si="105"/>
        <v>572</v>
      </c>
      <c r="P732" s="6">
        <f>P47+P94+P142+P190+P237+P284+P331</f>
        <v>0</v>
      </c>
      <c r="Q732" s="6">
        <f>Q47+Q94+Q142+Q190+Q237+Q284+Q331</f>
        <v>0</v>
      </c>
      <c r="R732" s="6">
        <f>R47+R94+R142+R190+R237+R284+R331</f>
        <v>0</v>
      </c>
      <c r="S732" s="6">
        <f t="shared" si="91"/>
        <v>7910</v>
      </c>
      <c r="T732" s="7"/>
      <c r="U732" s="24"/>
    </row>
    <row r="733" spans="2:24" s="112" customFormat="1" ht="13.5" customHeight="1" x14ac:dyDescent="0.15">
      <c r="B733" s="19"/>
      <c r="C733" s="177"/>
      <c r="D733" s="164"/>
      <c r="E733" s="169"/>
      <c r="F733" s="126" t="s">
        <v>70</v>
      </c>
      <c r="G733" s="127" t="s">
        <v>71</v>
      </c>
      <c r="H733" s="160"/>
      <c r="I733" s="6">
        <f>I48+I95+I143+I191+I238+I285+I332+I428+I476+I524+I572+I620+I668</f>
        <v>203</v>
      </c>
      <c r="J733" s="6">
        <f t="shared" ref="J733:Q733" si="106">J48+J95+J143+J191+J238+J285+J332+J428+J476+J524+J572+J620+J668</f>
        <v>558</v>
      </c>
      <c r="K733" s="6">
        <f t="shared" si="106"/>
        <v>650</v>
      </c>
      <c r="L733" s="6">
        <f t="shared" si="106"/>
        <v>890</v>
      </c>
      <c r="M733" s="6">
        <f t="shared" si="106"/>
        <v>1120</v>
      </c>
      <c r="N733" s="6">
        <f t="shared" si="106"/>
        <v>1143</v>
      </c>
      <c r="O733" s="6">
        <f t="shared" si="106"/>
        <v>382</v>
      </c>
      <c r="P733" s="6">
        <f t="shared" si="106"/>
        <v>0</v>
      </c>
      <c r="Q733" s="6">
        <f t="shared" si="106"/>
        <v>0</v>
      </c>
      <c r="R733" s="6">
        <f>R48+R95+R143+R191+R238+R285+R332</f>
        <v>0</v>
      </c>
      <c r="S733" s="6">
        <f t="shared" si="91"/>
        <v>4946</v>
      </c>
      <c r="T733" s="7"/>
      <c r="U733" s="24"/>
    </row>
    <row r="734" spans="2:24" s="112" customFormat="1" ht="13.5" customHeight="1" x14ac:dyDescent="0.15">
      <c r="B734" s="19"/>
      <c r="C734" s="177"/>
      <c r="D734" s="164"/>
      <c r="E734" s="169"/>
      <c r="F734" s="129"/>
      <c r="G734" s="130"/>
      <c r="H734" s="160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7"/>
      <c r="U734" s="24"/>
    </row>
    <row r="735" spans="2:24" s="112" customFormat="1" ht="13.5" customHeight="1" x14ac:dyDescent="0.15">
      <c r="B735" s="19"/>
      <c r="C735" s="178"/>
      <c r="D735" s="165"/>
      <c r="E735" s="170"/>
      <c r="F735" s="129"/>
      <c r="G735" s="130"/>
      <c r="H735" s="118"/>
      <c r="I735" s="22">
        <f>SUM(I720:I734)</f>
        <v>4005</v>
      </c>
      <c r="J735" s="22">
        <f t="shared" ref="J735:R735" si="107">SUM(J720:J734)</f>
        <v>11289</v>
      </c>
      <c r="K735" s="22">
        <f t="shared" si="107"/>
        <v>17805</v>
      </c>
      <c r="L735" s="22">
        <f t="shared" si="107"/>
        <v>18502</v>
      </c>
      <c r="M735" s="22">
        <f t="shared" si="107"/>
        <v>22252</v>
      </c>
      <c r="N735" s="22">
        <f t="shared" si="107"/>
        <v>15822</v>
      </c>
      <c r="O735" s="22">
        <f t="shared" si="107"/>
        <v>5412</v>
      </c>
      <c r="P735" s="22">
        <f t="shared" si="107"/>
        <v>0</v>
      </c>
      <c r="Q735" s="22">
        <f t="shared" si="107"/>
        <v>0</v>
      </c>
      <c r="R735" s="22">
        <f t="shared" si="107"/>
        <v>0</v>
      </c>
      <c r="S735" s="22">
        <f>SUM(S720:S733)</f>
        <v>95087</v>
      </c>
      <c r="T735" s="7" t="s">
        <v>116</v>
      </c>
      <c r="U735" s="149">
        <f>S704+S719+S735</f>
        <v>137292</v>
      </c>
    </row>
    <row r="736" spans="2:24" s="26" customFormat="1" ht="13.5" customHeight="1" x14ac:dyDescent="0.15">
      <c r="B736" s="19"/>
      <c r="C736" s="141"/>
      <c r="D736" s="141"/>
      <c r="E736" s="145"/>
      <c r="H736" s="14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2"/>
      <c r="U736" s="2"/>
      <c r="V736" s="2"/>
      <c r="W736" s="2"/>
      <c r="X736" s="2"/>
    </row>
    <row r="737" spans="2:24" ht="13.5" hidden="1" customHeight="1" x14ac:dyDescent="0.15">
      <c r="B737" s="27"/>
      <c r="C737" s="142"/>
      <c r="D737" s="142"/>
      <c r="E737" s="147"/>
      <c r="F737" s="139"/>
      <c r="G737" s="139"/>
      <c r="H737" s="118"/>
      <c r="I737" s="22">
        <f>SUM(I320:I736)</f>
        <v>8392</v>
      </c>
      <c r="J737" s="22">
        <f>SUM(J319:J736)</f>
        <v>24527</v>
      </c>
      <c r="K737" s="22">
        <f>SUM(K321:K736)</f>
        <v>47159</v>
      </c>
      <c r="L737" s="22">
        <f>SUM(L321:L736)</f>
        <v>53724</v>
      </c>
      <c r="M737" s="22">
        <f>SUM(M321:M736)</f>
        <v>63684</v>
      </c>
      <c r="N737" s="22">
        <f>SUM(N321:N736)</f>
        <v>43521</v>
      </c>
      <c r="O737" s="22"/>
      <c r="P737" s="22"/>
      <c r="Q737" s="22"/>
      <c r="R737" s="22"/>
      <c r="S737" s="22">
        <f>SUM(S321:S736)</f>
        <v>314818</v>
      </c>
    </row>
    <row r="738" spans="2:24" hidden="1" x14ac:dyDescent="0.15">
      <c r="B738" s="19"/>
      <c r="C738" s="171">
        <v>66806</v>
      </c>
      <c r="D738" s="173" t="s">
        <v>28</v>
      </c>
      <c r="E738" s="28">
        <v>517199</v>
      </c>
      <c r="F738" s="29" t="s">
        <v>29</v>
      </c>
      <c r="G738" s="174">
        <v>44175</v>
      </c>
      <c r="H738" s="30"/>
      <c r="I738" s="30">
        <v>52</v>
      </c>
      <c r="J738" s="30">
        <v>52</v>
      </c>
      <c r="K738" s="30">
        <v>26</v>
      </c>
      <c r="L738" s="30">
        <v>26</v>
      </c>
      <c r="M738" s="30"/>
      <c r="N738" s="30"/>
      <c r="O738" s="30"/>
      <c r="P738" s="30"/>
      <c r="Q738" s="30"/>
      <c r="R738" s="30">
        <f>SUM(H738:Q738)</f>
        <v>156</v>
      </c>
      <c r="T738" s="7"/>
    </row>
    <row r="739" spans="2:24" hidden="1" x14ac:dyDescent="0.15">
      <c r="B739" s="19"/>
      <c r="C739" s="172"/>
      <c r="D739" s="173"/>
      <c r="E739" s="28">
        <v>517199</v>
      </c>
      <c r="F739" s="29" t="s">
        <v>30</v>
      </c>
      <c r="G739" s="175"/>
      <c r="H739" s="30"/>
      <c r="I739" s="30">
        <v>46</v>
      </c>
      <c r="J739" s="30">
        <v>46</v>
      </c>
      <c r="K739" s="30">
        <v>23</v>
      </c>
      <c r="L739" s="30">
        <v>23</v>
      </c>
      <c r="M739" s="30"/>
      <c r="N739" s="30"/>
      <c r="O739" s="30"/>
      <c r="P739" s="30"/>
      <c r="Q739" s="30"/>
      <c r="R739" s="30">
        <f t="shared" ref="R739:R741" si="108">SUM(H739:Q739)</f>
        <v>138</v>
      </c>
      <c r="T739" s="7"/>
    </row>
    <row r="740" spans="2:24" hidden="1" x14ac:dyDescent="0.15">
      <c r="B740" s="19"/>
      <c r="C740" s="172"/>
      <c r="D740" s="173"/>
      <c r="E740" s="28">
        <v>517199</v>
      </c>
      <c r="F740" s="31" t="s">
        <v>31</v>
      </c>
      <c r="G740" s="175"/>
      <c r="H740" s="30"/>
      <c r="I740" s="30">
        <v>94</v>
      </c>
      <c r="J740" s="30">
        <v>94</v>
      </c>
      <c r="K740" s="30">
        <v>47</v>
      </c>
      <c r="L740" s="30">
        <v>47</v>
      </c>
      <c r="M740" s="30"/>
      <c r="N740" s="30"/>
      <c r="O740" s="30"/>
      <c r="P740" s="30"/>
      <c r="Q740" s="30"/>
      <c r="R740" s="30">
        <f t="shared" si="108"/>
        <v>282</v>
      </c>
      <c r="T740" s="7"/>
    </row>
    <row r="741" spans="2:24" hidden="1" x14ac:dyDescent="0.15">
      <c r="B741" s="19"/>
      <c r="C741" s="172"/>
      <c r="D741" s="173"/>
      <c r="E741" s="28">
        <v>517199</v>
      </c>
      <c r="F741" s="31" t="s">
        <v>32</v>
      </c>
      <c r="G741" s="175"/>
      <c r="H741" s="30"/>
      <c r="I741" s="30">
        <v>40</v>
      </c>
      <c r="J741" s="30">
        <v>40</v>
      </c>
      <c r="K741" s="30">
        <v>20</v>
      </c>
      <c r="L741" s="30">
        <v>20</v>
      </c>
      <c r="M741" s="30"/>
      <c r="N741" s="30"/>
      <c r="O741" s="30"/>
      <c r="P741" s="30"/>
      <c r="Q741" s="30"/>
      <c r="R741" s="30">
        <f t="shared" si="108"/>
        <v>120</v>
      </c>
      <c r="T741" s="7"/>
      <c r="U741" s="24"/>
    </row>
    <row r="742" spans="2:24" s="26" customFormat="1" hidden="1" x14ac:dyDescent="0.15">
      <c r="B742" s="19"/>
      <c r="C742" s="32"/>
      <c r="D742" s="32"/>
      <c r="E742" s="33"/>
      <c r="F742" s="31"/>
      <c r="G742" s="34" t="s">
        <v>33</v>
      </c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2"/>
      <c r="T742" s="2"/>
      <c r="U742" s="2"/>
      <c r="V742" s="2"/>
      <c r="W742" s="2"/>
      <c r="X742" s="2"/>
    </row>
    <row r="743" spans="2:24" hidden="1" x14ac:dyDescent="0.15">
      <c r="B743" s="27"/>
      <c r="C743" s="35" t="s">
        <v>34</v>
      </c>
      <c r="D743" s="35"/>
      <c r="E743" s="31" t="s">
        <v>11</v>
      </c>
      <c r="F743" s="31"/>
      <c r="G743" s="34" t="s">
        <v>35</v>
      </c>
      <c r="H743" s="30">
        <f t="shared" ref="H743:R743" si="109">SUM(H738:H742)</f>
        <v>0</v>
      </c>
      <c r="I743" s="30">
        <f t="shared" si="109"/>
        <v>232</v>
      </c>
      <c r="J743" s="30">
        <f t="shared" si="109"/>
        <v>232</v>
      </c>
      <c r="K743" s="30">
        <f t="shared" si="109"/>
        <v>116</v>
      </c>
      <c r="L743" s="30">
        <f t="shared" si="109"/>
        <v>116</v>
      </c>
      <c r="M743" s="30">
        <f t="shared" si="109"/>
        <v>0</v>
      </c>
      <c r="N743" s="30">
        <f t="shared" si="109"/>
        <v>0</v>
      </c>
      <c r="O743" s="30">
        <f t="shared" si="109"/>
        <v>0</v>
      </c>
      <c r="P743" s="30">
        <f t="shared" si="109"/>
        <v>0</v>
      </c>
      <c r="Q743" s="30">
        <f t="shared" si="109"/>
        <v>0</v>
      </c>
      <c r="R743" s="30">
        <f t="shared" si="109"/>
        <v>696</v>
      </c>
    </row>
    <row r="744" spans="2:24" hidden="1" x14ac:dyDescent="0.15">
      <c r="B744" s="19"/>
      <c r="C744" s="171">
        <v>66807</v>
      </c>
      <c r="D744" s="173" t="s">
        <v>28</v>
      </c>
      <c r="E744" s="28">
        <v>517199</v>
      </c>
      <c r="F744" s="29" t="s">
        <v>29</v>
      </c>
      <c r="G744" s="174">
        <v>44175</v>
      </c>
      <c r="H744" s="30"/>
      <c r="I744" s="30">
        <v>52</v>
      </c>
      <c r="J744" s="30">
        <v>52</v>
      </c>
      <c r="K744" s="30">
        <v>26</v>
      </c>
      <c r="L744" s="30">
        <v>26</v>
      </c>
      <c r="M744" s="30"/>
      <c r="N744" s="30"/>
      <c r="O744" s="30"/>
      <c r="P744" s="30"/>
      <c r="Q744" s="30"/>
      <c r="R744" s="30">
        <f>SUM(H744:Q744)</f>
        <v>156</v>
      </c>
      <c r="T744" s="7"/>
    </row>
    <row r="745" spans="2:24" hidden="1" x14ac:dyDescent="0.15">
      <c r="B745" s="19"/>
      <c r="C745" s="172"/>
      <c r="D745" s="173"/>
      <c r="E745" s="28">
        <v>517199</v>
      </c>
      <c r="F745" s="29" t="s">
        <v>30</v>
      </c>
      <c r="G745" s="175"/>
      <c r="H745" s="30"/>
      <c r="I745" s="30">
        <v>46</v>
      </c>
      <c r="J745" s="30">
        <v>46</v>
      </c>
      <c r="K745" s="30">
        <v>23</v>
      </c>
      <c r="L745" s="30">
        <v>23</v>
      </c>
      <c r="M745" s="30"/>
      <c r="N745" s="30"/>
      <c r="O745" s="30"/>
      <c r="P745" s="30"/>
      <c r="Q745" s="30"/>
      <c r="R745" s="30">
        <f t="shared" ref="R745:R747" si="110">SUM(H745:Q745)</f>
        <v>138</v>
      </c>
      <c r="T745" s="7"/>
    </row>
    <row r="746" spans="2:24" hidden="1" x14ac:dyDescent="0.15">
      <c r="B746" s="19"/>
      <c r="C746" s="172"/>
      <c r="D746" s="173"/>
      <c r="E746" s="28">
        <v>517199</v>
      </c>
      <c r="F746" s="31" t="s">
        <v>31</v>
      </c>
      <c r="G746" s="175"/>
      <c r="H746" s="30"/>
      <c r="I746" s="30">
        <v>94</v>
      </c>
      <c r="J746" s="30">
        <v>94</v>
      </c>
      <c r="K746" s="30">
        <v>47</v>
      </c>
      <c r="L746" s="30">
        <v>47</v>
      </c>
      <c r="M746" s="30"/>
      <c r="N746" s="30"/>
      <c r="O746" s="30"/>
      <c r="P746" s="30"/>
      <c r="Q746" s="30"/>
      <c r="R746" s="30">
        <f t="shared" si="110"/>
        <v>282</v>
      </c>
      <c r="T746" s="7"/>
    </row>
    <row r="747" spans="2:24" hidden="1" x14ac:dyDescent="0.15">
      <c r="B747" s="19"/>
      <c r="C747" s="172"/>
      <c r="D747" s="173"/>
      <c r="E747" s="28">
        <v>517199</v>
      </c>
      <c r="F747" s="31" t="s">
        <v>32</v>
      </c>
      <c r="G747" s="175"/>
      <c r="H747" s="30"/>
      <c r="I747" s="30">
        <v>40</v>
      </c>
      <c r="J747" s="30">
        <v>40</v>
      </c>
      <c r="K747" s="30">
        <v>20</v>
      </c>
      <c r="L747" s="30">
        <v>20</v>
      </c>
      <c r="M747" s="30"/>
      <c r="N747" s="30"/>
      <c r="O747" s="30"/>
      <c r="P747" s="30"/>
      <c r="Q747" s="30"/>
      <c r="R747" s="30">
        <f t="shared" si="110"/>
        <v>120</v>
      </c>
      <c r="T747" s="7"/>
      <c r="U747" s="24"/>
    </row>
    <row r="748" spans="2:24" s="26" customFormat="1" hidden="1" x14ac:dyDescent="0.15">
      <c r="B748" s="19"/>
      <c r="C748" s="32"/>
      <c r="D748" s="32"/>
      <c r="E748" s="33"/>
      <c r="F748" s="31"/>
      <c r="G748" s="34" t="s">
        <v>33</v>
      </c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2"/>
      <c r="T748" s="2"/>
      <c r="U748" s="2"/>
      <c r="V748" s="2"/>
      <c r="W748" s="2"/>
      <c r="X748" s="2"/>
    </row>
    <row r="749" spans="2:24" hidden="1" x14ac:dyDescent="0.15">
      <c r="B749" s="27"/>
      <c r="C749" s="35" t="s">
        <v>34</v>
      </c>
      <c r="D749" s="35"/>
      <c r="E749" s="31" t="s">
        <v>11</v>
      </c>
      <c r="F749" s="31"/>
      <c r="G749" s="34" t="s">
        <v>35</v>
      </c>
      <c r="H749" s="30">
        <f t="shared" ref="H749:R749" si="111">SUM(H744:H748)</f>
        <v>0</v>
      </c>
      <c r="I749" s="30">
        <f t="shared" si="111"/>
        <v>232</v>
      </c>
      <c r="J749" s="30">
        <f t="shared" si="111"/>
        <v>232</v>
      </c>
      <c r="K749" s="30">
        <f t="shared" si="111"/>
        <v>116</v>
      </c>
      <c r="L749" s="30">
        <f t="shared" si="111"/>
        <v>116</v>
      </c>
      <c r="M749" s="30">
        <f t="shared" si="111"/>
        <v>0</v>
      </c>
      <c r="N749" s="30">
        <f t="shared" si="111"/>
        <v>0</v>
      </c>
      <c r="O749" s="30">
        <f t="shared" si="111"/>
        <v>0</v>
      </c>
      <c r="P749" s="30">
        <f t="shared" si="111"/>
        <v>0</v>
      </c>
      <c r="Q749" s="30">
        <f t="shared" si="111"/>
        <v>0</v>
      </c>
      <c r="R749" s="30">
        <f t="shared" si="111"/>
        <v>696</v>
      </c>
    </row>
    <row r="750" spans="2:24" hidden="1" x14ac:dyDescent="0.15">
      <c r="B750" s="19"/>
      <c r="C750" s="171">
        <v>66847</v>
      </c>
      <c r="D750" s="173" t="s">
        <v>28</v>
      </c>
      <c r="E750" s="28">
        <v>517199</v>
      </c>
      <c r="F750" s="29" t="s">
        <v>29</v>
      </c>
      <c r="G750" s="174">
        <v>44175</v>
      </c>
      <c r="H750" s="30">
        <v>100</v>
      </c>
      <c r="I750" s="30">
        <v>200</v>
      </c>
      <c r="J750" s="30">
        <v>200</v>
      </c>
      <c r="K750" s="30">
        <v>200</v>
      </c>
      <c r="L750" s="30">
        <v>100</v>
      </c>
      <c r="M750" s="30"/>
      <c r="N750" s="30"/>
      <c r="O750" s="30"/>
      <c r="P750" s="30"/>
      <c r="Q750" s="30"/>
      <c r="R750" s="30">
        <f>SUM(H750:Q750)</f>
        <v>800</v>
      </c>
      <c r="T750" s="7"/>
    </row>
    <row r="751" spans="2:24" hidden="1" x14ac:dyDescent="0.15">
      <c r="B751" s="19"/>
      <c r="C751" s="172"/>
      <c r="D751" s="173"/>
      <c r="E751" s="28">
        <v>517199</v>
      </c>
      <c r="F751" s="29" t="s">
        <v>30</v>
      </c>
      <c r="G751" s="175"/>
      <c r="H751" s="30">
        <v>100</v>
      </c>
      <c r="I751" s="30">
        <v>200</v>
      </c>
      <c r="J751" s="30">
        <v>200</v>
      </c>
      <c r="K751" s="30">
        <v>200</v>
      </c>
      <c r="L751" s="30">
        <v>100</v>
      </c>
      <c r="M751" s="30"/>
      <c r="N751" s="30"/>
      <c r="O751" s="30"/>
      <c r="P751" s="30"/>
      <c r="Q751" s="30"/>
      <c r="R751" s="30">
        <f t="shared" ref="R751:R753" si="112">SUM(H751:Q751)</f>
        <v>800</v>
      </c>
      <c r="T751" s="7"/>
    </row>
    <row r="752" spans="2:24" hidden="1" x14ac:dyDescent="0.15">
      <c r="B752" s="19"/>
      <c r="C752" s="172"/>
      <c r="D752" s="173"/>
      <c r="E752" s="28">
        <v>517199</v>
      </c>
      <c r="F752" s="31" t="s">
        <v>31</v>
      </c>
      <c r="G752" s="175"/>
      <c r="H752" s="30">
        <v>100</v>
      </c>
      <c r="I752" s="30">
        <v>200</v>
      </c>
      <c r="J752" s="30">
        <v>200</v>
      </c>
      <c r="K752" s="30">
        <v>200</v>
      </c>
      <c r="L752" s="30">
        <v>100</v>
      </c>
      <c r="M752" s="30"/>
      <c r="N752" s="30"/>
      <c r="O752" s="30"/>
      <c r="P752" s="30"/>
      <c r="Q752" s="30"/>
      <c r="R752" s="30">
        <f t="shared" si="112"/>
        <v>800</v>
      </c>
      <c r="T752" s="7"/>
    </row>
    <row r="753" spans="2:24" hidden="1" x14ac:dyDescent="0.15">
      <c r="B753" s="19"/>
      <c r="C753" s="172"/>
      <c r="D753" s="173"/>
      <c r="E753" s="28">
        <v>517199</v>
      </c>
      <c r="F753" s="31" t="s">
        <v>32</v>
      </c>
      <c r="G753" s="175"/>
      <c r="H753" s="30">
        <v>100</v>
      </c>
      <c r="I753" s="30">
        <v>200</v>
      </c>
      <c r="J753" s="30">
        <v>200</v>
      </c>
      <c r="K753" s="30">
        <v>200</v>
      </c>
      <c r="L753" s="30">
        <v>100</v>
      </c>
      <c r="M753" s="30"/>
      <c r="N753" s="30"/>
      <c r="O753" s="30"/>
      <c r="P753" s="30"/>
      <c r="Q753" s="30"/>
      <c r="R753" s="30">
        <f t="shared" si="112"/>
        <v>800</v>
      </c>
      <c r="T753" s="7"/>
      <c r="U753" s="24"/>
    </row>
    <row r="754" spans="2:24" s="26" customFormat="1" hidden="1" x14ac:dyDescent="0.15">
      <c r="B754" s="19"/>
      <c r="C754" s="32"/>
      <c r="D754" s="32"/>
      <c r="E754" s="33"/>
      <c r="F754" s="31"/>
      <c r="G754" s="34" t="s">
        <v>33</v>
      </c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2"/>
      <c r="T754" s="2"/>
      <c r="U754" s="2"/>
      <c r="V754" s="2"/>
      <c r="W754" s="2"/>
      <c r="X754" s="2"/>
    </row>
    <row r="755" spans="2:24" hidden="1" x14ac:dyDescent="0.15">
      <c r="B755" s="27"/>
      <c r="C755" s="35" t="s">
        <v>34</v>
      </c>
      <c r="D755" s="35"/>
      <c r="E755" s="31" t="s">
        <v>11</v>
      </c>
      <c r="F755" s="31"/>
      <c r="G755" s="34" t="s">
        <v>35</v>
      </c>
      <c r="H755" s="30">
        <f t="shared" ref="H755:R755" si="113">SUM(H750:H754)</f>
        <v>400</v>
      </c>
      <c r="I755" s="30">
        <f t="shared" si="113"/>
        <v>800</v>
      </c>
      <c r="J755" s="30">
        <f t="shared" si="113"/>
        <v>800</v>
      </c>
      <c r="K755" s="30">
        <f t="shared" si="113"/>
        <v>800</v>
      </c>
      <c r="L755" s="30">
        <f t="shared" si="113"/>
        <v>400</v>
      </c>
      <c r="M755" s="30">
        <f t="shared" si="113"/>
        <v>0</v>
      </c>
      <c r="N755" s="30">
        <f t="shared" si="113"/>
        <v>0</v>
      </c>
      <c r="O755" s="30">
        <f t="shared" si="113"/>
        <v>0</v>
      </c>
      <c r="P755" s="30">
        <f t="shared" si="113"/>
        <v>0</v>
      </c>
      <c r="Q755" s="30">
        <f t="shared" si="113"/>
        <v>0</v>
      </c>
      <c r="R755" s="30">
        <f t="shared" si="113"/>
        <v>3200</v>
      </c>
    </row>
    <row r="756" spans="2:24" hidden="1" x14ac:dyDescent="0.15">
      <c r="B756" s="19"/>
      <c r="C756" s="171">
        <v>66844</v>
      </c>
      <c r="D756" s="173" t="s">
        <v>28</v>
      </c>
      <c r="E756" s="28">
        <v>517199</v>
      </c>
      <c r="F756" s="29" t="s">
        <v>29</v>
      </c>
      <c r="G756" s="174">
        <v>44175</v>
      </c>
      <c r="H756" s="30">
        <v>50</v>
      </c>
      <c r="I756" s="30">
        <v>100</v>
      </c>
      <c r="J756" s="30">
        <v>100</v>
      </c>
      <c r="K756" s="30">
        <v>100</v>
      </c>
      <c r="L756" s="30">
        <v>50</v>
      </c>
      <c r="M756" s="30"/>
      <c r="N756" s="30"/>
      <c r="O756" s="30"/>
      <c r="P756" s="30"/>
      <c r="Q756" s="30"/>
      <c r="R756" s="30">
        <f>SUM(H756:Q756)</f>
        <v>400</v>
      </c>
      <c r="T756" s="7"/>
    </row>
    <row r="757" spans="2:24" hidden="1" x14ac:dyDescent="0.15">
      <c r="B757" s="19"/>
      <c r="C757" s="172"/>
      <c r="D757" s="173"/>
      <c r="E757" s="28">
        <v>517199</v>
      </c>
      <c r="F757" s="29" t="s">
        <v>30</v>
      </c>
      <c r="G757" s="175"/>
      <c r="H757" s="30">
        <v>50</v>
      </c>
      <c r="I757" s="30">
        <v>100</v>
      </c>
      <c r="J757" s="30">
        <v>100</v>
      </c>
      <c r="K757" s="30">
        <v>100</v>
      </c>
      <c r="L757" s="30">
        <v>50</v>
      </c>
      <c r="M757" s="30"/>
      <c r="N757" s="30"/>
      <c r="O757" s="30"/>
      <c r="P757" s="30"/>
      <c r="Q757" s="30"/>
      <c r="R757" s="30">
        <f t="shared" ref="R757:R759" si="114">SUM(H757:Q757)</f>
        <v>400</v>
      </c>
      <c r="T757" s="7"/>
    </row>
    <row r="758" spans="2:24" hidden="1" x14ac:dyDescent="0.15">
      <c r="B758" s="19"/>
      <c r="C758" s="172"/>
      <c r="D758" s="173"/>
      <c r="E758" s="28">
        <v>517199</v>
      </c>
      <c r="F758" s="31" t="s">
        <v>31</v>
      </c>
      <c r="G758" s="175"/>
      <c r="H758" s="30">
        <v>50</v>
      </c>
      <c r="I758" s="30">
        <v>100</v>
      </c>
      <c r="J758" s="30">
        <v>100</v>
      </c>
      <c r="K758" s="30">
        <v>100</v>
      </c>
      <c r="L758" s="30">
        <v>50</v>
      </c>
      <c r="M758" s="30"/>
      <c r="N758" s="30"/>
      <c r="O758" s="30"/>
      <c r="P758" s="30"/>
      <c r="Q758" s="30"/>
      <c r="R758" s="30">
        <f t="shared" si="114"/>
        <v>400</v>
      </c>
      <c r="T758" s="7"/>
    </row>
    <row r="759" spans="2:24" hidden="1" x14ac:dyDescent="0.15">
      <c r="B759" s="19"/>
      <c r="C759" s="172"/>
      <c r="D759" s="173"/>
      <c r="E759" s="28">
        <v>517199</v>
      </c>
      <c r="F759" s="31" t="s">
        <v>32</v>
      </c>
      <c r="G759" s="175"/>
      <c r="H759" s="30">
        <v>50</v>
      </c>
      <c r="I759" s="30">
        <v>100</v>
      </c>
      <c r="J759" s="30">
        <v>100</v>
      </c>
      <c r="K759" s="30">
        <v>100</v>
      </c>
      <c r="L759" s="30">
        <v>50</v>
      </c>
      <c r="M759" s="30"/>
      <c r="N759" s="30"/>
      <c r="O759" s="30"/>
      <c r="P759" s="30"/>
      <c r="Q759" s="30"/>
      <c r="R759" s="30">
        <f t="shared" si="114"/>
        <v>400</v>
      </c>
      <c r="T759" s="7"/>
      <c r="U759" s="24"/>
    </row>
    <row r="760" spans="2:24" s="26" customFormat="1" hidden="1" x14ac:dyDescent="0.15">
      <c r="B760" s="19"/>
      <c r="C760" s="32"/>
      <c r="D760" s="32"/>
      <c r="E760" s="33"/>
      <c r="F760" s="31"/>
      <c r="G760" s="34" t="s">
        <v>33</v>
      </c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2"/>
      <c r="T760" s="2"/>
      <c r="U760" s="2"/>
      <c r="V760" s="2"/>
      <c r="W760" s="2"/>
      <c r="X760" s="2"/>
    </row>
    <row r="761" spans="2:24" hidden="1" x14ac:dyDescent="0.15">
      <c r="B761" s="27"/>
      <c r="C761" s="35" t="s">
        <v>34</v>
      </c>
      <c r="D761" s="35"/>
      <c r="E761" s="31" t="s">
        <v>11</v>
      </c>
      <c r="F761" s="31"/>
      <c r="G761" s="34" t="s">
        <v>35</v>
      </c>
      <c r="H761" s="30">
        <f t="shared" ref="H761:R761" si="115">SUM(H756:H760)</f>
        <v>200</v>
      </c>
      <c r="I761" s="30">
        <f t="shared" si="115"/>
        <v>400</v>
      </c>
      <c r="J761" s="30">
        <f t="shared" si="115"/>
        <v>400</v>
      </c>
      <c r="K761" s="30">
        <f t="shared" si="115"/>
        <v>400</v>
      </c>
      <c r="L761" s="30">
        <f t="shared" si="115"/>
        <v>200</v>
      </c>
      <c r="M761" s="30">
        <f t="shared" si="115"/>
        <v>0</v>
      </c>
      <c r="N761" s="30">
        <f t="shared" si="115"/>
        <v>0</v>
      </c>
      <c r="O761" s="30">
        <f t="shared" si="115"/>
        <v>0</v>
      </c>
      <c r="P761" s="30">
        <f t="shared" si="115"/>
        <v>0</v>
      </c>
      <c r="Q761" s="30">
        <f t="shared" si="115"/>
        <v>0</v>
      </c>
      <c r="R761" s="30">
        <f t="shared" si="115"/>
        <v>1600</v>
      </c>
    </row>
    <row r="762" spans="2:24" hidden="1" x14ac:dyDescent="0.15">
      <c r="B762" s="19"/>
      <c r="C762" s="171">
        <v>66726</v>
      </c>
      <c r="D762" s="173" t="s">
        <v>28</v>
      </c>
      <c r="E762" s="28">
        <v>517199</v>
      </c>
      <c r="F762" s="29" t="s">
        <v>29</v>
      </c>
      <c r="G762" s="174">
        <v>44175</v>
      </c>
      <c r="H762" s="30">
        <v>12</v>
      </c>
      <c r="I762" s="30">
        <v>36</v>
      </c>
      <c r="J762" s="30">
        <v>60</v>
      </c>
      <c r="K762" s="30">
        <v>30</v>
      </c>
      <c r="L762" s="30">
        <v>18</v>
      </c>
      <c r="M762" s="30"/>
      <c r="N762" s="30"/>
      <c r="O762" s="30"/>
      <c r="P762" s="30"/>
      <c r="Q762" s="30"/>
      <c r="R762" s="30">
        <f>SUM(H762:Q762)</f>
        <v>156</v>
      </c>
      <c r="T762" s="7"/>
    </row>
    <row r="763" spans="2:24" hidden="1" x14ac:dyDescent="0.15">
      <c r="B763" s="19"/>
      <c r="C763" s="172"/>
      <c r="D763" s="173"/>
      <c r="E763" s="28">
        <v>517199</v>
      </c>
      <c r="F763" s="29" t="s">
        <v>30</v>
      </c>
      <c r="G763" s="175"/>
      <c r="H763" s="30">
        <v>6</v>
      </c>
      <c r="I763" s="30">
        <v>36</v>
      </c>
      <c r="J763" s="30">
        <v>48</v>
      </c>
      <c r="K763" s="30">
        <v>30</v>
      </c>
      <c r="L763" s="30">
        <v>18</v>
      </c>
      <c r="M763" s="30"/>
      <c r="N763" s="30"/>
      <c r="O763" s="30"/>
      <c r="P763" s="30"/>
      <c r="Q763" s="30"/>
      <c r="R763" s="30">
        <f t="shared" ref="R763:R765" si="116">SUM(H763:Q763)</f>
        <v>138</v>
      </c>
      <c r="T763" s="7"/>
    </row>
    <row r="764" spans="2:24" hidden="1" x14ac:dyDescent="0.15">
      <c r="B764" s="19"/>
      <c r="C764" s="172"/>
      <c r="D764" s="173"/>
      <c r="E764" s="28">
        <v>517199</v>
      </c>
      <c r="F764" s="31" t="s">
        <v>31</v>
      </c>
      <c r="G764" s="175"/>
      <c r="H764" s="30">
        <v>18</v>
      </c>
      <c r="I764" s="30">
        <v>66</v>
      </c>
      <c r="J764" s="30">
        <v>102</v>
      </c>
      <c r="K764" s="30">
        <v>60</v>
      </c>
      <c r="L764" s="30">
        <v>36</v>
      </c>
      <c r="M764" s="30"/>
      <c r="N764" s="30"/>
      <c r="O764" s="30"/>
      <c r="P764" s="30"/>
      <c r="Q764" s="30"/>
      <c r="R764" s="30">
        <f t="shared" si="116"/>
        <v>282</v>
      </c>
      <c r="T764" s="7"/>
    </row>
    <row r="765" spans="2:24" hidden="1" x14ac:dyDescent="0.15">
      <c r="B765" s="19"/>
      <c r="C765" s="172"/>
      <c r="D765" s="173"/>
      <c r="E765" s="28">
        <v>517199</v>
      </c>
      <c r="F765" s="31" t="s">
        <v>32</v>
      </c>
      <c r="G765" s="175"/>
      <c r="H765" s="30">
        <v>6</v>
      </c>
      <c r="I765" s="30">
        <v>30</v>
      </c>
      <c r="J765" s="30">
        <v>42</v>
      </c>
      <c r="K765" s="30">
        <v>18</v>
      </c>
      <c r="L765" s="30">
        <v>24</v>
      </c>
      <c r="M765" s="30"/>
      <c r="N765" s="30"/>
      <c r="O765" s="30"/>
      <c r="P765" s="30"/>
      <c r="Q765" s="30"/>
      <c r="R765" s="30">
        <f t="shared" si="116"/>
        <v>120</v>
      </c>
      <c r="T765" s="7"/>
      <c r="U765" s="24"/>
    </row>
    <row r="766" spans="2:24" s="26" customFormat="1" hidden="1" x14ac:dyDescent="0.15">
      <c r="B766" s="19"/>
      <c r="C766" s="32"/>
      <c r="D766" s="32"/>
      <c r="E766" s="33"/>
      <c r="F766" s="31"/>
      <c r="G766" s="34" t="s">
        <v>33</v>
      </c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2"/>
      <c r="T766" s="2"/>
      <c r="U766" s="2"/>
      <c r="V766" s="2"/>
      <c r="W766" s="2"/>
      <c r="X766" s="2"/>
    </row>
    <row r="767" spans="2:24" hidden="1" x14ac:dyDescent="0.15">
      <c r="B767" s="27"/>
      <c r="C767" s="35" t="s">
        <v>34</v>
      </c>
      <c r="D767" s="35"/>
      <c r="E767" s="31" t="s">
        <v>11</v>
      </c>
      <c r="F767" s="31"/>
      <c r="G767" s="34" t="s">
        <v>35</v>
      </c>
      <c r="H767" s="30">
        <f t="shared" ref="H767:R767" si="117">SUM(H762:H766)</f>
        <v>42</v>
      </c>
      <c r="I767" s="30">
        <f t="shared" si="117"/>
        <v>168</v>
      </c>
      <c r="J767" s="30">
        <f t="shared" si="117"/>
        <v>252</v>
      </c>
      <c r="K767" s="30">
        <f t="shared" si="117"/>
        <v>138</v>
      </c>
      <c r="L767" s="30">
        <f t="shared" si="117"/>
        <v>96</v>
      </c>
      <c r="M767" s="30">
        <f t="shared" si="117"/>
        <v>0</v>
      </c>
      <c r="N767" s="30">
        <f t="shared" si="117"/>
        <v>0</v>
      </c>
      <c r="O767" s="30">
        <f t="shared" si="117"/>
        <v>0</v>
      </c>
      <c r="P767" s="30">
        <f t="shared" si="117"/>
        <v>0</v>
      </c>
      <c r="Q767" s="30">
        <f t="shared" si="117"/>
        <v>0</v>
      </c>
      <c r="R767" s="30">
        <f t="shared" si="117"/>
        <v>696</v>
      </c>
    </row>
    <row r="768" spans="2:24" ht="13.9" hidden="1" customHeight="1" x14ac:dyDescent="0.15">
      <c r="B768" s="27"/>
      <c r="C768" s="171">
        <v>66724</v>
      </c>
      <c r="D768" s="173" t="s">
        <v>28</v>
      </c>
      <c r="E768" s="28">
        <v>517199</v>
      </c>
      <c r="F768" s="29" t="s">
        <v>29</v>
      </c>
      <c r="G768" s="174">
        <v>44175</v>
      </c>
      <c r="H768" s="30">
        <v>18</v>
      </c>
      <c r="I768" s="30">
        <v>66</v>
      </c>
      <c r="J768" s="30">
        <v>102</v>
      </c>
      <c r="K768" s="30">
        <v>54</v>
      </c>
      <c r="L768" s="30">
        <v>30</v>
      </c>
      <c r="M768" s="30"/>
      <c r="N768" s="30"/>
      <c r="O768" s="30"/>
      <c r="P768" s="30"/>
      <c r="Q768" s="30"/>
      <c r="R768" s="30">
        <f>SUM(H768:Q768)</f>
        <v>270</v>
      </c>
    </row>
    <row r="769" spans="2:24" hidden="1" x14ac:dyDescent="0.15">
      <c r="B769" s="19"/>
      <c r="C769" s="172"/>
      <c r="D769" s="173"/>
      <c r="E769" s="28">
        <v>517199</v>
      </c>
      <c r="F769" s="29" t="s">
        <v>30</v>
      </c>
      <c r="G769" s="175"/>
      <c r="H769" s="30">
        <v>18</v>
      </c>
      <c r="I769" s="30">
        <v>54</v>
      </c>
      <c r="J769" s="30">
        <v>84</v>
      </c>
      <c r="K769" s="30">
        <v>48</v>
      </c>
      <c r="L769" s="30">
        <v>30</v>
      </c>
      <c r="M769" s="30"/>
      <c r="N769" s="30"/>
      <c r="O769" s="30"/>
      <c r="P769" s="30"/>
      <c r="Q769" s="30"/>
      <c r="R769" s="30">
        <f t="shared" ref="R769:R771" si="118">SUM(H769:Q769)</f>
        <v>234</v>
      </c>
      <c r="T769" s="7"/>
    </row>
    <row r="770" spans="2:24" hidden="1" x14ac:dyDescent="0.15">
      <c r="B770" s="19"/>
      <c r="C770" s="172"/>
      <c r="D770" s="173"/>
      <c r="E770" s="28">
        <v>517199</v>
      </c>
      <c r="F770" s="31" t="s">
        <v>31</v>
      </c>
      <c r="G770" s="175"/>
      <c r="H770" s="30">
        <v>30</v>
      </c>
      <c r="I770" s="30">
        <v>114</v>
      </c>
      <c r="J770" s="30">
        <v>180</v>
      </c>
      <c r="K770" s="30">
        <v>102</v>
      </c>
      <c r="L770" s="30">
        <v>60</v>
      </c>
      <c r="M770" s="30"/>
      <c r="N770" s="30"/>
      <c r="O770" s="30"/>
      <c r="P770" s="30"/>
      <c r="Q770" s="30"/>
      <c r="R770" s="30">
        <f t="shared" si="118"/>
        <v>486</v>
      </c>
      <c r="T770" s="7"/>
    </row>
    <row r="771" spans="2:24" hidden="1" x14ac:dyDescent="0.15">
      <c r="B771" s="19"/>
      <c r="C771" s="172"/>
      <c r="D771" s="173"/>
      <c r="E771" s="28">
        <v>517199</v>
      </c>
      <c r="F771" s="31" t="s">
        <v>32</v>
      </c>
      <c r="G771" s="175"/>
      <c r="H771" s="30">
        <v>12</v>
      </c>
      <c r="I771" s="30">
        <v>48</v>
      </c>
      <c r="J771" s="30">
        <v>78</v>
      </c>
      <c r="K771" s="30">
        <v>42</v>
      </c>
      <c r="L771" s="30">
        <v>30</v>
      </c>
      <c r="M771" s="30"/>
      <c r="N771" s="30"/>
      <c r="O771" s="30"/>
      <c r="P771" s="30"/>
      <c r="Q771" s="30"/>
      <c r="R771" s="30">
        <f t="shared" si="118"/>
        <v>210</v>
      </c>
      <c r="T771" s="7"/>
    </row>
    <row r="772" spans="2:24" hidden="1" x14ac:dyDescent="0.15">
      <c r="B772" s="19"/>
      <c r="C772" s="32"/>
      <c r="D772" s="32"/>
      <c r="E772" s="33"/>
      <c r="F772" s="31"/>
      <c r="G772" s="34" t="s">
        <v>33</v>
      </c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T772" s="7"/>
      <c r="U772" s="24"/>
    </row>
    <row r="773" spans="2:24" s="26" customFormat="1" hidden="1" x14ac:dyDescent="0.15">
      <c r="B773" s="19"/>
      <c r="C773" s="35" t="s">
        <v>34</v>
      </c>
      <c r="D773" s="35"/>
      <c r="E773" s="31" t="s">
        <v>11</v>
      </c>
      <c r="F773" s="31"/>
      <c r="G773" s="34" t="s">
        <v>35</v>
      </c>
      <c r="H773" s="30">
        <f t="shared" ref="H773:R773" si="119">SUM(H768:H772)</f>
        <v>78</v>
      </c>
      <c r="I773" s="30">
        <f t="shared" si="119"/>
        <v>282</v>
      </c>
      <c r="J773" s="30">
        <f t="shared" si="119"/>
        <v>444</v>
      </c>
      <c r="K773" s="30">
        <f t="shared" si="119"/>
        <v>246</v>
      </c>
      <c r="L773" s="30">
        <f t="shared" si="119"/>
        <v>150</v>
      </c>
      <c r="M773" s="30">
        <f t="shared" si="119"/>
        <v>0</v>
      </c>
      <c r="N773" s="30">
        <f t="shared" si="119"/>
        <v>0</v>
      </c>
      <c r="O773" s="30">
        <f t="shared" si="119"/>
        <v>0</v>
      </c>
      <c r="P773" s="30">
        <f t="shared" si="119"/>
        <v>0</v>
      </c>
      <c r="Q773" s="30">
        <f t="shared" si="119"/>
        <v>0</v>
      </c>
      <c r="R773" s="30">
        <f t="shared" si="119"/>
        <v>1200</v>
      </c>
      <c r="S773" s="2"/>
      <c r="T773" s="2"/>
      <c r="U773" s="2"/>
      <c r="V773" s="2"/>
      <c r="W773" s="2"/>
      <c r="X773" s="2"/>
    </row>
    <row r="774" spans="2:24" hidden="1" x14ac:dyDescent="0.15">
      <c r="B774" s="27"/>
      <c r="C774" s="36" t="s">
        <v>36</v>
      </c>
      <c r="D774" s="35"/>
      <c r="E774" s="31"/>
      <c r="F774" s="31"/>
      <c r="G774" s="37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</row>
    <row r="775" spans="2:24" hidden="1" x14ac:dyDescent="0.15">
      <c r="C775" s="171"/>
      <c r="D775" s="173"/>
      <c r="E775" s="28">
        <v>517199</v>
      </c>
      <c r="F775" s="29" t="s">
        <v>29</v>
      </c>
      <c r="G775" s="174">
        <v>44175</v>
      </c>
      <c r="H775" s="30">
        <f>H756+H750+H744+H738+H282+H762+H768</f>
        <v>180</v>
      </c>
      <c r="I775" s="30">
        <f>I756+I750+I744+I738+I282+I762+I768</f>
        <v>506</v>
      </c>
      <c r="J775" s="30">
        <f>J756+J750+J744+J738+J282+J762+J768</f>
        <v>566</v>
      </c>
      <c r="K775" s="30">
        <f>K756+K750+K744+K738+K282+K762+K768</f>
        <v>436</v>
      </c>
      <c r="L775" s="30">
        <f>L756+L750+L744+L738+L282+L762+L768</f>
        <v>250</v>
      </c>
      <c r="M775" s="30"/>
      <c r="N775" s="30"/>
      <c r="O775" s="30"/>
      <c r="P775" s="30"/>
      <c r="Q775" s="30"/>
      <c r="R775" s="30">
        <f>SUM(H775:Q775)</f>
        <v>1938</v>
      </c>
    </row>
    <row r="776" spans="2:24" hidden="1" x14ac:dyDescent="0.15">
      <c r="C776" s="172"/>
      <c r="D776" s="173"/>
      <c r="E776" s="28">
        <v>517199</v>
      </c>
      <c r="F776" s="29" t="s">
        <v>30</v>
      </c>
      <c r="G776" s="175"/>
      <c r="H776" s="30">
        <f>H757+H751+H745+H739+H283+H763+H769</f>
        <v>174</v>
      </c>
      <c r="I776" s="30">
        <f>I757+I751+I745+I739+I283+I763+I769</f>
        <v>482</v>
      </c>
      <c r="J776" s="30">
        <f>J757+J751+J745+J739+J283+J763+J769</f>
        <v>524</v>
      </c>
      <c r="K776" s="30">
        <f>K757+K751+K745+K739+K283+K763+K769</f>
        <v>424</v>
      </c>
      <c r="L776" s="30">
        <f>L757+L751+L745+L739+L283+L763+L769</f>
        <v>244</v>
      </c>
      <c r="M776" s="30"/>
      <c r="N776" s="30"/>
      <c r="O776" s="30"/>
      <c r="P776" s="30"/>
      <c r="Q776" s="30"/>
      <c r="R776" s="30">
        <f>SUM(H776:Q776)</f>
        <v>1848</v>
      </c>
    </row>
    <row r="777" spans="2:24" hidden="1" x14ac:dyDescent="0.15">
      <c r="C777" s="172"/>
      <c r="D777" s="173"/>
      <c r="E777" s="28">
        <v>517199</v>
      </c>
      <c r="F777" s="31" t="s">
        <v>31</v>
      </c>
      <c r="G777" s="175"/>
      <c r="H777" s="30">
        <f>H758+H752+H746+H740+H284+H764+H770</f>
        <v>198</v>
      </c>
      <c r="I777" s="30">
        <f>I758+I752+I746+I740+I284+I764+I770</f>
        <v>668</v>
      </c>
      <c r="J777" s="30">
        <f>J758+J752+J746+J740+J284+J764+J770</f>
        <v>780</v>
      </c>
      <c r="K777" s="30">
        <f>K758+K752+K746+K740+K284+K764+K770</f>
        <v>572</v>
      </c>
      <c r="L777" s="30">
        <f>L758+L752+L746+L740+L284+L764+L770</f>
        <v>361</v>
      </c>
      <c r="M777" s="30"/>
      <c r="N777" s="30"/>
      <c r="O777" s="30"/>
      <c r="P777" s="30"/>
      <c r="Q777" s="30"/>
      <c r="R777" s="30">
        <f>SUM(H777:Q777)</f>
        <v>2579</v>
      </c>
    </row>
    <row r="778" spans="2:24" hidden="1" x14ac:dyDescent="0.15">
      <c r="C778" s="172"/>
      <c r="D778" s="173"/>
      <c r="E778" s="28">
        <v>517199</v>
      </c>
      <c r="F778" s="31" t="s">
        <v>32</v>
      </c>
      <c r="G778" s="175"/>
      <c r="H778" s="30">
        <f>H759+H753+H747+H741+H285+H765+H771</f>
        <v>168</v>
      </c>
      <c r="I778" s="30">
        <f>I759+I753+I747+I741+I285+I765+I771</f>
        <v>458</v>
      </c>
      <c r="J778" s="30">
        <f>J759+J753+J747+J741+J285+J765+J771</f>
        <v>510</v>
      </c>
      <c r="K778" s="30">
        <f>K759+K753+K747+K741+K285+K765+K771</f>
        <v>419</v>
      </c>
      <c r="L778" s="30">
        <f>L759+L753+L747+L741+L285+L765+L771</f>
        <v>269</v>
      </c>
      <c r="M778" s="30"/>
      <c r="N778" s="30"/>
      <c r="O778" s="30"/>
      <c r="P778" s="30"/>
      <c r="Q778" s="30"/>
      <c r="R778" s="30">
        <f>SUM(H778:Q778)</f>
        <v>1824</v>
      </c>
    </row>
    <row r="779" spans="2:24" hidden="1" x14ac:dyDescent="0.15">
      <c r="C779" s="32"/>
      <c r="D779" s="32"/>
      <c r="E779" s="33"/>
      <c r="F779" s="31"/>
      <c r="G779" s="34" t="s">
        <v>33</v>
      </c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T779" s="36"/>
      <c r="U779" s="36"/>
      <c r="V779" s="36"/>
      <c r="W779" s="36"/>
      <c r="X779" s="36"/>
    </row>
    <row r="780" spans="2:24" hidden="1" x14ac:dyDescent="0.15">
      <c r="C780" s="35" t="s">
        <v>34</v>
      </c>
      <c r="D780" s="35"/>
      <c r="E780" s="31" t="s">
        <v>11</v>
      </c>
      <c r="F780" s="31"/>
      <c r="G780" s="34" t="s">
        <v>35</v>
      </c>
      <c r="H780" s="30">
        <f t="shared" ref="H780:R780" si="120">SUM(H775:H779)</f>
        <v>720</v>
      </c>
      <c r="I780" s="30">
        <f t="shared" si="120"/>
        <v>2114</v>
      </c>
      <c r="J780" s="30">
        <f t="shared" si="120"/>
        <v>2380</v>
      </c>
      <c r="K780" s="30">
        <f t="shared" si="120"/>
        <v>1851</v>
      </c>
      <c r="L780" s="30">
        <f t="shared" si="120"/>
        <v>1124</v>
      </c>
      <c r="M780" s="30">
        <f t="shared" si="120"/>
        <v>0</v>
      </c>
      <c r="N780" s="30">
        <f t="shared" si="120"/>
        <v>0</v>
      </c>
      <c r="O780" s="30">
        <f t="shared" si="120"/>
        <v>0</v>
      </c>
      <c r="P780" s="30">
        <f t="shared" si="120"/>
        <v>0</v>
      </c>
      <c r="Q780" s="30">
        <f t="shared" si="120"/>
        <v>0</v>
      </c>
      <c r="R780" s="30">
        <f t="shared" si="120"/>
        <v>8189</v>
      </c>
      <c r="S780" s="38" t="s">
        <v>37</v>
      </c>
      <c r="T780" s="39"/>
      <c r="U780" s="39"/>
      <c r="V780" s="39"/>
      <c r="W780" s="39"/>
      <c r="X780" s="39"/>
    </row>
    <row r="781" spans="2:24" x14ac:dyDescent="0.15">
      <c r="M781" s="2">
        <v>8218</v>
      </c>
      <c r="N781" s="2">
        <v>3453</v>
      </c>
      <c r="O781" s="2">
        <v>12783</v>
      </c>
      <c r="P781" s="2">
        <v>63879</v>
      </c>
      <c r="Q781" s="2">
        <v>27880</v>
      </c>
      <c r="T781" s="40">
        <f>SUM(L781:S781)</f>
        <v>116213</v>
      </c>
      <c r="U781" s="40"/>
      <c r="V781" s="40"/>
      <c r="W781" s="40"/>
      <c r="X781" s="40"/>
    </row>
    <row r="782" spans="2:24" s="112" customFormat="1" x14ac:dyDescent="0.15">
      <c r="T782" s="40"/>
      <c r="U782" s="40"/>
      <c r="V782" s="40"/>
      <c r="W782" s="40"/>
      <c r="X782" s="40"/>
    </row>
    <row r="783" spans="2:24" s="112" customFormat="1" x14ac:dyDescent="0.15">
      <c r="T783" s="40"/>
      <c r="U783" s="40"/>
      <c r="V783" s="40"/>
      <c r="W783" s="40"/>
      <c r="X783" s="40"/>
    </row>
    <row r="784" spans="2:24" s="112" customFormat="1" x14ac:dyDescent="0.15">
      <c r="T784" s="40"/>
      <c r="U784" s="40"/>
      <c r="V784" s="40"/>
      <c r="W784" s="40"/>
      <c r="X784" s="40"/>
    </row>
    <row r="785" spans="3:24" s="112" customFormat="1" x14ac:dyDescent="0.15">
      <c r="T785" s="40"/>
      <c r="U785" s="40"/>
      <c r="V785" s="40"/>
      <c r="W785" s="40"/>
      <c r="X785" s="40"/>
    </row>
    <row r="786" spans="3:24" s="112" customFormat="1" x14ac:dyDescent="0.15">
      <c r="T786" s="40"/>
      <c r="U786" s="40"/>
      <c r="V786" s="40"/>
      <c r="W786" s="40"/>
      <c r="X786" s="40"/>
    </row>
    <row r="787" spans="3:24" s="112" customFormat="1" x14ac:dyDescent="0.15">
      <c r="T787" s="40"/>
      <c r="U787" s="40"/>
      <c r="V787" s="40"/>
      <c r="W787" s="40"/>
      <c r="X787" s="40"/>
    </row>
    <row r="788" spans="3:24" s="112" customFormat="1" x14ac:dyDescent="0.15">
      <c r="T788" s="40"/>
      <c r="U788" s="40"/>
      <c r="V788" s="40"/>
      <c r="W788" s="40"/>
      <c r="X788" s="40"/>
    </row>
    <row r="789" spans="3:24" s="112" customFormat="1" x14ac:dyDescent="0.15">
      <c r="T789" s="40"/>
      <c r="U789" s="40"/>
      <c r="V789" s="40"/>
      <c r="W789" s="40"/>
      <c r="X789" s="40"/>
    </row>
    <row r="790" spans="3:24" ht="16.5" x14ac:dyDescent="0.15">
      <c r="C790" s="41" t="s">
        <v>38</v>
      </c>
    </row>
    <row r="791" spans="3:24" ht="21" customHeight="1" x14ac:dyDescent="0.15">
      <c r="C791" s="42"/>
      <c r="D791" s="43"/>
      <c r="E791" s="43"/>
      <c r="F791" s="43"/>
      <c r="G791" s="43"/>
      <c r="H791" s="44" t="s">
        <v>39</v>
      </c>
      <c r="I791" s="44" t="s">
        <v>40</v>
      </c>
      <c r="J791" s="44" t="s">
        <v>41</v>
      </c>
      <c r="K791" s="44" t="s">
        <v>42</v>
      </c>
      <c r="L791" s="44" t="s">
        <v>8</v>
      </c>
      <c r="M791" s="44" t="s">
        <v>9</v>
      </c>
      <c r="N791" s="44" t="s">
        <v>10</v>
      </c>
      <c r="O791" s="44" t="s">
        <v>8</v>
      </c>
      <c r="P791" s="44" t="s">
        <v>9</v>
      </c>
      <c r="Q791" s="44" t="s">
        <v>10</v>
      </c>
      <c r="R791" s="45" t="s">
        <v>11</v>
      </c>
    </row>
    <row r="792" spans="3:24" ht="13.5" customHeight="1" x14ac:dyDescent="0.15">
      <c r="C792" s="179"/>
      <c r="D792" s="181" t="s">
        <v>43</v>
      </c>
      <c r="E792" s="46"/>
      <c r="F792" s="47" t="s">
        <v>44</v>
      </c>
      <c r="G792" s="48" t="s">
        <v>45</v>
      </c>
      <c r="H792" s="49">
        <v>48</v>
      </c>
      <c r="I792" s="49">
        <v>120</v>
      </c>
      <c r="J792" s="49">
        <v>144</v>
      </c>
      <c r="K792" s="49">
        <v>204</v>
      </c>
      <c r="L792" s="49">
        <v>240</v>
      </c>
      <c r="M792" s="49">
        <v>264</v>
      </c>
      <c r="N792" s="49">
        <v>96</v>
      </c>
      <c r="O792" s="49"/>
      <c r="P792" s="49"/>
      <c r="Q792" s="49"/>
      <c r="R792" s="49">
        <f t="shared" ref="R792:R803" si="121">SUM(H792:Q792)</f>
        <v>1116</v>
      </c>
      <c r="T792" s="10">
        <f>SUM(H792:Q845)</f>
        <v>144223</v>
      </c>
    </row>
    <row r="793" spans="3:24" ht="13.5" customHeight="1" x14ac:dyDescent="0.15">
      <c r="C793" s="180"/>
      <c r="D793" s="181"/>
      <c r="E793" s="46"/>
      <c r="F793" s="50" t="s">
        <v>46</v>
      </c>
      <c r="G793" s="48" t="s">
        <v>47</v>
      </c>
      <c r="H793" s="49">
        <v>36</v>
      </c>
      <c r="I793" s="49">
        <v>144</v>
      </c>
      <c r="J793" s="49">
        <v>264</v>
      </c>
      <c r="K793" s="49">
        <v>240</v>
      </c>
      <c r="L793" s="49">
        <v>444</v>
      </c>
      <c r="M793" s="49">
        <v>360</v>
      </c>
      <c r="N793" s="49">
        <v>120</v>
      </c>
      <c r="O793" s="49"/>
      <c r="P793" s="49"/>
      <c r="Q793" s="49"/>
      <c r="R793" s="49">
        <f t="shared" si="121"/>
        <v>1608</v>
      </c>
    </row>
    <row r="794" spans="3:24" ht="13.5" customHeight="1" x14ac:dyDescent="0.15">
      <c r="C794" s="180"/>
      <c r="D794" s="181"/>
      <c r="E794" s="46"/>
      <c r="F794" s="50" t="s">
        <v>48</v>
      </c>
      <c r="G794" s="48" t="s">
        <v>49</v>
      </c>
      <c r="H794" s="49">
        <f>94+40+147+735+321</f>
        <v>1337</v>
      </c>
      <c r="I794" s="49">
        <f>240+103+378+1888+824</f>
        <v>3433</v>
      </c>
      <c r="J794" s="49">
        <f>290+124+456+2278+994</f>
        <v>4142</v>
      </c>
      <c r="K794" s="49">
        <f>201+86+316+1577+688</f>
        <v>2868</v>
      </c>
      <c r="L794" s="49">
        <f>199+86+313+1565+683</f>
        <v>2846</v>
      </c>
      <c r="M794" s="49">
        <f>99+43+156+780+340</f>
        <v>1418</v>
      </c>
      <c r="N794" s="49">
        <f>25+11+39+193+84</f>
        <v>352</v>
      </c>
      <c r="O794" s="49"/>
      <c r="P794" s="49"/>
      <c r="Q794" s="49"/>
      <c r="R794" s="49">
        <f t="shared" si="121"/>
        <v>16396</v>
      </c>
    </row>
    <row r="795" spans="3:24" ht="13.5" customHeight="1" x14ac:dyDescent="0.15">
      <c r="C795" s="180"/>
      <c r="D795" s="181"/>
      <c r="E795" s="46"/>
      <c r="F795" s="50" t="s">
        <v>50</v>
      </c>
      <c r="G795" s="48" t="s">
        <v>51</v>
      </c>
      <c r="H795" s="49">
        <f>11+10+18+89+39</f>
        <v>167</v>
      </c>
      <c r="I795" s="49">
        <f>35+15+55+276+120</f>
        <v>501</v>
      </c>
      <c r="J795" s="49">
        <f>65+28+101+507+221</f>
        <v>922</v>
      </c>
      <c r="K795" s="49">
        <f>89+38+139+697+304</f>
        <v>1267</v>
      </c>
      <c r="L795" s="49">
        <f>112+48+176+880+384</f>
        <v>1600</v>
      </c>
      <c r="M795" s="49">
        <f>79+34+123+617+269</f>
        <v>1122</v>
      </c>
      <c r="N795" s="49">
        <f>31+13+49+247+108</f>
        <v>448</v>
      </c>
      <c r="O795" s="49"/>
      <c r="P795" s="49"/>
      <c r="Q795" s="49"/>
      <c r="R795" s="49">
        <f t="shared" si="121"/>
        <v>6027</v>
      </c>
    </row>
    <row r="796" spans="3:24" ht="13.5" customHeight="1" x14ac:dyDescent="0.15">
      <c r="C796" s="180"/>
      <c r="D796" s="181"/>
      <c r="E796" s="46"/>
      <c r="F796" s="50" t="s">
        <v>52</v>
      </c>
      <c r="G796" s="48" t="s">
        <v>53</v>
      </c>
      <c r="H796" s="49">
        <v>168</v>
      </c>
      <c r="I796" s="49">
        <v>456</v>
      </c>
      <c r="J796" s="49">
        <v>672</v>
      </c>
      <c r="K796" s="49">
        <v>660</v>
      </c>
      <c r="L796" s="49">
        <v>492</v>
      </c>
      <c r="M796" s="49">
        <v>240</v>
      </c>
      <c r="N796" s="49">
        <v>96</v>
      </c>
      <c r="O796" s="49"/>
      <c r="P796" s="49"/>
      <c r="Q796" s="49"/>
      <c r="R796" s="49">
        <f t="shared" si="121"/>
        <v>2784</v>
      </c>
    </row>
    <row r="797" spans="3:24" ht="13.5" customHeight="1" x14ac:dyDescent="0.15">
      <c r="C797" s="180"/>
      <c r="D797" s="181"/>
      <c r="E797" s="46"/>
      <c r="F797" s="50" t="s">
        <v>54</v>
      </c>
      <c r="G797" s="48" t="s">
        <v>55</v>
      </c>
      <c r="H797" s="49">
        <f>36+15+56+280+122</f>
        <v>509</v>
      </c>
      <c r="I797" s="49">
        <f>84+36+132+657+287</f>
        <v>1196</v>
      </c>
      <c r="J797" s="49">
        <f>119+51+188+938+409</f>
        <v>1705</v>
      </c>
      <c r="K797" s="49">
        <f>125+54+197+986+430</f>
        <v>1792</v>
      </c>
      <c r="L797" s="49">
        <f>135+58+212+1058+462</f>
        <v>1925</v>
      </c>
      <c r="M797" s="49">
        <f>87+38+137+687+300</f>
        <v>1249</v>
      </c>
      <c r="N797" s="49">
        <f>28+12+44+222+97</f>
        <v>403</v>
      </c>
      <c r="O797" s="49"/>
      <c r="P797" s="49"/>
      <c r="Q797" s="49"/>
      <c r="R797" s="49">
        <f t="shared" si="121"/>
        <v>8779</v>
      </c>
    </row>
    <row r="798" spans="3:24" ht="13.5" customHeight="1" x14ac:dyDescent="0.15">
      <c r="C798" s="180"/>
      <c r="D798" s="181"/>
      <c r="E798" s="46"/>
      <c r="F798" s="50" t="s">
        <v>56</v>
      </c>
      <c r="G798" s="48" t="s">
        <v>57</v>
      </c>
      <c r="H798" s="49">
        <f>10+10+11+57+25</f>
        <v>113</v>
      </c>
      <c r="I798" s="49">
        <f>27+12+43+213+93</f>
        <v>388</v>
      </c>
      <c r="J798" s="49">
        <f>45+19+71+354+155</f>
        <v>644</v>
      </c>
      <c r="K798" s="49">
        <f>63+27+99+496+216</f>
        <v>901</v>
      </c>
      <c r="L798" s="49">
        <f>116+50+182+910+397</f>
        <v>1655</v>
      </c>
      <c r="M798" s="49">
        <f>105+45+166+828+361</f>
        <v>1505</v>
      </c>
      <c r="N798" s="49">
        <f>52+22+82+412+180</f>
        <v>748</v>
      </c>
      <c r="O798" s="49"/>
      <c r="P798" s="49"/>
      <c r="Q798" s="49"/>
      <c r="R798" s="49">
        <f t="shared" si="121"/>
        <v>5954</v>
      </c>
    </row>
    <row r="799" spans="3:24" ht="13.5" customHeight="1" x14ac:dyDescent="0.15">
      <c r="C799" s="180"/>
      <c r="D799" s="181"/>
      <c r="E799" s="46"/>
      <c r="F799" s="51" t="s">
        <v>58</v>
      </c>
      <c r="G799" s="48" t="s">
        <v>59</v>
      </c>
      <c r="H799" s="49">
        <f>45+19+71+355+155</f>
        <v>645</v>
      </c>
      <c r="I799" s="49">
        <f>106+45+167+833+364</f>
        <v>1515</v>
      </c>
      <c r="J799" s="49">
        <f>151+65+238+1189+519</f>
        <v>2162</v>
      </c>
      <c r="K799" s="49">
        <f>159+68+250+1250+545</f>
        <v>2272</v>
      </c>
      <c r="L799" s="49">
        <f>171+73+268+1342+585</f>
        <v>2439</v>
      </c>
      <c r="M799" s="49">
        <f>111+47+174+870+380</f>
        <v>1582</v>
      </c>
      <c r="N799" s="49">
        <f>36+15+56+282+123</f>
        <v>512</v>
      </c>
      <c r="O799" s="49"/>
      <c r="P799" s="49"/>
      <c r="Q799" s="49"/>
      <c r="R799" s="49">
        <f t="shared" si="121"/>
        <v>11127</v>
      </c>
    </row>
    <row r="800" spans="3:24" ht="13.5" customHeight="1" x14ac:dyDescent="0.15">
      <c r="C800" s="180"/>
      <c r="D800" s="181"/>
      <c r="E800" s="46"/>
      <c r="F800" s="52" t="s">
        <v>60</v>
      </c>
      <c r="G800" s="48" t="s">
        <v>61</v>
      </c>
      <c r="H800" s="49">
        <v>48</v>
      </c>
      <c r="I800" s="49">
        <v>144</v>
      </c>
      <c r="J800" s="49">
        <v>264</v>
      </c>
      <c r="K800" s="49">
        <v>348</v>
      </c>
      <c r="L800" s="49">
        <v>444</v>
      </c>
      <c r="M800" s="49">
        <v>300</v>
      </c>
      <c r="N800" s="49">
        <v>84</v>
      </c>
      <c r="O800" s="49"/>
      <c r="P800" s="49"/>
      <c r="Q800" s="49"/>
      <c r="R800" s="49">
        <f t="shared" si="121"/>
        <v>1632</v>
      </c>
    </row>
    <row r="801" spans="3:18" ht="13.5" customHeight="1" x14ac:dyDescent="0.15">
      <c r="C801" s="180"/>
      <c r="D801" s="181"/>
      <c r="E801" s="46"/>
      <c r="F801" s="51" t="s">
        <v>62</v>
      </c>
      <c r="G801" s="48" t="s">
        <v>63</v>
      </c>
      <c r="H801" s="49">
        <v>264</v>
      </c>
      <c r="I801" s="49">
        <v>780</v>
      </c>
      <c r="J801" s="49">
        <v>1116</v>
      </c>
      <c r="K801" s="49">
        <v>1092</v>
      </c>
      <c r="L801" s="49">
        <v>816</v>
      </c>
      <c r="M801" s="49">
        <v>396</v>
      </c>
      <c r="N801" s="49">
        <v>156</v>
      </c>
      <c r="O801" s="49"/>
      <c r="P801" s="49"/>
      <c r="Q801" s="49"/>
      <c r="R801" s="49">
        <f t="shared" si="121"/>
        <v>4620</v>
      </c>
    </row>
    <row r="802" spans="3:18" ht="13.5" customHeight="1" x14ac:dyDescent="0.15">
      <c r="C802" s="180"/>
      <c r="D802" s="181"/>
      <c r="E802" s="46"/>
      <c r="F802" s="50" t="s">
        <v>64</v>
      </c>
      <c r="G802" s="48" t="s">
        <v>65</v>
      </c>
      <c r="H802" s="49">
        <f>24+10+37+185+81</f>
        <v>337</v>
      </c>
      <c r="I802" s="49">
        <f>76+33+120+600+262</f>
        <v>1091</v>
      </c>
      <c r="J802" s="49">
        <f>113+49+178+890+388</f>
        <v>1618</v>
      </c>
      <c r="K802" s="49">
        <f>116+50+182+909+397</f>
        <v>1654</v>
      </c>
      <c r="L802" s="49">
        <f>106+45+166+829+362</f>
        <v>1508</v>
      </c>
      <c r="M802" s="49">
        <f>62+27+98+488+213</f>
        <v>888</v>
      </c>
      <c r="N802" s="49">
        <f>21+9+34+168+73</f>
        <v>305</v>
      </c>
      <c r="O802" s="49"/>
      <c r="P802" s="49"/>
      <c r="Q802" s="49"/>
      <c r="R802" s="49">
        <f t="shared" si="121"/>
        <v>7401</v>
      </c>
    </row>
    <row r="803" spans="3:18" ht="13.5" customHeight="1" x14ac:dyDescent="0.15">
      <c r="C803" s="180"/>
      <c r="D803" s="181"/>
      <c r="E803" s="46"/>
      <c r="F803" s="50" t="s">
        <v>66</v>
      </c>
      <c r="G803" s="48" t="s">
        <v>67</v>
      </c>
      <c r="H803" s="49">
        <f>15+10+24+118+51</f>
        <v>218</v>
      </c>
      <c r="I803" s="49">
        <f>55+23+86+429+187</f>
        <v>780</v>
      </c>
      <c r="J803" s="49">
        <f>105+45+164+821+358</f>
        <v>1493</v>
      </c>
      <c r="K803" s="49">
        <f>124+53+194+970+423</f>
        <v>1764</v>
      </c>
      <c r="L803" s="49">
        <f>220+94+345+1725+753</f>
        <v>3137</v>
      </c>
      <c r="M803" s="49">
        <f>157+67+246+1231+537</f>
        <v>2238</v>
      </c>
      <c r="N803" s="49">
        <f>54+23+86+427+187</f>
        <v>777</v>
      </c>
      <c r="O803" s="49"/>
      <c r="P803" s="49"/>
      <c r="Q803" s="49"/>
      <c r="R803" s="49">
        <f t="shared" si="121"/>
        <v>10407</v>
      </c>
    </row>
    <row r="804" spans="3:18" x14ac:dyDescent="0.15">
      <c r="C804" s="180"/>
      <c r="D804" s="181"/>
      <c r="E804" s="46"/>
      <c r="F804" s="51" t="s">
        <v>68</v>
      </c>
      <c r="G804" s="48" t="s">
        <v>69</v>
      </c>
      <c r="H804" s="49">
        <f>14+10+22+109+48</f>
        <v>203</v>
      </c>
      <c r="I804" s="49">
        <f>49+21+78+388+170</f>
        <v>706</v>
      </c>
      <c r="J804" s="49">
        <f>69+30+109+544+237</f>
        <v>989</v>
      </c>
      <c r="K804" s="49">
        <f>81+35+127+637+278</f>
        <v>1158</v>
      </c>
      <c r="L804" s="49">
        <f>113+49+178+891+389</f>
        <v>1620</v>
      </c>
      <c r="M804" s="49">
        <f>80+35+126+631+275</f>
        <v>1147</v>
      </c>
      <c r="N804" s="49">
        <f>30+13+47+237+104</f>
        <v>431</v>
      </c>
      <c r="O804" s="49"/>
      <c r="P804" s="49"/>
      <c r="Q804" s="49"/>
      <c r="R804" s="49">
        <f>SUM(H804:Q804)</f>
        <v>6254</v>
      </c>
    </row>
    <row r="805" spans="3:18" ht="13.5" customHeight="1" x14ac:dyDescent="0.15">
      <c r="C805" s="180"/>
      <c r="D805" s="181"/>
      <c r="E805" s="46"/>
      <c r="F805" s="51" t="s">
        <v>70</v>
      </c>
      <c r="G805" s="48" t="s">
        <v>71</v>
      </c>
      <c r="H805" s="49">
        <f>13+10+21+103+45</f>
        <v>192</v>
      </c>
      <c r="I805" s="49">
        <f>38+16+59+295+129</f>
        <v>537</v>
      </c>
      <c r="J805" s="49">
        <f>43+18+67+335+146</f>
        <v>609</v>
      </c>
      <c r="K805" s="49">
        <f>59+25+92+460+201</f>
        <v>837</v>
      </c>
      <c r="L805" s="49">
        <f>73+31+114+570+249</f>
        <v>1037</v>
      </c>
      <c r="M805" s="49">
        <f>76+32+118+593+259</f>
        <v>1078</v>
      </c>
      <c r="N805" s="49">
        <f>27+11+42+210+92</f>
        <v>382</v>
      </c>
      <c r="O805" s="49"/>
      <c r="P805" s="49"/>
      <c r="Q805" s="49"/>
      <c r="R805" s="49">
        <f t="shared" ref="R805:R857" si="122">SUM(H805:Q805)</f>
        <v>4672</v>
      </c>
    </row>
    <row r="806" spans="3:18" x14ac:dyDescent="0.15">
      <c r="C806" s="180"/>
      <c r="D806" s="181"/>
      <c r="E806" s="46"/>
      <c r="F806" s="47" t="s">
        <v>72</v>
      </c>
      <c r="G806" s="48" t="s">
        <v>73</v>
      </c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>
        <f t="shared" ref="R806:R808" si="123">SUM(H806:Q806)</f>
        <v>0</v>
      </c>
    </row>
    <row r="807" spans="3:18" x14ac:dyDescent="0.15">
      <c r="C807" s="180"/>
      <c r="D807" s="181"/>
      <c r="E807" s="46"/>
      <c r="F807" s="47" t="s">
        <v>74</v>
      </c>
      <c r="G807" s="48" t="s">
        <v>75</v>
      </c>
      <c r="H807" s="49">
        <v>84</v>
      </c>
      <c r="I807" s="49">
        <v>300</v>
      </c>
      <c r="J807" s="49">
        <v>480</v>
      </c>
      <c r="K807" s="49">
        <v>444</v>
      </c>
      <c r="L807" s="49">
        <v>516</v>
      </c>
      <c r="M807" s="49">
        <v>336</v>
      </c>
      <c r="N807" s="49">
        <v>120</v>
      </c>
      <c r="O807" s="49"/>
      <c r="P807" s="49"/>
      <c r="Q807" s="49"/>
      <c r="R807" s="49">
        <f t="shared" si="123"/>
        <v>2280</v>
      </c>
    </row>
    <row r="808" spans="3:18" x14ac:dyDescent="0.15">
      <c r="C808" s="180"/>
      <c r="D808" s="181"/>
      <c r="E808" s="46"/>
      <c r="F808" s="47" t="s">
        <v>76</v>
      </c>
      <c r="G808" s="48"/>
      <c r="H808" s="49">
        <v>112</v>
      </c>
      <c r="I808" s="49">
        <v>287</v>
      </c>
      <c r="J808" s="49">
        <v>443</v>
      </c>
      <c r="K808" s="49">
        <v>523</v>
      </c>
      <c r="L808" s="49">
        <v>798</v>
      </c>
      <c r="M808" s="49">
        <v>687</v>
      </c>
      <c r="N808" s="49">
        <v>240</v>
      </c>
      <c r="O808" s="49"/>
      <c r="P808" s="49"/>
      <c r="Q808" s="49"/>
      <c r="R808" s="49">
        <f t="shared" si="123"/>
        <v>3090</v>
      </c>
    </row>
    <row r="809" spans="3:18" ht="14.25" thickBot="1" x14ac:dyDescent="0.2">
      <c r="C809" s="180"/>
      <c r="D809" s="182"/>
      <c r="E809" s="53"/>
      <c r="F809" s="54" t="s">
        <v>77</v>
      </c>
      <c r="G809" s="55"/>
      <c r="H809" s="56">
        <v>60</v>
      </c>
      <c r="I809" s="56">
        <v>173</v>
      </c>
      <c r="J809" s="56">
        <v>256</v>
      </c>
      <c r="K809" s="56">
        <v>260</v>
      </c>
      <c r="L809" s="56">
        <v>331</v>
      </c>
      <c r="M809" s="56">
        <v>222</v>
      </c>
      <c r="N809" s="56">
        <v>81</v>
      </c>
      <c r="O809" s="56"/>
      <c r="P809" s="56"/>
      <c r="Q809" s="56"/>
      <c r="R809" s="56">
        <f t="shared" si="122"/>
        <v>1383</v>
      </c>
    </row>
    <row r="810" spans="3:18" ht="13.5" customHeight="1" x14ac:dyDescent="0.15">
      <c r="C810" s="180"/>
      <c r="D810" s="183" t="s">
        <v>78</v>
      </c>
      <c r="E810" s="57"/>
      <c r="F810" s="58" t="s">
        <v>79</v>
      </c>
      <c r="G810" s="59" t="s">
        <v>45</v>
      </c>
      <c r="H810" s="60"/>
      <c r="I810" s="60"/>
      <c r="J810" s="60"/>
      <c r="K810" s="60"/>
      <c r="L810" s="60"/>
      <c r="M810" s="60"/>
      <c r="N810" s="60"/>
      <c r="O810" s="60">
        <v>204</v>
      </c>
      <c r="P810" s="60">
        <v>300</v>
      </c>
      <c r="Q810" s="60">
        <v>156</v>
      </c>
      <c r="R810" s="60">
        <f t="shared" si="122"/>
        <v>660</v>
      </c>
    </row>
    <row r="811" spans="3:18" ht="13.5" customHeight="1" x14ac:dyDescent="0.15">
      <c r="C811" s="180"/>
      <c r="D811" s="181"/>
      <c r="E811" s="46"/>
      <c r="F811" s="50" t="s">
        <v>80</v>
      </c>
      <c r="G811" s="48" t="s">
        <v>47</v>
      </c>
      <c r="H811" s="49"/>
      <c r="I811" s="49"/>
      <c r="J811" s="49"/>
      <c r="K811" s="49"/>
      <c r="L811" s="49"/>
      <c r="M811" s="49"/>
      <c r="N811" s="49"/>
      <c r="O811" s="49">
        <v>204</v>
      </c>
      <c r="P811" s="49">
        <v>264</v>
      </c>
      <c r="Q811" s="49">
        <v>180</v>
      </c>
      <c r="R811" s="49">
        <f t="shared" si="122"/>
        <v>648</v>
      </c>
    </row>
    <row r="812" spans="3:18" ht="13.5" customHeight="1" x14ac:dyDescent="0.15">
      <c r="C812" s="180"/>
      <c r="D812" s="181"/>
      <c r="E812" s="46"/>
      <c r="F812" s="50" t="s">
        <v>48</v>
      </c>
      <c r="G812" s="48" t="s">
        <v>49</v>
      </c>
      <c r="H812" s="49"/>
      <c r="I812" s="49"/>
      <c r="J812" s="49"/>
      <c r="K812" s="49"/>
      <c r="L812" s="49"/>
      <c r="M812" s="49"/>
      <c r="N812" s="49"/>
      <c r="O812" s="49">
        <f>124+53+196+979+427</f>
        <v>1779</v>
      </c>
      <c r="P812" s="49">
        <f>118+51+186+930+406</f>
        <v>1691</v>
      </c>
      <c r="Q812" s="49">
        <f>68+29+108+538+235</f>
        <v>978</v>
      </c>
      <c r="R812" s="49">
        <f t="shared" si="122"/>
        <v>4448</v>
      </c>
    </row>
    <row r="813" spans="3:18" ht="13.5" customHeight="1" x14ac:dyDescent="0.15">
      <c r="C813" s="180"/>
      <c r="D813" s="181"/>
      <c r="E813" s="46"/>
      <c r="F813" s="50" t="s">
        <v>50</v>
      </c>
      <c r="G813" s="48" t="s">
        <v>51</v>
      </c>
      <c r="H813" s="49"/>
      <c r="I813" s="49"/>
      <c r="J813" s="49"/>
      <c r="K813" s="49"/>
      <c r="L813" s="49"/>
      <c r="M813" s="49"/>
      <c r="N813" s="49"/>
      <c r="O813" s="49">
        <f>32+14+51+254+111</f>
        <v>462</v>
      </c>
      <c r="P813" s="49">
        <f>95+41+150+748+326</f>
        <v>1360</v>
      </c>
      <c r="Q813" s="49">
        <f>43+18+67+334+146</f>
        <v>608</v>
      </c>
      <c r="R813" s="49">
        <f t="shared" si="122"/>
        <v>2430</v>
      </c>
    </row>
    <row r="814" spans="3:18" ht="13.5" customHeight="1" x14ac:dyDescent="0.15">
      <c r="C814" s="180"/>
      <c r="D814" s="181"/>
      <c r="E814" s="46"/>
      <c r="F814" s="50" t="s">
        <v>52</v>
      </c>
      <c r="G814" s="48" t="s">
        <v>53</v>
      </c>
      <c r="H814" s="49"/>
      <c r="I814" s="49"/>
      <c r="J814" s="49"/>
      <c r="K814" s="49"/>
      <c r="L814" s="49"/>
      <c r="M814" s="49"/>
      <c r="N814" s="49"/>
      <c r="O814" s="49">
        <v>180</v>
      </c>
      <c r="P814" s="49">
        <v>192</v>
      </c>
      <c r="Q814" s="49">
        <v>120</v>
      </c>
      <c r="R814" s="49">
        <f t="shared" si="122"/>
        <v>492</v>
      </c>
    </row>
    <row r="815" spans="3:18" ht="13.5" customHeight="1" x14ac:dyDescent="0.15">
      <c r="C815" s="180"/>
      <c r="D815" s="181"/>
      <c r="E815" s="46"/>
      <c r="F815" s="50" t="s">
        <v>54</v>
      </c>
      <c r="G815" s="48" t="s">
        <v>55</v>
      </c>
      <c r="H815" s="49"/>
      <c r="I815" s="49"/>
      <c r="J815" s="49"/>
      <c r="K815" s="49"/>
      <c r="L815" s="49"/>
      <c r="M815" s="49"/>
      <c r="N815" s="49"/>
      <c r="O815" s="49">
        <f>89+38+140+701+306</f>
        <v>1274</v>
      </c>
      <c r="P815" s="49">
        <f>99+43+156+779+340</f>
        <v>1417</v>
      </c>
      <c r="Q815" s="49">
        <f>60+25+93+467+204</f>
        <v>849</v>
      </c>
      <c r="R815" s="49">
        <f t="shared" si="122"/>
        <v>3540</v>
      </c>
    </row>
    <row r="816" spans="3:18" ht="13.5" customHeight="1" x14ac:dyDescent="0.15">
      <c r="C816" s="180"/>
      <c r="D816" s="181"/>
      <c r="E816" s="46"/>
      <c r="F816" s="50" t="s">
        <v>56</v>
      </c>
      <c r="G816" s="48" t="s">
        <v>57</v>
      </c>
      <c r="H816" s="49"/>
      <c r="I816" s="49"/>
      <c r="J816" s="49"/>
      <c r="K816" s="49"/>
      <c r="L816" s="49"/>
      <c r="M816" s="49"/>
      <c r="N816" s="49"/>
      <c r="O816" s="49">
        <f>19+10+30+151+66</f>
        <v>276</v>
      </c>
      <c r="P816" s="49">
        <f>57+24+89+444+193</f>
        <v>807</v>
      </c>
      <c r="Q816" s="49">
        <f>37+16+59+293+128</f>
        <v>533</v>
      </c>
      <c r="R816" s="49">
        <f t="shared" si="122"/>
        <v>1616</v>
      </c>
    </row>
    <row r="817" spans="3:18" ht="13.5" customHeight="1" x14ac:dyDescent="0.15">
      <c r="C817" s="180"/>
      <c r="D817" s="181"/>
      <c r="E817" s="46"/>
      <c r="F817" s="51" t="s">
        <v>58</v>
      </c>
      <c r="G817" s="48" t="s">
        <v>59</v>
      </c>
      <c r="H817" s="49"/>
      <c r="I817" s="49"/>
      <c r="J817" s="49"/>
      <c r="K817" s="49"/>
      <c r="L817" s="49"/>
      <c r="M817" s="49"/>
      <c r="N817" s="49"/>
      <c r="O817" s="49">
        <f>76+33+120+598+261</f>
        <v>1088</v>
      </c>
      <c r="P817" s="49">
        <f>85+36+133+664+290</f>
        <v>1208</v>
      </c>
      <c r="Q817" s="49">
        <f>51+22+80+399+174</f>
        <v>726</v>
      </c>
      <c r="R817" s="49">
        <f t="shared" si="122"/>
        <v>3022</v>
      </c>
    </row>
    <row r="818" spans="3:18" ht="13.5" customHeight="1" x14ac:dyDescent="0.15">
      <c r="C818" s="180"/>
      <c r="D818" s="181"/>
      <c r="E818" s="46"/>
      <c r="F818" s="52" t="s">
        <v>60</v>
      </c>
      <c r="G818" s="48" t="s">
        <v>61</v>
      </c>
      <c r="H818" s="49"/>
      <c r="I818" s="49"/>
      <c r="J818" s="49"/>
      <c r="K818" s="49"/>
      <c r="L818" s="49"/>
      <c r="M818" s="49"/>
      <c r="N818" s="49"/>
      <c r="O818" s="49">
        <v>204</v>
      </c>
      <c r="P818" s="49">
        <v>300</v>
      </c>
      <c r="Q818" s="49">
        <v>168</v>
      </c>
      <c r="R818" s="49">
        <f t="shared" si="122"/>
        <v>672</v>
      </c>
    </row>
    <row r="819" spans="3:18" ht="13.5" customHeight="1" x14ac:dyDescent="0.15">
      <c r="C819" s="180"/>
      <c r="D819" s="181"/>
      <c r="E819" s="46"/>
      <c r="F819" s="51" t="s">
        <v>62</v>
      </c>
      <c r="G819" s="48" t="s">
        <v>63</v>
      </c>
      <c r="H819" s="49"/>
      <c r="I819" s="49"/>
      <c r="J819" s="49"/>
      <c r="K819" s="49"/>
      <c r="L819" s="49"/>
      <c r="M819" s="49"/>
      <c r="N819" s="49"/>
      <c r="O819" s="49">
        <v>684</v>
      </c>
      <c r="P819" s="49">
        <v>768</v>
      </c>
      <c r="Q819" s="49">
        <v>456</v>
      </c>
      <c r="R819" s="49">
        <f t="shared" si="122"/>
        <v>1908</v>
      </c>
    </row>
    <row r="820" spans="3:18" ht="13.5" customHeight="1" x14ac:dyDescent="0.15">
      <c r="C820" s="180"/>
      <c r="D820" s="181"/>
      <c r="E820" s="46"/>
      <c r="F820" s="50" t="s">
        <v>64</v>
      </c>
      <c r="G820" s="48" t="s">
        <v>65</v>
      </c>
      <c r="H820" s="49"/>
      <c r="I820" s="49"/>
      <c r="J820" s="49"/>
      <c r="K820" s="49"/>
      <c r="L820" s="49"/>
      <c r="M820" s="49"/>
      <c r="N820" s="49"/>
      <c r="O820" s="49">
        <f>48+21+76+380+166</f>
        <v>691</v>
      </c>
      <c r="P820" s="49">
        <f>73+31+114+570+249</f>
        <v>1037</v>
      </c>
      <c r="Q820" s="49">
        <f>52+22+81+407+178</f>
        <v>740</v>
      </c>
      <c r="R820" s="49">
        <f t="shared" si="122"/>
        <v>2468</v>
      </c>
    </row>
    <row r="821" spans="3:18" ht="13.5" customHeight="1" x14ac:dyDescent="0.15">
      <c r="C821" s="180"/>
      <c r="D821" s="181"/>
      <c r="E821" s="46"/>
      <c r="F821" s="50" t="s">
        <v>66</v>
      </c>
      <c r="G821" s="48" t="s">
        <v>67</v>
      </c>
      <c r="H821" s="49"/>
      <c r="I821" s="49"/>
      <c r="J821" s="49"/>
      <c r="K821" s="49"/>
      <c r="L821" s="49"/>
      <c r="M821" s="49"/>
      <c r="N821" s="49"/>
      <c r="O821" s="49">
        <f>95+41+149+744+325</f>
        <v>1354</v>
      </c>
      <c r="P821" s="49">
        <f>132+57+208+1041+454</f>
        <v>1892</v>
      </c>
      <c r="Q821" s="49">
        <f>88+38+139+694+303</f>
        <v>1262</v>
      </c>
      <c r="R821" s="49">
        <f t="shared" si="122"/>
        <v>4508</v>
      </c>
    </row>
    <row r="822" spans="3:18" ht="13.5" customHeight="1" x14ac:dyDescent="0.15">
      <c r="C822" s="180"/>
      <c r="D822" s="181"/>
      <c r="E822" s="46"/>
      <c r="F822" s="51" t="s">
        <v>68</v>
      </c>
      <c r="G822" s="48" t="s">
        <v>69</v>
      </c>
      <c r="H822" s="49"/>
      <c r="I822" s="49"/>
      <c r="J822" s="49"/>
      <c r="K822" s="49"/>
      <c r="L822" s="49"/>
      <c r="M822" s="49"/>
      <c r="N822" s="49"/>
      <c r="O822" s="49">
        <f>32+14+50+252+110</f>
        <v>458</v>
      </c>
      <c r="P822" s="49">
        <f>53+23+84+420+183</f>
        <v>763</v>
      </c>
      <c r="Q822" s="49">
        <f>33+14+52+261+114</f>
        <v>474</v>
      </c>
      <c r="R822" s="49">
        <f t="shared" si="122"/>
        <v>1695</v>
      </c>
    </row>
    <row r="823" spans="3:18" ht="13.5" customHeight="1" x14ac:dyDescent="0.15">
      <c r="C823" s="180"/>
      <c r="D823" s="181"/>
      <c r="E823" s="46"/>
      <c r="F823" s="51" t="s">
        <v>70</v>
      </c>
      <c r="G823" s="48" t="s">
        <v>71</v>
      </c>
      <c r="H823" s="49"/>
      <c r="I823" s="49"/>
      <c r="J823" s="49"/>
      <c r="K823" s="49"/>
      <c r="L823" s="49"/>
      <c r="M823" s="49"/>
      <c r="N823" s="49"/>
      <c r="O823" s="49">
        <f>40+17+64+318+139</f>
        <v>578</v>
      </c>
      <c r="P823" s="49">
        <f>61+26+95+477+208</f>
        <v>867</v>
      </c>
      <c r="Q823" s="49">
        <f>34+15+53+265+116</f>
        <v>483</v>
      </c>
      <c r="R823" s="49">
        <f t="shared" si="122"/>
        <v>1928</v>
      </c>
    </row>
    <row r="824" spans="3:18" x14ac:dyDescent="0.15">
      <c r="C824" s="180"/>
      <c r="D824" s="181"/>
      <c r="E824" s="46"/>
      <c r="F824" s="47" t="s">
        <v>72</v>
      </c>
      <c r="G824" s="48" t="s">
        <v>73</v>
      </c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>
        <f t="shared" ref="R824" si="124">SUM(H824:Q824)</f>
        <v>0</v>
      </c>
    </row>
    <row r="825" spans="3:18" x14ac:dyDescent="0.15">
      <c r="C825" s="180"/>
      <c r="D825" s="181"/>
      <c r="E825" s="46"/>
      <c r="F825" s="47" t="s">
        <v>74</v>
      </c>
      <c r="G825" s="48" t="s">
        <v>75</v>
      </c>
      <c r="H825" s="49"/>
      <c r="I825" s="49"/>
      <c r="J825" s="49"/>
      <c r="K825" s="49"/>
      <c r="L825" s="49"/>
      <c r="M825" s="49"/>
      <c r="N825" s="49"/>
      <c r="O825" s="49">
        <v>300</v>
      </c>
      <c r="P825" s="49">
        <v>360</v>
      </c>
      <c r="Q825" s="49">
        <v>276</v>
      </c>
      <c r="R825" s="49">
        <f t="shared" ref="R825:R826" si="125">SUM(H825:Q825)</f>
        <v>936</v>
      </c>
    </row>
    <row r="826" spans="3:18" x14ac:dyDescent="0.15">
      <c r="C826" s="180"/>
      <c r="D826" s="181"/>
      <c r="E826" s="46"/>
      <c r="F826" s="47" t="s">
        <v>76</v>
      </c>
      <c r="G826" s="48"/>
      <c r="H826" s="49"/>
      <c r="I826" s="49"/>
      <c r="J826" s="49"/>
      <c r="K826" s="49"/>
      <c r="L826" s="49"/>
      <c r="M826" s="49"/>
      <c r="N826" s="49"/>
      <c r="O826" s="49">
        <v>236</v>
      </c>
      <c r="P826" s="49">
        <v>368</v>
      </c>
      <c r="Q826" s="49">
        <v>233</v>
      </c>
      <c r="R826" s="49">
        <f t="shared" si="125"/>
        <v>837</v>
      </c>
    </row>
    <row r="827" spans="3:18" ht="14.25" thickBot="1" x14ac:dyDescent="0.2">
      <c r="C827" s="180"/>
      <c r="D827" s="184"/>
      <c r="E827" s="61"/>
      <c r="F827" s="62" t="s">
        <v>77</v>
      </c>
      <c r="G827" s="63"/>
      <c r="H827" s="64"/>
      <c r="I827" s="64"/>
      <c r="J827" s="64"/>
      <c r="K827" s="64"/>
      <c r="L827" s="64"/>
      <c r="M827" s="64"/>
      <c r="N827" s="64"/>
      <c r="O827" s="64">
        <v>72</v>
      </c>
      <c r="P827" s="64">
        <v>89</v>
      </c>
      <c r="Q827" s="64">
        <v>57</v>
      </c>
      <c r="R827" s="64">
        <f t="shared" si="122"/>
        <v>218</v>
      </c>
    </row>
    <row r="828" spans="3:18" ht="13.5" customHeight="1" x14ac:dyDescent="0.15">
      <c r="C828" s="180"/>
      <c r="D828" s="185" t="s">
        <v>81</v>
      </c>
      <c r="E828" s="65"/>
      <c r="F828" s="66" t="s">
        <v>79</v>
      </c>
      <c r="G828" s="67" t="s">
        <v>45</v>
      </c>
      <c r="H828" s="68"/>
      <c r="I828" s="68"/>
      <c r="J828" s="68">
        <v>48</v>
      </c>
      <c r="K828" s="68">
        <v>60</v>
      </c>
      <c r="L828" s="68">
        <v>72</v>
      </c>
      <c r="M828" s="68">
        <v>60</v>
      </c>
      <c r="N828" s="68"/>
      <c r="O828" s="68"/>
      <c r="P828" s="68"/>
      <c r="Q828" s="68"/>
      <c r="R828" s="68">
        <f t="shared" si="122"/>
        <v>240</v>
      </c>
    </row>
    <row r="829" spans="3:18" ht="13.5" customHeight="1" x14ac:dyDescent="0.15">
      <c r="C829" s="180"/>
      <c r="D829" s="181"/>
      <c r="E829" s="46"/>
      <c r="F829" s="50" t="s">
        <v>80</v>
      </c>
      <c r="G829" s="48" t="s">
        <v>47</v>
      </c>
      <c r="H829" s="49"/>
      <c r="I829" s="49"/>
      <c r="J829" s="49">
        <v>48</v>
      </c>
      <c r="K829" s="49">
        <v>96</v>
      </c>
      <c r="L829" s="49">
        <v>144</v>
      </c>
      <c r="M829" s="49">
        <v>72</v>
      </c>
      <c r="N829" s="49"/>
      <c r="O829" s="49"/>
      <c r="P829" s="49"/>
      <c r="Q829" s="49"/>
      <c r="R829" s="49">
        <f t="shared" si="122"/>
        <v>360</v>
      </c>
    </row>
    <row r="830" spans="3:18" ht="13.5" customHeight="1" x14ac:dyDescent="0.15">
      <c r="C830" s="180"/>
      <c r="D830" s="181"/>
      <c r="E830" s="46"/>
      <c r="F830" s="50" t="s">
        <v>48</v>
      </c>
      <c r="G830" s="48" t="s">
        <v>49</v>
      </c>
      <c r="H830" s="49"/>
      <c r="I830" s="49"/>
      <c r="J830" s="49">
        <f>36+15+57+283+124</f>
        <v>515</v>
      </c>
      <c r="K830" s="49">
        <f>63+27+99+496+216</f>
        <v>901</v>
      </c>
      <c r="L830" s="49">
        <f>65+28+102+510+222</f>
        <v>927</v>
      </c>
      <c r="M830" s="49">
        <f>16+10+25+128+56</f>
        <v>235</v>
      </c>
      <c r="N830" s="49"/>
      <c r="O830" s="49"/>
      <c r="P830" s="49"/>
      <c r="Q830" s="49"/>
      <c r="R830" s="49">
        <f t="shared" si="122"/>
        <v>2578</v>
      </c>
    </row>
    <row r="831" spans="3:18" ht="13.5" customHeight="1" x14ac:dyDescent="0.15">
      <c r="C831" s="180"/>
      <c r="D831" s="181"/>
      <c r="E831" s="46"/>
      <c r="F831" s="50" t="s">
        <v>50</v>
      </c>
      <c r="G831" s="48" t="s">
        <v>51</v>
      </c>
      <c r="H831" s="49"/>
      <c r="I831" s="49"/>
      <c r="J831" s="49">
        <f>10+10+17+82+36</f>
        <v>155</v>
      </c>
      <c r="K831" s="49">
        <f>23+10+36+179+78</f>
        <v>326</v>
      </c>
      <c r="L831" s="49">
        <f>35+15+55+275+120</f>
        <v>500</v>
      </c>
      <c r="M831" s="49">
        <f>20+10+32+158+69</f>
        <v>289</v>
      </c>
      <c r="N831" s="49"/>
      <c r="O831" s="49"/>
      <c r="P831" s="49"/>
      <c r="Q831" s="49"/>
      <c r="R831" s="49">
        <f t="shared" si="122"/>
        <v>1270</v>
      </c>
    </row>
    <row r="832" spans="3:18" ht="13.5" customHeight="1" x14ac:dyDescent="0.15">
      <c r="C832" s="180"/>
      <c r="D832" s="181"/>
      <c r="E832" s="46"/>
      <c r="F832" s="50" t="s">
        <v>52</v>
      </c>
      <c r="G832" s="48" t="s">
        <v>53</v>
      </c>
      <c r="H832" s="49"/>
      <c r="I832" s="49"/>
      <c r="J832" s="49">
        <v>132</v>
      </c>
      <c r="K832" s="49">
        <v>180</v>
      </c>
      <c r="L832" s="49">
        <v>120</v>
      </c>
      <c r="M832" s="49">
        <v>36</v>
      </c>
      <c r="N832" s="49"/>
      <c r="O832" s="49"/>
      <c r="P832" s="49"/>
      <c r="Q832" s="49"/>
      <c r="R832" s="49">
        <f t="shared" si="122"/>
        <v>468</v>
      </c>
    </row>
    <row r="833" spans="3:20" ht="13.5" customHeight="1" x14ac:dyDescent="0.15">
      <c r="C833" s="180"/>
      <c r="D833" s="181"/>
      <c r="E833" s="46"/>
      <c r="F833" s="50" t="s">
        <v>54</v>
      </c>
      <c r="G833" s="48" t="s">
        <v>55</v>
      </c>
      <c r="H833" s="49"/>
      <c r="I833" s="49"/>
      <c r="J833" s="49">
        <f>25+10+38+192+84</f>
        <v>349</v>
      </c>
      <c r="K833" s="49">
        <f>40+17+63+314+137</f>
        <v>571</v>
      </c>
      <c r="L833" s="49">
        <f>44+19+69+344+150</f>
        <v>626</v>
      </c>
      <c r="M833" s="49">
        <f>21+10+32+162+71</f>
        <v>296</v>
      </c>
      <c r="N833" s="49"/>
      <c r="O833" s="49"/>
      <c r="P833" s="49"/>
      <c r="Q833" s="49"/>
      <c r="R833" s="49">
        <f t="shared" si="122"/>
        <v>1842</v>
      </c>
    </row>
    <row r="834" spans="3:20" ht="13.5" customHeight="1" x14ac:dyDescent="0.15">
      <c r="C834" s="180"/>
      <c r="D834" s="181"/>
      <c r="E834" s="46"/>
      <c r="F834" s="50" t="s">
        <v>56</v>
      </c>
      <c r="G834" s="48" t="s">
        <v>57</v>
      </c>
      <c r="H834" s="49"/>
      <c r="I834" s="49"/>
      <c r="J834" s="49">
        <f>10+10+33+14</f>
        <v>67</v>
      </c>
      <c r="K834" s="49">
        <f>17+19+94+41</f>
        <v>171</v>
      </c>
      <c r="L834" s="49">
        <f>41+45+226+99</f>
        <v>411</v>
      </c>
      <c r="M834" s="49">
        <f>20+23+113+49</f>
        <v>205</v>
      </c>
      <c r="N834" s="49"/>
      <c r="O834" s="49"/>
      <c r="P834" s="49"/>
      <c r="Q834" s="49"/>
      <c r="R834" s="49">
        <f t="shared" si="122"/>
        <v>854</v>
      </c>
    </row>
    <row r="835" spans="3:20" ht="13.5" customHeight="1" x14ac:dyDescent="0.15">
      <c r="C835" s="180"/>
      <c r="D835" s="181"/>
      <c r="E835" s="46"/>
      <c r="F835" s="51" t="s">
        <v>58</v>
      </c>
      <c r="G835" s="48" t="s">
        <v>59</v>
      </c>
      <c r="H835" s="49"/>
      <c r="I835" s="49"/>
      <c r="J835" s="49">
        <f>21+10+33+166+73</f>
        <v>303</v>
      </c>
      <c r="K835" s="49">
        <f>34+15+54+271+118</f>
        <v>492</v>
      </c>
      <c r="L835" s="49">
        <f>38+16+59+297+130</f>
        <v>540</v>
      </c>
      <c r="M835" s="49">
        <f>18+10+28+140+61</f>
        <v>257</v>
      </c>
      <c r="N835" s="49"/>
      <c r="O835" s="49"/>
      <c r="P835" s="49"/>
      <c r="Q835" s="49"/>
      <c r="R835" s="49">
        <f t="shared" si="122"/>
        <v>1592</v>
      </c>
    </row>
    <row r="836" spans="3:20" ht="13.5" customHeight="1" x14ac:dyDescent="0.15">
      <c r="C836" s="180"/>
      <c r="D836" s="181"/>
      <c r="E836" s="46"/>
      <c r="F836" s="52" t="s">
        <v>60</v>
      </c>
      <c r="G836" s="48" t="s">
        <v>61</v>
      </c>
      <c r="H836" s="49"/>
      <c r="I836" s="49"/>
      <c r="J836" s="49">
        <v>36</v>
      </c>
      <c r="K836" s="49">
        <v>72</v>
      </c>
      <c r="L836" s="49">
        <v>120</v>
      </c>
      <c r="M836" s="49">
        <v>60</v>
      </c>
      <c r="N836" s="49"/>
      <c r="O836" s="49"/>
      <c r="P836" s="49"/>
      <c r="Q836" s="49"/>
      <c r="R836" s="49">
        <f t="shared" si="122"/>
        <v>288</v>
      </c>
    </row>
    <row r="837" spans="3:20" ht="13.5" customHeight="1" x14ac:dyDescent="0.15">
      <c r="C837" s="180"/>
      <c r="D837" s="181"/>
      <c r="E837" s="46"/>
      <c r="F837" s="51" t="s">
        <v>62</v>
      </c>
      <c r="G837" s="48" t="s">
        <v>63</v>
      </c>
      <c r="H837" s="49"/>
      <c r="I837" s="49"/>
      <c r="J837" s="49">
        <v>120</v>
      </c>
      <c r="K837" s="49">
        <v>300</v>
      </c>
      <c r="L837" s="49">
        <v>204</v>
      </c>
      <c r="M837" s="49">
        <v>180</v>
      </c>
      <c r="N837" s="49"/>
      <c r="O837" s="49"/>
      <c r="P837" s="49"/>
      <c r="Q837" s="49"/>
      <c r="R837" s="49">
        <f t="shared" si="122"/>
        <v>804</v>
      </c>
    </row>
    <row r="838" spans="3:20" ht="13.5" customHeight="1" x14ac:dyDescent="0.15">
      <c r="C838" s="180"/>
      <c r="D838" s="181"/>
      <c r="E838" s="46"/>
      <c r="F838" s="50" t="s">
        <v>64</v>
      </c>
      <c r="G838" s="48" t="s">
        <v>65</v>
      </c>
      <c r="H838" s="49"/>
      <c r="I838" s="49"/>
      <c r="J838" s="49">
        <f>15+10+24+118+52</f>
        <v>219</v>
      </c>
      <c r="K838" s="49">
        <f>39+16+61+303+132</f>
        <v>551</v>
      </c>
      <c r="L838" s="49">
        <f>26+11+41+207+90</f>
        <v>375</v>
      </c>
      <c r="M838" s="49">
        <f>14+10+22+111+48</f>
        <v>205</v>
      </c>
      <c r="N838" s="49"/>
      <c r="O838" s="49"/>
      <c r="P838" s="49"/>
      <c r="Q838" s="49"/>
      <c r="R838" s="49">
        <f t="shared" si="122"/>
        <v>1350</v>
      </c>
    </row>
    <row r="839" spans="3:20" ht="13.5" customHeight="1" x14ac:dyDescent="0.15">
      <c r="C839" s="180"/>
      <c r="D839" s="181"/>
      <c r="E839" s="46"/>
      <c r="F839" s="50" t="s">
        <v>66</v>
      </c>
      <c r="G839" s="48" t="s">
        <v>67</v>
      </c>
      <c r="H839" s="49"/>
      <c r="I839" s="49"/>
      <c r="J839" s="49">
        <f>22+10+35+174+76</f>
        <v>317</v>
      </c>
      <c r="K839" s="49">
        <f>47+20+74+372+162</f>
        <v>675</v>
      </c>
      <c r="L839" s="49">
        <f>60+26+94+471+206</f>
        <v>857</v>
      </c>
      <c r="M839" s="49">
        <f>28+12+45+223+97</f>
        <v>405</v>
      </c>
      <c r="N839" s="49"/>
      <c r="O839" s="49"/>
      <c r="P839" s="49"/>
      <c r="Q839" s="49"/>
      <c r="R839" s="49">
        <f t="shared" si="122"/>
        <v>2254</v>
      </c>
    </row>
    <row r="840" spans="3:20" x14ac:dyDescent="0.15">
      <c r="C840" s="180"/>
      <c r="D840" s="181"/>
      <c r="E840" s="46"/>
      <c r="F840" s="51" t="s">
        <v>68</v>
      </c>
      <c r="G840" s="48" t="s">
        <v>69</v>
      </c>
      <c r="H840" s="49"/>
      <c r="I840" s="49"/>
      <c r="J840" s="49">
        <f>14+13+65+29</f>
        <v>121</v>
      </c>
      <c r="K840" s="49">
        <f>26+28+142+62</f>
        <v>258</v>
      </c>
      <c r="L840" s="49">
        <f>36+39+196+86</f>
        <v>357</v>
      </c>
      <c r="M840" s="49">
        <f>24+27+136+60</f>
        <v>247</v>
      </c>
      <c r="N840" s="49"/>
      <c r="O840" s="49"/>
      <c r="P840" s="49"/>
      <c r="Q840" s="49"/>
      <c r="R840" s="49">
        <f t="shared" si="122"/>
        <v>983</v>
      </c>
    </row>
    <row r="841" spans="3:20" ht="13.5" customHeight="1" x14ac:dyDescent="0.15">
      <c r="C841" s="180"/>
      <c r="D841" s="181"/>
      <c r="E841" s="46"/>
      <c r="F841" s="51" t="s">
        <v>70</v>
      </c>
      <c r="G841" s="48" t="s">
        <v>71</v>
      </c>
      <c r="H841" s="49"/>
      <c r="I841" s="49"/>
      <c r="J841" s="49">
        <f>16+18+90+39</f>
        <v>163</v>
      </c>
      <c r="K841" s="49">
        <f>19+21+103+45</f>
        <v>188</v>
      </c>
      <c r="L841" s="49">
        <f>27+30+148+65</f>
        <v>270</v>
      </c>
      <c r="M841" s="49">
        <f>20+22+108+47</f>
        <v>197</v>
      </c>
      <c r="N841" s="49"/>
      <c r="O841" s="49"/>
      <c r="P841" s="49"/>
      <c r="Q841" s="49"/>
      <c r="R841" s="49">
        <f t="shared" si="122"/>
        <v>818</v>
      </c>
    </row>
    <row r="842" spans="3:20" x14ac:dyDescent="0.15">
      <c r="C842" s="180"/>
      <c r="D842" s="181"/>
      <c r="E842" s="46"/>
      <c r="F842" s="47" t="s">
        <v>72</v>
      </c>
      <c r="G842" s="48" t="s">
        <v>73</v>
      </c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>
        <f t="shared" ref="R842" si="126">SUM(H842:Q842)</f>
        <v>0</v>
      </c>
      <c r="T842" s="69">
        <f>SUM(G791:Q950)</f>
        <v>217452</v>
      </c>
    </row>
    <row r="843" spans="3:20" x14ac:dyDescent="0.15">
      <c r="C843" s="180"/>
      <c r="D843" s="181"/>
      <c r="E843" s="46"/>
      <c r="F843" s="47" t="s">
        <v>74</v>
      </c>
      <c r="G843" s="48" t="s">
        <v>75</v>
      </c>
      <c r="H843" s="49"/>
      <c r="I843" s="49"/>
      <c r="J843" s="49">
        <v>60</v>
      </c>
      <c r="K843" s="49">
        <v>192</v>
      </c>
      <c r="L843" s="49">
        <v>156</v>
      </c>
      <c r="M843" s="49">
        <v>72</v>
      </c>
      <c r="N843" s="49"/>
      <c r="O843" s="49"/>
      <c r="P843" s="49"/>
      <c r="Q843" s="49"/>
      <c r="R843" s="49">
        <f t="shared" ref="R843:R845" si="127">SUM(H843:Q843)</f>
        <v>480</v>
      </c>
      <c r="T843" s="69">
        <f>SUM(G791:Q951)</f>
        <v>217452</v>
      </c>
    </row>
    <row r="844" spans="3:20" x14ac:dyDescent="0.15">
      <c r="C844" s="180"/>
      <c r="D844" s="181"/>
      <c r="E844" s="46"/>
      <c r="F844" s="47" t="s">
        <v>76</v>
      </c>
      <c r="G844" s="48"/>
      <c r="H844" s="49"/>
      <c r="I844" s="49"/>
      <c r="J844" s="49">
        <v>70</v>
      </c>
      <c r="K844" s="49">
        <v>116</v>
      </c>
      <c r="L844" s="49">
        <v>173</v>
      </c>
      <c r="M844" s="49">
        <v>127</v>
      </c>
      <c r="N844" s="49"/>
      <c r="O844" s="49"/>
      <c r="P844" s="49"/>
      <c r="Q844" s="49"/>
      <c r="R844" s="49">
        <f t="shared" si="127"/>
        <v>486</v>
      </c>
      <c r="T844" s="69">
        <f>SUM(G791:Q952)</f>
        <v>217452</v>
      </c>
    </row>
    <row r="845" spans="3:20" ht="14.25" thickBot="1" x14ac:dyDescent="0.2">
      <c r="C845" s="180"/>
      <c r="D845" s="182"/>
      <c r="E845" s="53"/>
      <c r="F845" s="54" t="s">
        <v>77</v>
      </c>
      <c r="G845" s="55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>
        <f t="shared" si="127"/>
        <v>0</v>
      </c>
      <c r="T845" s="69">
        <f>SUM(G792:Q954)</f>
        <v>217893</v>
      </c>
    </row>
    <row r="846" spans="3:20" ht="13.5" customHeight="1" x14ac:dyDescent="0.15">
      <c r="C846" s="180"/>
      <c r="D846" s="183" t="s">
        <v>82</v>
      </c>
      <c r="E846" s="57"/>
      <c r="F846" s="58" t="s">
        <v>44</v>
      </c>
      <c r="G846" s="59" t="s">
        <v>45</v>
      </c>
      <c r="H846" s="60">
        <v>20</v>
      </c>
      <c r="I846" s="60">
        <v>39</v>
      </c>
      <c r="J846" s="60">
        <v>73</v>
      </c>
      <c r="K846" s="60">
        <v>95</v>
      </c>
      <c r="L846" s="60">
        <v>148</v>
      </c>
      <c r="M846" s="60">
        <v>116</v>
      </c>
      <c r="N846" s="60"/>
      <c r="O846" s="60"/>
      <c r="P846" s="60"/>
      <c r="Q846" s="60"/>
      <c r="R846" s="60">
        <f t="shared" si="122"/>
        <v>491</v>
      </c>
      <c r="T846" s="10">
        <f>SUM(H846:Q1009)</f>
        <v>291563</v>
      </c>
    </row>
    <row r="847" spans="3:20" ht="13.5" customHeight="1" x14ac:dyDescent="0.15">
      <c r="C847" s="180"/>
      <c r="D847" s="181"/>
      <c r="E847" s="46"/>
      <c r="F847" s="50" t="s">
        <v>46</v>
      </c>
      <c r="G847" s="48" t="s">
        <v>47</v>
      </c>
      <c r="H847" s="49">
        <v>10</v>
      </c>
      <c r="I847" s="49">
        <v>13</v>
      </c>
      <c r="J847" s="49">
        <v>25</v>
      </c>
      <c r="K847" s="49">
        <v>33</v>
      </c>
      <c r="L847" s="49">
        <v>52</v>
      </c>
      <c r="M847" s="49">
        <v>40</v>
      </c>
      <c r="N847" s="49"/>
      <c r="O847" s="49"/>
      <c r="P847" s="49"/>
      <c r="Q847" s="49"/>
      <c r="R847" s="49">
        <f t="shared" si="122"/>
        <v>173</v>
      </c>
    </row>
    <row r="848" spans="3:20" ht="13.5" customHeight="1" x14ac:dyDescent="0.15">
      <c r="C848" s="180"/>
      <c r="D848" s="181"/>
      <c r="E848" s="46"/>
      <c r="F848" s="50" t="s">
        <v>48</v>
      </c>
      <c r="G848" s="48" t="s">
        <v>49</v>
      </c>
      <c r="H848" s="49">
        <f>12+10</f>
        <v>22</v>
      </c>
      <c r="I848" s="49">
        <f>23+13</f>
        <v>36</v>
      </c>
      <c r="J848" s="49">
        <f>43+25</f>
        <v>68</v>
      </c>
      <c r="K848" s="49">
        <f>56+33</f>
        <v>89</v>
      </c>
      <c r="L848" s="49">
        <f>88+52</f>
        <v>140</v>
      </c>
      <c r="M848" s="49">
        <f>69+40</f>
        <v>109</v>
      </c>
      <c r="N848" s="49">
        <f>0</f>
        <v>0</v>
      </c>
      <c r="O848" s="49"/>
      <c r="P848" s="49"/>
      <c r="Q848" s="49"/>
      <c r="R848" s="49">
        <f t="shared" si="122"/>
        <v>464</v>
      </c>
    </row>
    <row r="849" spans="3:21" ht="13.5" customHeight="1" x14ac:dyDescent="0.15">
      <c r="C849" s="180"/>
      <c r="D849" s="181"/>
      <c r="E849" s="46"/>
      <c r="F849" s="50" t="s">
        <v>50</v>
      </c>
      <c r="G849" s="48" t="s">
        <v>51</v>
      </c>
      <c r="H849" s="49">
        <f>18+10</f>
        <v>28</v>
      </c>
      <c r="I849" s="49">
        <f>34+13</f>
        <v>47</v>
      </c>
      <c r="J849" s="49">
        <f>65+25</f>
        <v>90</v>
      </c>
      <c r="K849" s="49">
        <f>84+33</f>
        <v>117</v>
      </c>
      <c r="L849" s="49">
        <f>132+52</f>
        <v>184</v>
      </c>
      <c r="M849" s="49">
        <f>103+40</f>
        <v>143</v>
      </c>
      <c r="N849" s="49">
        <f>0</f>
        <v>0</v>
      </c>
      <c r="O849" s="49"/>
      <c r="P849" s="49"/>
      <c r="Q849" s="49"/>
      <c r="R849" s="49">
        <f t="shared" si="122"/>
        <v>609</v>
      </c>
      <c r="U849" s="2">
        <v>962</v>
      </c>
    </row>
    <row r="850" spans="3:21" ht="13.5" customHeight="1" x14ac:dyDescent="0.15">
      <c r="C850" s="180"/>
      <c r="D850" s="181"/>
      <c r="E850" s="46"/>
      <c r="F850" s="50" t="s">
        <v>52</v>
      </c>
      <c r="G850" s="48" t="s">
        <v>53</v>
      </c>
      <c r="H850" s="49">
        <v>10</v>
      </c>
      <c r="I850" s="49">
        <v>13</v>
      </c>
      <c r="J850" s="49">
        <v>25</v>
      </c>
      <c r="K850" s="49">
        <v>33</v>
      </c>
      <c r="L850" s="49">
        <v>52</v>
      </c>
      <c r="M850" s="49">
        <v>40</v>
      </c>
      <c r="N850" s="49"/>
      <c r="O850" s="49"/>
      <c r="P850" s="49"/>
      <c r="Q850" s="49"/>
      <c r="R850" s="49">
        <f t="shared" si="122"/>
        <v>173</v>
      </c>
      <c r="U850" s="2">
        <v>2354</v>
      </c>
    </row>
    <row r="851" spans="3:21" ht="13.5" customHeight="1" x14ac:dyDescent="0.15">
      <c r="C851" s="180"/>
      <c r="D851" s="181"/>
      <c r="E851" s="46"/>
      <c r="F851" s="50" t="s">
        <v>54</v>
      </c>
      <c r="G851" s="48" t="s">
        <v>55</v>
      </c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>
        <f t="shared" si="122"/>
        <v>0</v>
      </c>
    </row>
    <row r="852" spans="3:21" ht="13.5" customHeight="1" x14ac:dyDescent="0.15">
      <c r="C852" s="180"/>
      <c r="D852" s="181"/>
      <c r="E852" s="46"/>
      <c r="F852" s="50" t="s">
        <v>56</v>
      </c>
      <c r="G852" s="48" t="s">
        <v>57</v>
      </c>
      <c r="H852" s="49">
        <f>20+10</f>
        <v>30</v>
      </c>
      <c r="I852" s="49">
        <f>38+13</f>
        <v>51</v>
      </c>
      <c r="J852" s="49">
        <f>72+25</f>
        <v>97</v>
      </c>
      <c r="K852" s="49">
        <f>94+33</f>
        <v>127</v>
      </c>
      <c r="L852" s="49">
        <f>147+52</f>
        <v>199</v>
      </c>
      <c r="M852" s="49">
        <f>115+40</f>
        <v>155</v>
      </c>
      <c r="N852" s="49">
        <f>0</f>
        <v>0</v>
      </c>
      <c r="O852" s="49"/>
      <c r="P852" s="49"/>
      <c r="Q852" s="49"/>
      <c r="R852" s="49">
        <f t="shared" si="122"/>
        <v>659</v>
      </c>
    </row>
    <row r="853" spans="3:21" ht="13.5" customHeight="1" x14ac:dyDescent="0.15">
      <c r="C853" s="180"/>
      <c r="D853" s="181"/>
      <c r="E853" s="46"/>
      <c r="F853" s="51" t="s">
        <v>58</v>
      </c>
      <c r="G853" s="48" t="s">
        <v>59</v>
      </c>
      <c r="H853" s="49">
        <f>23+10</f>
        <v>33</v>
      </c>
      <c r="I853" s="49">
        <f>44+17</f>
        <v>61</v>
      </c>
      <c r="J853" s="49">
        <f>83+32</f>
        <v>115</v>
      </c>
      <c r="K853" s="49">
        <f>108+41</f>
        <v>149</v>
      </c>
      <c r="L853" s="49">
        <f>169+65</f>
        <v>234</v>
      </c>
      <c r="M853" s="49">
        <f>132+51</f>
        <v>183</v>
      </c>
      <c r="N853" s="49">
        <f>0</f>
        <v>0</v>
      </c>
      <c r="O853" s="49"/>
      <c r="P853" s="49"/>
      <c r="Q853" s="49"/>
      <c r="R853" s="49">
        <f t="shared" si="122"/>
        <v>775</v>
      </c>
    </row>
    <row r="854" spans="3:21" ht="13.5" customHeight="1" x14ac:dyDescent="0.15">
      <c r="C854" s="180"/>
      <c r="D854" s="181"/>
      <c r="E854" s="46"/>
      <c r="F854" s="52" t="s">
        <v>60</v>
      </c>
      <c r="G854" s="48" t="s">
        <v>61</v>
      </c>
      <c r="H854" s="49">
        <v>18</v>
      </c>
      <c r="I854" s="49">
        <v>34</v>
      </c>
      <c r="J854" s="49">
        <v>64</v>
      </c>
      <c r="K854" s="49">
        <v>83</v>
      </c>
      <c r="L854" s="49">
        <v>130</v>
      </c>
      <c r="M854" s="49">
        <v>101</v>
      </c>
      <c r="N854" s="49"/>
      <c r="O854" s="49"/>
      <c r="P854" s="49"/>
      <c r="Q854" s="49"/>
      <c r="R854" s="49">
        <f t="shared" si="122"/>
        <v>430</v>
      </c>
    </row>
    <row r="855" spans="3:21" ht="13.5" customHeight="1" x14ac:dyDescent="0.15">
      <c r="C855" s="180"/>
      <c r="D855" s="181"/>
      <c r="E855" s="46"/>
      <c r="F855" s="51" t="s">
        <v>62</v>
      </c>
      <c r="G855" s="48" t="s">
        <v>63</v>
      </c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>
        <f t="shared" si="122"/>
        <v>0</v>
      </c>
    </row>
    <row r="856" spans="3:21" ht="13.5" customHeight="1" x14ac:dyDescent="0.15">
      <c r="C856" s="180"/>
      <c r="D856" s="181"/>
      <c r="E856" s="46"/>
      <c r="F856" s="50" t="s">
        <v>64</v>
      </c>
      <c r="G856" s="48" t="s">
        <v>65</v>
      </c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>
        <f t="shared" si="122"/>
        <v>0</v>
      </c>
    </row>
    <row r="857" spans="3:21" ht="13.5" customHeight="1" x14ac:dyDescent="0.15">
      <c r="C857" s="180"/>
      <c r="D857" s="181"/>
      <c r="E857" s="46"/>
      <c r="F857" s="50" t="s">
        <v>66</v>
      </c>
      <c r="G857" s="48" t="s">
        <v>67</v>
      </c>
      <c r="H857" s="49">
        <f>10</f>
        <v>10</v>
      </c>
      <c r="I857" s="49">
        <f>18</f>
        <v>18</v>
      </c>
      <c r="J857" s="49">
        <f>34</f>
        <v>34</v>
      </c>
      <c r="K857" s="49">
        <f>45</f>
        <v>45</v>
      </c>
      <c r="L857" s="49">
        <f>70</f>
        <v>70</v>
      </c>
      <c r="M857" s="49">
        <f>55</f>
        <v>55</v>
      </c>
      <c r="N857" s="49">
        <f>0</f>
        <v>0</v>
      </c>
      <c r="O857" s="49"/>
      <c r="P857" s="49"/>
      <c r="Q857" s="49"/>
      <c r="R857" s="49">
        <f t="shared" si="122"/>
        <v>232</v>
      </c>
    </row>
    <row r="858" spans="3:21" x14ac:dyDescent="0.15">
      <c r="C858" s="180"/>
      <c r="D858" s="181"/>
      <c r="E858" s="46"/>
      <c r="F858" s="51" t="s">
        <v>68</v>
      </c>
      <c r="G858" s="48" t="s">
        <v>69</v>
      </c>
      <c r="H858" s="49">
        <f>12+0</f>
        <v>12</v>
      </c>
      <c r="I858" s="49">
        <f>15+10</f>
        <v>25</v>
      </c>
      <c r="J858" s="49">
        <f>29+16</f>
        <v>45</v>
      </c>
      <c r="K858" s="49">
        <f>38+21</f>
        <v>59</v>
      </c>
      <c r="L858" s="49">
        <f>59+32</f>
        <v>91</v>
      </c>
      <c r="M858" s="49">
        <f>46+25</f>
        <v>71</v>
      </c>
      <c r="N858" s="49">
        <f>0</f>
        <v>0</v>
      </c>
      <c r="O858" s="49"/>
      <c r="P858" s="49"/>
      <c r="Q858" s="49"/>
      <c r="R858" s="49">
        <f>SUM(H858:Q858)</f>
        <v>303</v>
      </c>
    </row>
    <row r="859" spans="3:21" ht="13.5" customHeight="1" x14ac:dyDescent="0.15">
      <c r="C859" s="180"/>
      <c r="D859" s="181"/>
      <c r="E859" s="46"/>
      <c r="F859" s="51" t="s">
        <v>70</v>
      </c>
      <c r="G859" s="48" t="s">
        <v>71</v>
      </c>
      <c r="H859" s="49">
        <f>11+0</f>
        <v>11</v>
      </c>
      <c r="I859" s="49">
        <f>11+10</f>
        <v>21</v>
      </c>
      <c r="J859" s="49">
        <f>22+19</f>
        <v>41</v>
      </c>
      <c r="K859" s="49">
        <f>28+25</f>
        <v>53</v>
      </c>
      <c r="L859" s="49">
        <f>44+39</f>
        <v>83</v>
      </c>
      <c r="M859" s="49">
        <f>35+30</f>
        <v>65</v>
      </c>
      <c r="N859" s="49">
        <f>0</f>
        <v>0</v>
      </c>
      <c r="O859" s="49"/>
      <c r="P859" s="49"/>
      <c r="Q859" s="49"/>
      <c r="R859" s="49">
        <f t="shared" ref="R859:R875" si="128">SUM(H859:Q859)</f>
        <v>274</v>
      </c>
    </row>
    <row r="860" spans="3:21" x14ac:dyDescent="0.15">
      <c r="C860" s="180"/>
      <c r="D860" s="181"/>
      <c r="E860" s="46"/>
      <c r="F860" s="47" t="s">
        <v>72</v>
      </c>
      <c r="G860" s="48" t="s">
        <v>73</v>
      </c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>
        <f t="shared" si="128"/>
        <v>0</v>
      </c>
    </row>
    <row r="861" spans="3:21" x14ac:dyDescent="0.15">
      <c r="C861" s="180"/>
      <c r="D861" s="181"/>
      <c r="E861" s="46"/>
      <c r="F861" s="47" t="s">
        <v>74</v>
      </c>
      <c r="G861" s="48" t="s">
        <v>73</v>
      </c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>
        <f t="shared" si="128"/>
        <v>0</v>
      </c>
    </row>
    <row r="862" spans="3:21" x14ac:dyDescent="0.15">
      <c r="C862" s="180"/>
      <c r="D862" s="181"/>
      <c r="E862" s="46"/>
      <c r="F862" s="47" t="s">
        <v>76</v>
      </c>
      <c r="G862" s="48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>
        <f t="shared" si="128"/>
        <v>0</v>
      </c>
    </row>
    <row r="863" spans="3:21" ht="14.25" thickBot="1" x14ac:dyDescent="0.2">
      <c r="C863" s="180"/>
      <c r="D863" s="184"/>
      <c r="E863" s="61"/>
      <c r="F863" s="62" t="s">
        <v>77</v>
      </c>
      <c r="G863" s="63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>
        <f t="shared" si="128"/>
        <v>0</v>
      </c>
    </row>
    <row r="864" spans="3:21" ht="13.5" customHeight="1" x14ac:dyDescent="0.15">
      <c r="C864" s="180"/>
      <c r="D864" s="185" t="s">
        <v>83</v>
      </c>
      <c r="E864" s="65"/>
      <c r="F864" s="66" t="s">
        <v>44</v>
      </c>
      <c r="G864" s="67" t="s">
        <v>45</v>
      </c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>
        <f t="shared" si="128"/>
        <v>0</v>
      </c>
      <c r="T864" s="10">
        <f>SUM(H864:Q917)</f>
        <v>5386</v>
      </c>
    </row>
    <row r="865" spans="3:18" ht="13.5" customHeight="1" x14ac:dyDescent="0.15">
      <c r="C865" s="180"/>
      <c r="D865" s="181"/>
      <c r="E865" s="46"/>
      <c r="F865" s="50" t="s">
        <v>46</v>
      </c>
      <c r="G865" s="48" t="s">
        <v>47</v>
      </c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>
        <f t="shared" si="128"/>
        <v>0</v>
      </c>
    </row>
    <row r="866" spans="3:18" ht="13.5" customHeight="1" x14ac:dyDescent="0.15">
      <c r="C866" s="180"/>
      <c r="D866" s="181"/>
      <c r="E866" s="46"/>
      <c r="F866" s="50" t="s">
        <v>48</v>
      </c>
      <c r="G866" s="48" t="s">
        <v>49</v>
      </c>
      <c r="H866" s="49">
        <v>19</v>
      </c>
      <c r="I866" s="49">
        <v>44</v>
      </c>
      <c r="J866" s="49">
        <v>62</v>
      </c>
      <c r="K866" s="49">
        <v>66</v>
      </c>
      <c r="L866" s="49">
        <v>71</v>
      </c>
      <c r="M866" s="49">
        <v>46</v>
      </c>
      <c r="N866" s="49">
        <v>15</v>
      </c>
      <c r="O866" s="49"/>
      <c r="P866" s="49"/>
      <c r="Q866" s="49"/>
      <c r="R866" s="49">
        <f t="shared" si="128"/>
        <v>323</v>
      </c>
    </row>
    <row r="867" spans="3:18" ht="13.5" customHeight="1" x14ac:dyDescent="0.15">
      <c r="C867" s="180"/>
      <c r="D867" s="181"/>
      <c r="E867" s="46"/>
      <c r="F867" s="50" t="s">
        <v>50</v>
      </c>
      <c r="G867" s="48" t="s">
        <v>51</v>
      </c>
      <c r="H867" s="49">
        <v>13</v>
      </c>
      <c r="I867" s="49">
        <v>31</v>
      </c>
      <c r="J867" s="49">
        <v>45</v>
      </c>
      <c r="K867" s="49">
        <v>47</v>
      </c>
      <c r="L867" s="49">
        <v>51</v>
      </c>
      <c r="M867" s="49">
        <v>33</v>
      </c>
      <c r="N867" s="49">
        <v>11</v>
      </c>
      <c r="O867" s="49"/>
      <c r="P867" s="49"/>
      <c r="Q867" s="49"/>
      <c r="R867" s="49">
        <f t="shared" si="128"/>
        <v>231</v>
      </c>
    </row>
    <row r="868" spans="3:18" ht="13.5" customHeight="1" x14ac:dyDescent="0.15">
      <c r="C868" s="180"/>
      <c r="D868" s="181"/>
      <c r="E868" s="46"/>
      <c r="F868" s="50" t="s">
        <v>52</v>
      </c>
      <c r="G868" s="48" t="s">
        <v>53</v>
      </c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>
        <f t="shared" si="128"/>
        <v>0</v>
      </c>
    </row>
    <row r="869" spans="3:18" ht="13.5" customHeight="1" x14ac:dyDescent="0.15">
      <c r="C869" s="180"/>
      <c r="D869" s="181"/>
      <c r="E869" s="46"/>
      <c r="F869" s="50" t="s">
        <v>54</v>
      </c>
      <c r="G869" s="48" t="s">
        <v>55</v>
      </c>
      <c r="H869" s="49">
        <v>23</v>
      </c>
      <c r="I869" s="49">
        <v>53</v>
      </c>
      <c r="J869" s="49">
        <v>76</v>
      </c>
      <c r="K869" s="49">
        <v>80</v>
      </c>
      <c r="L869" s="49">
        <v>86</v>
      </c>
      <c r="M869" s="49">
        <v>56</v>
      </c>
      <c r="N869" s="49">
        <v>18</v>
      </c>
      <c r="O869" s="49"/>
      <c r="P869" s="49"/>
      <c r="Q869" s="49"/>
      <c r="R869" s="49">
        <f t="shared" si="128"/>
        <v>392</v>
      </c>
    </row>
    <row r="870" spans="3:18" ht="13.5" customHeight="1" x14ac:dyDescent="0.15">
      <c r="C870" s="180"/>
      <c r="D870" s="181"/>
      <c r="E870" s="46"/>
      <c r="F870" s="50" t="s">
        <v>56</v>
      </c>
      <c r="G870" s="48" t="s">
        <v>57</v>
      </c>
      <c r="H870" s="49">
        <v>13</v>
      </c>
      <c r="I870" s="49">
        <v>31</v>
      </c>
      <c r="J870" s="49">
        <v>44</v>
      </c>
      <c r="K870" s="49">
        <v>46</v>
      </c>
      <c r="L870" s="49">
        <v>50</v>
      </c>
      <c r="M870" s="49">
        <v>32</v>
      </c>
      <c r="N870" s="49">
        <v>10</v>
      </c>
      <c r="O870" s="49"/>
      <c r="P870" s="49"/>
      <c r="Q870" s="49"/>
      <c r="R870" s="49">
        <f t="shared" si="128"/>
        <v>226</v>
      </c>
    </row>
    <row r="871" spans="3:18" ht="13.5" customHeight="1" x14ac:dyDescent="0.15">
      <c r="C871" s="180"/>
      <c r="D871" s="181"/>
      <c r="E871" s="46"/>
      <c r="F871" s="51" t="s">
        <v>58</v>
      </c>
      <c r="G871" s="48" t="s">
        <v>59</v>
      </c>
      <c r="H871" s="49">
        <v>29</v>
      </c>
      <c r="I871" s="49">
        <v>68</v>
      </c>
      <c r="J871" s="49">
        <v>97</v>
      </c>
      <c r="K871" s="49">
        <v>102</v>
      </c>
      <c r="L871" s="49">
        <v>110</v>
      </c>
      <c r="M871" s="49">
        <v>72</v>
      </c>
      <c r="N871" s="49">
        <v>23</v>
      </c>
      <c r="O871" s="49"/>
      <c r="P871" s="49"/>
      <c r="Q871" s="49"/>
      <c r="R871" s="49">
        <f t="shared" si="128"/>
        <v>501</v>
      </c>
    </row>
    <row r="872" spans="3:18" ht="13.5" customHeight="1" x14ac:dyDescent="0.15">
      <c r="C872" s="180"/>
      <c r="D872" s="181"/>
      <c r="E872" s="46"/>
      <c r="F872" s="52" t="s">
        <v>60</v>
      </c>
      <c r="G872" s="48" t="s">
        <v>61</v>
      </c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>
        <f t="shared" si="128"/>
        <v>0</v>
      </c>
    </row>
    <row r="873" spans="3:18" ht="13.5" customHeight="1" x14ac:dyDescent="0.15">
      <c r="C873" s="180"/>
      <c r="D873" s="181"/>
      <c r="E873" s="46"/>
      <c r="F873" s="51" t="s">
        <v>62</v>
      </c>
      <c r="G873" s="48" t="s">
        <v>63</v>
      </c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>
        <f t="shared" si="128"/>
        <v>0</v>
      </c>
    </row>
    <row r="874" spans="3:18" ht="13.5" customHeight="1" x14ac:dyDescent="0.15">
      <c r="C874" s="180"/>
      <c r="D874" s="181"/>
      <c r="E874" s="46"/>
      <c r="F874" s="50" t="s">
        <v>64</v>
      </c>
      <c r="G874" s="48" t="s">
        <v>65</v>
      </c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>
        <f t="shared" si="128"/>
        <v>0</v>
      </c>
    </row>
    <row r="875" spans="3:18" ht="13.5" customHeight="1" x14ac:dyDescent="0.15">
      <c r="C875" s="180"/>
      <c r="D875" s="181"/>
      <c r="E875" s="46"/>
      <c r="F875" s="50" t="s">
        <v>66</v>
      </c>
      <c r="G875" s="48" t="s">
        <v>67</v>
      </c>
      <c r="H875" s="49">
        <v>33</v>
      </c>
      <c r="I875" s="49">
        <v>77</v>
      </c>
      <c r="J875" s="49">
        <v>110</v>
      </c>
      <c r="K875" s="49">
        <v>115</v>
      </c>
      <c r="L875" s="49">
        <v>124</v>
      </c>
      <c r="M875" s="49">
        <v>81</v>
      </c>
      <c r="N875" s="49">
        <v>26</v>
      </c>
      <c r="O875" s="49"/>
      <c r="P875" s="49"/>
      <c r="Q875" s="49"/>
      <c r="R875" s="49">
        <f t="shared" si="128"/>
        <v>566</v>
      </c>
    </row>
    <row r="876" spans="3:18" x14ac:dyDescent="0.15">
      <c r="C876" s="180"/>
      <c r="D876" s="181"/>
      <c r="E876" s="46"/>
      <c r="F876" s="51" t="s">
        <v>68</v>
      </c>
      <c r="G876" s="48" t="s">
        <v>69</v>
      </c>
      <c r="H876" s="49">
        <v>8</v>
      </c>
      <c r="I876" s="49">
        <v>19</v>
      </c>
      <c r="J876" s="49">
        <v>27</v>
      </c>
      <c r="K876" s="49">
        <v>28</v>
      </c>
      <c r="L876" s="49">
        <v>30</v>
      </c>
      <c r="M876" s="49">
        <v>20</v>
      </c>
      <c r="N876" s="49">
        <v>6</v>
      </c>
      <c r="O876" s="49"/>
      <c r="P876" s="49"/>
      <c r="Q876" s="49"/>
      <c r="R876" s="49">
        <f>SUM(H876:Q876)</f>
        <v>138</v>
      </c>
    </row>
    <row r="877" spans="3:18" ht="13.5" customHeight="1" x14ac:dyDescent="0.15">
      <c r="C877" s="180"/>
      <c r="D877" s="181"/>
      <c r="E877" s="46"/>
      <c r="F877" s="51" t="s">
        <v>70</v>
      </c>
      <c r="G877" s="48" t="s">
        <v>71</v>
      </c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>
        <f t="shared" ref="R877:R929" si="129">SUM(H877:Q877)</f>
        <v>0</v>
      </c>
    </row>
    <row r="878" spans="3:18" x14ac:dyDescent="0.15">
      <c r="C878" s="180"/>
      <c r="D878" s="181"/>
      <c r="E878" s="46"/>
      <c r="F878" s="47" t="s">
        <v>72</v>
      </c>
      <c r="G878" s="48" t="s">
        <v>73</v>
      </c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>
        <f t="shared" si="129"/>
        <v>0</v>
      </c>
    </row>
    <row r="879" spans="3:18" x14ac:dyDescent="0.15">
      <c r="C879" s="180"/>
      <c r="D879" s="181"/>
      <c r="E879" s="46"/>
      <c r="F879" s="47" t="s">
        <v>74</v>
      </c>
      <c r="G879" s="48" t="s">
        <v>73</v>
      </c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>
        <f t="shared" si="129"/>
        <v>0</v>
      </c>
    </row>
    <row r="880" spans="3:18" x14ac:dyDescent="0.15">
      <c r="C880" s="180"/>
      <c r="D880" s="181"/>
      <c r="E880" s="46"/>
      <c r="F880" s="47" t="s">
        <v>76</v>
      </c>
      <c r="G880" s="48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>
        <f t="shared" si="129"/>
        <v>0</v>
      </c>
    </row>
    <row r="881" spans="3:18" ht="14.25" thickBot="1" x14ac:dyDescent="0.2">
      <c r="C881" s="180"/>
      <c r="D881" s="182"/>
      <c r="E881" s="53"/>
      <c r="F881" s="54" t="s">
        <v>77</v>
      </c>
      <c r="G881" s="55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>
        <f t="shared" si="129"/>
        <v>0</v>
      </c>
    </row>
    <row r="882" spans="3:18" ht="13.5" customHeight="1" x14ac:dyDescent="0.15">
      <c r="C882" s="180"/>
      <c r="D882" s="183" t="s">
        <v>84</v>
      </c>
      <c r="E882" s="57"/>
      <c r="F882" s="58" t="s">
        <v>79</v>
      </c>
      <c r="G882" s="59" t="s">
        <v>45</v>
      </c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>
        <f t="shared" si="129"/>
        <v>0</v>
      </c>
    </row>
    <row r="883" spans="3:18" ht="13.5" customHeight="1" x14ac:dyDescent="0.15">
      <c r="C883" s="180"/>
      <c r="D883" s="181"/>
      <c r="E883" s="46"/>
      <c r="F883" s="50" t="s">
        <v>80</v>
      </c>
      <c r="G883" s="48" t="s">
        <v>47</v>
      </c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>
        <f t="shared" si="129"/>
        <v>0</v>
      </c>
    </row>
    <row r="884" spans="3:18" ht="13.5" customHeight="1" x14ac:dyDescent="0.15">
      <c r="C884" s="180"/>
      <c r="D884" s="181"/>
      <c r="E884" s="46"/>
      <c r="F884" s="50" t="s">
        <v>48</v>
      </c>
      <c r="G884" s="48" t="s">
        <v>49</v>
      </c>
      <c r="H884" s="49"/>
      <c r="I884" s="49"/>
      <c r="J884" s="49"/>
      <c r="K884" s="49"/>
      <c r="L884" s="49"/>
      <c r="M884" s="49"/>
      <c r="N884" s="49"/>
      <c r="O884" s="49">
        <v>92</v>
      </c>
      <c r="P884" s="49">
        <v>128</v>
      </c>
      <c r="Q884" s="49">
        <v>85</v>
      </c>
      <c r="R884" s="49">
        <f t="shared" si="129"/>
        <v>305</v>
      </c>
    </row>
    <row r="885" spans="3:18" ht="13.5" customHeight="1" x14ac:dyDescent="0.15">
      <c r="C885" s="180"/>
      <c r="D885" s="181"/>
      <c r="E885" s="46"/>
      <c r="F885" s="50" t="s">
        <v>50</v>
      </c>
      <c r="G885" s="48" t="s">
        <v>51</v>
      </c>
      <c r="H885" s="49"/>
      <c r="I885" s="49"/>
      <c r="J885" s="49"/>
      <c r="K885" s="49"/>
      <c r="L885" s="49"/>
      <c r="M885" s="49"/>
      <c r="N885" s="49"/>
      <c r="O885" s="49">
        <v>66</v>
      </c>
      <c r="P885" s="49">
        <v>92</v>
      </c>
      <c r="Q885" s="49">
        <v>61</v>
      </c>
      <c r="R885" s="49">
        <f t="shared" si="129"/>
        <v>219</v>
      </c>
    </row>
    <row r="886" spans="3:18" ht="13.5" customHeight="1" x14ac:dyDescent="0.15">
      <c r="C886" s="180"/>
      <c r="D886" s="181"/>
      <c r="E886" s="46"/>
      <c r="F886" s="50" t="s">
        <v>52</v>
      </c>
      <c r="G886" s="48" t="s">
        <v>53</v>
      </c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>
        <f t="shared" si="129"/>
        <v>0</v>
      </c>
    </row>
    <row r="887" spans="3:18" ht="13.5" customHeight="1" x14ac:dyDescent="0.15">
      <c r="C887" s="180"/>
      <c r="D887" s="181"/>
      <c r="E887" s="46"/>
      <c r="F887" s="50" t="s">
        <v>54</v>
      </c>
      <c r="G887" s="48" t="s">
        <v>55</v>
      </c>
      <c r="H887" s="49"/>
      <c r="I887" s="49"/>
      <c r="J887" s="49"/>
      <c r="K887" s="49"/>
      <c r="L887" s="49"/>
      <c r="M887" s="49"/>
      <c r="N887" s="49"/>
      <c r="O887" s="49">
        <v>113</v>
      </c>
      <c r="P887" s="49">
        <v>156</v>
      </c>
      <c r="Q887" s="49">
        <v>104</v>
      </c>
      <c r="R887" s="49">
        <f t="shared" si="129"/>
        <v>373</v>
      </c>
    </row>
    <row r="888" spans="3:18" ht="13.5" customHeight="1" x14ac:dyDescent="0.15">
      <c r="C888" s="180"/>
      <c r="D888" s="181"/>
      <c r="E888" s="46"/>
      <c r="F888" s="50" t="s">
        <v>56</v>
      </c>
      <c r="G888" s="48" t="s">
        <v>57</v>
      </c>
      <c r="H888" s="49"/>
      <c r="I888" s="49"/>
      <c r="J888" s="49"/>
      <c r="K888" s="49"/>
      <c r="L888" s="49"/>
      <c r="M888" s="49"/>
      <c r="N888" s="49"/>
      <c r="O888" s="49">
        <v>65</v>
      </c>
      <c r="P888" s="49">
        <v>90</v>
      </c>
      <c r="Q888" s="49">
        <v>60</v>
      </c>
      <c r="R888" s="49">
        <f t="shared" si="129"/>
        <v>215</v>
      </c>
    </row>
    <row r="889" spans="3:18" ht="13.5" customHeight="1" x14ac:dyDescent="0.15">
      <c r="C889" s="180"/>
      <c r="D889" s="181"/>
      <c r="E889" s="46"/>
      <c r="F889" s="51" t="s">
        <v>58</v>
      </c>
      <c r="G889" s="48" t="s">
        <v>59</v>
      </c>
      <c r="H889" s="49"/>
      <c r="I889" s="49"/>
      <c r="J889" s="49"/>
      <c r="K889" s="49"/>
      <c r="L889" s="49"/>
      <c r="M889" s="49"/>
      <c r="N889" s="49"/>
      <c r="O889" s="49">
        <v>144</v>
      </c>
      <c r="P889" s="49">
        <v>200</v>
      </c>
      <c r="Q889" s="49">
        <v>133</v>
      </c>
      <c r="R889" s="49">
        <f t="shared" si="129"/>
        <v>477</v>
      </c>
    </row>
    <row r="890" spans="3:18" ht="13.5" customHeight="1" x14ac:dyDescent="0.15">
      <c r="C890" s="180"/>
      <c r="D890" s="181"/>
      <c r="E890" s="46"/>
      <c r="F890" s="52" t="s">
        <v>60</v>
      </c>
      <c r="G890" s="48" t="s">
        <v>61</v>
      </c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>
        <f t="shared" si="129"/>
        <v>0</v>
      </c>
    </row>
    <row r="891" spans="3:18" ht="13.5" customHeight="1" x14ac:dyDescent="0.15">
      <c r="C891" s="180"/>
      <c r="D891" s="181"/>
      <c r="E891" s="46"/>
      <c r="F891" s="51" t="s">
        <v>62</v>
      </c>
      <c r="G891" s="48" t="s">
        <v>63</v>
      </c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>
        <f t="shared" si="129"/>
        <v>0</v>
      </c>
    </row>
    <row r="892" spans="3:18" ht="13.5" customHeight="1" x14ac:dyDescent="0.15">
      <c r="C892" s="180"/>
      <c r="D892" s="181"/>
      <c r="E892" s="46"/>
      <c r="F892" s="50" t="s">
        <v>64</v>
      </c>
      <c r="G892" s="48" t="s">
        <v>65</v>
      </c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>
        <f t="shared" si="129"/>
        <v>0</v>
      </c>
    </row>
    <row r="893" spans="3:18" ht="13.5" customHeight="1" x14ac:dyDescent="0.15">
      <c r="C893" s="180"/>
      <c r="D893" s="181"/>
      <c r="E893" s="46"/>
      <c r="F893" s="50" t="s">
        <v>66</v>
      </c>
      <c r="G893" s="48" t="s">
        <v>67</v>
      </c>
      <c r="H893" s="49"/>
      <c r="I893" s="49"/>
      <c r="J893" s="49"/>
      <c r="K893" s="49"/>
      <c r="L893" s="49"/>
      <c r="M893" s="49"/>
      <c r="N893" s="49"/>
      <c r="O893" s="49">
        <v>162</v>
      </c>
      <c r="P893" s="49">
        <v>225</v>
      </c>
      <c r="Q893" s="49">
        <v>150</v>
      </c>
      <c r="R893" s="49">
        <f t="shared" si="129"/>
        <v>537</v>
      </c>
    </row>
    <row r="894" spans="3:18" ht="13.5" customHeight="1" x14ac:dyDescent="0.15">
      <c r="C894" s="180"/>
      <c r="D894" s="181"/>
      <c r="E894" s="46"/>
      <c r="F894" s="51" t="s">
        <v>68</v>
      </c>
      <c r="G894" s="48" t="s">
        <v>69</v>
      </c>
      <c r="H894" s="49"/>
      <c r="I894" s="49"/>
      <c r="J894" s="49"/>
      <c r="K894" s="49"/>
      <c r="L894" s="49"/>
      <c r="M894" s="49"/>
      <c r="N894" s="49"/>
      <c r="O894" s="49">
        <v>39</v>
      </c>
      <c r="P894" s="49">
        <v>55</v>
      </c>
      <c r="Q894" s="49">
        <v>36</v>
      </c>
      <c r="R894" s="49">
        <f t="shared" si="129"/>
        <v>130</v>
      </c>
    </row>
    <row r="895" spans="3:18" ht="13.5" customHeight="1" x14ac:dyDescent="0.15">
      <c r="C895" s="180"/>
      <c r="D895" s="181"/>
      <c r="E895" s="46"/>
      <c r="F895" s="51" t="s">
        <v>70</v>
      </c>
      <c r="G895" s="48" t="s">
        <v>71</v>
      </c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>
        <f t="shared" si="129"/>
        <v>0</v>
      </c>
    </row>
    <row r="896" spans="3:18" x14ac:dyDescent="0.15">
      <c r="C896" s="180"/>
      <c r="D896" s="181"/>
      <c r="E896" s="46"/>
      <c r="F896" s="47" t="s">
        <v>72</v>
      </c>
      <c r="G896" s="48" t="s">
        <v>73</v>
      </c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>
        <f t="shared" si="129"/>
        <v>0</v>
      </c>
    </row>
    <row r="897" spans="3:18" x14ac:dyDescent="0.15">
      <c r="C897" s="180"/>
      <c r="D897" s="181"/>
      <c r="E897" s="46"/>
      <c r="F897" s="47" t="s">
        <v>74</v>
      </c>
      <c r="G897" s="48" t="s">
        <v>73</v>
      </c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>
        <f t="shared" si="129"/>
        <v>0</v>
      </c>
    </row>
    <row r="898" spans="3:18" x14ac:dyDescent="0.15">
      <c r="C898" s="180"/>
      <c r="D898" s="181"/>
      <c r="E898" s="46"/>
      <c r="F898" s="47" t="s">
        <v>76</v>
      </c>
      <c r="G898" s="48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>
        <f t="shared" si="129"/>
        <v>0</v>
      </c>
    </row>
    <row r="899" spans="3:18" ht="14.25" thickBot="1" x14ac:dyDescent="0.2">
      <c r="C899" s="180"/>
      <c r="D899" s="184"/>
      <c r="E899" s="61"/>
      <c r="F899" s="62" t="s">
        <v>77</v>
      </c>
      <c r="G899" s="63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>
        <f t="shared" si="129"/>
        <v>0</v>
      </c>
    </row>
    <row r="900" spans="3:18" ht="13.5" customHeight="1" x14ac:dyDescent="0.15">
      <c r="C900" s="180"/>
      <c r="D900" s="185" t="s">
        <v>85</v>
      </c>
      <c r="E900" s="65"/>
      <c r="F900" s="66" t="s">
        <v>79</v>
      </c>
      <c r="G900" s="67" t="s">
        <v>45</v>
      </c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>
        <f t="shared" si="129"/>
        <v>0</v>
      </c>
    </row>
    <row r="901" spans="3:18" ht="13.5" customHeight="1" x14ac:dyDescent="0.15">
      <c r="C901" s="180"/>
      <c r="D901" s="181"/>
      <c r="E901" s="46"/>
      <c r="F901" s="50" t="s">
        <v>80</v>
      </c>
      <c r="G901" s="48" t="s">
        <v>47</v>
      </c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>
        <f t="shared" si="129"/>
        <v>0</v>
      </c>
    </row>
    <row r="902" spans="3:18" ht="13.5" customHeight="1" x14ac:dyDescent="0.15">
      <c r="C902" s="180"/>
      <c r="D902" s="181"/>
      <c r="E902" s="46"/>
      <c r="F902" s="50" t="s">
        <v>48</v>
      </c>
      <c r="G902" s="48" t="s">
        <v>49</v>
      </c>
      <c r="H902" s="49"/>
      <c r="I902" s="49"/>
      <c r="J902" s="49">
        <v>14</v>
      </c>
      <c r="K902" s="49">
        <v>31</v>
      </c>
      <c r="L902" s="49">
        <v>39</v>
      </c>
      <c r="M902" s="49">
        <v>18</v>
      </c>
      <c r="N902" s="49"/>
      <c r="O902" s="49"/>
      <c r="P902" s="49"/>
      <c r="Q902" s="49"/>
      <c r="R902" s="49">
        <f t="shared" si="129"/>
        <v>102</v>
      </c>
    </row>
    <row r="903" spans="3:18" ht="13.5" customHeight="1" x14ac:dyDescent="0.15">
      <c r="C903" s="180"/>
      <c r="D903" s="181"/>
      <c r="E903" s="46"/>
      <c r="F903" s="50" t="s">
        <v>50</v>
      </c>
      <c r="G903" s="48" t="s">
        <v>51</v>
      </c>
      <c r="H903" s="49"/>
      <c r="I903" s="49"/>
      <c r="J903" s="49">
        <v>10</v>
      </c>
      <c r="K903" s="49">
        <v>22</v>
      </c>
      <c r="L903" s="49">
        <v>28</v>
      </c>
      <c r="M903" s="49">
        <v>13</v>
      </c>
      <c r="N903" s="49"/>
      <c r="O903" s="49"/>
      <c r="P903" s="49"/>
      <c r="Q903" s="49"/>
      <c r="R903" s="49">
        <f t="shared" si="129"/>
        <v>73</v>
      </c>
    </row>
    <row r="904" spans="3:18" ht="13.5" customHeight="1" x14ac:dyDescent="0.15">
      <c r="C904" s="180"/>
      <c r="D904" s="181"/>
      <c r="E904" s="46"/>
      <c r="F904" s="50" t="s">
        <v>52</v>
      </c>
      <c r="G904" s="48" t="s">
        <v>53</v>
      </c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>
        <f t="shared" si="129"/>
        <v>0</v>
      </c>
    </row>
    <row r="905" spans="3:18" ht="13.5" customHeight="1" x14ac:dyDescent="0.15">
      <c r="C905" s="180"/>
      <c r="D905" s="181"/>
      <c r="E905" s="46"/>
      <c r="F905" s="50" t="s">
        <v>54</v>
      </c>
      <c r="G905" s="48" t="s">
        <v>55</v>
      </c>
      <c r="H905" s="49"/>
      <c r="I905" s="49"/>
      <c r="J905" s="49">
        <v>17</v>
      </c>
      <c r="K905" s="49">
        <v>37</v>
      </c>
      <c r="L905" s="49">
        <v>48</v>
      </c>
      <c r="M905" s="49">
        <v>22</v>
      </c>
      <c r="N905" s="49"/>
      <c r="O905" s="49"/>
      <c r="P905" s="49"/>
      <c r="Q905" s="49"/>
      <c r="R905" s="49">
        <f t="shared" si="129"/>
        <v>124</v>
      </c>
    </row>
    <row r="906" spans="3:18" ht="13.5" customHeight="1" x14ac:dyDescent="0.15">
      <c r="C906" s="180"/>
      <c r="D906" s="181"/>
      <c r="E906" s="46"/>
      <c r="F906" s="50" t="s">
        <v>56</v>
      </c>
      <c r="G906" s="48" t="s">
        <v>57</v>
      </c>
      <c r="H906" s="49"/>
      <c r="I906" s="49"/>
      <c r="J906" s="49">
        <v>10</v>
      </c>
      <c r="K906" s="49">
        <v>21</v>
      </c>
      <c r="L906" s="49">
        <v>27</v>
      </c>
      <c r="M906" s="49">
        <v>13</v>
      </c>
      <c r="N906" s="49"/>
      <c r="O906" s="49"/>
      <c r="P906" s="49"/>
      <c r="Q906" s="49"/>
      <c r="R906" s="49">
        <f t="shared" si="129"/>
        <v>71</v>
      </c>
    </row>
    <row r="907" spans="3:18" ht="13.5" customHeight="1" x14ac:dyDescent="0.15">
      <c r="C907" s="180"/>
      <c r="D907" s="181"/>
      <c r="E907" s="46"/>
      <c r="F907" s="51" t="s">
        <v>58</v>
      </c>
      <c r="G907" s="48" t="s">
        <v>59</v>
      </c>
      <c r="H907" s="49"/>
      <c r="I907" s="49"/>
      <c r="J907" s="49">
        <v>22</v>
      </c>
      <c r="K907" s="49">
        <v>48</v>
      </c>
      <c r="L907" s="49">
        <v>61</v>
      </c>
      <c r="M907" s="49">
        <v>28</v>
      </c>
      <c r="N907" s="49"/>
      <c r="O907" s="49"/>
      <c r="P907" s="49"/>
      <c r="Q907" s="49"/>
      <c r="R907" s="49">
        <f t="shared" si="129"/>
        <v>159</v>
      </c>
    </row>
    <row r="908" spans="3:18" ht="13.5" customHeight="1" x14ac:dyDescent="0.15">
      <c r="C908" s="180"/>
      <c r="D908" s="181"/>
      <c r="E908" s="46"/>
      <c r="F908" s="52" t="s">
        <v>60</v>
      </c>
      <c r="G908" s="48" t="s">
        <v>61</v>
      </c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>
        <f t="shared" si="129"/>
        <v>0</v>
      </c>
    </row>
    <row r="909" spans="3:18" ht="13.5" customHeight="1" x14ac:dyDescent="0.15">
      <c r="C909" s="180"/>
      <c r="D909" s="181"/>
      <c r="E909" s="46"/>
      <c r="F909" s="51" t="s">
        <v>62</v>
      </c>
      <c r="G909" s="48" t="s">
        <v>63</v>
      </c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>
        <f t="shared" si="129"/>
        <v>0</v>
      </c>
    </row>
    <row r="910" spans="3:18" ht="13.5" customHeight="1" x14ac:dyDescent="0.15">
      <c r="C910" s="180"/>
      <c r="D910" s="181"/>
      <c r="E910" s="46"/>
      <c r="F910" s="50" t="s">
        <v>64</v>
      </c>
      <c r="G910" s="48" t="s">
        <v>65</v>
      </c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>
        <f t="shared" si="129"/>
        <v>0</v>
      </c>
    </row>
    <row r="911" spans="3:18" ht="13.5" customHeight="1" x14ac:dyDescent="0.15">
      <c r="C911" s="180"/>
      <c r="D911" s="181"/>
      <c r="E911" s="46"/>
      <c r="F911" s="50" t="s">
        <v>66</v>
      </c>
      <c r="G911" s="48" t="s">
        <v>67</v>
      </c>
      <c r="H911" s="49"/>
      <c r="I911" s="49"/>
      <c r="J911" s="49">
        <v>25</v>
      </c>
      <c r="K911" s="49">
        <v>54</v>
      </c>
      <c r="L911" s="49">
        <v>69</v>
      </c>
      <c r="M911" s="49">
        <v>32</v>
      </c>
      <c r="N911" s="49"/>
      <c r="O911" s="49"/>
      <c r="P911" s="49"/>
      <c r="Q911" s="49"/>
      <c r="R911" s="49">
        <f t="shared" si="129"/>
        <v>180</v>
      </c>
    </row>
    <row r="912" spans="3:18" x14ac:dyDescent="0.15">
      <c r="C912" s="180"/>
      <c r="D912" s="181"/>
      <c r="E912" s="46"/>
      <c r="F912" s="51" t="s">
        <v>68</v>
      </c>
      <c r="G912" s="48" t="s">
        <v>69</v>
      </c>
      <c r="H912" s="49"/>
      <c r="I912" s="49"/>
      <c r="J912" s="49">
        <v>6</v>
      </c>
      <c r="K912" s="49">
        <v>13</v>
      </c>
      <c r="L912" s="49">
        <v>17</v>
      </c>
      <c r="M912" s="49">
        <v>8</v>
      </c>
      <c r="N912" s="49"/>
      <c r="O912" s="49"/>
      <c r="P912" s="49"/>
      <c r="Q912" s="49"/>
      <c r="R912" s="49">
        <f t="shared" si="129"/>
        <v>44</v>
      </c>
    </row>
    <row r="913" spans="3:20" ht="13.5" customHeight="1" x14ac:dyDescent="0.15">
      <c r="C913" s="180"/>
      <c r="D913" s="181"/>
      <c r="E913" s="46"/>
      <c r="F913" s="51" t="s">
        <v>70</v>
      </c>
      <c r="G913" s="48" t="s">
        <v>71</v>
      </c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>
        <f t="shared" si="129"/>
        <v>0</v>
      </c>
    </row>
    <row r="914" spans="3:20" x14ac:dyDescent="0.15">
      <c r="C914" s="180"/>
      <c r="D914" s="181"/>
      <c r="E914" s="46"/>
      <c r="F914" s="47" t="s">
        <v>72</v>
      </c>
      <c r="G914" s="48" t="s">
        <v>73</v>
      </c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>
        <f t="shared" si="129"/>
        <v>0</v>
      </c>
      <c r="T914" s="69">
        <f>SUM(G863:Q1121)</f>
        <v>504873</v>
      </c>
    </row>
    <row r="915" spans="3:20" x14ac:dyDescent="0.15">
      <c r="C915" s="180"/>
      <c r="D915" s="181"/>
      <c r="E915" s="46"/>
      <c r="F915" s="47" t="s">
        <v>74</v>
      </c>
      <c r="G915" s="48" t="s">
        <v>73</v>
      </c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>
        <f t="shared" si="129"/>
        <v>0</v>
      </c>
      <c r="T915" s="69">
        <f>SUM(G863:Q1121)</f>
        <v>504873</v>
      </c>
    </row>
    <row r="916" spans="3:20" x14ac:dyDescent="0.15">
      <c r="C916" s="180"/>
      <c r="D916" s="181"/>
      <c r="E916" s="46"/>
      <c r="F916" s="47" t="s">
        <v>76</v>
      </c>
      <c r="G916" s="48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>
        <f t="shared" si="129"/>
        <v>0</v>
      </c>
      <c r="T916" s="69">
        <f>SUM(G863:Q1121)</f>
        <v>504873</v>
      </c>
    </row>
    <row r="917" spans="3:20" ht="14.25" thickBot="1" x14ac:dyDescent="0.2">
      <c r="C917" s="180"/>
      <c r="D917" s="182"/>
      <c r="E917" s="53"/>
      <c r="F917" s="54" t="s">
        <v>77</v>
      </c>
      <c r="G917" s="55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>
        <f t="shared" si="129"/>
        <v>0</v>
      </c>
      <c r="T917" s="69">
        <f>SUM(G864:Q1122)</f>
        <v>504873</v>
      </c>
    </row>
    <row r="918" spans="3:20" ht="13.5" customHeight="1" x14ac:dyDescent="0.15">
      <c r="C918" s="180"/>
      <c r="D918" s="183" t="s">
        <v>86</v>
      </c>
      <c r="E918" s="57"/>
      <c r="F918" s="58" t="s">
        <v>44</v>
      </c>
      <c r="G918" s="59" t="s">
        <v>45</v>
      </c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>
        <f t="shared" si="129"/>
        <v>0</v>
      </c>
      <c r="T918" s="10">
        <f>SUM(H918:Q1009)</f>
        <v>281594</v>
      </c>
    </row>
    <row r="919" spans="3:20" ht="13.5" customHeight="1" thickBot="1" x14ac:dyDescent="0.2">
      <c r="C919" s="180"/>
      <c r="D919" s="181"/>
      <c r="E919" s="46"/>
      <c r="F919" s="50" t="s">
        <v>46</v>
      </c>
      <c r="G919" s="48" t="s">
        <v>47</v>
      </c>
      <c r="H919" s="49"/>
      <c r="I919" s="49"/>
      <c r="J919" s="64">
        <v>984</v>
      </c>
      <c r="K919" s="64">
        <v>1056</v>
      </c>
      <c r="L919" s="64">
        <v>1068</v>
      </c>
      <c r="M919" s="64">
        <v>1128</v>
      </c>
      <c r="N919" s="64">
        <v>596</v>
      </c>
      <c r="O919" s="49"/>
      <c r="P919" s="49"/>
      <c r="Q919" s="49"/>
      <c r="R919" s="49">
        <f t="shared" si="129"/>
        <v>4832</v>
      </c>
    </row>
    <row r="920" spans="3:20" ht="13.5" customHeight="1" x14ac:dyDescent="0.15">
      <c r="C920" s="180"/>
      <c r="D920" s="181"/>
      <c r="E920" s="46"/>
      <c r="F920" s="50" t="s">
        <v>48</v>
      </c>
      <c r="G920" s="48" t="s">
        <v>49</v>
      </c>
      <c r="H920" s="49"/>
      <c r="I920" s="49"/>
      <c r="J920" s="49">
        <f>30+580+84+204+600</f>
        <v>1498</v>
      </c>
      <c r="K920" s="49">
        <f>30+580+108+252+744</f>
        <v>1714</v>
      </c>
      <c r="L920" s="49">
        <f>30+580+108+252+756</f>
        <v>1726</v>
      </c>
      <c r="M920" s="49">
        <f>30+580+132+288+852</f>
        <v>1882</v>
      </c>
      <c r="N920" s="49">
        <f>15+290+60+144+420</f>
        <v>929</v>
      </c>
      <c r="O920" s="49"/>
      <c r="P920" s="49"/>
      <c r="Q920" s="49"/>
      <c r="R920" s="49">
        <f t="shared" si="129"/>
        <v>7749</v>
      </c>
      <c r="S920" s="70"/>
    </row>
    <row r="921" spans="3:20" ht="13.5" customHeight="1" x14ac:dyDescent="0.15">
      <c r="C921" s="180"/>
      <c r="D921" s="181"/>
      <c r="E921" s="46"/>
      <c r="F921" s="50" t="s">
        <v>50</v>
      </c>
      <c r="G921" s="48" t="s">
        <v>51</v>
      </c>
      <c r="H921" s="49"/>
      <c r="I921" s="49"/>
      <c r="J921" s="49">
        <f>30+580+60+132+360</f>
        <v>1162</v>
      </c>
      <c r="K921" s="49">
        <f>30+580+72+156+444</f>
        <v>1282</v>
      </c>
      <c r="L921" s="49">
        <f>30+580+72+156+444</f>
        <v>1282</v>
      </c>
      <c r="M921" s="49">
        <f>30+580+84+180+504</f>
        <v>1378</v>
      </c>
      <c r="N921" s="49">
        <f>15+290+36+96+252</f>
        <v>689</v>
      </c>
      <c r="O921" s="49"/>
      <c r="P921" s="49"/>
      <c r="Q921" s="49"/>
      <c r="R921" s="49">
        <f t="shared" si="129"/>
        <v>5793</v>
      </c>
      <c r="S921" s="70"/>
    </row>
    <row r="922" spans="3:20" ht="13.5" customHeight="1" x14ac:dyDescent="0.15">
      <c r="C922" s="180"/>
      <c r="D922" s="181"/>
      <c r="E922" s="46"/>
      <c r="F922" s="50" t="s">
        <v>52</v>
      </c>
      <c r="G922" s="48" t="s">
        <v>53</v>
      </c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>
        <f t="shared" si="129"/>
        <v>0</v>
      </c>
    </row>
    <row r="923" spans="3:20" ht="13.5" customHeight="1" x14ac:dyDescent="0.15">
      <c r="C923" s="180"/>
      <c r="D923" s="181"/>
      <c r="E923" s="46"/>
      <c r="F923" s="50" t="s">
        <v>54</v>
      </c>
      <c r="G923" s="48" t="s">
        <v>55</v>
      </c>
      <c r="H923" s="49"/>
      <c r="I923" s="49"/>
      <c r="J923" s="49">
        <f>30+580+72+168+384</f>
        <v>1234</v>
      </c>
      <c r="K923" s="49">
        <f>30+580+84+204+456</f>
        <v>1354</v>
      </c>
      <c r="L923" s="49">
        <f>30+580+96+204+468</f>
        <v>1378</v>
      </c>
      <c r="M923" s="49">
        <f>30+580+108+228+528</f>
        <v>1474</v>
      </c>
      <c r="N923" s="49">
        <f>15+290+48+120+276</f>
        <v>749</v>
      </c>
      <c r="O923" s="49"/>
      <c r="P923" s="49"/>
      <c r="Q923" s="49"/>
      <c r="R923" s="49">
        <f t="shared" si="129"/>
        <v>6189</v>
      </c>
      <c r="S923" s="70"/>
    </row>
    <row r="924" spans="3:20" ht="13.5" customHeight="1" x14ac:dyDescent="0.15">
      <c r="C924" s="180"/>
      <c r="D924" s="181"/>
      <c r="E924" s="46"/>
      <c r="F924" s="50" t="s">
        <v>56</v>
      </c>
      <c r="G924" s="48" t="s">
        <v>57</v>
      </c>
      <c r="H924" s="49"/>
      <c r="I924" s="49"/>
      <c r="J924" s="49">
        <f>30+580+96+216+624</f>
        <v>1546</v>
      </c>
      <c r="K924" s="49">
        <f>30+580+120+276+768</f>
        <v>1774</v>
      </c>
      <c r="L924" s="49">
        <f>30+580+120+276+780</f>
        <v>1786</v>
      </c>
      <c r="M924" s="49">
        <f>30+580+144+312+876</f>
        <v>1942</v>
      </c>
      <c r="N924" s="49">
        <f>15+290+72+156+444</f>
        <v>977</v>
      </c>
      <c r="O924" s="49"/>
      <c r="P924" s="49"/>
      <c r="Q924" s="49"/>
      <c r="R924" s="49">
        <f t="shared" si="129"/>
        <v>8025</v>
      </c>
      <c r="S924" s="70"/>
    </row>
    <row r="925" spans="3:20" ht="13.5" customHeight="1" x14ac:dyDescent="0.15">
      <c r="C925" s="180"/>
      <c r="D925" s="181"/>
      <c r="E925" s="46"/>
      <c r="F925" s="51" t="s">
        <v>58</v>
      </c>
      <c r="G925" s="48" t="s">
        <v>59</v>
      </c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>
        <f t="shared" si="129"/>
        <v>0</v>
      </c>
    </row>
    <row r="926" spans="3:20" ht="13.5" customHeight="1" x14ac:dyDescent="0.15">
      <c r="C926" s="180"/>
      <c r="D926" s="181"/>
      <c r="E926" s="46"/>
      <c r="F926" s="52" t="s">
        <v>60</v>
      </c>
      <c r="G926" s="48" t="s">
        <v>61</v>
      </c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>
        <f t="shared" si="129"/>
        <v>0</v>
      </c>
    </row>
    <row r="927" spans="3:20" ht="13.5" customHeight="1" x14ac:dyDescent="0.15">
      <c r="C927" s="180"/>
      <c r="D927" s="181"/>
      <c r="E927" s="46"/>
      <c r="F927" s="51" t="s">
        <v>62</v>
      </c>
      <c r="G927" s="48" t="s">
        <v>63</v>
      </c>
      <c r="H927" s="49"/>
      <c r="I927" s="49"/>
      <c r="J927" s="49">
        <v>948</v>
      </c>
      <c r="K927" s="49">
        <v>1020</v>
      </c>
      <c r="L927" s="49">
        <v>1032</v>
      </c>
      <c r="M927" s="49">
        <v>1104</v>
      </c>
      <c r="N927" s="49">
        <v>552</v>
      </c>
      <c r="O927" s="49"/>
      <c r="P927" s="49"/>
      <c r="Q927" s="49"/>
      <c r="R927" s="49">
        <f t="shared" si="129"/>
        <v>4656</v>
      </c>
    </row>
    <row r="928" spans="3:20" ht="13.5" customHeight="1" x14ac:dyDescent="0.15">
      <c r="C928" s="180"/>
      <c r="D928" s="181"/>
      <c r="E928" s="46"/>
      <c r="F928" s="50" t="s">
        <v>64</v>
      </c>
      <c r="G928" s="48" t="s">
        <v>65</v>
      </c>
      <c r="H928" s="49"/>
      <c r="I928" s="49"/>
      <c r="J928" s="49">
        <f>30+580+84+204+540</f>
        <v>1438</v>
      </c>
      <c r="K928" s="49">
        <f>30+580+108+252+672</f>
        <v>1642</v>
      </c>
      <c r="L928" s="49">
        <f>30+580+108+252+684</f>
        <v>1654</v>
      </c>
      <c r="M928" s="49">
        <f>30+580+132+288+768</f>
        <v>1798</v>
      </c>
      <c r="N928" s="49">
        <f>15+290+60+144+396</f>
        <v>905</v>
      </c>
      <c r="O928" s="49"/>
      <c r="P928" s="49"/>
      <c r="Q928" s="49"/>
      <c r="R928" s="49">
        <f t="shared" si="129"/>
        <v>7437</v>
      </c>
      <c r="S928" s="70"/>
    </row>
    <row r="929" spans="3:20" ht="13.5" customHeight="1" x14ac:dyDescent="0.15">
      <c r="C929" s="180"/>
      <c r="D929" s="181"/>
      <c r="E929" s="46"/>
      <c r="F929" s="50" t="s">
        <v>66</v>
      </c>
      <c r="G929" s="48" t="s">
        <v>67</v>
      </c>
      <c r="H929" s="49"/>
      <c r="I929" s="49"/>
      <c r="J929" s="49">
        <f>30+580+84+180+516</f>
        <v>1390</v>
      </c>
      <c r="K929" s="49">
        <f>30+580+96+228+648</f>
        <v>1582</v>
      </c>
      <c r="L929" s="49">
        <f>30+580+108+228+660</f>
        <v>1606</v>
      </c>
      <c r="M929" s="49">
        <f>30+580+120+264+744</f>
        <v>1738</v>
      </c>
      <c r="N929" s="49">
        <f>15+290+60+132+384</f>
        <v>881</v>
      </c>
      <c r="O929" s="49"/>
      <c r="P929" s="49"/>
      <c r="Q929" s="49"/>
      <c r="R929" s="49">
        <f t="shared" si="129"/>
        <v>7197</v>
      </c>
      <c r="S929" s="70"/>
    </row>
    <row r="930" spans="3:20" x14ac:dyDescent="0.15">
      <c r="C930" s="180"/>
      <c r="D930" s="181"/>
      <c r="E930" s="46"/>
      <c r="F930" s="51" t="s">
        <v>68</v>
      </c>
      <c r="G930" s="48" t="s">
        <v>69</v>
      </c>
      <c r="H930" s="49"/>
      <c r="I930" s="49"/>
      <c r="J930" s="49">
        <f>30+580+84+204+516</f>
        <v>1414</v>
      </c>
      <c r="K930" s="49">
        <f>30+580+108+252+648</f>
        <v>1618</v>
      </c>
      <c r="L930" s="49">
        <f>30+580+108+252+660</f>
        <v>1630</v>
      </c>
      <c r="M930" s="49">
        <f>30+580+132+288+744</f>
        <v>1774</v>
      </c>
      <c r="N930" s="49">
        <f>15+290+60+144+384</f>
        <v>893</v>
      </c>
      <c r="O930" s="49"/>
      <c r="P930" s="49"/>
      <c r="Q930" s="49"/>
      <c r="R930" s="49">
        <f>SUM(H930:Q930)</f>
        <v>7329</v>
      </c>
      <c r="S930" s="70"/>
    </row>
    <row r="931" spans="3:20" ht="13.5" customHeight="1" x14ac:dyDescent="0.15">
      <c r="C931" s="180"/>
      <c r="D931" s="181"/>
      <c r="E931" s="46"/>
      <c r="F931" s="51" t="s">
        <v>70</v>
      </c>
      <c r="G931" s="48" t="s">
        <v>71</v>
      </c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>
        <f t="shared" ref="R931:R948" si="130">SUM(H931:Q931)</f>
        <v>0</v>
      </c>
    </row>
    <row r="932" spans="3:20" x14ac:dyDescent="0.15">
      <c r="C932" s="180"/>
      <c r="D932" s="181"/>
      <c r="E932" s="46"/>
      <c r="F932" s="47" t="s">
        <v>72</v>
      </c>
      <c r="G932" s="48" t="s">
        <v>73</v>
      </c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>
        <f t="shared" si="130"/>
        <v>0</v>
      </c>
    </row>
    <row r="933" spans="3:20" x14ac:dyDescent="0.15">
      <c r="C933" s="180"/>
      <c r="D933" s="181"/>
      <c r="E933" s="46"/>
      <c r="F933" s="47" t="s">
        <v>74</v>
      </c>
      <c r="G933" s="48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>
        <f t="shared" si="130"/>
        <v>0</v>
      </c>
    </row>
    <row r="934" spans="3:20" x14ac:dyDescent="0.15">
      <c r="C934" s="180"/>
      <c r="D934" s="181"/>
      <c r="E934" s="46"/>
      <c r="F934" s="47" t="s">
        <v>76</v>
      </c>
      <c r="G934" s="48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>
        <f t="shared" si="130"/>
        <v>0</v>
      </c>
    </row>
    <row r="935" spans="3:20" x14ac:dyDescent="0.15">
      <c r="C935" s="180"/>
      <c r="D935" s="181"/>
      <c r="E935" s="46"/>
      <c r="F935" s="47" t="s">
        <v>77</v>
      </c>
      <c r="G935" s="48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>
        <f t="shared" si="130"/>
        <v>0</v>
      </c>
    </row>
    <row r="936" spans="3:20" ht="14.25" thickBot="1" x14ac:dyDescent="0.2">
      <c r="C936" s="180"/>
      <c r="D936" s="184"/>
      <c r="E936" s="61"/>
      <c r="F936" s="62" t="s">
        <v>87</v>
      </c>
      <c r="G936" s="63" t="s">
        <v>88</v>
      </c>
      <c r="H936" s="64"/>
      <c r="I936" s="64"/>
      <c r="J936" s="49"/>
      <c r="K936" s="49"/>
      <c r="L936" s="49"/>
      <c r="M936" s="49"/>
      <c r="N936" s="49"/>
      <c r="O936" s="64"/>
      <c r="P936" s="64"/>
      <c r="Q936" s="64"/>
      <c r="R936" s="64">
        <f t="shared" si="130"/>
        <v>0</v>
      </c>
    </row>
    <row r="937" spans="3:20" ht="13.5" customHeight="1" x14ac:dyDescent="0.15">
      <c r="C937" s="180"/>
      <c r="D937" s="185" t="s">
        <v>89</v>
      </c>
      <c r="E937" s="65"/>
      <c r="F937" s="66" t="s">
        <v>44</v>
      </c>
      <c r="G937" s="67" t="s">
        <v>45</v>
      </c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>
        <f t="shared" si="130"/>
        <v>0</v>
      </c>
      <c r="T937" s="10">
        <f>SUM(H937:Q1065)</f>
        <v>443136</v>
      </c>
    </row>
    <row r="938" spans="3:20" ht="13.5" customHeight="1" x14ac:dyDescent="0.15">
      <c r="C938" s="180"/>
      <c r="D938" s="181"/>
      <c r="E938" s="46"/>
      <c r="F938" s="50" t="s">
        <v>46</v>
      </c>
      <c r="G938" s="48" t="s">
        <v>47</v>
      </c>
      <c r="H938" s="49"/>
      <c r="I938" s="49">
        <v>36</v>
      </c>
      <c r="J938" s="49">
        <v>48</v>
      </c>
      <c r="K938" s="49">
        <v>60</v>
      </c>
      <c r="L938" s="49">
        <v>72</v>
      </c>
      <c r="M938" s="49">
        <v>36</v>
      </c>
      <c r="N938" s="49"/>
      <c r="O938" s="49"/>
      <c r="P938" s="49"/>
      <c r="Q938" s="49"/>
      <c r="R938" s="49">
        <f t="shared" si="130"/>
        <v>252</v>
      </c>
      <c r="T938" s="2" t="s">
        <v>90</v>
      </c>
    </row>
    <row r="939" spans="3:20" ht="13.5" customHeight="1" x14ac:dyDescent="0.15">
      <c r="C939" s="180"/>
      <c r="D939" s="181"/>
      <c r="E939" s="46"/>
      <c r="F939" s="50" t="s">
        <v>48</v>
      </c>
      <c r="G939" s="48" t="s">
        <v>49</v>
      </c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>
        <f t="shared" si="130"/>
        <v>0</v>
      </c>
    </row>
    <row r="940" spans="3:20" ht="13.5" customHeight="1" x14ac:dyDescent="0.15">
      <c r="C940" s="180"/>
      <c r="D940" s="181"/>
      <c r="E940" s="46"/>
      <c r="F940" s="50" t="s">
        <v>50</v>
      </c>
      <c r="G940" s="48" t="s">
        <v>51</v>
      </c>
      <c r="H940" s="49"/>
      <c r="I940" s="49">
        <f>29+36</f>
        <v>65</v>
      </c>
      <c r="J940" s="49">
        <f>29+48</f>
        <v>77</v>
      </c>
      <c r="K940" s="49">
        <f>58+60</f>
        <v>118</v>
      </c>
      <c r="L940" s="49">
        <f>58+72</f>
        <v>130</v>
      </c>
      <c r="M940" s="49">
        <f>29+36</f>
        <v>65</v>
      </c>
      <c r="N940" s="49"/>
      <c r="O940" s="49"/>
      <c r="P940" s="49"/>
      <c r="Q940" s="49"/>
      <c r="R940" s="49">
        <f t="shared" si="130"/>
        <v>455</v>
      </c>
      <c r="T940" s="2" t="s">
        <v>91</v>
      </c>
    </row>
    <row r="941" spans="3:20" ht="13.5" customHeight="1" x14ac:dyDescent="0.15">
      <c r="C941" s="180"/>
      <c r="D941" s="181"/>
      <c r="E941" s="46"/>
      <c r="F941" s="50" t="s">
        <v>52</v>
      </c>
      <c r="G941" s="48" t="s">
        <v>53</v>
      </c>
      <c r="H941" s="49"/>
      <c r="I941" s="49">
        <v>65</v>
      </c>
      <c r="J941" s="49">
        <v>89</v>
      </c>
      <c r="K941" s="49">
        <v>106</v>
      </c>
      <c r="L941" s="49">
        <v>142</v>
      </c>
      <c r="M941" s="49">
        <v>89</v>
      </c>
      <c r="N941" s="49"/>
      <c r="O941" s="49"/>
      <c r="P941" s="49"/>
      <c r="Q941" s="49"/>
      <c r="R941" s="49">
        <f t="shared" si="130"/>
        <v>491</v>
      </c>
      <c r="T941" s="2" t="s">
        <v>90</v>
      </c>
    </row>
    <row r="942" spans="3:20" ht="13.5" customHeight="1" x14ac:dyDescent="0.15">
      <c r="C942" s="180"/>
      <c r="D942" s="181"/>
      <c r="E942" s="46"/>
      <c r="F942" s="50" t="s">
        <v>54</v>
      </c>
      <c r="G942" s="48" t="s">
        <v>55</v>
      </c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>
        <f t="shared" si="130"/>
        <v>0</v>
      </c>
    </row>
    <row r="943" spans="3:20" ht="13.5" customHeight="1" x14ac:dyDescent="0.15">
      <c r="C943" s="180"/>
      <c r="D943" s="181"/>
      <c r="E943" s="46"/>
      <c r="F943" s="50" t="s">
        <v>56</v>
      </c>
      <c r="G943" s="48" t="s">
        <v>57</v>
      </c>
      <c r="H943" s="49"/>
      <c r="I943" s="49">
        <f>29+60</f>
        <v>89</v>
      </c>
      <c r="J943" s="49">
        <f>29+96</f>
        <v>125</v>
      </c>
      <c r="K943" s="49">
        <f>58+96</f>
        <v>154</v>
      </c>
      <c r="L943" s="49">
        <f>58+120</f>
        <v>178</v>
      </c>
      <c r="M943" s="49">
        <f>29+72</f>
        <v>101</v>
      </c>
      <c r="N943" s="49"/>
      <c r="O943" s="49"/>
      <c r="P943" s="49"/>
      <c r="Q943" s="49"/>
      <c r="R943" s="49">
        <f t="shared" si="130"/>
        <v>647</v>
      </c>
      <c r="T943" s="2" t="s">
        <v>92</v>
      </c>
    </row>
    <row r="944" spans="3:20" ht="13.5" customHeight="1" x14ac:dyDescent="0.15">
      <c r="C944" s="180"/>
      <c r="D944" s="181"/>
      <c r="E944" s="46"/>
      <c r="F944" s="51" t="s">
        <v>58</v>
      </c>
      <c r="G944" s="48" t="s">
        <v>59</v>
      </c>
      <c r="H944" s="49"/>
      <c r="I944" s="49">
        <f>29+96</f>
        <v>125</v>
      </c>
      <c r="J944" s="49">
        <f>29+132</f>
        <v>161</v>
      </c>
      <c r="K944" s="49">
        <f>58+156</f>
        <v>214</v>
      </c>
      <c r="L944" s="49">
        <f>58+180</f>
        <v>238</v>
      </c>
      <c r="M944" s="49">
        <f>29+108</f>
        <v>137</v>
      </c>
      <c r="N944" s="49"/>
      <c r="O944" s="49"/>
      <c r="P944" s="49"/>
      <c r="Q944" s="49"/>
      <c r="R944" s="49">
        <f t="shared" si="130"/>
        <v>875</v>
      </c>
      <c r="T944" s="2" t="s">
        <v>90</v>
      </c>
    </row>
    <row r="945" spans="3:20" ht="13.5" customHeight="1" x14ac:dyDescent="0.15">
      <c r="C945" s="180"/>
      <c r="D945" s="181"/>
      <c r="E945" s="46"/>
      <c r="F945" s="52" t="s">
        <v>60</v>
      </c>
      <c r="G945" s="48" t="s">
        <v>61</v>
      </c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>
        <f t="shared" si="130"/>
        <v>0</v>
      </c>
    </row>
    <row r="946" spans="3:20" ht="13.5" customHeight="1" x14ac:dyDescent="0.15">
      <c r="C946" s="180"/>
      <c r="D946" s="181"/>
      <c r="E946" s="46"/>
      <c r="F946" s="51" t="s">
        <v>62</v>
      </c>
      <c r="G946" s="48" t="s">
        <v>63</v>
      </c>
      <c r="H946" s="49"/>
      <c r="I946" s="49">
        <v>41</v>
      </c>
      <c r="J946" s="49">
        <v>53</v>
      </c>
      <c r="K946" s="49">
        <v>82</v>
      </c>
      <c r="L946" s="49">
        <v>94</v>
      </c>
      <c r="M946" s="49">
        <v>53</v>
      </c>
      <c r="N946" s="49"/>
      <c r="O946" s="49"/>
      <c r="P946" s="49"/>
      <c r="Q946" s="49"/>
      <c r="R946" s="49">
        <f t="shared" si="130"/>
        <v>323</v>
      </c>
      <c r="T946" s="2" t="s">
        <v>90</v>
      </c>
    </row>
    <row r="947" spans="3:20" ht="13.5" customHeight="1" x14ac:dyDescent="0.15">
      <c r="C947" s="180"/>
      <c r="D947" s="181"/>
      <c r="E947" s="46"/>
      <c r="F947" s="50" t="s">
        <v>64</v>
      </c>
      <c r="G947" s="48" t="s">
        <v>65</v>
      </c>
      <c r="H947" s="49"/>
      <c r="I947" s="49">
        <v>33</v>
      </c>
      <c r="J947" s="49">
        <v>33</v>
      </c>
      <c r="K947" s="49">
        <v>66</v>
      </c>
      <c r="L947" s="49">
        <v>66</v>
      </c>
      <c r="M947" s="49">
        <v>33</v>
      </c>
      <c r="N947" s="49"/>
      <c r="O947" s="49"/>
      <c r="P947" s="49"/>
      <c r="Q947" s="49"/>
      <c r="R947" s="49">
        <f t="shared" si="130"/>
        <v>231</v>
      </c>
      <c r="T947" s="2" t="s">
        <v>93</v>
      </c>
    </row>
    <row r="948" spans="3:20" ht="13.5" customHeight="1" x14ac:dyDescent="0.15">
      <c r="C948" s="180"/>
      <c r="D948" s="181"/>
      <c r="E948" s="46"/>
      <c r="F948" s="50" t="s">
        <v>66</v>
      </c>
      <c r="G948" s="48" t="s">
        <v>67</v>
      </c>
      <c r="H948" s="49"/>
      <c r="I948" s="49">
        <f>29+84</f>
        <v>113</v>
      </c>
      <c r="J948" s="49">
        <f>29+120</f>
        <v>149</v>
      </c>
      <c r="K948" s="49">
        <f>58+132</f>
        <v>190</v>
      </c>
      <c r="L948" s="49">
        <f>58+156</f>
        <v>214</v>
      </c>
      <c r="M948" s="49">
        <f>29+84</f>
        <v>113</v>
      </c>
      <c r="N948" s="49"/>
      <c r="O948" s="49"/>
      <c r="P948" s="49"/>
      <c r="Q948" s="49"/>
      <c r="R948" s="49">
        <f t="shared" si="130"/>
        <v>779</v>
      </c>
      <c r="T948" s="2" t="s">
        <v>90</v>
      </c>
    </row>
    <row r="949" spans="3:20" x14ac:dyDescent="0.15">
      <c r="C949" s="180"/>
      <c r="D949" s="181"/>
      <c r="E949" s="46"/>
      <c r="F949" s="51" t="s">
        <v>68</v>
      </c>
      <c r="G949" s="48" t="s">
        <v>69</v>
      </c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>
        <f>SUM(H949:Q949)</f>
        <v>0</v>
      </c>
    </row>
    <row r="950" spans="3:20" ht="13.5" customHeight="1" x14ac:dyDescent="0.15">
      <c r="C950" s="180"/>
      <c r="D950" s="181"/>
      <c r="E950" s="46"/>
      <c r="F950" s="51" t="s">
        <v>70</v>
      </c>
      <c r="G950" s="48" t="s">
        <v>71</v>
      </c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>
        <f t="shared" ref="R950:R966" si="131">SUM(H950:Q950)</f>
        <v>0</v>
      </c>
    </row>
    <row r="951" spans="3:20" x14ac:dyDescent="0.15">
      <c r="C951" s="180"/>
      <c r="D951" s="181"/>
      <c r="E951" s="46"/>
      <c r="F951" s="47" t="s">
        <v>72</v>
      </c>
      <c r="G951" s="48" t="s">
        <v>73</v>
      </c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>
        <f t="shared" si="131"/>
        <v>0</v>
      </c>
    </row>
    <row r="952" spans="3:20" x14ac:dyDescent="0.15">
      <c r="C952" s="180"/>
      <c r="D952" s="181"/>
      <c r="E952" s="46"/>
      <c r="F952" s="47" t="s">
        <v>74</v>
      </c>
      <c r="G952" s="48" t="s">
        <v>73</v>
      </c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>
        <f t="shared" si="131"/>
        <v>0</v>
      </c>
    </row>
    <row r="953" spans="3:20" x14ac:dyDescent="0.15">
      <c r="C953" s="180"/>
      <c r="D953" s="181"/>
      <c r="E953" s="46"/>
      <c r="F953" s="47" t="s">
        <v>76</v>
      </c>
      <c r="G953" s="48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>
        <f t="shared" si="131"/>
        <v>0</v>
      </c>
    </row>
    <row r="954" spans="3:20" ht="14.25" thickBot="1" x14ac:dyDescent="0.2">
      <c r="C954" s="180"/>
      <c r="D954" s="182"/>
      <c r="E954" s="53"/>
      <c r="F954" s="54" t="s">
        <v>77</v>
      </c>
      <c r="G954" s="55"/>
      <c r="H954" s="56"/>
      <c r="I954" s="56">
        <v>63</v>
      </c>
      <c r="J954" s="56">
        <v>75</v>
      </c>
      <c r="K954" s="56">
        <v>102</v>
      </c>
      <c r="L954" s="56">
        <v>126</v>
      </c>
      <c r="M954" s="56">
        <v>75</v>
      </c>
      <c r="N954" s="56"/>
      <c r="O954" s="56"/>
      <c r="P954" s="56"/>
      <c r="Q954" s="56"/>
      <c r="R954" s="56">
        <f t="shared" si="131"/>
        <v>441</v>
      </c>
    </row>
    <row r="955" spans="3:20" ht="13.5" customHeight="1" x14ac:dyDescent="0.15">
      <c r="C955" s="180"/>
      <c r="D955" s="183" t="s">
        <v>94</v>
      </c>
      <c r="E955" s="57"/>
      <c r="F955" s="58" t="s">
        <v>44</v>
      </c>
      <c r="G955" s="59" t="s">
        <v>45</v>
      </c>
      <c r="H955" s="60">
        <f>H792+H846+H864+H918+H937</f>
        <v>68</v>
      </c>
      <c r="I955" s="60">
        <f t="shared" ref="I955:N955" si="132">I792+I846+I864+I918+I937</f>
        <v>159</v>
      </c>
      <c r="J955" s="60">
        <f t="shared" si="132"/>
        <v>217</v>
      </c>
      <c r="K955" s="60">
        <f t="shared" si="132"/>
        <v>299</v>
      </c>
      <c r="L955" s="60">
        <f t="shared" si="132"/>
        <v>388</v>
      </c>
      <c r="M955" s="60">
        <f t="shared" si="132"/>
        <v>380</v>
      </c>
      <c r="N955" s="60">
        <f t="shared" si="132"/>
        <v>96</v>
      </c>
      <c r="O955" s="60"/>
      <c r="P955" s="60"/>
      <c r="Q955" s="60"/>
      <c r="R955" s="60">
        <f t="shared" si="131"/>
        <v>1607</v>
      </c>
      <c r="T955" s="10">
        <f>SUM(H955:Q1009)</f>
        <v>217893</v>
      </c>
    </row>
    <row r="956" spans="3:20" ht="13.5" customHeight="1" x14ac:dyDescent="0.15">
      <c r="C956" s="180"/>
      <c r="D956" s="181"/>
      <c r="E956" s="46"/>
      <c r="F956" s="50" t="s">
        <v>46</v>
      </c>
      <c r="G956" s="48" t="s">
        <v>47</v>
      </c>
      <c r="H956" s="49">
        <f t="shared" ref="H956:N971" si="133">H793+H847+H865+H919+H938</f>
        <v>46</v>
      </c>
      <c r="I956" s="49">
        <f t="shared" si="133"/>
        <v>193</v>
      </c>
      <c r="J956" s="49">
        <f t="shared" si="133"/>
        <v>1321</v>
      </c>
      <c r="K956" s="49">
        <f t="shared" si="133"/>
        <v>1389</v>
      </c>
      <c r="L956" s="49">
        <f t="shared" si="133"/>
        <v>1636</v>
      </c>
      <c r="M956" s="49">
        <f t="shared" si="133"/>
        <v>1564</v>
      </c>
      <c r="N956" s="49">
        <f t="shared" si="133"/>
        <v>716</v>
      </c>
      <c r="O956" s="49"/>
      <c r="P956" s="49"/>
      <c r="Q956" s="49"/>
      <c r="R956" s="49">
        <f t="shared" si="131"/>
        <v>6865</v>
      </c>
    </row>
    <row r="957" spans="3:20" ht="13.5" customHeight="1" x14ac:dyDescent="0.15">
      <c r="C957" s="180"/>
      <c r="D957" s="181"/>
      <c r="E957" s="46"/>
      <c r="F957" s="50" t="s">
        <v>48</v>
      </c>
      <c r="G957" s="48" t="s">
        <v>49</v>
      </c>
      <c r="H957" s="49">
        <f t="shared" si="133"/>
        <v>1378</v>
      </c>
      <c r="I957" s="49">
        <f t="shared" si="133"/>
        <v>3513</v>
      </c>
      <c r="J957" s="49">
        <f t="shared" si="133"/>
        <v>5770</v>
      </c>
      <c r="K957" s="49">
        <f t="shared" si="133"/>
        <v>4737</v>
      </c>
      <c r="L957" s="49">
        <f t="shared" si="133"/>
        <v>4783</v>
      </c>
      <c r="M957" s="49">
        <f t="shared" si="133"/>
        <v>3455</v>
      </c>
      <c r="N957" s="49">
        <f t="shared" si="133"/>
        <v>1296</v>
      </c>
      <c r="O957" s="49"/>
      <c r="P957" s="49"/>
      <c r="Q957" s="49"/>
      <c r="R957" s="49">
        <f t="shared" si="131"/>
        <v>24932</v>
      </c>
    </row>
    <row r="958" spans="3:20" ht="13.5" customHeight="1" x14ac:dyDescent="0.15">
      <c r="C958" s="180"/>
      <c r="D958" s="181"/>
      <c r="E958" s="46"/>
      <c r="F958" s="50" t="s">
        <v>50</v>
      </c>
      <c r="G958" s="48" t="s">
        <v>51</v>
      </c>
      <c r="H958" s="49">
        <f t="shared" si="133"/>
        <v>208</v>
      </c>
      <c r="I958" s="49">
        <f t="shared" si="133"/>
        <v>644</v>
      </c>
      <c r="J958" s="49">
        <f t="shared" si="133"/>
        <v>2296</v>
      </c>
      <c r="K958" s="49">
        <f t="shared" si="133"/>
        <v>2831</v>
      </c>
      <c r="L958" s="49">
        <f t="shared" si="133"/>
        <v>3247</v>
      </c>
      <c r="M958" s="49">
        <f t="shared" si="133"/>
        <v>2741</v>
      </c>
      <c r="N958" s="49">
        <f t="shared" si="133"/>
        <v>1148</v>
      </c>
      <c r="O958" s="49"/>
      <c r="P958" s="49"/>
      <c r="Q958" s="49"/>
      <c r="R958" s="49">
        <f t="shared" si="131"/>
        <v>13115</v>
      </c>
    </row>
    <row r="959" spans="3:20" ht="13.5" customHeight="1" x14ac:dyDescent="0.15">
      <c r="C959" s="180"/>
      <c r="D959" s="181"/>
      <c r="E959" s="46"/>
      <c r="F959" s="50" t="s">
        <v>52</v>
      </c>
      <c r="G959" s="48" t="s">
        <v>53</v>
      </c>
      <c r="H959" s="49">
        <f t="shared" si="133"/>
        <v>178</v>
      </c>
      <c r="I959" s="49">
        <f t="shared" si="133"/>
        <v>534</v>
      </c>
      <c r="J959" s="49">
        <f t="shared" si="133"/>
        <v>786</v>
      </c>
      <c r="K959" s="49">
        <f t="shared" si="133"/>
        <v>799</v>
      </c>
      <c r="L959" s="49">
        <f t="shared" si="133"/>
        <v>686</v>
      </c>
      <c r="M959" s="49">
        <f t="shared" si="133"/>
        <v>369</v>
      </c>
      <c r="N959" s="49">
        <f t="shared" si="133"/>
        <v>96</v>
      </c>
      <c r="O959" s="49"/>
      <c r="P959" s="49"/>
      <c r="Q959" s="49"/>
      <c r="R959" s="49">
        <f t="shared" si="131"/>
        <v>3448</v>
      </c>
    </row>
    <row r="960" spans="3:20" ht="13.5" customHeight="1" x14ac:dyDescent="0.15">
      <c r="C960" s="180"/>
      <c r="D960" s="181"/>
      <c r="E960" s="46"/>
      <c r="F960" s="50" t="s">
        <v>54</v>
      </c>
      <c r="G960" s="48" t="s">
        <v>55</v>
      </c>
      <c r="H960" s="49">
        <f t="shared" si="133"/>
        <v>532</v>
      </c>
      <c r="I960" s="49">
        <f t="shared" si="133"/>
        <v>1249</v>
      </c>
      <c r="J960" s="49">
        <f t="shared" si="133"/>
        <v>3015</v>
      </c>
      <c r="K960" s="49">
        <f t="shared" si="133"/>
        <v>3226</v>
      </c>
      <c r="L960" s="49">
        <f t="shared" si="133"/>
        <v>3389</v>
      </c>
      <c r="M960" s="49">
        <f t="shared" si="133"/>
        <v>2779</v>
      </c>
      <c r="N960" s="49">
        <f t="shared" si="133"/>
        <v>1170</v>
      </c>
      <c r="O960" s="49"/>
      <c r="P960" s="49"/>
      <c r="Q960" s="49"/>
      <c r="R960" s="49">
        <f t="shared" si="131"/>
        <v>15360</v>
      </c>
    </row>
    <row r="961" spans="3:20" ht="13.5" customHeight="1" x14ac:dyDescent="0.15">
      <c r="C961" s="180"/>
      <c r="D961" s="181"/>
      <c r="E961" s="46"/>
      <c r="F961" s="50" t="s">
        <v>56</v>
      </c>
      <c r="G961" s="48" t="s">
        <v>57</v>
      </c>
      <c r="H961" s="49">
        <f t="shared" si="133"/>
        <v>156</v>
      </c>
      <c r="I961" s="49">
        <f t="shared" si="133"/>
        <v>559</v>
      </c>
      <c r="J961" s="49">
        <f t="shared" si="133"/>
        <v>2456</v>
      </c>
      <c r="K961" s="49">
        <f t="shared" si="133"/>
        <v>3002</v>
      </c>
      <c r="L961" s="49">
        <f t="shared" si="133"/>
        <v>3868</v>
      </c>
      <c r="M961" s="49">
        <f t="shared" si="133"/>
        <v>3735</v>
      </c>
      <c r="N961" s="49">
        <f t="shared" si="133"/>
        <v>1735</v>
      </c>
      <c r="O961" s="49"/>
      <c r="P961" s="49"/>
      <c r="Q961" s="49"/>
      <c r="R961" s="49">
        <f t="shared" si="131"/>
        <v>15511</v>
      </c>
    </row>
    <row r="962" spans="3:20" ht="13.5" customHeight="1" x14ac:dyDescent="0.15">
      <c r="C962" s="180"/>
      <c r="D962" s="181"/>
      <c r="E962" s="46"/>
      <c r="F962" s="51" t="s">
        <v>58</v>
      </c>
      <c r="G962" s="48" t="s">
        <v>59</v>
      </c>
      <c r="H962" s="49">
        <f t="shared" si="133"/>
        <v>707</v>
      </c>
      <c r="I962" s="49">
        <f t="shared" si="133"/>
        <v>1769</v>
      </c>
      <c r="J962" s="49">
        <f t="shared" si="133"/>
        <v>2535</v>
      </c>
      <c r="K962" s="49">
        <f t="shared" si="133"/>
        <v>2737</v>
      </c>
      <c r="L962" s="49">
        <f t="shared" si="133"/>
        <v>3021</v>
      </c>
      <c r="M962" s="49">
        <f t="shared" si="133"/>
        <v>1974</v>
      </c>
      <c r="N962" s="49">
        <f t="shared" si="133"/>
        <v>535</v>
      </c>
      <c r="O962" s="49"/>
      <c r="P962" s="49"/>
      <c r="Q962" s="49"/>
      <c r="R962" s="49">
        <f t="shared" si="131"/>
        <v>13278</v>
      </c>
    </row>
    <row r="963" spans="3:20" ht="13.5" customHeight="1" x14ac:dyDescent="0.15">
      <c r="C963" s="180"/>
      <c r="D963" s="181"/>
      <c r="E963" s="46"/>
      <c r="F963" s="52" t="s">
        <v>60</v>
      </c>
      <c r="G963" s="48" t="s">
        <v>61</v>
      </c>
      <c r="H963" s="49">
        <f t="shared" si="133"/>
        <v>66</v>
      </c>
      <c r="I963" s="49">
        <f t="shared" si="133"/>
        <v>178</v>
      </c>
      <c r="J963" s="49">
        <f t="shared" si="133"/>
        <v>328</v>
      </c>
      <c r="K963" s="49">
        <f t="shared" si="133"/>
        <v>431</v>
      </c>
      <c r="L963" s="49">
        <f t="shared" si="133"/>
        <v>574</v>
      </c>
      <c r="M963" s="49">
        <f t="shared" si="133"/>
        <v>401</v>
      </c>
      <c r="N963" s="49">
        <f t="shared" si="133"/>
        <v>84</v>
      </c>
      <c r="O963" s="49"/>
      <c r="P963" s="49"/>
      <c r="Q963" s="49"/>
      <c r="R963" s="49">
        <f t="shared" si="131"/>
        <v>2062</v>
      </c>
    </row>
    <row r="964" spans="3:20" ht="13.5" customHeight="1" x14ac:dyDescent="0.15">
      <c r="C964" s="180"/>
      <c r="D964" s="181"/>
      <c r="E964" s="46"/>
      <c r="F964" s="51" t="s">
        <v>62</v>
      </c>
      <c r="G964" s="48" t="s">
        <v>63</v>
      </c>
      <c r="H964" s="49">
        <f t="shared" si="133"/>
        <v>264</v>
      </c>
      <c r="I964" s="49">
        <f t="shared" si="133"/>
        <v>821</v>
      </c>
      <c r="J964" s="49">
        <f t="shared" si="133"/>
        <v>2117</v>
      </c>
      <c r="K964" s="49">
        <f t="shared" si="133"/>
        <v>2194</v>
      </c>
      <c r="L964" s="49">
        <f t="shared" si="133"/>
        <v>1942</v>
      </c>
      <c r="M964" s="49">
        <f t="shared" si="133"/>
        <v>1553</v>
      </c>
      <c r="N964" s="49">
        <f t="shared" si="133"/>
        <v>708</v>
      </c>
      <c r="O964" s="49"/>
      <c r="P964" s="49"/>
      <c r="Q964" s="49"/>
      <c r="R964" s="49">
        <f t="shared" si="131"/>
        <v>9599</v>
      </c>
    </row>
    <row r="965" spans="3:20" ht="13.5" customHeight="1" x14ac:dyDescent="0.15">
      <c r="C965" s="180"/>
      <c r="D965" s="181"/>
      <c r="E965" s="46"/>
      <c r="F965" s="50" t="s">
        <v>64</v>
      </c>
      <c r="G965" s="48" t="s">
        <v>65</v>
      </c>
      <c r="H965" s="49">
        <f t="shared" si="133"/>
        <v>337</v>
      </c>
      <c r="I965" s="49">
        <f t="shared" si="133"/>
        <v>1124</v>
      </c>
      <c r="J965" s="49">
        <f t="shared" si="133"/>
        <v>3089</v>
      </c>
      <c r="K965" s="49">
        <f t="shared" si="133"/>
        <v>3362</v>
      </c>
      <c r="L965" s="49">
        <f t="shared" si="133"/>
        <v>3228</v>
      </c>
      <c r="M965" s="49">
        <f t="shared" si="133"/>
        <v>2719</v>
      </c>
      <c r="N965" s="49">
        <f t="shared" si="133"/>
        <v>1210</v>
      </c>
      <c r="O965" s="49"/>
      <c r="P965" s="49"/>
      <c r="Q965" s="49"/>
      <c r="R965" s="49">
        <f t="shared" si="131"/>
        <v>15069</v>
      </c>
    </row>
    <row r="966" spans="3:20" ht="13.5" customHeight="1" x14ac:dyDescent="0.15">
      <c r="C966" s="180"/>
      <c r="D966" s="181"/>
      <c r="E966" s="46"/>
      <c r="F966" s="50" t="s">
        <v>66</v>
      </c>
      <c r="G966" s="48" t="s">
        <v>67</v>
      </c>
      <c r="H966" s="49">
        <f t="shared" si="133"/>
        <v>261</v>
      </c>
      <c r="I966" s="49">
        <f t="shared" si="133"/>
        <v>988</v>
      </c>
      <c r="J966" s="49">
        <f t="shared" si="133"/>
        <v>3176</v>
      </c>
      <c r="K966" s="49">
        <f t="shared" si="133"/>
        <v>3696</v>
      </c>
      <c r="L966" s="49">
        <f t="shared" si="133"/>
        <v>5151</v>
      </c>
      <c r="M966" s="49">
        <f t="shared" si="133"/>
        <v>4225</v>
      </c>
      <c r="N966" s="49">
        <f t="shared" si="133"/>
        <v>1684</v>
      </c>
      <c r="O966" s="49"/>
      <c r="P966" s="49"/>
      <c r="Q966" s="49"/>
      <c r="R966" s="49">
        <f t="shared" si="131"/>
        <v>19181</v>
      </c>
    </row>
    <row r="967" spans="3:20" x14ac:dyDescent="0.15">
      <c r="C967" s="180"/>
      <c r="D967" s="181"/>
      <c r="E967" s="46"/>
      <c r="F967" s="51" t="s">
        <v>68</v>
      </c>
      <c r="G967" s="48" t="s">
        <v>69</v>
      </c>
      <c r="H967" s="49">
        <f t="shared" si="133"/>
        <v>223</v>
      </c>
      <c r="I967" s="49">
        <f t="shared" si="133"/>
        <v>750</v>
      </c>
      <c r="J967" s="49">
        <f t="shared" si="133"/>
        <v>2475</v>
      </c>
      <c r="K967" s="49">
        <f t="shared" si="133"/>
        <v>2863</v>
      </c>
      <c r="L967" s="49">
        <f t="shared" si="133"/>
        <v>3371</v>
      </c>
      <c r="M967" s="49">
        <f t="shared" si="133"/>
        <v>3012</v>
      </c>
      <c r="N967" s="49">
        <f t="shared" si="133"/>
        <v>1330</v>
      </c>
      <c r="O967" s="49"/>
      <c r="P967" s="49"/>
      <c r="Q967" s="49"/>
      <c r="R967" s="49">
        <f>SUM(H967:Q967)</f>
        <v>14024</v>
      </c>
    </row>
    <row r="968" spans="3:20" ht="13.5" customHeight="1" x14ac:dyDescent="0.15">
      <c r="C968" s="180"/>
      <c r="D968" s="181"/>
      <c r="E968" s="46"/>
      <c r="F968" s="51" t="s">
        <v>70</v>
      </c>
      <c r="G968" s="48" t="s">
        <v>71</v>
      </c>
      <c r="H968" s="49">
        <f t="shared" si="133"/>
        <v>203</v>
      </c>
      <c r="I968" s="49">
        <f t="shared" si="133"/>
        <v>558</v>
      </c>
      <c r="J968" s="49">
        <f t="shared" si="133"/>
        <v>650</v>
      </c>
      <c r="K968" s="49">
        <f t="shared" si="133"/>
        <v>890</v>
      </c>
      <c r="L968" s="49">
        <f t="shared" si="133"/>
        <v>1120</v>
      </c>
      <c r="M968" s="49">
        <f t="shared" si="133"/>
        <v>1143</v>
      </c>
      <c r="N968" s="49">
        <f t="shared" si="133"/>
        <v>382</v>
      </c>
      <c r="O968" s="49"/>
      <c r="P968" s="49"/>
      <c r="Q968" s="49"/>
      <c r="R968" s="49">
        <f t="shared" ref="R968:R1009" si="134">SUM(H968:Q968)</f>
        <v>4946</v>
      </c>
    </row>
    <row r="969" spans="3:20" x14ac:dyDescent="0.15">
      <c r="C969" s="180"/>
      <c r="D969" s="181"/>
      <c r="E969" s="46"/>
      <c r="F969" s="47" t="s">
        <v>72</v>
      </c>
      <c r="G969" s="48" t="s">
        <v>73</v>
      </c>
      <c r="H969" s="49">
        <f t="shared" si="133"/>
        <v>0</v>
      </c>
      <c r="I969" s="49">
        <f t="shared" si="133"/>
        <v>0</v>
      </c>
      <c r="J969" s="49">
        <f t="shared" si="133"/>
        <v>0</v>
      </c>
      <c r="K969" s="49">
        <f t="shared" si="133"/>
        <v>0</v>
      </c>
      <c r="L969" s="49">
        <f t="shared" si="133"/>
        <v>0</v>
      </c>
      <c r="M969" s="49">
        <f t="shared" si="133"/>
        <v>0</v>
      </c>
      <c r="N969" s="49">
        <f t="shared" si="133"/>
        <v>0</v>
      </c>
      <c r="O969" s="49"/>
      <c r="P969" s="49"/>
      <c r="Q969" s="49"/>
      <c r="R969" s="49">
        <f t="shared" si="134"/>
        <v>0</v>
      </c>
    </row>
    <row r="970" spans="3:20" x14ac:dyDescent="0.15">
      <c r="C970" s="180"/>
      <c r="D970" s="181"/>
      <c r="E970" s="46"/>
      <c r="F970" s="47" t="s">
        <v>74</v>
      </c>
      <c r="G970" s="48" t="s">
        <v>73</v>
      </c>
      <c r="H970" s="49">
        <f t="shared" si="133"/>
        <v>84</v>
      </c>
      <c r="I970" s="49">
        <f t="shared" si="133"/>
        <v>300</v>
      </c>
      <c r="J970" s="49">
        <f t="shared" si="133"/>
        <v>480</v>
      </c>
      <c r="K970" s="49">
        <f t="shared" si="133"/>
        <v>444</v>
      </c>
      <c r="L970" s="49">
        <f t="shared" si="133"/>
        <v>516</v>
      </c>
      <c r="M970" s="49">
        <f t="shared" si="133"/>
        <v>336</v>
      </c>
      <c r="N970" s="49">
        <f t="shared" si="133"/>
        <v>120</v>
      </c>
      <c r="O970" s="49"/>
      <c r="P970" s="49"/>
      <c r="Q970" s="49"/>
      <c r="R970" s="49">
        <f t="shared" si="134"/>
        <v>2280</v>
      </c>
    </row>
    <row r="971" spans="3:20" x14ac:dyDescent="0.15">
      <c r="C971" s="180"/>
      <c r="D971" s="181"/>
      <c r="E971" s="46"/>
      <c r="F971" s="47" t="s">
        <v>76</v>
      </c>
      <c r="G971" s="48" t="s">
        <v>73</v>
      </c>
      <c r="H971" s="49">
        <f t="shared" si="133"/>
        <v>112</v>
      </c>
      <c r="I971" s="49">
        <f t="shared" si="133"/>
        <v>287</v>
      </c>
      <c r="J971" s="49">
        <f t="shared" si="133"/>
        <v>443</v>
      </c>
      <c r="K971" s="49">
        <f t="shared" si="133"/>
        <v>523</v>
      </c>
      <c r="L971" s="49">
        <f t="shared" si="133"/>
        <v>798</v>
      </c>
      <c r="M971" s="49">
        <f t="shared" si="133"/>
        <v>687</v>
      </c>
      <c r="N971" s="49">
        <f t="shared" si="133"/>
        <v>240</v>
      </c>
      <c r="O971" s="49"/>
      <c r="P971" s="49"/>
      <c r="Q971" s="49"/>
      <c r="R971" s="49">
        <f t="shared" si="134"/>
        <v>3090</v>
      </c>
    </row>
    <row r="972" spans="3:20" x14ac:dyDescent="0.15">
      <c r="C972" s="180"/>
      <c r="D972" s="181"/>
      <c r="E972" s="46"/>
      <c r="F972" s="47" t="s">
        <v>77</v>
      </c>
      <c r="G972" s="48" t="s">
        <v>73</v>
      </c>
      <c r="H972" s="49">
        <f t="shared" ref="H972:N972" si="135">H809+H863+H881+H935+H954</f>
        <v>60</v>
      </c>
      <c r="I972" s="49">
        <f t="shared" si="135"/>
        <v>236</v>
      </c>
      <c r="J972" s="49">
        <f t="shared" si="135"/>
        <v>331</v>
      </c>
      <c r="K972" s="49">
        <f t="shared" si="135"/>
        <v>362</v>
      </c>
      <c r="L972" s="49">
        <f t="shared" si="135"/>
        <v>457</v>
      </c>
      <c r="M972" s="49">
        <f t="shared" si="135"/>
        <v>297</v>
      </c>
      <c r="N972" s="49">
        <f t="shared" si="135"/>
        <v>81</v>
      </c>
      <c r="O972" s="49"/>
      <c r="P972" s="49"/>
      <c r="Q972" s="49"/>
      <c r="R972" s="49">
        <f t="shared" si="134"/>
        <v>1824</v>
      </c>
    </row>
    <row r="973" spans="3:20" ht="14.25" thickBot="1" x14ac:dyDescent="0.2">
      <c r="C973" s="180"/>
      <c r="D973" s="184"/>
      <c r="E973" s="61"/>
      <c r="F973" s="62" t="s">
        <v>87</v>
      </c>
      <c r="G973" s="63" t="s">
        <v>88</v>
      </c>
      <c r="H973" s="64">
        <f>H936</f>
        <v>0</v>
      </c>
      <c r="I973" s="64">
        <f t="shared" ref="I973:N973" si="136">I936</f>
        <v>0</v>
      </c>
      <c r="J973" s="64">
        <f t="shared" si="136"/>
        <v>0</v>
      </c>
      <c r="K973" s="64">
        <f t="shared" si="136"/>
        <v>0</v>
      </c>
      <c r="L973" s="64">
        <f t="shared" si="136"/>
        <v>0</v>
      </c>
      <c r="M973" s="64">
        <f t="shared" si="136"/>
        <v>0</v>
      </c>
      <c r="N973" s="64">
        <f t="shared" si="136"/>
        <v>0</v>
      </c>
      <c r="O973" s="64"/>
      <c r="P973" s="64"/>
      <c r="Q973" s="64"/>
      <c r="R973" s="64">
        <f t="shared" si="134"/>
        <v>0</v>
      </c>
      <c r="T973" s="10">
        <f>SUM(R955:R973)</f>
        <v>166191</v>
      </c>
    </row>
    <row r="974" spans="3:20" ht="13.5" customHeight="1" x14ac:dyDescent="0.15">
      <c r="C974" s="180"/>
      <c r="D974" s="185" t="s">
        <v>95</v>
      </c>
      <c r="E974" s="65"/>
      <c r="F974" s="66" t="s">
        <v>79</v>
      </c>
      <c r="G974" s="67" t="s">
        <v>45</v>
      </c>
      <c r="H974" s="68"/>
      <c r="I974" s="68"/>
      <c r="J974" s="68"/>
      <c r="K974" s="68"/>
      <c r="L974" s="68"/>
      <c r="M974" s="68"/>
      <c r="N974" s="68"/>
      <c r="O974" s="68">
        <f>O810+O882</f>
        <v>204</v>
      </c>
      <c r="P974" s="68">
        <f t="shared" ref="P974:Q974" si="137">P810+P882</f>
        <v>300</v>
      </c>
      <c r="Q974" s="68">
        <f t="shared" si="137"/>
        <v>156</v>
      </c>
      <c r="R974" s="68">
        <f t="shared" si="134"/>
        <v>660</v>
      </c>
    </row>
    <row r="975" spans="3:20" ht="13.5" customHeight="1" x14ac:dyDescent="0.15">
      <c r="C975" s="180"/>
      <c r="D975" s="181"/>
      <c r="E975" s="46"/>
      <c r="F975" s="50" t="s">
        <v>80</v>
      </c>
      <c r="G975" s="48" t="s">
        <v>47</v>
      </c>
      <c r="H975" s="49"/>
      <c r="I975" s="49"/>
      <c r="J975" s="49"/>
      <c r="K975" s="49"/>
      <c r="L975" s="49"/>
      <c r="M975" s="49"/>
      <c r="N975" s="49"/>
      <c r="O975" s="49">
        <f t="shared" ref="O975:Q990" si="138">O811+O883</f>
        <v>204</v>
      </c>
      <c r="P975" s="49">
        <f t="shared" si="138"/>
        <v>264</v>
      </c>
      <c r="Q975" s="49">
        <f t="shared" si="138"/>
        <v>180</v>
      </c>
      <c r="R975" s="49">
        <f t="shared" si="134"/>
        <v>648</v>
      </c>
    </row>
    <row r="976" spans="3:20" ht="13.5" customHeight="1" x14ac:dyDescent="0.15">
      <c r="C976" s="180"/>
      <c r="D976" s="181"/>
      <c r="E976" s="46"/>
      <c r="F976" s="50" t="s">
        <v>48</v>
      </c>
      <c r="G976" s="48" t="s">
        <v>49</v>
      </c>
      <c r="H976" s="49"/>
      <c r="I976" s="49"/>
      <c r="J976" s="49"/>
      <c r="K976" s="49"/>
      <c r="L976" s="49"/>
      <c r="M976" s="49"/>
      <c r="N976" s="49"/>
      <c r="O976" s="49">
        <f t="shared" si="138"/>
        <v>1871</v>
      </c>
      <c r="P976" s="49">
        <f t="shared" si="138"/>
        <v>1819</v>
      </c>
      <c r="Q976" s="49">
        <f t="shared" si="138"/>
        <v>1063</v>
      </c>
      <c r="R976" s="49">
        <f t="shared" si="134"/>
        <v>4753</v>
      </c>
    </row>
    <row r="977" spans="3:18" ht="13.5" customHeight="1" x14ac:dyDescent="0.15">
      <c r="C977" s="180"/>
      <c r="D977" s="181"/>
      <c r="E977" s="46"/>
      <c r="F977" s="50" t="s">
        <v>50</v>
      </c>
      <c r="G977" s="48" t="s">
        <v>51</v>
      </c>
      <c r="H977" s="49"/>
      <c r="I977" s="49"/>
      <c r="J977" s="49"/>
      <c r="K977" s="49"/>
      <c r="L977" s="49"/>
      <c r="M977" s="49"/>
      <c r="N977" s="49"/>
      <c r="O977" s="49">
        <f t="shared" si="138"/>
        <v>528</v>
      </c>
      <c r="P977" s="49">
        <f t="shared" si="138"/>
        <v>1452</v>
      </c>
      <c r="Q977" s="49">
        <f t="shared" si="138"/>
        <v>669</v>
      </c>
      <c r="R977" s="49">
        <f t="shared" si="134"/>
        <v>2649</v>
      </c>
    </row>
    <row r="978" spans="3:18" ht="13.5" customHeight="1" x14ac:dyDescent="0.15">
      <c r="C978" s="180"/>
      <c r="D978" s="181"/>
      <c r="E978" s="46"/>
      <c r="F978" s="50" t="s">
        <v>52</v>
      </c>
      <c r="G978" s="48" t="s">
        <v>53</v>
      </c>
      <c r="H978" s="49"/>
      <c r="I978" s="49"/>
      <c r="J978" s="49"/>
      <c r="K978" s="49"/>
      <c r="L978" s="49"/>
      <c r="M978" s="49"/>
      <c r="N978" s="49"/>
      <c r="O978" s="49">
        <f t="shared" si="138"/>
        <v>180</v>
      </c>
      <c r="P978" s="49">
        <f t="shared" si="138"/>
        <v>192</v>
      </c>
      <c r="Q978" s="49">
        <f t="shared" si="138"/>
        <v>120</v>
      </c>
      <c r="R978" s="49">
        <f t="shared" si="134"/>
        <v>492</v>
      </c>
    </row>
    <row r="979" spans="3:18" ht="13.5" customHeight="1" x14ac:dyDescent="0.15">
      <c r="C979" s="180"/>
      <c r="D979" s="181"/>
      <c r="E979" s="46"/>
      <c r="F979" s="50" t="s">
        <v>54</v>
      </c>
      <c r="G979" s="48" t="s">
        <v>55</v>
      </c>
      <c r="H979" s="49"/>
      <c r="I979" s="49"/>
      <c r="J979" s="49"/>
      <c r="K979" s="49"/>
      <c r="L979" s="49"/>
      <c r="M979" s="49"/>
      <c r="N979" s="49"/>
      <c r="O979" s="49">
        <f t="shared" si="138"/>
        <v>1387</v>
      </c>
      <c r="P979" s="49">
        <f t="shared" si="138"/>
        <v>1573</v>
      </c>
      <c r="Q979" s="49">
        <f t="shared" si="138"/>
        <v>953</v>
      </c>
      <c r="R979" s="49">
        <f t="shared" si="134"/>
        <v>3913</v>
      </c>
    </row>
    <row r="980" spans="3:18" ht="13.5" customHeight="1" x14ac:dyDescent="0.15">
      <c r="C980" s="180"/>
      <c r="D980" s="181"/>
      <c r="E980" s="46"/>
      <c r="F980" s="50" t="s">
        <v>56</v>
      </c>
      <c r="G980" s="48" t="s">
        <v>57</v>
      </c>
      <c r="H980" s="49"/>
      <c r="I980" s="49"/>
      <c r="J980" s="49"/>
      <c r="K980" s="49"/>
      <c r="L980" s="49"/>
      <c r="M980" s="49"/>
      <c r="N980" s="49"/>
      <c r="O980" s="49">
        <f t="shared" si="138"/>
        <v>341</v>
      </c>
      <c r="P980" s="49">
        <f t="shared" si="138"/>
        <v>897</v>
      </c>
      <c r="Q980" s="49">
        <f t="shared" si="138"/>
        <v>593</v>
      </c>
      <c r="R980" s="49">
        <f t="shared" si="134"/>
        <v>1831</v>
      </c>
    </row>
    <row r="981" spans="3:18" ht="13.5" customHeight="1" x14ac:dyDescent="0.15">
      <c r="C981" s="180"/>
      <c r="D981" s="181"/>
      <c r="E981" s="46"/>
      <c r="F981" s="51" t="s">
        <v>58</v>
      </c>
      <c r="G981" s="48" t="s">
        <v>59</v>
      </c>
      <c r="H981" s="49"/>
      <c r="I981" s="49"/>
      <c r="J981" s="49"/>
      <c r="K981" s="49"/>
      <c r="L981" s="49"/>
      <c r="M981" s="49"/>
      <c r="N981" s="49"/>
      <c r="O981" s="49">
        <f t="shared" si="138"/>
        <v>1232</v>
      </c>
      <c r="P981" s="49">
        <f t="shared" si="138"/>
        <v>1408</v>
      </c>
      <c r="Q981" s="49">
        <f t="shared" si="138"/>
        <v>859</v>
      </c>
      <c r="R981" s="49">
        <f t="shared" si="134"/>
        <v>3499</v>
      </c>
    </row>
    <row r="982" spans="3:18" ht="13.5" customHeight="1" x14ac:dyDescent="0.15">
      <c r="C982" s="180"/>
      <c r="D982" s="181"/>
      <c r="E982" s="46"/>
      <c r="F982" s="52" t="s">
        <v>60</v>
      </c>
      <c r="G982" s="48" t="s">
        <v>61</v>
      </c>
      <c r="H982" s="49"/>
      <c r="I982" s="49"/>
      <c r="J982" s="49"/>
      <c r="K982" s="49"/>
      <c r="L982" s="49"/>
      <c r="M982" s="49"/>
      <c r="N982" s="49"/>
      <c r="O982" s="49">
        <f t="shared" si="138"/>
        <v>204</v>
      </c>
      <c r="P982" s="49">
        <f t="shared" si="138"/>
        <v>300</v>
      </c>
      <c r="Q982" s="49">
        <f t="shared" si="138"/>
        <v>168</v>
      </c>
      <c r="R982" s="49">
        <f t="shared" si="134"/>
        <v>672</v>
      </c>
    </row>
    <row r="983" spans="3:18" ht="13.5" customHeight="1" x14ac:dyDescent="0.15">
      <c r="C983" s="180"/>
      <c r="D983" s="181"/>
      <c r="E983" s="46"/>
      <c r="F983" s="51" t="s">
        <v>62</v>
      </c>
      <c r="G983" s="48" t="s">
        <v>63</v>
      </c>
      <c r="H983" s="49"/>
      <c r="I983" s="49"/>
      <c r="J983" s="49"/>
      <c r="K983" s="49"/>
      <c r="L983" s="49"/>
      <c r="M983" s="49"/>
      <c r="N983" s="49"/>
      <c r="O983" s="49">
        <f t="shared" si="138"/>
        <v>684</v>
      </c>
      <c r="P983" s="49">
        <f t="shared" si="138"/>
        <v>768</v>
      </c>
      <c r="Q983" s="49">
        <f t="shared" si="138"/>
        <v>456</v>
      </c>
      <c r="R983" s="49">
        <f t="shared" si="134"/>
        <v>1908</v>
      </c>
    </row>
    <row r="984" spans="3:18" ht="13.5" customHeight="1" x14ac:dyDescent="0.15">
      <c r="C984" s="180"/>
      <c r="D984" s="181"/>
      <c r="E984" s="46"/>
      <c r="F984" s="50" t="s">
        <v>64</v>
      </c>
      <c r="G984" s="48" t="s">
        <v>65</v>
      </c>
      <c r="H984" s="49"/>
      <c r="I984" s="49"/>
      <c r="J984" s="49"/>
      <c r="K984" s="49"/>
      <c r="L984" s="49"/>
      <c r="M984" s="49"/>
      <c r="N984" s="49"/>
      <c r="O984" s="49">
        <f t="shared" si="138"/>
        <v>691</v>
      </c>
      <c r="P984" s="49">
        <f t="shared" si="138"/>
        <v>1037</v>
      </c>
      <c r="Q984" s="49">
        <f t="shared" si="138"/>
        <v>740</v>
      </c>
      <c r="R984" s="49">
        <f t="shared" si="134"/>
        <v>2468</v>
      </c>
    </row>
    <row r="985" spans="3:18" ht="13.5" customHeight="1" x14ac:dyDescent="0.15">
      <c r="C985" s="180"/>
      <c r="D985" s="181"/>
      <c r="E985" s="46"/>
      <c r="F985" s="50" t="s">
        <v>66</v>
      </c>
      <c r="G985" s="48" t="s">
        <v>67</v>
      </c>
      <c r="H985" s="49"/>
      <c r="I985" s="49"/>
      <c r="J985" s="49"/>
      <c r="K985" s="49"/>
      <c r="L985" s="49"/>
      <c r="M985" s="49"/>
      <c r="N985" s="49"/>
      <c r="O985" s="49">
        <f t="shared" si="138"/>
        <v>1516</v>
      </c>
      <c r="P985" s="49">
        <f t="shared" si="138"/>
        <v>2117</v>
      </c>
      <c r="Q985" s="49">
        <f t="shared" si="138"/>
        <v>1412</v>
      </c>
      <c r="R985" s="49">
        <f t="shared" si="134"/>
        <v>5045</v>
      </c>
    </row>
    <row r="986" spans="3:18" ht="13.5" customHeight="1" x14ac:dyDescent="0.15">
      <c r="C986" s="180"/>
      <c r="D986" s="181"/>
      <c r="E986" s="46"/>
      <c r="F986" s="51" t="s">
        <v>68</v>
      </c>
      <c r="G986" s="48" t="s">
        <v>69</v>
      </c>
      <c r="H986" s="49"/>
      <c r="I986" s="49"/>
      <c r="J986" s="49"/>
      <c r="K986" s="49"/>
      <c r="L986" s="49"/>
      <c r="M986" s="49"/>
      <c r="N986" s="49"/>
      <c r="O986" s="49">
        <f t="shared" si="138"/>
        <v>497</v>
      </c>
      <c r="P986" s="49">
        <f t="shared" si="138"/>
        <v>818</v>
      </c>
      <c r="Q986" s="49">
        <f t="shared" si="138"/>
        <v>510</v>
      </c>
      <c r="R986" s="49">
        <f t="shared" si="134"/>
        <v>1825</v>
      </c>
    </row>
    <row r="987" spans="3:18" ht="13.5" customHeight="1" x14ac:dyDescent="0.15">
      <c r="C987" s="180"/>
      <c r="D987" s="181"/>
      <c r="E987" s="46"/>
      <c r="F987" s="51" t="s">
        <v>70</v>
      </c>
      <c r="G987" s="48" t="s">
        <v>71</v>
      </c>
      <c r="H987" s="49"/>
      <c r="I987" s="49"/>
      <c r="J987" s="49"/>
      <c r="K987" s="49"/>
      <c r="L987" s="49"/>
      <c r="M987" s="49"/>
      <c r="N987" s="49"/>
      <c r="O987" s="49">
        <f t="shared" si="138"/>
        <v>578</v>
      </c>
      <c r="P987" s="49">
        <f t="shared" si="138"/>
        <v>867</v>
      </c>
      <c r="Q987" s="49">
        <f t="shared" si="138"/>
        <v>483</v>
      </c>
      <c r="R987" s="49">
        <f t="shared" si="134"/>
        <v>1928</v>
      </c>
    </row>
    <row r="988" spans="3:18" x14ac:dyDescent="0.15">
      <c r="C988" s="180"/>
      <c r="D988" s="181"/>
      <c r="E988" s="46"/>
      <c r="F988" s="47" t="s">
        <v>72</v>
      </c>
      <c r="G988" s="48" t="s">
        <v>73</v>
      </c>
      <c r="H988" s="49"/>
      <c r="I988" s="49"/>
      <c r="J988" s="49"/>
      <c r="K988" s="49"/>
      <c r="L988" s="49"/>
      <c r="M988" s="49"/>
      <c r="N988" s="49"/>
      <c r="O988" s="49">
        <f t="shared" si="138"/>
        <v>0</v>
      </c>
      <c r="P988" s="49">
        <f t="shared" si="138"/>
        <v>0</v>
      </c>
      <c r="Q988" s="49">
        <f t="shared" si="138"/>
        <v>0</v>
      </c>
      <c r="R988" s="49">
        <f t="shared" ref="R988:R990" si="139">SUM(H988:Q988)</f>
        <v>0</v>
      </c>
    </row>
    <row r="989" spans="3:18" x14ac:dyDescent="0.15">
      <c r="C989" s="180"/>
      <c r="D989" s="181"/>
      <c r="E989" s="46"/>
      <c r="F989" s="47" t="s">
        <v>74</v>
      </c>
      <c r="G989" s="48" t="s">
        <v>73</v>
      </c>
      <c r="H989" s="49"/>
      <c r="I989" s="49"/>
      <c r="J989" s="49"/>
      <c r="K989" s="49"/>
      <c r="L989" s="49"/>
      <c r="M989" s="49"/>
      <c r="N989" s="49"/>
      <c r="O989" s="49">
        <f t="shared" si="138"/>
        <v>300</v>
      </c>
      <c r="P989" s="49">
        <f t="shared" si="138"/>
        <v>360</v>
      </c>
      <c r="Q989" s="49">
        <f t="shared" si="138"/>
        <v>276</v>
      </c>
      <c r="R989" s="49">
        <f t="shared" si="139"/>
        <v>936</v>
      </c>
    </row>
    <row r="990" spans="3:18" x14ac:dyDescent="0.15">
      <c r="C990" s="180"/>
      <c r="D990" s="181"/>
      <c r="E990" s="46"/>
      <c r="F990" s="47" t="s">
        <v>76</v>
      </c>
      <c r="G990" s="48" t="s">
        <v>73</v>
      </c>
      <c r="H990" s="49"/>
      <c r="I990" s="49"/>
      <c r="J990" s="49"/>
      <c r="K990" s="49"/>
      <c r="L990" s="49"/>
      <c r="M990" s="49"/>
      <c r="N990" s="49"/>
      <c r="O990" s="49">
        <f t="shared" si="138"/>
        <v>236</v>
      </c>
      <c r="P990" s="49">
        <f t="shared" si="138"/>
        <v>368</v>
      </c>
      <c r="Q990" s="49">
        <f t="shared" si="138"/>
        <v>233</v>
      </c>
      <c r="R990" s="49">
        <f t="shared" si="139"/>
        <v>837</v>
      </c>
    </row>
    <row r="991" spans="3:18" ht="14.25" thickBot="1" x14ac:dyDescent="0.2">
      <c r="C991" s="180"/>
      <c r="D991" s="182"/>
      <c r="E991" s="53"/>
      <c r="F991" s="54" t="s">
        <v>77</v>
      </c>
      <c r="G991" s="55" t="s">
        <v>73</v>
      </c>
      <c r="H991" s="56"/>
      <c r="I991" s="56"/>
      <c r="J991" s="56"/>
      <c r="K991" s="56"/>
      <c r="L991" s="56"/>
      <c r="M991" s="56"/>
      <c r="N991" s="56"/>
      <c r="O991" s="56">
        <f t="shared" ref="O991:Q991" si="140">O827+O899</f>
        <v>72</v>
      </c>
      <c r="P991" s="56">
        <f t="shared" si="140"/>
        <v>89</v>
      </c>
      <c r="Q991" s="56">
        <f t="shared" si="140"/>
        <v>57</v>
      </c>
      <c r="R991" s="56">
        <f t="shared" si="134"/>
        <v>218</v>
      </c>
    </row>
    <row r="992" spans="3:18" ht="13.5" customHeight="1" x14ac:dyDescent="0.15">
      <c r="C992" s="180"/>
      <c r="D992" s="183" t="s">
        <v>96</v>
      </c>
      <c r="E992" s="57"/>
      <c r="F992" s="58" t="s">
        <v>79</v>
      </c>
      <c r="G992" s="59" t="s">
        <v>45</v>
      </c>
      <c r="H992" s="60">
        <f>H900+H828</f>
        <v>0</v>
      </c>
      <c r="I992" s="60">
        <f t="shared" ref="I992:N992" si="141">I900+I828</f>
        <v>0</v>
      </c>
      <c r="J992" s="60">
        <f t="shared" si="141"/>
        <v>48</v>
      </c>
      <c r="K992" s="60">
        <f t="shared" si="141"/>
        <v>60</v>
      </c>
      <c r="L992" s="60">
        <f t="shared" si="141"/>
        <v>72</v>
      </c>
      <c r="M992" s="60">
        <f t="shared" si="141"/>
        <v>60</v>
      </c>
      <c r="N992" s="60">
        <f t="shared" si="141"/>
        <v>0</v>
      </c>
      <c r="O992" s="60"/>
      <c r="P992" s="60"/>
      <c r="Q992" s="60"/>
      <c r="R992" s="60">
        <f t="shared" si="134"/>
        <v>240</v>
      </c>
    </row>
    <row r="993" spans="3:20" ht="13.5" customHeight="1" x14ac:dyDescent="0.15">
      <c r="C993" s="180"/>
      <c r="D993" s="181"/>
      <c r="E993" s="46"/>
      <c r="F993" s="50" t="s">
        <v>80</v>
      </c>
      <c r="G993" s="48" t="s">
        <v>47</v>
      </c>
      <c r="H993" s="49">
        <f t="shared" ref="H993:N1008" si="142">H901+H829</f>
        <v>0</v>
      </c>
      <c r="I993" s="49">
        <f t="shared" si="142"/>
        <v>0</v>
      </c>
      <c r="J993" s="49">
        <f t="shared" si="142"/>
        <v>48</v>
      </c>
      <c r="K993" s="49">
        <f t="shared" si="142"/>
        <v>96</v>
      </c>
      <c r="L993" s="49">
        <f t="shared" si="142"/>
        <v>144</v>
      </c>
      <c r="M993" s="49">
        <f t="shared" si="142"/>
        <v>72</v>
      </c>
      <c r="N993" s="49">
        <f t="shared" si="142"/>
        <v>0</v>
      </c>
      <c r="O993" s="49"/>
      <c r="P993" s="49"/>
      <c r="Q993" s="49"/>
      <c r="R993" s="49">
        <f t="shared" si="134"/>
        <v>360</v>
      </c>
    </row>
    <row r="994" spans="3:20" ht="13.5" customHeight="1" x14ac:dyDescent="0.15">
      <c r="C994" s="180"/>
      <c r="D994" s="181"/>
      <c r="E994" s="46"/>
      <c r="F994" s="50" t="s">
        <v>48</v>
      </c>
      <c r="G994" s="48" t="s">
        <v>49</v>
      </c>
      <c r="H994" s="49">
        <f t="shared" si="142"/>
        <v>0</v>
      </c>
      <c r="I994" s="49">
        <f t="shared" si="142"/>
        <v>0</v>
      </c>
      <c r="J994" s="49">
        <f t="shared" si="142"/>
        <v>529</v>
      </c>
      <c r="K994" s="49">
        <f t="shared" si="142"/>
        <v>932</v>
      </c>
      <c r="L994" s="49">
        <f t="shared" si="142"/>
        <v>966</v>
      </c>
      <c r="M994" s="49">
        <f t="shared" si="142"/>
        <v>253</v>
      </c>
      <c r="N994" s="49">
        <f t="shared" si="142"/>
        <v>0</v>
      </c>
      <c r="O994" s="49"/>
      <c r="P994" s="49"/>
      <c r="Q994" s="49"/>
      <c r="R994" s="49">
        <f t="shared" si="134"/>
        <v>2680</v>
      </c>
    </row>
    <row r="995" spans="3:20" ht="13.5" customHeight="1" x14ac:dyDescent="0.15">
      <c r="C995" s="180"/>
      <c r="D995" s="181"/>
      <c r="E995" s="46"/>
      <c r="F995" s="50" t="s">
        <v>50</v>
      </c>
      <c r="G995" s="48" t="s">
        <v>51</v>
      </c>
      <c r="H995" s="49">
        <f t="shared" si="142"/>
        <v>0</v>
      </c>
      <c r="I995" s="49">
        <f t="shared" si="142"/>
        <v>0</v>
      </c>
      <c r="J995" s="49">
        <f t="shared" si="142"/>
        <v>165</v>
      </c>
      <c r="K995" s="49">
        <f t="shared" si="142"/>
        <v>348</v>
      </c>
      <c r="L995" s="49">
        <f t="shared" si="142"/>
        <v>528</v>
      </c>
      <c r="M995" s="49">
        <f t="shared" si="142"/>
        <v>302</v>
      </c>
      <c r="N995" s="49">
        <f t="shared" si="142"/>
        <v>0</v>
      </c>
      <c r="O995" s="49"/>
      <c r="P995" s="49"/>
      <c r="Q995" s="49"/>
      <c r="R995" s="49">
        <f t="shared" si="134"/>
        <v>1343</v>
      </c>
    </row>
    <row r="996" spans="3:20" ht="13.5" customHeight="1" x14ac:dyDescent="0.15">
      <c r="C996" s="180"/>
      <c r="D996" s="181"/>
      <c r="E996" s="46"/>
      <c r="F996" s="50" t="s">
        <v>52</v>
      </c>
      <c r="G996" s="48" t="s">
        <v>53</v>
      </c>
      <c r="H996" s="49">
        <f t="shared" si="142"/>
        <v>0</v>
      </c>
      <c r="I996" s="49">
        <f t="shared" si="142"/>
        <v>0</v>
      </c>
      <c r="J996" s="49">
        <f t="shared" si="142"/>
        <v>132</v>
      </c>
      <c r="K996" s="49">
        <f t="shared" si="142"/>
        <v>180</v>
      </c>
      <c r="L996" s="49">
        <f t="shared" si="142"/>
        <v>120</v>
      </c>
      <c r="M996" s="49">
        <f t="shared" si="142"/>
        <v>36</v>
      </c>
      <c r="N996" s="49">
        <f t="shared" si="142"/>
        <v>0</v>
      </c>
      <c r="O996" s="49"/>
      <c r="P996" s="49"/>
      <c r="Q996" s="49"/>
      <c r="R996" s="49">
        <f t="shared" si="134"/>
        <v>468</v>
      </c>
    </row>
    <row r="997" spans="3:20" ht="13.5" customHeight="1" x14ac:dyDescent="0.15">
      <c r="C997" s="180"/>
      <c r="D997" s="181"/>
      <c r="E997" s="46"/>
      <c r="F997" s="50" t="s">
        <v>54</v>
      </c>
      <c r="G997" s="48" t="s">
        <v>55</v>
      </c>
      <c r="H997" s="49">
        <f t="shared" si="142"/>
        <v>0</v>
      </c>
      <c r="I997" s="49">
        <f t="shared" si="142"/>
        <v>0</v>
      </c>
      <c r="J997" s="49">
        <f t="shared" si="142"/>
        <v>366</v>
      </c>
      <c r="K997" s="49">
        <f t="shared" si="142"/>
        <v>608</v>
      </c>
      <c r="L997" s="49">
        <f t="shared" si="142"/>
        <v>674</v>
      </c>
      <c r="M997" s="49">
        <f t="shared" si="142"/>
        <v>318</v>
      </c>
      <c r="N997" s="49">
        <f t="shared" si="142"/>
        <v>0</v>
      </c>
      <c r="O997" s="49"/>
      <c r="P997" s="49"/>
      <c r="Q997" s="49"/>
      <c r="R997" s="49">
        <f t="shared" si="134"/>
        <v>1966</v>
      </c>
    </row>
    <row r="998" spans="3:20" ht="13.5" customHeight="1" x14ac:dyDescent="0.15">
      <c r="C998" s="180"/>
      <c r="D998" s="181"/>
      <c r="E998" s="46"/>
      <c r="F998" s="50" t="s">
        <v>56</v>
      </c>
      <c r="G998" s="48" t="s">
        <v>57</v>
      </c>
      <c r="H998" s="49">
        <f t="shared" si="142"/>
        <v>0</v>
      </c>
      <c r="I998" s="49">
        <f t="shared" si="142"/>
        <v>0</v>
      </c>
      <c r="J998" s="49">
        <f t="shared" si="142"/>
        <v>77</v>
      </c>
      <c r="K998" s="49">
        <f t="shared" si="142"/>
        <v>192</v>
      </c>
      <c r="L998" s="49">
        <f t="shared" si="142"/>
        <v>438</v>
      </c>
      <c r="M998" s="49">
        <f t="shared" si="142"/>
        <v>218</v>
      </c>
      <c r="N998" s="49">
        <f t="shared" si="142"/>
        <v>0</v>
      </c>
      <c r="O998" s="49"/>
      <c r="P998" s="49"/>
      <c r="Q998" s="49"/>
      <c r="R998" s="49">
        <f t="shared" si="134"/>
        <v>925</v>
      </c>
    </row>
    <row r="999" spans="3:20" ht="13.5" customHeight="1" x14ac:dyDescent="0.15">
      <c r="C999" s="180"/>
      <c r="D999" s="181"/>
      <c r="E999" s="46"/>
      <c r="F999" s="51" t="s">
        <v>58</v>
      </c>
      <c r="G999" s="48" t="s">
        <v>59</v>
      </c>
      <c r="H999" s="49">
        <f t="shared" si="142"/>
        <v>0</v>
      </c>
      <c r="I999" s="49">
        <f t="shared" si="142"/>
        <v>0</v>
      </c>
      <c r="J999" s="49">
        <f t="shared" si="142"/>
        <v>325</v>
      </c>
      <c r="K999" s="49">
        <f t="shared" si="142"/>
        <v>540</v>
      </c>
      <c r="L999" s="49">
        <f t="shared" si="142"/>
        <v>601</v>
      </c>
      <c r="M999" s="49">
        <f t="shared" si="142"/>
        <v>285</v>
      </c>
      <c r="N999" s="49">
        <f t="shared" si="142"/>
        <v>0</v>
      </c>
      <c r="O999" s="49"/>
      <c r="P999" s="49"/>
      <c r="Q999" s="49"/>
      <c r="R999" s="49">
        <f t="shared" si="134"/>
        <v>1751</v>
      </c>
    </row>
    <row r="1000" spans="3:20" ht="13.5" customHeight="1" x14ac:dyDescent="0.15">
      <c r="C1000" s="180"/>
      <c r="D1000" s="181"/>
      <c r="E1000" s="46"/>
      <c r="F1000" s="52" t="s">
        <v>60</v>
      </c>
      <c r="G1000" s="48" t="s">
        <v>61</v>
      </c>
      <c r="H1000" s="49">
        <f t="shared" si="142"/>
        <v>0</v>
      </c>
      <c r="I1000" s="49">
        <f t="shared" si="142"/>
        <v>0</v>
      </c>
      <c r="J1000" s="49">
        <f t="shared" si="142"/>
        <v>36</v>
      </c>
      <c r="K1000" s="49">
        <f t="shared" si="142"/>
        <v>72</v>
      </c>
      <c r="L1000" s="49">
        <f t="shared" si="142"/>
        <v>120</v>
      </c>
      <c r="M1000" s="49">
        <f t="shared" si="142"/>
        <v>60</v>
      </c>
      <c r="N1000" s="49">
        <f t="shared" si="142"/>
        <v>0</v>
      </c>
      <c r="O1000" s="49"/>
      <c r="P1000" s="49"/>
      <c r="Q1000" s="49"/>
      <c r="R1000" s="49">
        <f t="shared" si="134"/>
        <v>288</v>
      </c>
    </row>
    <row r="1001" spans="3:20" ht="13.5" customHeight="1" x14ac:dyDescent="0.15">
      <c r="C1001" s="180"/>
      <c r="D1001" s="181"/>
      <c r="E1001" s="46"/>
      <c r="F1001" s="51" t="s">
        <v>62</v>
      </c>
      <c r="G1001" s="48" t="s">
        <v>63</v>
      </c>
      <c r="H1001" s="49">
        <f t="shared" si="142"/>
        <v>0</v>
      </c>
      <c r="I1001" s="49">
        <f t="shared" si="142"/>
        <v>0</v>
      </c>
      <c r="J1001" s="49">
        <f t="shared" si="142"/>
        <v>120</v>
      </c>
      <c r="K1001" s="49">
        <f t="shared" si="142"/>
        <v>300</v>
      </c>
      <c r="L1001" s="49">
        <f t="shared" si="142"/>
        <v>204</v>
      </c>
      <c r="M1001" s="49">
        <f t="shared" si="142"/>
        <v>180</v>
      </c>
      <c r="N1001" s="49">
        <f t="shared" si="142"/>
        <v>0</v>
      </c>
      <c r="O1001" s="49"/>
      <c r="P1001" s="49"/>
      <c r="Q1001" s="49"/>
      <c r="R1001" s="49">
        <f t="shared" si="134"/>
        <v>804</v>
      </c>
    </row>
    <row r="1002" spans="3:20" ht="13.5" customHeight="1" x14ac:dyDescent="0.15">
      <c r="C1002" s="180"/>
      <c r="D1002" s="181"/>
      <c r="E1002" s="46"/>
      <c r="F1002" s="50" t="s">
        <v>64</v>
      </c>
      <c r="G1002" s="48" t="s">
        <v>65</v>
      </c>
      <c r="H1002" s="49">
        <f t="shared" si="142"/>
        <v>0</v>
      </c>
      <c r="I1002" s="49">
        <f t="shared" si="142"/>
        <v>0</v>
      </c>
      <c r="J1002" s="49">
        <f t="shared" si="142"/>
        <v>219</v>
      </c>
      <c r="K1002" s="49">
        <f t="shared" si="142"/>
        <v>551</v>
      </c>
      <c r="L1002" s="49">
        <f t="shared" si="142"/>
        <v>375</v>
      </c>
      <c r="M1002" s="49">
        <f t="shared" si="142"/>
        <v>205</v>
      </c>
      <c r="N1002" s="49">
        <f t="shared" si="142"/>
        <v>0</v>
      </c>
      <c r="O1002" s="49"/>
      <c r="P1002" s="49"/>
      <c r="Q1002" s="49"/>
      <c r="R1002" s="49">
        <f t="shared" si="134"/>
        <v>1350</v>
      </c>
    </row>
    <row r="1003" spans="3:20" ht="13.5" customHeight="1" x14ac:dyDescent="0.15">
      <c r="C1003" s="180"/>
      <c r="D1003" s="181"/>
      <c r="E1003" s="46"/>
      <c r="F1003" s="50" t="s">
        <v>66</v>
      </c>
      <c r="G1003" s="48" t="s">
        <v>67</v>
      </c>
      <c r="H1003" s="49">
        <f t="shared" si="142"/>
        <v>0</v>
      </c>
      <c r="I1003" s="49">
        <f t="shared" si="142"/>
        <v>0</v>
      </c>
      <c r="J1003" s="49">
        <f t="shared" si="142"/>
        <v>342</v>
      </c>
      <c r="K1003" s="49">
        <f t="shared" si="142"/>
        <v>729</v>
      </c>
      <c r="L1003" s="49">
        <f t="shared" si="142"/>
        <v>926</v>
      </c>
      <c r="M1003" s="49">
        <f t="shared" si="142"/>
        <v>437</v>
      </c>
      <c r="N1003" s="49">
        <f t="shared" si="142"/>
        <v>0</v>
      </c>
      <c r="O1003" s="49"/>
      <c r="P1003" s="49"/>
      <c r="Q1003" s="49"/>
      <c r="R1003" s="49">
        <f t="shared" si="134"/>
        <v>2434</v>
      </c>
    </row>
    <row r="1004" spans="3:20" x14ac:dyDescent="0.15">
      <c r="C1004" s="180"/>
      <c r="D1004" s="181"/>
      <c r="E1004" s="46"/>
      <c r="F1004" s="51" t="s">
        <v>68</v>
      </c>
      <c r="G1004" s="48" t="s">
        <v>69</v>
      </c>
      <c r="H1004" s="49">
        <f t="shared" si="142"/>
        <v>0</v>
      </c>
      <c r="I1004" s="49">
        <f t="shared" si="142"/>
        <v>0</v>
      </c>
      <c r="J1004" s="49">
        <f t="shared" si="142"/>
        <v>127</v>
      </c>
      <c r="K1004" s="49">
        <f t="shared" si="142"/>
        <v>271</v>
      </c>
      <c r="L1004" s="49">
        <f t="shared" si="142"/>
        <v>374</v>
      </c>
      <c r="M1004" s="49">
        <f t="shared" si="142"/>
        <v>255</v>
      </c>
      <c r="N1004" s="49">
        <f t="shared" si="142"/>
        <v>0</v>
      </c>
      <c r="O1004" s="49"/>
      <c r="P1004" s="49"/>
      <c r="Q1004" s="49"/>
      <c r="R1004" s="49">
        <f t="shared" si="134"/>
        <v>1027</v>
      </c>
    </row>
    <row r="1005" spans="3:20" ht="13.5" customHeight="1" x14ac:dyDescent="0.15">
      <c r="C1005" s="180"/>
      <c r="D1005" s="181"/>
      <c r="E1005" s="46"/>
      <c r="F1005" s="51" t="s">
        <v>70</v>
      </c>
      <c r="G1005" s="48" t="s">
        <v>71</v>
      </c>
      <c r="H1005" s="49">
        <f t="shared" si="142"/>
        <v>0</v>
      </c>
      <c r="I1005" s="49">
        <f t="shared" si="142"/>
        <v>0</v>
      </c>
      <c r="J1005" s="49">
        <f t="shared" si="142"/>
        <v>163</v>
      </c>
      <c r="K1005" s="49">
        <f t="shared" si="142"/>
        <v>188</v>
      </c>
      <c r="L1005" s="49">
        <f t="shared" si="142"/>
        <v>270</v>
      </c>
      <c r="M1005" s="49">
        <f t="shared" si="142"/>
        <v>197</v>
      </c>
      <c r="N1005" s="49">
        <f t="shared" si="142"/>
        <v>0</v>
      </c>
      <c r="O1005" s="49"/>
      <c r="P1005" s="49"/>
      <c r="Q1005" s="49"/>
      <c r="R1005" s="49">
        <f t="shared" si="134"/>
        <v>818</v>
      </c>
    </row>
    <row r="1006" spans="3:20" x14ac:dyDescent="0.15">
      <c r="C1006" s="180"/>
      <c r="D1006" s="181"/>
      <c r="E1006" s="46"/>
      <c r="F1006" s="47" t="s">
        <v>72</v>
      </c>
      <c r="G1006" s="48" t="s">
        <v>73</v>
      </c>
      <c r="H1006" s="49">
        <f t="shared" si="142"/>
        <v>0</v>
      </c>
      <c r="I1006" s="49">
        <f t="shared" si="142"/>
        <v>0</v>
      </c>
      <c r="J1006" s="49">
        <f t="shared" si="142"/>
        <v>0</v>
      </c>
      <c r="K1006" s="49">
        <f t="shared" si="142"/>
        <v>0</v>
      </c>
      <c r="L1006" s="49">
        <f t="shared" si="142"/>
        <v>0</v>
      </c>
      <c r="M1006" s="49">
        <f t="shared" si="142"/>
        <v>0</v>
      </c>
      <c r="N1006" s="49">
        <f t="shared" si="142"/>
        <v>0</v>
      </c>
      <c r="O1006" s="49"/>
      <c r="P1006" s="49"/>
      <c r="Q1006" s="49"/>
      <c r="R1006" s="49">
        <f t="shared" si="134"/>
        <v>0</v>
      </c>
      <c r="T1006" s="69">
        <f>SUM(G954:Q1217)</f>
        <v>836353.65000000037</v>
      </c>
    </row>
    <row r="1007" spans="3:20" x14ac:dyDescent="0.15">
      <c r="C1007" s="180"/>
      <c r="D1007" s="181"/>
      <c r="E1007" s="46"/>
      <c r="F1007" s="47" t="s">
        <v>74</v>
      </c>
      <c r="G1007" s="48" t="s">
        <v>73</v>
      </c>
      <c r="H1007" s="49">
        <f t="shared" si="142"/>
        <v>0</v>
      </c>
      <c r="I1007" s="49">
        <f t="shared" si="142"/>
        <v>0</v>
      </c>
      <c r="J1007" s="49">
        <f t="shared" si="142"/>
        <v>60</v>
      </c>
      <c r="K1007" s="49">
        <f t="shared" si="142"/>
        <v>192</v>
      </c>
      <c r="L1007" s="49">
        <f t="shared" si="142"/>
        <v>156</v>
      </c>
      <c r="M1007" s="49">
        <f t="shared" si="142"/>
        <v>72</v>
      </c>
      <c r="N1007" s="49">
        <f t="shared" si="142"/>
        <v>0</v>
      </c>
      <c r="O1007" s="49"/>
      <c r="P1007" s="49"/>
      <c r="Q1007" s="49"/>
      <c r="R1007" s="49">
        <f t="shared" si="134"/>
        <v>480</v>
      </c>
      <c r="T1007" s="69">
        <f>SUM(G954:Q1217)</f>
        <v>836353.65000000037</v>
      </c>
    </row>
    <row r="1008" spans="3:20" x14ac:dyDescent="0.15">
      <c r="C1008" s="180"/>
      <c r="D1008" s="181"/>
      <c r="E1008" s="46"/>
      <c r="F1008" s="47" t="s">
        <v>76</v>
      </c>
      <c r="G1008" s="48" t="s">
        <v>73</v>
      </c>
      <c r="H1008" s="49">
        <f t="shared" si="142"/>
        <v>0</v>
      </c>
      <c r="I1008" s="49">
        <f t="shared" si="142"/>
        <v>0</v>
      </c>
      <c r="J1008" s="49">
        <f t="shared" si="142"/>
        <v>70</v>
      </c>
      <c r="K1008" s="49">
        <f t="shared" si="142"/>
        <v>116</v>
      </c>
      <c r="L1008" s="49">
        <f t="shared" si="142"/>
        <v>173</v>
      </c>
      <c r="M1008" s="49">
        <f t="shared" si="142"/>
        <v>127</v>
      </c>
      <c r="N1008" s="49">
        <f t="shared" si="142"/>
        <v>0</v>
      </c>
      <c r="O1008" s="49"/>
      <c r="P1008" s="49"/>
      <c r="Q1008" s="49"/>
      <c r="R1008" s="49">
        <f t="shared" si="134"/>
        <v>486</v>
      </c>
      <c r="T1008" s="69">
        <f>SUM(G954:Q1217)</f>
        <v>836353.65000000037</v>
      </c>
    </row>
    <row r="1009" spans="3:22" ht="14.25" thickBot="1" x14ac:dyDescent="0.2">
      <c r="C1009" s="180"/>
      <c r="D1009" s="184"/>
      <c r="E1009" s="61"/>
      <c r="F1009" s="62" t="s">
        <v>77</v>
      </c>
      <c r="G1009" s="63" t="s">
        <v>73</v>
      </c>
      <c r="H1009" s="64">
        <f t="shared" ref="H1009:N1009" si="143">H917+H845</f>
        <v>0</v>
      </c>
      <c r="I1009" s="64">
        <f t="shared" si="143"/>
        <v>0</v>
      </c>
      <c r="J1009" s="64">
        <f t="shared" si="143"/>
        <v>0</v>
      </c>
      <c r="K1009" s="64">
        <f t="shared" si="143"/>
        <v>0</v>
      </c>
      <c r="L1009" s="64">
        <f t="shared" si="143"/>
        <v>0</v>
      </c>
      <c r="M1009" s="64">
        <f t="shared" si="143"/>
        <v>0</v>
      </c>
      <c r="N1009" s="64">
        <f t="shared" si="143"/>
        <v>0</v>
      </c>
      <c r="O1009" s="64"/>
      <c r="P1009" s="64"/>
      <c r="Q1009" s="64"/>
      <c r="R1009" s="64">
        <f t="shared" si="134"/>
        <v>0</v>
      </c>
      <c r="T1009" s="69">
        <f>SUM(G955:Q1218)</f>
        <v>835912.65000000037</v>
      </c>
    </row>
    <row r="1010" spans="3:22" x14ac:dyDescent="0.15">
      <c r="C1010" s="71" t="s">
        <v>97</v>
      </c>
      <c r="D1010" s="65"/>
      <c r="E1010" s="72"/>
      <c r="F1010" s="65"/>
      <c r="G1010" s="73"/>
      <c r="H1010" s="68"/>
      <c r="I1010" s="68"/>
      <c r="J1010" s="68"/>
      <c r="K1010" s="68"/>
      <c r="L1010" s="68"/>
      <c r="M1010" s="68"/>
      <c r="N1010" s="68"/>
      <c r="O1010" s="68"/>
      <c r="P1010" s="68"/>
      <c r="Q1010" s="68"/>
      <c r="R1010" s="68"/>
      <c r="S1010" s="74"/>
      <c r="V1010" s="75"/>
    </row>
    <row r="1011" spans="3:22" ht="13.5" customHeight="1" x14ac:dyDescent="0.15">
      <c r="C1011" s="71"/>
      <c r="D1011" s="181" t="s">
        <v>94</v>
      </c>
      <c r="E1011" s="46"/>
      <c r="F1011" s="47" t="s">
        <v>44</v>
      </c>
      <c r="G1011" s="48" t="s">
        <v>45</v>
      </c>
      <c r="H1011" s="76">
        <v>68</v>
      </c>
      <c r="I1011" s="77">
        <v>159</v>
      </c>
      <c r="J1011" s="78">
        <v>217</v>
      </c>
      <c r="K1011" s="77">
        <v>299</v>
      </c>
      <c r="L1011" s="77">
        <v>388</v>
      </c>
      <c r="M1011" s="77">
        <v>380</v>
      </c>
      <c r="N1011" s="77">
        <v>96</v>
      </c>
      <c r="O1011" s="77"/>
      <c r="P1011" s="186"/>
      <c r="Q1011" s="186"/>
      <c r="R1011" s="49">
        <f t="shared" ref="R1011:R1022" si="144">SUM(H1011:Q1011)</f>
        <v>1607</v>
      </c>
      <c r="T1011" s="10">
        <f>SUM(H1011:Q1065)</f>
        <v>220749</v>
      </c>
    </row>
    <row r="1012" spans="3:22" ht="13.5" customHeight="1" x14ac:dyDescent="0.15">
      <c r="C1012" s="71"/>
      <c r="D1012" s="181"/>
      <c r="E1012" s="46"/>
      <c r="F1012" s="50" t="s">
        <v>46</v>
      </c>
      <c r="G1012" s="50" t="s">
        <v>47</v>
      </c>
      <c r="H1012" s="50">
        <v>46</v>
      </c>
      <c r="I1012" s="80">
        <v>193</v>
      </c>
      <c r="J1012" s="80">
        <v>1321</v>
      </c>
      <c r="K1012" s="80">
        <v>1389</v>
      </c>
      <c r="L1012" s="80">
        <v>1636</v>
      </c>
      <c r="M1012" s="80">
        <v>1564</v>
      </c>
      <c r="N1012" s="50">
        <v>716</v>
      </c>
      <c r="O1012" s="80"/>
      <c r="P1012" s="50"/>
      <c r="Q1012" s="50"/>
      <c r="R1012" s="49">
        <f t="shared" si="144"/>
        <v>6865</v>
      </c>
    </row>
    <row r="1013" spans="3:22" ht="13.5" customHeight="1" x14ac:dyDescent="0.15">
      <c r="C1013" s="71"/>
      <c r="D1013" s="181"/>
      <c r="E1013" s="46"/>
      <c r="F1013" s="50" t="s">
        <v>48</v>
      </c>
      <c r="G1013" s="50" t="s">
        <v>49</v>
      </c>
      <c r="H1013" s="50">
        <v>1378</v>
      </c>
      <c r="I1013" s="80">
        <v>3513</v>
      </c>
      <c r="J1013" s="80">
        <f>5290+480</f>
        <v>5770</v>
      </c>
      <c r="K1013" s="80">
        <f>4161+576</f>
        <v>4737</v>
      </c>
      <c r="L1013" s="80">
        <f>4195+588</f>
        <v>4783</v>
      </c>
      <c r="M1013" s="80">
        <f>2807+648</f>
        <v>3455</v>
      </c>
      <c r="N1013" s="50">
        <f>972+324</f>
        <v>1296</v>
      </c>
      <c r="O1013" s="80"/>
      <c r="P1013" s="50"/>
      <c r="Q1013" s="50"/>
      <c r="R1013" s="49">
        <f t="shared" si="144"/>
        <v>24932</v>
      </c>
    </row>
    <row r="1014" spans="3:22" ht="13.5" customHeight="1" x14ac:dyDescent="0.15">
      <c r="C1014" s="71"/>
      <c r="D1014" s="181"/>
      <c r="E1014" s="46"/>
      <c r="F1014" s="50" t="s">
        <v>50</v>
      </c>
      <c r="G1014" s="50" t="s">
        <v>51</v>
      </c>
      <c r="H1014" s="50">
        <v>208</v>
      </c>
      <c r="I1014" s="80">
        <v>644</v>
      </c>
      <c r="J1014" s="80">
        <f>2008+288</f>
        <v>2296</v>
      </c>
      <c r="K1014" s="80">
        <f>2483+348</f>
        <v>2831</v>
      </c>
      <c r="L1014" s="80">
        <f>2899+348</f>
        <v>3247</v>
      </c>
      <c r="M1014" s="80">
        <f>2333+408</f>
        <v>2741</v>
      </c>
      <c r="N1014" s="50">
        <f>932+216</f>
        <v>1148</v>
      </c>
      <c r="O1014" s="80"/>
      <c r="P1014" s="50"/>
      <c r="Q1014" s="50"/>
      <c r="R1014" s="49">
        <f t="shared" si="144"/>
        <v>13115</v>
      </c>
    </row>
    <row r="1015" spans="3:22" ht="13.5" customHeight="1" x14ac:dyDescent="0.15">
      <c r="C1015" s="71"/>
      <c r="D1015" s="181"/>
      <c r="E1015" s="46"/>
      <c r="F1015" s="50" t="s">
        <v>52</v>
      </c>
      <c r="G1015" s="50" t="s">
        <v>53</v>
      </c>
      <c r="H1015" s="50">
        <v>178</v>
      </c>
      <c r="I1015" s="80">
        <v>534</v>
      </c>
      <c r="J1015" s="80">
        <v>786</v>
      </c>
      <c r="K1015" s="80">
        <v>799</v>
      </c>
      <c r="L1015" s="80">
        <v>686</v>
      </c>
      <c r="M1015" s="80">
        <v>369</v>
      </c>
      <c r="N1015" s="50">
        <v>96</v>
      </c>
      <c r="O1015" s="80"/>
      <c r="P1015" s="50"/>
      <c r="Q1015" s="50"/>
      <c r="R1015" s="49">
        <f t="shared" si="144"/>
        <v>3448</v>
      </c>
    </row>
    <row r="1016" spans="3:22" ht="13.5" customHeight="1" x14ac:dyDescent="0.15">
      <c r="C1016" s="71"/>
      <c r="D1016" s="181"/>
      <c r="E1016" s="46"/>
      <c r="F1016" s="50" t="s">
        <v>54</v>
      </c>
      <c r="G1016" s="50" t="s">
        <v>55</v>
      </c>
      <c r="H1016" s="50">
        <v>532</v>
      </c>
      <c r="I1016" s="80">
        <v>1249</v>
      </c>
      <c r="J1016" s="80">
        <f>2727+288</f>
        <v>3015</v>
      </c>
      <c r="K1016" s="80">
        <f>2890+336</f>
        <v>3226</v>
      </c>
      <c r="L1016" s="80">
        <f>3041+348</f>
        <v>3389</v>
      </c>
      <c r="M1016" s="80">
        <f>2395+384</f>
        <v>2779</v>
      </c>
      <c r="N1016" s="50">
        <f>966+204</f>
        <v>1170</v>
      </c>
      <c r="O1016" s="80"/>
      <c r="P1016" s="50"/>
      <c r="Q1016" s="50"/>
      <c r="R1016" s="49">
        <f t="shared" si="144"/>
        <v>15360</v>
      </c>
    </row>
    <row r="1017" spans="3:22" ht="13.5" customHeight="1" x14ac:dyDescent="0.15">
      <c r="C1017" s="71"/>
      <c r="D1017" s="181"/>
      <c r="E1017" s="46"/>
      <c r="F1017" s="50" t="s">
        <v>56</v>
      </c>
      <c r="G1017" s="50" t="s">
        <v>57</v>
      </c>
      <c r="H1017" s="50">
        <v>156</v>
      </c>
      <c r="I1017" s="80">
        <v>559</v>
      </c>
      <c r="J1017" s="80">
        <f>1952+504</f>
        <v>2456</v>
      </c>
      <c r="K1017" s="80">
        <f>2390+612</f>
        <v>3002</v>
      </c>
      <c r="L1017" s="80">
        <f>3244+624</f>
        <v>3868</v>
      </c>
      <c r="M1017" s="80">
        <f>3051+684</f>
        <v>3735</v>
      </c>
      <c r="N1017" s="50">
        <f>1387+348</f>
        <v>1735</v>
      </c>
      <c r="O1017" s="80"/>
      <c r="P1017" s="50"/>
      <c r="Q1017" s="50"/>
      <c r="R1017" s="49">
        <f t="shared" si="144"/>
        <v>15511</v>
      </c>
    </row>
    <row r="1018" spans="3:22" ht="13.5" customHeight="1" x14ac:dyDescent="0.15">
      <c r="C1018" s="71"/>
      <c r="D1018" s="181"/>
      <c r="E1018" s="46"/>
      <c r="F1018" s="51" t="s">
        <v>58</v>
      </c>
      <c r="G1018" s="50" t="s">
        <v>59</v>
      </c>
      <c r="H1018" s="50">
        <v>707</v>
      </c>
      <c r="I1018" s="80">
        <v>1769</v>
      </c>
      <c r="J1018" s="80">
        <v>2535</v>
      </c>
      <c r="K1018" s="80">
        <v>2737</v>
      </c>
      <c r="L1018" s="80">
        <v>3021</v>
      </c>
      <c r="M1018" s="80">
        <v>1974</v>
      </c>
      <c r="N1018" s="50">
        <v>535</v>
      </c>
      <c r="O1018" s="80"/>
      <c r="P1018" s="50"/>
      <c r="Q1018" s="50"/>
      <c r="R1018" s="49">
        <f t="shared" si="144"/>
        <v>13278</v>
      </c>
    </row>
    <row r="1019" spans="3:22" ht="13.5" customHeight="1" x14ac:dyDescent="0.15">
      <c r="C1019" s="71"/>
      <c r="D1019" s="181"/>
      <c r="E1019" s="46"/>
      <c r="F1019" s="52" t="s">
        <v>60</v>
      </c>
      <c r="G1019" s="50" t="s">
        <v>61</v>
      </c>
      <c r="H1019" s="50">
        <v>66</v>
      </c>
      <c r="I1019" s="80">
        <v>178</v>
      </c>
      <c r="J1019" s="80">
        <v>328</v>
      </c>
      <c r="K1019" s="80">
        <v>431</v>
      </c>
      <c r="L1019" s="80">
        <v>574</v>
      </c>
      <c r="M1019" s="80">
        <v>401</v>
      </c>
      <c r="N1019" s="50">
        <v>84</v>
      </c>
      <c r="O1019" s="80"/>
      <c r="P1019" s="50"/>
      <c r="Q1019" s="50"/>
      <c r="R1019" s="49">
        <f t="shared" si="144"/>
        <v>2062</v>
      </c>
    </row>
    <row r="1020" spans="3:22" ht="13.5" customHeight="1" x14ac:dyDescent="0.15">
      <c r="C1020" s="71"/>
      <c r="D1020" s="181"/>
      <c r="E1020" s="46"/>
      <c r="F1020" s="51" t="s">
        <v>62</v>
      </c>
      <c r="G1020" s="50" t="s">
        <v>63</v>
      </c>
      <c r="H1020" s="50">
        <v>264</v>
      </c>
      <c r="I1020" s="80">
        <v>821</v>
      </c>
      <c r="J1020" s="80">
        <v>2117</v>
      </c>
      <c r="K1020" s="80">
        <v>2194</v>
      </c>
      <c r="L1020" s="80">
        <v>1942</v>
      </c>
      <c r="M1020" s="80">
        <v>1553</v>
      </c>
      <c r="N1020" s="50">
        <v>708</v>
      </c>
      <c r="O1020" s="80"/>
      <c r="P1020" s="50"/>
      <c r="Q1020" s="50"/>
      <c r="R1020" s="49">
        <f t="shared" si="144"/>
        <v>9599</v>
      </c>
    </row>
    <row r="1021" spans="3:22" ht="13.5" customHeight="1" x14ac:dyDescent="0.15">
      <c r="C1021" s="71"/>
      <c r="D1021" s="181"/>
      <c r="E1021" s="46"/>
      <c r="F1021" s="50" t="s">
        <v>64</v>
      </c>
      <c r="G1021" s="50" t="s">
        <v>65</v>
      </c>
      <c r="H1021" s="50">
        <v>337</v>
      </c>
      <c r="I1021" s="80">
        <v>1124</v>
      </c>
      <c r="J1021" s="80">
        <f>2669+420</f>
        <v>3089</v>
      </c>
      <c r="K1021" s="80">
        <f>2858+504</f>
        <v>3362</v>
      </c>
      <c r="L1021" s="80">
        <f>2712+516</f>
        <v>3228</v>
      </c>
      <c r="M1021" s="80">
        <f>2155+564</f>
        <v>2719</v>
      </c>
      <c r="N1021" s="50">
        <f>910+300</f>
        <v>1210</v>
      </c>
      <c r="O1021" s="80"/>
      <c r="P1021" s="50"/>
      <c r="Q1021" s="50"/>
      <c r="R1021" s="49">
        <f t="shared" si="144"/>
        <v>15069</v>
      </c>
    </row>
    <row r="1022" spans="3:22" ht="13.5" customHeight="1" x14ac:dyDescent="0.15">
      <c r="C1022" s="71"/>
      <c r="D1022" s="181"/>
      <c r="E1022" s="46"/>
      <c r="F1022" s="50" t="s">
        <v>66</v>
      </c>
      <c r="G1022" s="50" t="s">
        <v>67</v>
      </c>
      <c r="H1022" s="50">
        <v>261</v>
      </c>
      <c r="I1022" s="80">
        <v>988</v>
      </c>
      <c r="J1022" s="80">
        <f>2756+420</f>
        <v>3176</v>
      </c>
      <c r="K1022" s="80">
        <f>3156+540</f>
        <v>3696</v>
      </c>
      <c r="L1022" s="80">
        <f>4599+552</f>
        <v>5151</v>
      </c>
      <c r="M1022" s="80">
        <f>3601+624</f>
        <v>4225</v>
      </c>
      <c r="N1022" s="50">
        <f>1372+312</f>
        <v>1684</v>
      </c>
      <c r="O1022" s="80"/>
      <c r="P1022" s="50"/>
      <c r="Q1022" s="50"/>
      <c r="R1022" s="49">
        <f t="shared" si="144"/>
        <v>19181</v>
      </c>
    </row>
    <row r="1023" spans="3:22" x14ac:dyDescent="0.15">
      <c r="C1023" s="71"/>
      <c r="D1023" s="181"/>
      <c r="E1023" s="46"/>
      <c r="F1023" s="51" t="s">
        <v>68</v>
      </c>
      <c r="G1023" s="50" t="s">
        <v>69</v>
      </c>
      <c r="H1023" s="50">
        <v>223</v>
      </c>
      <c r="I1023" s="80">
        <v>750</v>
      </c>
      <c r="J1023" s="80">
        <f>2079+396</f>
        <v>2475</v>
      </c>
      <c r="K1023" s="80">
        <f>2383+480</f>
        <v>2863</v>
      </c>
      <c r="L1023" s="80">
        <f>2879+492</f>
        <v>3371</v>
      </c>
      <c r="M1023" s="80">
        <f>2472+540</f>
        <v>3012</v>
      </c>
      <c r="N1023" s="50">
        <f>1042+288</f>
        <v>1330</v>
      </c>
      <c r="O1023" s="80"/>
      <c r="P1023" s="50"/>
      <c r="Q1023" s="50"/>
      <c r="R1023" s="49">
        <f>SUM(H1023:Q1023)</f>
        <v>14024</v>
      </c>
    </row>
    <row r="1024" spans="3:22" ht="13.5" customHeight="1" x14ac:dyDescent="0.15">
      <c r="C1024" s="71"/>
      <c r="D1024" s="181"/>
      <c r="E1024" s="46"/>
      <c r="F1024" s="51" t="s">
        <v>70</v>
      </c>
      <c r="G1024" s="50" t="s">
        <v>71</v>
      </c>
      <c r="H1024" s="50">
        <v>203</v>
      </c>
      <c r="I1024" s="80">
        <v>558</v>
      </c>
      <c r="J1024" s="80">
        <v>650</v>
      </c>
      <c r="K1024" s="80">
        <v>890</v>
      </c>
      <c r="L1024" s="80">
        <v>1120</v>
      </c>
      <c r="M1024" s="80">
        <v>1143</v>
      </c>
      <c r="N1024" s="50">
        <v>382</v>
      </c>
      <c r="O1024" s="80"/>
      <c r="P1024" s="50"/>
      <c r="Q1024" s="50"/>
      <c r="R1024" s="49">
        <f t="shared" ref="R1024:R1065" si="145">SUM(H1024:Q1024)</f>
        <v>4946</v>
      </c>
    </row>
    <row r="1025" spans="3:18" x14ac:dyDescent="0.15">
      <c r="C1025" s="71"/>
      <c r="D1025" s="181"/>
      <c r="E1025" s="46"/>
      <c r="F1025" s="47" t="s">
        <v>72</v>
      </c>
      <c r="G1025" s="50" t="s">
        <v>73</v>
      </c>
      <c r="H1025" s="81"/>
      <c r="I1025" s="81"/>
      <c r="J1025" s="82"/>
      <c r="K1025" s="83"/>
      <c r="L1025" s="83"/>
      <c r="M1025" s="83"/>
      <c r="N1025" s="84"/>
      <c r="O1025" s="83"/>
      <c r="P1025" s="84"/>
      <c r="Q1025" s="84"/>
      <c r="R1025" s="49">
        <f t="shared" si="145"/>
        <v>0</v>
      </c>
    </row>
    <row r="1026" spans="3:18" x14ac:dyDescent="0.15">
      <c r="C1026" s="71"/>
      <c r="D1026" s="181"/>
      <c r="E1026" s="46"/>
      <c r="F1026" s="47" t="s">
        <v>74</v>
      </c>
      <c r="G1026" s="50" t="s">
        <v>73</v>
      </c>
      <c r="H1026" s="81">
        <v>84</v>
      </c>
      <c r="I1026" s="81">
        <v>300</v>
      </c>
      <c r="J1026" s="82">
        <v>480</v>
      </c>
      <c r="K1026" s="83">
        <v>444</v>
      </c>
      <c r="L1026" s="83">
        <v>516</v>
      </c>
      <c r="M1026" s="83">
        <v>336</v>
      </c>
      <c r="N1026" s="84">
        <v>120</v>
      </c>
      <c r="O1026" s="83"/>
      <c r="P1026" s="84"/>
      <c r="Q1026" s="84"/>
      <c r="R1026" s="49">
        <f t="shared" si="145"/>
        <v>2280</v>
      </c>
    </row>
    <row r="1027" spans="3:18" x14ac:dyDescent="0.15">
      <c r="C1027" s="71"/>
      <c r="D1027" s="181"/>
      <c r="E1027" s="46"/>
      <c r="F1027" s="47" t="s">
        <v>76</v>
      </c>
      <c r="G1027" s="50" t="s">
        <v>73</v>
      </c>
      <c r="H1027" s="81">
        <v>112</v>
      </c>
      <c r="I1027" s="81">
        <v>287</v>
      </c>
      <c r="J1027" s="82">
        <v>443</v>
      </c>
      <c r="K1027" s="83">
        <v>523</v>
      </c>
      <c r="L1027" s="83">
        <v>798</v>
      </c>
      <c r="M1027" s="83">
        <v>687</v>
      </c>
      <c r="N1027" s="84">
        <v>240</v>
      </c>
      <c r="O1027" s="83"/>
      <c r="P1027" s="84"/>
      <c r="Q1027" s="84"/>
      <c r="R1027" s="49">
        <f t="shared" si="145"/>
        <v>3090</v>
      </c>
    </row>
    <row r="1028" spans="3:18" x14ac:dyDescent="0.15">
      <c r="C1028" s="71"/>
      <c r="D1028" s="181"/>
      <c r="E1028" s="46"/>
      <c r="F1028" s="47" t="s">
        <v>77</v>
      </c>
      <c r="G1028" s="50" t="s">
        <v>73</v>
      </c>
      <c r="H1028" s="81">
        <v>60</v>
      </c>
      <c r="I1028" s="81">
        <v>236</v>
      </c>
      <c r="J1028" s="82">
        <v>331</v>
      </c>
      <c r="K1028" s="83">
        <v>362</v>
      </c>
      <c r="L1028" s="83">
        <v>457</v>
      </c>
      <c r="M1028" s="83">
        <v>297</v>
      </c>
      <c r="N1028" s="84">
        <v>81</v>
      </c>
      <c r="O1028" s="83"/>
      <c r="P1028" s="84"/>
      <c r="Q1028" s="84"/>
      <c r="R1028" s="49">
        <f t="shared" si="145"/>
        <v>1824</v>
      </c>
    </row>
    <row r="1029" spans="3:18" ht="14.25" thickBot="1" x14ac:dyDescent="0.2">
      <c r="C1029" s="71"/>
      <c r="D1029" s="182"/>
      <c r="E1029" s="53"/>
      <c r="F1029" s="54" t="s">
        <v>98</v>
      </c>
      <c r="G1029" s="85" t="s">
        <v>73</v>
      </c>
      <c r="H1029" s="86">
        <v>0</v>
      </c>
      <c r="I1029" s="86">
        <v>0</v>
      </c>
      <c r="J1029" s="87">
        <v>592</v>
      </c>
      <c r="K1029" s="87">
        <v>628</v>
      </c>
      <c r="L1029" s="87">
        <v>628</v>
      </c>
      <c r="M1029" s="87">
        <v>664</v>
      </c>
      <c r="N1029" s="88">
        <v>344</v>
      </c>
      <c r="O1029" s="89"/>
      <c r="P1029" s="90"/>
      <c r="Q1029" s="90"/>
      <c r="R1029" s="56">
        <f t="shared" si="145"/>
        <v>2856</v>
      </c>
    </row>
    <row r="1030" spans="3:18" ht="13.5" customHeight="1" x14ac:dyDescent="0.15">
      <c r="C1030" s="71"/>
      <c r="D1030" s="183" t="s">
        <v>95</v>
      </c>
      <c r="E1030" s="57"/>
      <c r="F1030" s="58" t="s">
        <v>79</v>
      </c>
      <c r="G1030" s="91" t="s">
        <v>45</v>
      </c>
      <c r="H1030" s="60"/>
      <c r="I1030" s="60"/>
      <c r="J1030" s="60"/>
      <c r="K1030" s="60"/>
      <c r="L1030" s="60"/>
      <c r="M1030" s="60"/>
      <c r="N1030" s="60"/>
      <c r="O1030" s="92">
        <v>204</v>
      </c>
      <c r="P1030" s="92">
        <v>300</v>
      </c>
      <c r="Q1030" s="92">
        <v>156</v>
      </c>
      <c r="R1030" s="60">
        <f t="shared" si="145"/>
        <v>660</v>
      </c>
    </row>
    <row r="1031" spans="3:18" ht="13.5" customHeight="1" x14ac:dyDescent="0.15">
      <c r="C1031" s="71"/>
      <c r="D1031" s="181"/>
      <c r="E1031" s="46"/>
      <c r="F1031" s="50" t="s">
        <v>80</v>
      </c>
      <c r="G1031" s="50" t="s">
        <v>47</v>
      </c>
      <c r="H1031" s="49"/>
      <c r="I1031" s="49"/>
      <c r="J1031" s="49"/>
      <c r="K1031" s="49"/>
      <c r="L1031" s="49"/>
      <c r="M1031" s="49"/>
      <c r="N1031" s="49"/>
      <c r="O1031" s="80">
        <v>204</v>
      </c>
      <c r="P1031" s="80">
        <v>264</v>
      </c>
      <c r="Q1031" s="80">
        <v>180</v>
      </c>
      <c r="R1031" s="49">
        <f t="shared" si="145"/>
        <v>648</v>
      </c>
    </row>
    <row r="1032" spans="3:18" ht="13.5" customHeight="1" x14ac:dyDescent="0.15">
      <c r="C1032" s="71"/>
      <c r="D1032" s="181"/>
      <c r="E1032" s="46"/>
      <c r="F1032" s="50" t="s">
        <v>48</v>
      </c>
      <c r="G1032" s="50" t="s">
        <v>49</v>
      </c>
      <c r="H1032" s="49"/>
      <c r="I1032" s="49"/>
      <c r="J1032" s="49"/>
      <c r="K1032" s="49"/>
      <c r="L1032" s="49"/>
      <c r="M1032" s="49"/>
      <c r="N1032" s="49"/>
      <c r="O1032" s="80">
        <v>1871</v>
      </c>
      <c r="P1032" s="80">
        <v>1819</v>
      </c>
      <c r="Q1032" s="80">
        <v>1063</v>
      </c>
      <c r="R1032" s="49">
        <f t="shared" si="145"/>
        <v>4753</v>
      </c>
    </row>
    <row r="1033" spans="3:18" ht="13.5" customHeight="1" x14ac:dyDescent="0.15">
      <c r="C1033" s="71"/>
      <c r="D1033" s="181"/>
      <c r="E1033" s="46"/>
      <c r="F1033" s="50" t="s">
        <v>50</v>
      </c>
      <c r="G1033" s="50" t="s">
        <v>51</v>
      </c>
      <c r="H1033" s="49"/>
      <c r="I1033" s="49"/>
      <c r="J1033" s="49"/>
      <c r="K1033" s="49"/>
      <c r="L1033" s="49"/>
      <c r="M1033" s="49"/>
      <c r="N1033" s="49"/>
      <c r="O1033" s="80">
        <v>528</v>
      </c>
      <c r="P1033" s="80">
        <v>1452</v>
      </c>
      <c r="Q1033" s="80">
        <v>669</v>
      </c>
      <c r="R1033" s="49">
        <f t="shared" si="145"/>
        <v>2649</v>
      </c>
    </row>
    <row r="1034" spans="3:18" ht="13.5" customHeight="1" x14ac:dyDescent="0.15">
      <c r="C1034" s="71"/>
      <c r="D1034" s="181"/>
      <c r="E1034" s="46"/>
      <c r="F1034" s="50" t="s">
        <v>52</v>
      </c>
      <c r="G1034" s="50" t="s">
        <v>53</v>
      </c>
      <c r="H1034" s="49"/>
      <c r="I1034" s="49"/>
      <c r="J1034" s="49"/>
      <c r="K1034" s="49"/>
      <c r="L1034" s="49"/>
      <c r="M1034" s="49"/>
      <c r="N1034" s="49"/>
      <c r="O1034" s="80">
        <v>180</v>
      </c>
      <c r="P1034" s="80">
        <v>192</v>
      </c>
      <c r="Q1034" s="80">
        <v>120</v>
      </c>
      <c r="R1034" s="49">
        <f t="shared" si="145"/>
        <v>492</v>
      </c>
    </row>
    <row r="1035" spans="3:18" ht="13.5" customHeight="1" x14ac:dyDescent="0.15">
      <c r="C1035" s="71"/>
      <c r="D1035" s="181"/>
      <c r="E1035" s="46"/>
      <c r="F1035" s="50" t="s">
        <v>54</v>
      </c>
      <c r="G1035" s="50" t="s">
        <v>55</v>
      </c>
      <c r="H1035" s="49"/>
      <c r="I1035" s="49"/>
      <c r="J1035" s="49"/>
      <c r="K1035" s="49"/>
      <c r="L1035" s="49"/>
      <c r="M1035" s="49"/>
      <c r="N1035" s="49"/>
      <c r="O1035" s="80">
        <v>1387</v>
      </c>
      <c r="P1035" s="80">
        <v>1573</v>
      </c>
      <c r="Q1035" s="80">
        <v>953</v>
      </c>
      <c r="R1035" s="49">
        <f t="shared" si="145"/>
        <v>3913</v>
      </c>
    </row>
    <row r="1036" spans="3:18" ht="13.5" customHeight="1" x14ac:dyDescent="0.15">
      <c r="C1036" s="71"/>
      <c r="D1036" s="181"/>
      <c r="E1036" s="46"/>
      <c r="F1036" s="50" t="s">
        <v>56</v>
      </c>
      <c r="G1036" s="50" t="s">
        <v>57</v>
      </c>
      <c r="H1036" s="49"/>
      <c r="I1036" s="49"/>
      <c r="J1036" s="49"/>
      <c r="K1036" s="49"/>
      <c r="L1036" s="49"/>
      <c r="M1036" s="49"/>
      <c r="N1036" s="49"/>
      <c r="O1036" s="80">
        <v>341</v>
      </c>
      <c r="P1036" s="80">
        <v>897</v>
      </c>
      <c r="Q1036" s="80">
        <v>593</v>
      </c>
      <c r="R1036" s="49">
        <f t="shared" si="145"/>
        <v>1831</v>
      </c>
    </row>
    <row r="1037" spans="3:18" ht="13.5" customHeight="1" x14ac:dyDescent="0.15">
      <c r="C1037" s="71"/>
      <c r="D1037" s="181"/>
      <c r="E1037" s="46"/>
      <c r="F1037" s="51" t="s">
        <v>58</v>
      </c>
      <c r="G1037" s="50" t="s">
        <v>59</v>
      </c>
      <c r="H1037" s="49"/>
      <c r="I1037" s="49"/>
      <c r="J1037" s="49"/>
      <c r="K1037" s="49"/>
      <c r="L1037" s="49"/>
      <c r="M1037" s="49"/>
      <c r="N1037" s="49"/>
      <c r="O1037" s="80">
        <v>1232</v>
      </c>
      <c r="P1037" s="80">
        <v>1408</v>
      </c>
      <c r="Q1037" s="80">
        <v>859</v>
      </c>
      <c r="R1037" s="49">
        <f t="shared" si="145"/>
        <v>3499</v>
      </c>
    </row>
    <row r="1038" spans="3:18" ht="13.5" customHeight="1" x14ac:dyDescent="0.15">
      <c r="C1038" s="71"/>
      <c r="D1038" s="181"/>
      <c r="E1038" s="46"/>
      <c r="F1038" s="52" t="s">
        <v>60</v>
      </c>
      <c r="G1038" s="50" t="s">
        <v>61</v>
      </c>
      <c r="H1038" s="49"/>
      <c r="I1038" s="49"/>
      <c r="J1038" s="49"/>
      <c r="K1038" s="49"/>
      <c r="L1038" s="49"/>
      <c r="M1038" s="49"/>
      <c r="N1038" s="49"/>
      <c r="O1038" s="80">
        <v>204</v>
      </c>
      <c r="P1038" s="80">
        <v>300</v>
      </c>
      <c r="Q1038" s="80">
        <v>168</v>
      </c>
      <c r="R1038" s="49">
        <f t="shared" si="145"/>
        <v>672</v>
      </c>
    </row>
    <row r="1039" spans="3:18" ht="13.5" customHeight="1" x14ac:dyDescent="0.15">
      <c r="C1039" s="71"/>
      <c r="D1039" s="181"/>
      <c r="E1039" s="46"/>
      <c r="F1039" s="51" t="s">
        <v>62</v>
      </c>
      <c r="G1039" s="50" t="s">
        <v>63</v>
      </c>
      <c r="H1039" s="49"/>
      <c r="I1039" s="49"/>
      <c r="J1039" s="49"/>
      <c r="K1039" s="49"/>
      <c r="L1039" s="49"/>
      <c r="M1039" s="49"/>
      <c r="N1039" s="49"/>
      <c r="O1039" s="80">
        <v>684</v>
      </c>
      <c r="P1039" s="80">
        <v>768</v>
      </c>
      <c r="Q1039" s="80">
        <v>456</v>
      </c>
      <c r="R1039" s="49">
        <f t="shared" si="145"/>
        <v>1908</v>
      </c>
    </row>
    <row r="1040" spans="3:18" ht="13.5" customHeight="1" x14ac:dyDescent="0.15">
      <c r="C1040" s="71"/>
      <c r="D1040" s="181"/>
      <c r="E1040" s="46"/>
      <c r="F1040" s="50" t="s">
        <v>64</v>
      </c>
      <c r="G1040" s="50" t="s">
        <v>65</v>
      </c>
      <c r="H1040" s="49"/>
      <c r="I1040" s="49"/>
      <c r="J1040" s="49"/>
      <c r="K1040" s="49"/>
      <c r="L1040" s="49"/>
      <c r="M1040" s="49"/>
      <c r="N1040" s="49"/>
      <c r="O1040" s="80">
        <v>691</v>
      </c>
      <c r="P1040" s="80">
        <v>1037</v>
      </c>
      <c r="Q1040" s="80">
        <v>740</v>
      </c>
      <c r="R1040" s="49">
        <f t="shared" si="145"/>
        <v>2468</v>
      </c>
    </row>
    <row r="1041" spans="3:21" ht="13.5" customHeight="1" x14ac:dyDescent="0.15">
      <c r="C1041" s="71"/>
      <c r="D1041" s="181"/>
      <c r="E1041" s="46"/>
      <c r="F1041" s="50" t="s">
        <v>66</v>
      </c>
      <c r="G1041" s="50" t="s">
        <v>67</v>
      </c>
      <c r="H1041" s="49"/>
      <c r="I1041" s="49"/>
      <c r="J1041" s="49"/>
      <c r="K1041" s="49"/>
      <c r="L1041" s="49"/>
      <c r="M1041" s="49"/>
      <c r="N1041" s="49"/>
      <c r="O1041" s="80">
        <v>1516</v>
      </c>
      <c r="P1041" s="80">
        <v>2117</v>
      </c>
      <c r="Q1041" s="80">
        <v>1412</v>
      </c>
      <c r="R1041" s="49">
        <f t="shared" si="145"/>
        <v>5045</v>
      </c>
    </row>
    <row r="1042" spans="3:21" ht="13.5" customHeight="1" x14ac:dyDescent="0.15">
      <c r="C1042" s="71"/>
      <c r="D1042" s="181"/>
      <c r="E1042" s="46"/>
      <c r="F1042" s="51" t="s">
        <v>68</v>
      </c>
      <c r="G1042" s="50" t="s">
        <v>69</v>
      </c>
      <c r="H1042" s="49"/>
      <c r="I1042" s="49"/>
      <c r="J1042" s="49"/>
      <c r="K1042" s="49"/>
      <c r="L1042" s="49"/>
      <c r="M1042" s="49"/>
      <c r="N1042" s="49"/>
      <c r="O1042" s="80">
        <v>497</v>
      </c>
      <c r="P1042" s="80">
        <v>818</v>
      </c>
      <c r="Q1042" s="80">
        <v>510</v>
      </c>
      <c r="R1042" s="49">
        <f t="shared" si="145"/>
        <v>1825</v>
      </c>
    </row>
    <row r="1043" spans="3:21" ht="13.5" customHeight="1" x14ac:dyDescent="0.15">
      <c r="C1043" s="71"/>
      <c r="D1043" s="181"/>
      <c r="E1043" s="46"/>
      <c r="F1043" s="51" t="s">
        <v>70</v>
      </c>
      <c r="G1043" s="50" t="s">
        <v>71</v>
      </c>
      <c r="H1043" s="49"/>
      <c r="I1043" s="49"/>
      <c r="J1043" s="49"/>
      <c r="K1043" s="49"/>
      <c r="L1043" s="49"/>
      <c r="M1043" s="49"/>
      <c r="N1043" s="49"/>
      <c r="O1043" s="80">
        <v>578</v>
      </c>
      <c r="P1043" s="80">
        <v>867</v>
      </c>
      <c r="Q1043" s="80">
        <v>483</v>
      </c>
      <c r="R1043" s="49">
        <f t="shared" si="145"/>
        <v>1928</v>
      </c>
    </row>
    <row r="1044" spans="3:21" x14ac:dyDescent="0.15">
      <c r="C1044" s="71"/>
      <c r="D1044" s="181"/>
      <c r="E1044" s="46"/>
      <c r="F1044" s="47" t="s">
        <v>72</v>
      </c>
      <c r="G1044" s="50" t="s">
        <v>73</v>
      </c>
      <c r="H1044" s="49"/>
      <c r="I1044" s="49"/>
      <c r="J1044" s="49"/>
      <c r="K1044" s="49"/>
      <c r="L1044" s="49"/>
      <c r="M1044" s="49"/>
      <c r="N1044" s="49"/>
      <c r="O1044" s="49">
        <f>O881+O954</f>
        <v>0</v>
      </c>
      <c r="P1044" s="49">
        <f>P881+P954</f>
        <v>0</v>
      </c>
      <c r="Q1044" s="49">
        <f>Q881+Q954</f>
        <v>0</v>
      </c>
      <c r="R1044" s="49">
        <f t="shared" si="145"/>
        <v>0</v>
      </c>
      <c r="U1044" s="2">
        <v>164973</v>
      </c>
    </row>
    <row r="1045" spans="3:21" x14ac:dyDescent="0.15">
      <c r="C1045" s="71"/>
      <c r="D1045" s="181"/>
      <c r="E1045" s="46"/>
      <c r="F1045" s="47" t="s">
        <v>74</v>
      </c>
      <c r="G1045" s="50" t="s">
        <v>73</v>
      </c>
      <c r="H1045" s="49"/>
      <c r="I1045" s="49"/>
      <c r="J1045" s="49"/>
      <c r="K1045" s="49"/>
      <c r="L1045" s="49"/>
      <c r="M1045" s="49"/>
      <c r="N1045" s="49"/>
      <c r="O1045" s="49">
        <v>300</v>
      </c>
      <c r="P1045" s="49">
        <v>360</v>
      </c>
      <c r="Q1045" s="49">
        <v>276</v>
      </c>
      <c r="R1045" s="49">
        <f t="shared" si="145"/>
        <v>936</v>
      </c>
      <c r="U1045" s="2">
        <v>53734</v>
      </c>
    </row>
    <row r="1046" spans="3:21" x14ac:dyDescent="0.15">
      <c r="C1046" s="71"/>
      <c r="D1046" s="181"/>
      <c r="E1046" s="46"/>
      <c r="F1046" s="47" t="s">
        <v>76</v>
      </c>
      <c r="G1046" s="50" t="s">
        <v>73</v>
      </c>
      <c r="H1046" s="49"/>
      <c r="I1046" s="49"/>
      <c r="J1046" s="49"/>
      <c r="K1046" s="49"/>
      <c r="L1046" s="49"/>
      <c r="M1046" s="49"/>
      <c r="N1046" s="49"/>
      <c r="O1046" s="49">
        <v>236</v>
      </c>
      <c r="P1046" s="49">
        <v>368</v>
      </c>
      <c r="Q1046" s="49">
        <v>233</v>
      </c>
      <c r="R1046" s="49">
        <f t="shared" si="145"/>
        <v>837</v>
      </c>
      <c r="U1046" s="2">
        <v>2042</v>
      </c>
    </row>
    <row r="1047" spans="3:21" ht="14.25" thickBot="1" x14ac:dyDescent="0.2">
      <c r="C1047" s="71"/>
      <c r="D1047" s="184"/>
      <c r="E1047" s="61"/>
      <c r="F1047" s="62" t="s">
        <v>77</v>
      </c>
      <c r="G1047" s="93" t="s">
        <v>73</v>
      </c>
      <c r="H1047" s="64"/>
      <c r="I1047" s="64"/>
      <c r="J1047" s="64"/>
      <c r="K1047" s="64"/>
      <c r="L1047" s="64"/>
      <c r="M1047" s="64"/>
      <c r="N1047" s="64"/>
      <c r="O1047" s="64">
        <v>72</v>
      </c>
      <c r="P1047" s="64">
        <v>89</v>
      </c>
      <c r="Q1047" s="64">
        <v>57</v>
      </c>
      <c r="R1047" s="64">
        <f t="shared" si="145"/>
        <v>218</v>
      </c>
    </row>
    <row r="1048" spans="3:21" ht="13.5" customHeight="1" x14ac:dyDescent="0.15">
      <c r="C1048" s="71"/>
      <c r="D1048" s="183" t="s">
        <v>96</v>
      </c>
      <c r="E1048" s="57"/>
      <c r="F1048" s="58" t="s">
        <v>79</v>
      </c>
      <c r="G1048" s="91" t="s">
        <v>45</v>
      </c>
      <c r="H1048" s="91"/>
      <c r="I1048" s="92"/>
      <c r="J1048" s="92">
        <v>48</v>
      </c>
      <c r="K1048" s="92">
        <v>60</v>
      </c>
      <c r="L1048" s="92">
        <v>72</v>
      </c>
      <c r="M1048" s="92">
        <v>60</v>
      </c>
      <c r="N1048" s="92"/>
      <c r="O1048" s="92"/>
      <c r="P1048" s="60"/>
      <c r="Q1048" s="60"/>
      <c r="R1048" s="60">
        <f t="shared" si="145"/>
        <v>240</v>
      </c>
    </row>
    <row r="1049" spans="3:21" ht="13.5" customHeight="1" x14ac:dyDescent="0.15">
      <c r="C1049" s="71"/>
      <c r="D1049" s="181"/>
      <c r="E1049" s="46"/>
      <c r="F1049" s="50" t="s">
        <v>80</v>
      </c>
      <c r="G1049" s="50" t="s">
        <v>47</v>
      </c>
      <c r="H1049" s="50"/>
      <c r="I1049" s="80"/>
      <c r="J1049" s="80">
        <v>48</v>
      </c>
      <c r="K1049" s="80">
        <v>96</v>
      </c>
      <c r="L1049" s="80">
        <v>144</v>
      </c>
      <c r="M1049" s="80">
        <v>72</v>
      </c>
      <c r="N1049" s="80"/>
      <c r="O1049" s="80"/>
      <c r="P1049" s="49"/>
      <c r="Q1049" s="49"/>
      <c r="R1049" s="49">
        <f t="shared" si="145"/>
        <v>360</v>
      </c>
    </row>
    <row r="1050" spans="3:21" ht="13.5" customHeight="1" x14ac:dyDescent="0.15">
      <c r="C1050" s="71"/>
      <c r="D1050" s="181"/>
      <c r="E1050" s="46"/>
      <c r="F1050" s="50" t="s">
        <v>48</v>
      </c>
      <c r="G1050" s="50" t="s">
        <v>49</v>
      </c>
      <c r="H1050" s="50"/>
      <c r="I1050" s="80"/>
      <c r="J1050" s="80">
        <v>529</v>
      </c>
      <c r="K1050" s="80">
        <v>932</v>
      </c>
      <c r="L1050" s="80">
        <v>966</v>
      </c>
      <c r="M1050" s="80">
        <v>253</v>
      </c>
      <c r="N1050" s="80"/>
      <c r="O1050" s="80"/>
      <c r="P1050" s="49"/>
      <c r="Q1050" s="49"/>
      <c r="R1050" s="49">
        <f t="shared" si="145"/>
        <v>2680</v>
      </c>
    </row>
    <row r="1051" spans="3:21" ht="13.5" customHeight="1" x14ac:dyDescent="0.15">
      <c r="C1051" s="71"/>
      <c r="D1051" s="181"/>
      <c r="E1051" s="46"/>
      <c r="F1051" s="50" t="s">
        <v>50</v>
      </c>
      <c r="G1051" s="50" t="s">
        <v>51</v>
      </c>
      <c r="H1051" s="50"/>
      <c r="I1051" s="80"/>
      <c r="J1051" s="80">
        <v>165</v>
      </c>
      <c r="K1051" s="80">
        <v>348</v>
      </c>
      <c r="L1051" s="80">
        <v>528</v>
      </c>
      <c r="M1051" s="80">
        <v>302</v>
      </c>
      <c r="N1051" s="80"/>
      <c r="O1051" s="80"/>
      <c r="P1051" s="49"/>
      <c r="Q1051" s="49"/>
      <c r="R1051" s="49">
        <f t="shared" si="145"/>
        <v>1343</v>
      </c>
    </row>
    <row r="1052" spans="3:21" ht="13.5" customHeight="1" x14ac:dyDescent="0.15">
      <c r="C1052" s="71"/>
      <c r="D1052" s="181"/>
      <c r="E1052" s="46"/>
      <c r="F1052" s="50" t="s">
        <v>52</v>
      </c>
      <c r="G1052" s="50" t="s">
        <v>53</v>
      </c>
      <c r="H1052" s="50"/>
      <c r="I1052" s="80"/>
      <c r="J1052" s="80">
        <v>132</v>
      </c>
      <c r="K1052" s="80">
        <v>180</v>
      </c>
      <c r="L1052" s="80">
        <v>120</v>
      </c>
      <c r="M1052" s="80">
        <v>36</v>
      </c>
      <c r="N1052" s="80"/>
      <c r="O1052" s="80"/>
      <c r="P1052" s="49"/>
      <c r="Q1052" s="49"/>
      <c r="R1052" s="49">
        <f t="shared" si="145"/>
        <v>468</v>
      </c>
    </row>
    <row r="1053" spans="3:21" ht="13.5" customHeight="1" x14ac:dyDescent="0.15">
      <c r="C1053" s="71"/>
      <c r="D1053" s="181"/>
      <c r="E1053" s="46"/>
      <c r="F1053" s="50" t="s">
        <v>54</v>
      </c>
      <c r="G1053" s="50" t="s">
        <v>55</v>
      </c>
      <c r="H1053" s="50"/>
      <c r="I1053" s="80"/>
      <c r="J1053" s="80">
        <v>366</v>
      </c>
      <c r="K1053" s="80">
        <v>608</v>
      </c>
      <c r="L1053" s="80">
        <v>674</v>
      </c>
      <c r="M1053" s="80">
        <v>318</v>
      </c>
      <c r="N1053" s="80"/>
      <c r="O1053" s="80"/>
      <c r="P1053" s="49"/>
      <c r="Q1053" s="49"/>
      <c r="R1053" s="49">
        <f t="shared" si="145"/>
        <v>1966</v>
      </c>
    </row>
    <row r="1054" spans="3:21" ht="13.5" customHeight="1" x14ac:dyDescent="0.15">
      <c r="C1054" s="71"/>
      <c r="D1054" s="181"/>
      <c r="E1054" s="46"/>
      <c r="F1054" s="50" t="s">
        <v>56</v>
      </c>
      <c r="G1054" s="50" t="s">
        <v>57</v>
      </c>
      <c r="H1054" s="50"/>
      <c r="I1054" s="80"/>
      <c r="J1054" s="80">
        <v>77</v>
      </c>
      <c r="K1054" s="80">
        <v>192</v>
      </c>
      <c r="L1054" s="80">
        <v>438</v>
      </c>
      <c r="M1054" s="80">
        <v>218</v>
      </c>
      <c r="N1054" s="80"/>
      <c r="O1054" s="80"/>
      <c r="P1054" s="49"/>
      <c r="Q1054" s="49"/>
      <c r="R1054" s="49">
        <f t="shared" si="145"/>
        <v>925</v>
      </c>
    </row>
    <row r="1055" spans="3:21" ht="13.5" customHeight="1" x14ac:dyDescent="0.15">
      <c r="C1055" s="71"/>
      <c r="D1055" s="181"/>
      <c r="E1055" s="46"/>
      <c r="F1055" s="51" t="s">
        <v>58</v>
      </c>
      <c r="G1055" s="50" t="s">
        <v>59</v>
      </c>
      <c r="H1055" s="50"/>
      <c r="I1055" s="80"/>
      <c r="J1055" s="80">
        <v>325</v>
      </c>
      <c r="K1055" s="80">
        <v>540</v>
      </c>
      <c r="L1055" s="80">
        <v>601</v>
      </c>
      <c r="M1055" s="80">
        <v>285</v>
      </c>
      <c r="N1055" s="80"/>
      <c r="O1055" s="80"/>
      <c r="P1055" s="49"/>
      <c r="Q1055" s="49"/>
      <c r="R1055" s="49">
        <f t="shared" si="145"/>
        <v>1751</v>
      </c>
    </row>
    <row r="1056" spans="3:21" ht="13.5" customHeight="1" x14ac:dyDescent="0.15">
      <c r="C1056" s="71"/>
      <c r="D1056" s="181"/>
      <c r="E1056" s="46"/>
      <c r="F1056" s="52" t="s">
        <v>60</v>
      </c>
      <c r="G1056" s="50" t="s">
        <v>61</v>
      </c>
      <c r="H1056" s="50"/>
      <c r="I1056" s="80"/>
      <c r="J1056" s="80">
        <v>36</v>
      </c>
      <c r="K1056" s="80">
        <v>72</v>
      </c>
      <c r="L1056" s="80">
        <v>120</v>
      </c>
      <c r="M1056" s="80">
        <v>60</v>
      </c>
      <c r="N1056" s="80"/>
      <c r="O1056" s="80"/>
      <c r="P1056" s="49"/>
      <c r="Q1056" s="49"/>
      <c r="R1056" s="49">
        <f t="shared" si="145"/>
        <v>288</v>
      </c>
    </row>
    <row r="1057" spans="3:22" ht="13.5" customHeight="1" x14ac:dyDescent="0.15">
      <c r="C1057" s="71"/>
      <c r="D1057" s="181"/>
      <c r="E1057" s="46"/>
      <c r="F1057" s="51" t="s">
        <v>62</v>
      </c>
      <c r="G1057" s="50" t="s">
        <v>63</v>
      </c>
      <c r="H1057" s="50"/>
      <c r="I1057" s="80"/>
      <c r="J1057" s="80">
        <v>120</v>
      </c>
      <c r="K1057" s="80">
        <v>300</v>
      </c>
      <c r="L1057" s="80">
        <v>204</v>
      </c>
      <c r="M1057" s="80">
        <v>180</v>
      </c>
      <c r="N1057" s="80"/>
      <c r="O1057" s="80"/>
      <c r="P1057" s="49"/>
      <c r="Q1057" s="49"/>
      <c r="R1057" s="49">
        <f t="shared" si="145"/>
        <v>804</v>
      </c>
    </row>
    <row r="1058" spans="3:22" ht="13.5" customHeight="1" x14ac:dyDescent="0.15">
      <c r="C1058" s="71"/>
      <c r="D1058" s="181"/>
      <c r="E1058" s="46"/>
      <c r="F1058" s="50" t="s">
        <v>64</v>
      </c>
      <c r="G1058" s="50" t="s">
        <v>65</v>
      </c>
      <c r="H1058" s="50"/>
      <c r="I1058" s="80"/>
      <c r="J1058" s="80">
        <v>219</v>
      </c>
      <c r="K1058" s="80">
        <v>551</v>
      </c>
      <c r="L1058" s="80">
        <v>375</v>
      </c>
      <c r="M1058" s="80">
        <v>205</v>
      </c>
      <c r="N1058" s="80"/>
      <c r="O1058" s="80"/>
      <c r="P1058" s="49"/>
      <c r="Q1058" s="49"/>
      <c r="R1058" s="49">
        <f t="shared" si="145"/>
        <v>1350</v>
      </c>
    </row>
    <row r="1059" spans="3:22" ht="13.5" customHeight="1" x14ac:dyDescent="0.15">
      <c r="C1059" s="71"/>
      <c r="D1059" s="181"/>
      <c r="E1059" s="46"/>
      <c r="F1059" s="50" t="s">
        <v>66</v>
      </c>
      <c r="G1059" s="50" t="s">
        <v>67</v>
      </c>
      <c r="H1059" s="50"/>
      <c r="I1059" s="80"/>
      <c r="J1059" s="80">
        <v>342</v>
      </c>
      <c r="K1059" s="80">
        <v>729</v>
      </c>
      <c r="L1059" s="80">
        <v>926</v>
      </c>
      <c r="M1059" s="80">
        <v>437</v>
      </c>
      <c r="N1059" s="80"/>
      <c r="O1059" s="80"/>
      <c r="P1059" s="49"/>
      <c r="Q1059" s="49"/>
      <c r="R1059" s="49">
        <f t="shared" si="145"/>
        <v>2434</v>
      </c>
    </row>
    <row r="1060" spans="3:22" x14ac:dyDescent="0.15">
      <c r="C1060" s="71"/>
      <c r="D1060" s="181"/>
      <c r="E1060" s="46"/>
      <c r="F1060" s="51" t="s">
        <v>68</v>
      </c>
      <c r="G1060" s="50" t="s">
        <v>69</v>
      </c>
      <c r="H1060" s="50"/>
      <c r="I1060" s="80"/>
      <c r="J1060" s="80">
        <v>127</v>
      </c>
      <c r="K1060" s="80">
        <v>271</v>
      </c>
      <c r="L1060" s="80">
        <v>374</v>
      </c>
      <c r="M1060" s="80">
        <v>255</v>
      </c>
      <c r="N1060" s="80"/>
      <c r="O1060" s="80"/>
      <c r="P1060" s="49"/>
      <c r="Q1060" s="49"/>
      <c r="R1060" s="49">
        <f t="shared" si="145"/>
        <v>1027</v>
      </c>
    </row>
    <row r="1061" spans="3:22" ht="13.5" customHeight="1" x14ac:dyDescent="0.15">
      <c r="C1061" s="71"/>
      <c r="D1061" s="181"/>
      <c r="E1061" s="46"/>
      <c r="F1061" s="51" t="s">
        <v>70</v>
      </c>
      <c r="G1061" s="50" t="s">
        <v>71</v>
      </c>
      <c r="H1061" s="50"/>
      <c r="I1061" s="80"/>
      <c r="J1061" s="80">
        <v>163</v>
      </c>
      <c r="K1061" s="80">
        <v>188</v>
      </c>
      <c r="L1061" s="80">
        <v>270</v>
      </c>
      <c r="M1061" s="80">
        <v>197</v>
      </c>
      <c r="N1061" s="80"/>
      <c r="O1061" s="80"/>
      <c r="P1061" s="49"/>
      <c r="Q1061" s="49"/>
      <c r="R1061" s="49">
        <f t="shared" si="145"/>
        <v>818</v>
      </c>
    </row>
    <row r="1062" spans="3:22" x14ac:dyDescent="0.15">
      <c r="C1062" s="71"/>
      <c r="D1062" s="181"/>
      <c r="E1062" s="46"/>
      <c r="F1062" s="47" t="s">
        <v>72</v>
      </c>
      <c r="G1062" s="50" t="s">
        <v>73</v>
      </c>
      <c r="H1062" s="49"/>
      <c r="I1062" s="49"/>
      <c r="J1062" s="49"/>
      <c r="K1062" s="49"/>
      <c r="L1062" s="49"/>
      <c r="M1062" s="49"/>
      <c r="N1062" s="49"/>
      <c r="O1062" s="49"/>
      <c r="P1062" s="49"/>
      <c r="Q1062" s="49"/>
      <c r="R1062" s="49">
        <f t="shared" si="145"/>
        <v>0</v>
      </c>
      <c r="T1062" s="69">
        <f>SUM(G1010:Q1263)</f>
        <v>618019.64999999991</v>
      </c>
    </row>
    <row r="1063" spans="3:22" x14ac:dyDescent="0.15">
      <c r="C1063" s="71"/>
      <c r="D1063" s="181"/>
      <c r="E1063" s="46"/>
      <c r="F1063" s="47" t="s">
        <v>74</v>
      </c>
      <c r="G1063" s="50" t="s">
        <v>73</v>
      </c>
      <c r="H1063" s="49"/>
      <c r="I1063" s="49"/>
      <c r="J1063" s="49">
        <v>60</v>
      </c>
      <c r="K1063" s="49">
        <v>192</v>
      </c>
      <c r="L1063" s="49">
        <v>156</v>
      </c>
      <c r="M1063" s="49">
        <v>72</v>
      </c>
      <c r="N1063" s="49"/>
      <c r="O1063" s="49"/>
      <c r="P1063" s="49"/>
      <c r="Q1063" s="49"/>
      <c r="R1063" s="49">
        <f t="shared" si="145"/>
        <v>480</v>
      </c>
      <c r="T1063" s="69">
        <f>SUM(G1010:Q1263)</f>
        <v>618019.64999999991</v>
      </c>
    </row>
    <row r="1064" spans="3:22" x14ac:dyDescent="0.15">
      <c r="C1064" s="71"/>
      <c r="D1064" s="181"/>
      <c r="E1064" s="46"/>
      <c r="F1064" s="47" t="s">
        <v>76</v>
      </c>
      <c r="G1064" s="50" t="s">
        <v>73</v>
      </c>
      <c r="H1064" s="49"/>
      <c r="I1064" s="49"/>
      <c r="J1064" s="49">
        <v>70</v>
      </c>
      <c r="K1064" s="49">
        <v>116</v>
      </c>
      <c r="L1064" s="49">
        <v>173</v>
      </c>
      <c r="M1064" s="49">
        <v>127</v>
      </c>
      <c r="N1064" s="49"/>
      <c r="O1064" s="49"/>
      <c r="P1064" s="49"/>
      <c r="Q1064" s="49"/>
      <c r="R1064" s="49">
        <f t="shared" si="145"/>
        <v>486</v>
      </c>
      <c r="T1064" s="69">
        <f>SUM(G1010:Q1263)</f>
        <v>618019.64999999991</v>
      </c>
    </row>
    <row r="1065" spans="3:22" ht="14.25" thickBot="1" x14ac:dyDescent="0.2">
      <c r="C1065" s="71"/>
      <c r="D1065" s="184"/>
      <c r="E1065" s="61"/>
      <c r="F1065" s="62" t="s">
        <v>77</v>
      </c>
      <c r="G1065" s="93" t="s">
        <v>73</v>
      </c>
      <c r="H1065" s="64"/>
      <c r="I1065" s="64"/>
      <c r="J1065" s="64"/>
      <c r="K1065" s="64"/>
      <c r="L1065" s="64"/>
      <c r="M1065" s="64"/>
      <c r="N1065" s="64"/>
      <c r="O1065" s="64"/>
      <c r="P1065" s="64"/>
      <c r="Q1065" s="64"/>
      <c r="R1065" s="64">
        <f t="shared" si="145"/>
        <v>0</v>
      </c>
      <c r="T1065" s="69">
        <f>SUM(G1011:Q1264)</f>
        <v>618019.64999999991</v>
      </c>
    </row>
    <row r="1066" spans="3:22" x14ac:dyDescent="0.15">
      <c r="C1066" s="71" t="s">
        <v>99</v>
      </c>
      <c r="D1066" s="65"/>
      <c r="E1066" s="72"/>
      <c r="F1066" s="65"/>
      <c r="G1066" s="73"/>
      <c r="H1066" s="68"/>
      <c r="I1066" s="68"/>
      <c r="J1066" s="68"/>
      <c r="K1066" s="68"/>
      <c r="L1066" s="68"/>
      <c r="M1066" s="68"/>
      <c r="N1066" s="68"/>
      <c r="O1066" s="68"/>
      <c r="P1066" s="68"/>
      <c r="Q1066" s="68"/>
      <c r="R1066" s="68"/>
      <c r="S1066" s="74"/>
      <c r="V1066" s="75"/>
    </row>
    <row r="1067" spans="3:22" ht="13.5" customHeight="1" x14ac:dyDescent="0.15">
      <c r="C1067" s="71"/>
      <c r="D1067" s="181" t="s">
        <v>94</v>
      </c>
      <c r="E1067" s="46"/>
      <c r="F1067" s="47" t="s">
        <v>44</v>
      </c>
      <c r="G1067" s="50" t="s">
        <v>45</v>
      </c>
      <c r="H1067" s="94">
        <f>H955-H1011</f>
        <v>0</v>
      </c>
      <c r="I1067" s="94">
        <f t="shared" ref="I1067:Q1067" si="146">I955-I1011</f>
        <v>0</v>
      </c>
      <c r="J1067" s="94">
        <f t="shared" si="146"/>
        <v>0</v>
      </c>
      <c r="K1067" s="94">
        <f t="shared" si="146"/>
        <v>0</v>
      </c>
      <c r="L1067" s="94">
        <f t="shared" si="146"/>
        <v>0</v>
      </c>
      <c r="M1067" s="94">
        <f t="shared" si="146"/>
        <v>0</v>
      </c>
      <c r="N1067" s="94">
        <f t="shared" si="146"/>
        <v>0</v>
      </c>
      <c r="O1067" s="94">
        <f t="shared" si="146"/>
        <v>0</v>
      </c>
      <c r="P1067" s="94">
        <f t="shared" si="146"/>
        <v>0</v>
      </c>
      <c r="Q1067" s="94">
        <f t="shared" si="146"/>
        <v>0</v>
      </c>
      <c r="R1067" s="49">
        <f t="shared" ref="R1067:R1078" si="147">SUM(H1067:Q1067)</f>
        <v>0</v>
      </c>
      <c r="T1067" s="10">
        <f>SUM(H1067:Q1121)</f>
        <v>-2856</v>
      </c>
    </row>
    <row r="1068" spans="3:22" ht="13.5" customHeight="1" x14ac:dyDescent="0.15">
      <c r="C1068" s="71"/>
      <c r="D1068" s="181"/>
      <c r="E1068" s="46"/>
      <c r="F1068" s="50" t="s">
        <v>46</v>
      </c>
      <c r="G1068" s="50" t="s">
        <v>47</v>
      </c>
      <c r="H1068" s="94">
        <f t="shared" ref="H1068:Q1083" si="148">H956-H1012</f>
        <v>0</v>
      </c>
      <c r="I1068" s="94">
        <f t="shared" si="148"/>
        <v>0</v>
      </c>
      <c r="J1068" s="94">
        <f t="shared" si="148"/>
        <v>0</v>
      </c>
      <c r="K1068" s="94">
        <f t="shared" si="148"/>
        <v>0</v>
      </c>
      <c r="L1068" s="94">
        <f t="shared" si="148"/>
        <v>0</v>
      </c>
      <c r="M1068" s="94">
        <f t="shared" si="148"/>
        <v>0</v>
      </c>
      <c r="N1068" s="94">
        <f t="shared" si="148"/>
        <v>0</v>
      </c>
      <c r="O1068" s="94">
        <f t="shared" si="148"/>
        <v>0</v>
      </c>
      <c r="P1068" s="94">
        <f t="shared" si="148"/>
        <v>0</v>
      </c>
      <c r="Q1068" s="94">
        <f t="shared" si="148"/>
        <v>0</v>
      </c>
      <c r="R1068" s="49">
        <f t="shared" si="147"/>
        <v>0</v>
      </c>
    </row>
    <row r="1069" spans="3:22" ht="13.5" customHeight="1" x14ac:dyDescent="0.15">
      <c r="C1069" s="71"/>
      <c r="D1069" s="181"/>
      <c r="E1069" s="46"/>
      <c r="F1069" s="50" t="s">
        <v>48</v>
      </c>
      <c r="G1069" s="50" t="s">
        <v>49</v>
      </c>
      <c r="H1069" s="94">
        <f t="shared" si="148"/>
        <v>0</v>
      </c>
      <c r="I1069" s="94">
        <f t="shared" si="148"/>
        <v>0</v>
      </c>
      <c r="J1069" s="94">
        <f t="shared" si="148"/>
        <v>0</v>
      </c>
      <c r="K1069" s="94">
        <f t="shared" si="148"/>
        <v>0</v>
      </c>
      <c r="L1069" s="94">
        <f t="shared" si="148"/>
        <v>0</v>
      </c>
      <c r="M1069" s="94">
        <f t="shared" si="148"/>
        <v>0</v>
      </c>
      <c r="N1069" s="94">
        <f t="shared" si="148"/>
        <v>0</v>
      </c>
      <c r="O1069" s="94">
        <f t="shared" si="148"/>
        <v>0</v>
      </c>
      <c r="P1069" s="94">
        <f t="shared" si="148"/>
        <v>0</v>
      </c>
      <c r="Q1069" s="94">
        <f t="shared" si="148"/>
        <v>0</v>
      </c>
      <c r="R1069" s="49">
        <f t="shared" si="147"/>
        <v>0</v>
      </c>
    </row>
    <row r="1070" spans="3:22" ht="13.5" customHeight="1" x14ac:dyDescent="0.15">
      <c r="C1070" s="71"/>
      <c r="D1070" s="181"/>
      <c r="E1070" s="46"/>
      <c r="F1070" s="50" t="s">
        <v>50</v>
      </c>
      <c r="G1070" s="50" t="s">
        <v>51</v>
      </c>
      <c r="H1070" s="94">
        <f t="shared" si="148"/>
        <v>0</v>
      </c>
      <c r="I1070" s="94">
        <f t="shared" si="148"/>
        <v>0</v>
      </c>
      <c r="J1070" s="94">
        <f t="shared" si="148"/>
        <v>0</v>
      </c>
      <c r="K1070" s="94">
        <f t="shared" si="148"/>
        <v>0</v>
      </c>
      <c r="L1070" s="94">
        <f t="shared" si="148"/>
        <v>0</v>
      </c>
      <c r="M1070" s="94">
        <f t="shared" si="148"/>
        <v>0</v>
      </c>
      <c r="N1070" s="94">
        <f t="shared" si="148"/>
        <v>0</v>
      </c>
      <c r="O1070" s="94">
        <f t="shared" si="148"/>
        <v>0</v>
      </c>
      <c r="P1070" s="94">
        <f t="shared" si="148"/>
        <v>0</v>
      </c>
      <c r="Q1070" s="94">
        <f t="shared" si="148"/>
        <v>0</v>
      </c>
      <c r="R1070" s="49">
        <f t="shared" si="147"/>
        <v>0</v>
      </c>
    </row>
    <row r="1071" spans="3:22" ht="13.5" customHeight="1" x14ac:dyDescent="0.15">
      <c r="C1071" s="71"/>
      <c r="D1071" s="181"/>
      <c r="E1071" s="46"/>
      <c r="F1071" s="50" t="s">
        <v>52</v>
      </c>
      <c r="G1071" s="50" t="s">
        <v>53</v>
      </c>
      <c r="H1071" s="94">
        <f t="shared" si="148"/>
        <v>0</v>
      </c>
      <c r="I1071" s="94">
        <f t="shared" si="148"/>
        <v>0</v>
      </c>
      <c r="J1071" s="94">
        <f t="shared" si="148"/>
        <v>0</v>
      </c>
      <c r="K1071" s="94">
        <f t="shared" si="148"/>
        <v>0</v>
      </c>
      <c r="L1071" s="94">
        <f t="shared" si="148"/>
        <v>0</v>
      </c>
      <c r="M1071" s="94">
        <f t="shared" si="148"/>
        <v>0</v>
      </c>
      <c r="N1071" s="94">
        <f t="shared" si="148"/>
        <v>0</v>
      </c>
      <c r="O1071" s="94">
        <f t="shared" si="148"/>
        <v>0</v>
      </c>
      <c r="P1071" s="94">
        <f t="shared" si="148"/>
        <v>0</v>
      </c>
      <c r="Q1071" s="94">
        <f t="shared" si="148"/>
        <v>0</v>
      </c>
      <c r="R1071" s="49">
        <f t="shared" si="147"/>
        <v>0</v>
      </c>
    </row>
    <row r="1072" spans="3:22" ht="13.5" customHeight="1" x14ac:dyDescent="0.15">
      <c r="C1072" s="71"/>
      <c r="D1072" s="181"/>
      <c r="E1072" s="46"/>
      <c r="F1072" s="50" t="s">
        <v>54</v>
      </c>
      <c r="G1072" s="50" t="s">
        <v>55</v>
      </c>
      <c r="H1072" s="94">
        <f t="shared" si="148"/>
        <v>0</v>
      </c>
      <c r="I1072" s="94">
        <f t="shared" si="148"/>
        <v>0</v>
      </c>
      <c r="J1072" s="94">
        <f t="shared" si="148"/>
        <v>0</v>
      </c>
      <c r="K1072" s="94">
        <f t="shared" si="148"/>
        <v>0</v>
      </c>
      <c r="L1072" s="94">
        <f t="shared" si="148"/>
        <v>0</v>
      </c>
      <c r="M1072" s="94">
        <f t="shared" si="148"/>
        <v>0</v>
      </c>
      <c r="N1072" s="94">
        <f t="shared" si="148"/>
        <v>0</v>
      </c>
      <c r="O1072" s="94">
        <f t="shared" si="148"/>
        <v>0</v>
      </c>
      <c r="P1072" s="94">
        <f t="shared" si="148"/>
        <v>0</v>
      </c>
      <c r="Q1072" s="94">
        <f t="shared" si="148"/>
        <v>0</v>
      </c>
      <c r="R1072" s="49">
        <f t="shared" si="147"/>
        <v>0</v>
      </c>
    </row>
    <row r="1073" spans="3:18" ht="13.5" customHeight="1" x14ac:dyDescent="0.15">
      <c r="C1073" s="71"/>
      <c r="D1073" s="181"/>
      <c r="E1073" s="46"/>
      <c r="F1073" s="50" t="s">
        <v>56</v>
      </c>
      <c r="G1073" s="50" t="s">
        <v>57</v>
      </c>
      <c r="H1073" s="94">
        <f t="shared" si="148"/>
        <v>0</v>
      </c>
      <c r="I1073" s="94">
        <f t="shared" si="148"/>
        <v>0</v>
      </c>
      <c r="J1073" s="94">
        <f t="shared" si="148"/>
        <v>0</v>
      </c>
      <c r="K1073" s="94">
        <f t="shared" si="148"/>
        <v>0</v>
      </c>
      <c r="L1073" s="94">
        <f t="shared" si="148"/>
        <v>0</v>
      </c>
      <c r="M1073" s="94">
        <f t="shared" si="148"/>
        <v>0</v>
      </c>
      <c r="N1073" s="94">
        <f t="shared" si="148"/>
        <v>0</v>
      </c>
      <c r="O1073" s="94">
        <f t="shared" si="148"/>
        <v>0</v>
      </c>
      <c r="P1073" s="94">
        <f t="shared" si="148"/>
        <v>0</v>
      </c>
      <c r="Q1073" s="94">
        <f t="shared" si="148"/>
        <v>0</v>
      </c>
      <c r="R1073" s="49">
        <f t="shared" si="147"/>
        <v>0</v>
      </c>
    </row>
    <row r="1074" spans="3:18" ht="13.5" customHeight="1" x14ac:dyDescent="0.15">
      <c r="C1074" s="71"/>
      <c r="D1074" s="181"/>
      <c r="E1074" s="46"/>
      <c r="F1074" s="51" t="s">
        <v>58</v>
      </c>
      <c r="G1074" s="50" t="s">
        <v>59</v>
      </c>
      <c r="H1074" s="94">
        <f t="shared" si="148"/>
        <v>0</v>
      </c>
      <c r="I1074" s="94">
        <f t="shared" si="148"/>
        <v>0</v>
      </c>
      <c r="J1074" s="94">
        <f t="shared" si="148"/>
        <v>0</v>
      </c>
      <c r="K1074" s="94">
        <f t="shared" si="148"/>
        <v>0</v>
      </c>
      <c r="L1074" s="94">
        <f t="shared" si="148"/>
        <v>0</v>
      </c>
      <c r="M1074" s="94">
        <f t="shared" si="148"/>
        <v>0</v>
      </c>
      <c r="N1074" s="94">
        <f t="shared" si="148"/>
        <v>0</v>
      </c>
      <c r="O1074" s="94">
        <f t="shared" si="148"/>
        <v>0</v>
      </c>
      <c r="P1074" s="94">
        <f t="shared" si="148"/>
        <v>0</v>
      </c>
      <c r="Q1074" s="94">
        <f t="shared" si="148"/>
        <v>0</v>
      </c>
      <c r="R1074" s="49">
        <f t="shared" si="147"/>
        <v>0</v>
      </c>
    </row>
    <row r="1075" spans="3:18" ht="13.5" customHeight="1" x14ac:dyDescent="0.15">
      <c r="C1075" s="71"/>
      <c r="D1075" s="181"/>
      <c r="E1075" s="46"/>
      <c r="F1075" s="52" t="s">
        <v>60</v>
      </c>
      <c r="G1075" s="50" t="s">
        <v>61</v>
      </c>
      <c r="H1075" s="94">
        <f t="shared" si="148"/>
        <v>0</v>
      </c>
      <c r="I1075" s="94">
        <f t="shared" si="148"/>
        <v>0</v>
      </c>
      <c r="J1075" s="94">
        <f t="shared" si="148"/>
        <v>0</v>
      </c>
      <c r="K1075" s="94">
        <f t="shared" si="148"/>
        <v>0</v>
      </c>
      <c r="L1075" s="94">
        <f t="shared" si="148"/>
        <v>0</v>
      </c>
      <c r="M1075" s="94">
        <f t="shared" si="148"/>
        <v>0</v>
      </c>
      <c r="N1075" s="94">
        <f t="shared" si="148"/>
        <v>0</v>
      </c>
      <c r="O1075" s="94">
        <f t="shared" si="148"/>
        <v>0</v>
      </c>
      <c r="P1075" s="94">
        <f t="shared" si="148"/>
        <v>0</v>
      </c>
      <c r="Q1075" s="94">
        <f t="shared" si="148"/>
        <v>0</v>
      </c>
      <c r="R1075" s="49">
        <f t="shared" si="147"/>
        <v>0</v>
      </c>
    </row>
    <row r="1076" spans="3:18" ht="13.5" customHeight="1" x14ac:dyDescent="0.15">
      <c r="C1076" s="71"/>
      <c r="D1076" s="181"/>
      <c r="E1076" s="46"/>
      <c r="F1076" s="51" t="s">
        <v>62</v>
      </c>
      <c r="G1076" s="50" t="s">
        <v>63</v>
      </c>
      <c r="H1076" s="94">
        <f t="shared" si="148"/>
        <v>0</v>
      </c>
      <c r="I1076" s="94">
        <f t="shared" si="148"/>
        <v>0</v>
      </c>
      <c r="J1076" s="94">
        <f t="shared" si="148"/>
        <v>0</v>
      </c>
      <c r="K1076" s="94">
        <f t="shared" si="148"/>
        <v>0</v>
      </c>
      <c r="L1076" s="94">
        <f t="shared" si="148"/>
        <v>0</v>
      </c>
      <c r="M1076" s="94">
        <f t="shared" si="148"/>
        <v>0</v>
      </c>
      <c r="N1076" s="94">
        <f t="shared" si="148"/>
        <v>0</v>
      </c>
      <c r="O1076" s="94">
        <f t="shared" si="148"/>
        <v>0</v>
      </c>
      <c r="P1076" s="94">
        <f t="shared" si="148"/>
        <v>0</v>
      </c>
      <c r="Q1076" s="94">
        <f t="shared" si="148"/>
        <v>0</v>
      </c>
      <c r="R1076" s="49">
        <f t="shared" si="147"/>
        <v>0</v>
      </c>
    </row>
    <row r="1077" spans="3:18" ht="13.5" customHeight="1" x14ac:dyDescent="0.15">
      <c r="C1077" s="71"/>
      <c r="D1077" s="181"/>
      <c r="E1077" s="46"/>
      <c r="F1077" s="50" t="s">
        <v>64</v>
      </c>
      <c r="G1077" s="50" t="s">
        <v>65</v>
      </c>
      <c r="H1077" s="94">
        <f t="shared" si="148"/>
        <v>0</v>
      </c>
      <c r="I1077" s="94">
        <f t="shared" si="148"/>
        <v>0</v>
      </c>
      <c r="J1077" s="94">
        <f t="shared" si="148"/>
        <v>0</v>
      </c>
      <c r="K1077" s="94">
        <f t="shared" si="148"/>
        <v>0</v>
      </c>
      <c r="L1077" s="94">
        <f t="shared" si="148"/>
        <v>0</v>
      </c>
      <c r="M1077" s="94">
        <f t="shared" si="148"/>
        <v>0</v>
      </c>
      <c r="N1077" s="94">
        <f t="shared" si="148"/>
        <v>0</v>
      </c>
      <c r="O1077" s="94">
        <f t="shared" si="148"/>
        <v>0</v>
      </c>
      <c r="P1077" s="94">
        <f t="shared" si="148"/>
        <v>0</v>
      </c>
      <c r="Q1077" s="94">
        <f t="shared" si="148"/>
        <v>0</v>
      </c>
      <c r="R1077" s="49">
        <f t="shared" si="147"/>
        <v>0</v>
      </c>
    </row>
    <row r="1078" spans="3:18" ht="13.5" customHeight="1" x14ac:dyDescent="0.15">
      <c r="C1078" s="71"/>
      <c r="D1078" s="181"/>
      <c r="E1078" s="46"/>
      <c r="F1078" s="50" t="s">
        <v>66</v>
      </c>
      <c r="G1078" s="50" t="s">
        <v>67</v>
      </c>
      <c r="H1078" s="94">
        <f t="shared" si="148"/>
        <v>0</v>
      </c>
      <c r="I1078" s="94">
        <f t="shared" si="148"/>
        <v>0</v>
      </c>
      <c r="J1078" s="94">
        <f t="shared" si="148"/>
        <v>0</v>
      </c>
      <c r="K1078" s="94">
        <f t="shared" si="148"/>
        <v>0</v>
      </c>
      <c r="L1078" s="94">
        <f t="shared" si="148"/>
        <v>0</v>
      </c>
      <c r="M1078" s="94">
        <f t="shared" si="148"/>
        <v>0</v>
      </c>
      <c r="N1078" s="94">
        <f t="shared" si="148"/>
        <v>0</v>
      </c>
      <c r="O1078" s="94">
        <f t="shared" si="148"/>
        <v>0</v>
      </c>
      <c r="P1078" s="94">
        <f t="shared" si="148"/>
        <v>0</v>
      </c>
      <c r="Q1078" s="94">
        <f t="shared" si="148"/>
        <v>0</v>
      </c>
      <c r="R1078" s="49">
        <f t="shared" si="147"/>
        <v>0</v>
      </c>
    </row>
    <row r="1079" spans="3:18" x14ac:dyDescent="0.15">
      <c r="C1079" s="71"/>
      <c r="D1079" s="181"/>
      <c r="E1079" s="46"/>
      <c r="F1079" s="51" t="s">
        <v>68</v>
      </c>
      <c r="G1079" s="50" t="s">
        <v>69</v>
      </c>
      <c r="H1079" s="94">
        <f t="shared" si="148"/>
        <v>0</v>
      </c>
      <c r="I1079" s="94">
        <f t="shared" si="148"/>
        <v>0</v>
      </c>
      <c r="J1079" s="94">
        <f t="shared" si="148"/>
        <v>0</v>
      </c>
      <c r="K1079" s="94">
        <f t="shared" si="148"/>
        <v>0</v>
      </c>
      <c r="L1079" s="94">
        <f t="shared" si="148"/>
        <v>0</v>
      </c>
      <c r="M1079" s="94">
        <f t="shared" si="148"/>
        <v>0</v>
      </c>
      <c r="N1079" s="94">
        <f t="shared" si="148"/>
        <v>0</v>
      </c>
      <c r="O1079" s="94">
        <f t="shared" si="148"/>
        <v>0</v>
      </c>
      <c r="P1079" s="94">
        <f t="shared" si="148"/>
        <v>0</v>
      </c>
      <c r="Q1079" s="94">
        <f t="shared" si="148"/>
        <v>0</v>
      </c>
      <c r="R1079" s="49">
        <f>SUM(H1079:Q1079)</f>
        <v>0</v>
      </c>
    </row>
    <row r="1080" spans="3:18" ht="13.5" customHeight="1" x14ac:dyDescent="0.15">
      <c r="C1080" s="71"/>
      <c r="D1080" s="181"/>
      <c r="E1080" s="46"/>
      <c r="F1080" s="51" t="s">
        <v>70</v>
      </c>
      <c r="G1080" s="50" t="s">
        <v>71</v>
      </c>
      <c r="H1080" s="94">
        <f t="shared" si="148"/>
        <v>0</v>
      </c>
      <c r="I1080" s="94">
        <f t="shared" si="148"/>
        <v>0</v>
      </c>
      <c r="J1080" s="94">
        <f t="shared" si="148"/>
        <v>0</v>
      </c>
      <c r="K1080" s="94">
        <f t="shared" si="148"/>
        <v>0</v>
      </c>
      <c r="L1080" s="94">
        <f t="shared" si="148"/>
        <v>0</v>
      </c>
      <c r="M1080" s="94">
        <f t="shared" si="148"/>
        <v>0</v>
      </c>
      <c r="N1080" s="94">
        <f t="shared" si="148"/>
        <v>0</v>
      </c>
      <c r="O1080" s="94">
        <f t="shared" si="148"/>
        <v>0</v>
      </c>
      <c r="P1080" s="94">
        <f t="shared" si="148"/>
        <v>0</v>
      </c>
      <c r="Q1080" s="94">
        <f t="shared" si="148"/>
        <v>0</v>
      </c>
      <c r="R1080" s="49">
        <f t="shared" ref="R1080:R1121" si="149">SUM(H1080:Q1080)</f>
        <v>0</v>
      </c>
    </row>
    <row r="1081" spans="3:18" x14ac:dyDescent="0.15">
      <c r="C1081" s="71"/>
      <c r="D1081" s="181"/>
      <c r="E1081" s="46"/>
      <c r="F1081" s="47" t="s">
        <v>72</v>
      </c>
      <c r="G1081" s="50" t="s">
        <v>73</v>
      </c>
      <c r="H1081" s="94">
        <f t="shared" si="148"/>
        <v>0</v>
      </c>
      <c r="I1081" s="94">
        <f t="shared" si="148"/>
        <v>0</v>
      </c>
      <c r="J1081" s="94">
        <f t="shared" si="148"/>
        <v>0</v>
      </c>
      <c r="K1081" s="94">
        <f t="shared" si="148"/>
        <v>0</v>
      </c>
      <c r="L1081" s="94">
        <f t="shared" si="148"/>
        <v>0</v>
      </c>
      <c r="M1081" s="94">
        <f t="shared" si="148"/>
        <v>0</v>
      </c>
      <c r="N1081" s="94">
        <f t="shared" si="148"/>
        <v>0</v>
      </c>
      <c r="O1081" s="94">
        <f t="shared" si="148"/>
        <v>0</v>
      </c>
      <c r="P1081" s="94">
        <f t="shared" si="148"/>
        <v>0</v>
      </c>
      <c r="Q1081" s="94">
        <f t="shared" si="148"/>
        <v>0</v>
      </c>
      <c r="R1081" s="49">
        <f t="shared" si="149"/>
        <v>0</v>
      </c>
    </row>
    <row r="1082" spans="3:18" x14ac:dyDescent="0.15">
      <c r="C1082" s="71"/>
      <c r="D1082" s="181"/>
      <c r="E1082" s="46"/>
      <c r="F1082" s="47" t="s">
        <v>74</v>
      </c>
      <c r="G1082" s="50" t="s">
        <v>73</v>
      </c>
      <c r="H1082" s="94">
        <f t="shared" si="148"/>
        <v>0</v>
      </c>
      <c r="I1082" s="94">
        <f t="shared" si="148"/>
        <v>0</v>
      </c>
      <c r="J1082" s="94">
        <f t="shared" si="148"/>
        <v>0</v>
      </c>
      <c r="K1082" s="94">
        <f t="shared" si="148"/>
        <v>0</v>
      </c>
      <c r="L1082" s="94">
        <f t="shared" si="148"/>
        <v>0</v>
      </c>
      <c r="M1082" s="94">
        <f t="shared" si="148"/>
        <v>0</v>
      </c>
      <c r="N1082" s="94">
        <f t="shared" si="148"/>
        <v>0</v>
      </c>
      <c r="O1082" s="94">
        <f t="shared" si="148"/>
        <v>0</v>
      </c>
      <c r="P1082" s="94">
        <f t="shared" si="148"/>
        <v>0</v>
      </c>
      <c r="Q1082" s="94">
        <f t="shared" si="148"/>
        <v>0</v>
      </c>
      <c r="R1082" s="49">
        <f t="shared" si="149"/>
        <v>0</v>
      </c>
    </row>
    <row r="1083" spans="3:18" x14ac:dyDescent="0.15">
      <c r="C1083" s="71"/>
      <c r="D1083" s="181"/>
      <c r="E1083" s="46"/>
      <c r="F1083" s="47" t="s">
        <v>76</v>
      </c>
      <c r="G1083" s="50" t="s">
        <v>73</v>
      </c>
      <c r="H1083" s="94">
        <f t="shared" si="148"/>
        <v>0</v>
      </c>
      <c r="I1083" s="94">
        <f t="shared" si="148"/>
        <v>0</v>
      </c>
      <c r="J1083" s="94">
        <f t="shared" si="148"/>
        <v>0</v>
      </c>
      <c r="K1083" s="94">
        <f t="shared" si="148"/>
        <v>0</v>
      </c>
      <c r="L1083" s="94">
        <f t="shared" si="148"/>
        <v>0</v>
      </c>
      <c r="M1083" s="94">
        <f t="shared" si="148"/>
        <v>0</v>
      </c>
      <c r="N1083" s="94">
        <f t="shared" si="148"/>
        <v>0</v>
      </c>
      <c r="O1083" s="94">
        <f t="shared" si="148"/>
        <v>0</v>
      </c>
      <c r="P1083" s="94">
        <f t="shared" si="148"/>
        <v>0</v>
      </c>
      <c r="Q1083" s="94">
        <f t="shared" si="148"/>
        <v>0</v>
      </c>
      <c r="R1083" s="49">
        <f t="shared" si="149"/>
        <v>0</v>
      </c>
    </row>
    <row r="1084" spans="3:18" x14ac:dyDescent="0.15">
      <c r="C1084" s="71"/>
      <c r="D1084" s="181"/>
      <c r="E1084" s="46"/>
      <c r="F1084" s="47" t="s">
        <v>77</v>
      </c>
      <c r="G1084" s="50" t="s">
        <v>73</v>
      </c>
      <c r="H1084" s="94">
        <f t="shared" ref="H1084:Q1099" si="150">H972-H1028</f>
        <v>0</v>
      </c>
      <c r="I1084" s="94">
        <f t="shared" si="150"/>
        <v>0</v>
      </c>
      <c r="J1084" s="94">
        <f t="shared" si="150"/>
        <v>0</v>
      </c>
      <c r="K1084" s="94">
        <f t="shared" si="150"/>
        <v>0</v>
      </c>
      <c r="L1084" s="94">
        <f t="shared" si="150"/>
        <v>0</v>
      </c>
      <c r="M1084" s="94">
        <f t="shared" si="150"/>
        <v>0</v>
      </c>
      <c r="N1084" s="94">
        <f t="shared" si="150"/>
        <v>0</v>
      </c>
      <c r="O1084" s="94">
        <f t="shared" si="150"/>
        <v>0</v>
      </c>
      <c r="P1084" s="94">
        <f t="shared" si="150"/>
        <v>0</v>
      </c>
      <c r="Q1084" s="94">
        <f t="shared" si="150"/>
        <v>0</v>
      </c>
      <c r="R1084" s="49">
        <f t="shared" si="149"/>
        <v>0</v>
      </c>
    </row>
    <row r="1085" spans="3:18" ht="14.25" thickBot="1" x14ac:dyDescent="0.2">
      <c r="C1085" s="71"/>
      <c r="D1085" s="182"/>
      <c r="E1085" s="53"/>
      <c r="F1085" s="54" t="s">
        <v>98</v>
      </c>
      <c r="G1085" s="85" t="s">
        <v>73</v>
      </c>
      <c r="H1085" s="95">
        <f t="shared" si="150"/>
        <v>0</v>
      </c>
      <c r="I1085" s="95">
        <f t="shared" si="150"/>
        <v>0</v>
      </c>
      <c r="J1085" s="95">
        <f t="shared" si="150"/>
        <v>-592</v>
      </c>
      <c r="K1085" s="95">
        <f t="shared" si="150"/>
        <v>-628</v>
      </c>
      <c r="L1085" s="95">
        <f t="shared" si="150"/>
        <v>-628</v>
      </c>
      <c r="M1085" s="95">
        <f t="shared" si="150"/>
        <v>-664</v>
      </c>
      <c r="N1085" s="95">
        <f t="shared" si="150"/>
        <v>-344</v>
      </c>
      <c r="O1085" s="95">
        <f t="shared" si="150"/>
        <v>0</v>
      </c>
      <c r="P1085" s="95">
        <f t="shared" si="150"/>
        <v>0</v>
      </c>
      <c r="Q1085" s="95">
        <f t="shared" si="150"/>
        <v>0</v>
      </c>
      <c r="R1085" s="56">
        <f t="shared" si="149"/>
        <v>-2856</v>
      </c>
    </row>
    <row r="1086" spans="3:18" ht="13.5" customHeight="1" x14ac:dyDescent="0.15">
      <c r="C1086" s="71"/>
      <c r="D1086" s="183" t="s">
        <v>95</v>
      </c>
      <c r="E1086" s="57"/>
      <c r="F1086" s="58" t="s">
        <v>79</v>
      </c>
      <c r="G1086" s="91" t="s">
        <v>45</v>
      </c>
      <c r="H1086" s="96">
        <f t="shared" si="150"/>
        <v>0</v>
      </c>
      <c r="I1086" s="96">
        <f t="shared" si="150"/>
        <v>0</v>
      </c>
      <c r="J1086" s="96">
        <f t="shared" si="150"/>
        <v>0</v>
      </c>
      <c r="K1086" s="96">
        <f t="shared" si="150"/>
        <v>0</v>
      </c>
      <c r="L1086" s="96">
        <f t="shared" si="150"/>
        <v>0</v>
      </c>
      <c r="M1086" s="96">
        <f t="shared" si="150"/>
        <v>0</v>
      </c>
      <c r="N1086" s="96">
        <f t="shared" si="150"/>
        <v>0</v>
      </c>
      <c r="O1086" s="96">
        <f t="shared" si="150"/>
        <v>0</v>
      </c>
      <c r="P1086" s="96">
        <f t="shared" si="150"/>
        <v>0</v>
      </c>
      <c r="Q1086" s="96">
        <f t="shared" si="150"/>
        <v>0</v>
      </c>
      <c r="R1086" s="60">
        <f t="shared" si="149"/>
        <v>0</v>
      </c>
    </row>
    <row r="1087" spans="3:18" ht="13.5" customHeight="1" x14ac:dyDescent="0.15">
      <c r="C1087" s="71"/>
      <c r="D1087" s="181"/>
      <c r="E1087" s="46"/>
      <c r="F1087" s="50" t="s">
        <v>80</v>
      </c>
      <c r="G1087" s="50" t="s">
        <v>47</v>
      </c>
      <c r="H1087" s="94">
        <f t="shared" si="150"/>
        <v>0</v>
      </c>
      <c r="I1087" s="94">
        <f t="shared" si="150"/>
        <v>0</v>
      </c>
      <c r="J1087" s="94">
        <f t="shared" si="150"/>
        <v>0</v>
      </c>
      <c r="K1087" s="94">
        <f t="shared" si="150"/>
        <v>0</v>
      </c>
      <c r="L1087" s="94">
        <f t="shared" si="150"/>
        <v>0</v>
      </c>
      <c r="M1087" s="94">
        <f t="shared" si="150"/>
        <v>0</v>
      </c>
      <c r="N1087" s="94">
        <f t="shared" si="150"/>
        <v>0</v>
      </c>
      <c r="O1087" s="94">
        <f t="shared" si="150"/>
        <v>0</v>
      </c>
      <c r="P1087" s="94">
        <f t="shared" si="150"/>
        <v>0</v>
      </c>
      <c r="Q1087" s="94">
        <f t="shared" si="150"/>
        <v>0</v>
      </c>
      <c r="R1087" s="49">
        <f t="shared" si="149"/>
        <v>0</v>
      </c>
    </row>
    <row r="1088" spans="3:18" ht="13.5" customHeight="1" x14ac:dyDescent="0.15">
      <c r="C1088" s="71"/>
      <c r="D1088" s="181"/>
      <c r="E1088" s="46"/>
      <c r="F1088" s="50" t="s">
        <v>48</v>
      </c>
      <c r="G1088" s="50" t="s">
        <v>49</v>
      </c>
      <c r="H1088" s="94">
        <f t="shared" si="150"/>
        <v>0</v>
      </c>
      <c r="I1088" s="94">
        <f t="shared" si="150"/>
        <v>0</v>
      </c>
      <c r="J1088" s="94">
        <f t="shared" si="150"/>
        <v>0</v>
      </c>
      <c r="K1088" s="94">
        <f t="shared" si="150"/>
        <v>0</v>
      </c>
      <c r="L1088" s="94">
        <f t="shared" si="150"/>
        <v>0</v>
      </c>
      <c r="M1088" s="94">
        <f t="shared" si="150"/>
        <v>0</v>
      </c>
      <c r="N1088" s="94">
        <f t="shared" si="150"/>
        <v>0</v>
      </c>
      <c r="O1088" s="94">
        <f t="shared" si="150"/>
        <v>0</v>
      </c>
      <c r="P1088" s="94">
        <f t="shared" si="150"/>
        <v>0</v>
      </c>
      <c r="Q1088" s="94">
        <f t="shared" si="150"/>
        <v>0</v>
      </c>
      <c r="R1088" s="49">
        <f t="shared" si="149"/>
        <v>0</v>
      </c>
    </row>
    <row r="1089" spans="3:18" ht="13.5" customHeight="1" x14ac:dyDescent="0.15">
      <c r="C1089" s="71"/>
      <c r="D1089" s="181"/>
      <c r="E1089" s="46"/>
      <c r="F1089" s="50" t="s">
        <v>50</v>
      </c>
      <c r="G1089" s="50" t="s">
        <v>51</v>
      </c>
      <c r="H1089" s="94">
        <f t="shared" si="150"/>
        <v>0</v>
      </c>
      <c r="I1089" s="94">
        <f t="shared" si="150"/>
        <v>0</v>
      </c>
      <c r="J1089" s="94">
        <f t="shared" si="150"/>
        <v>0</v>
      </c>
      <c r="K1089" s="94">
        <f t="shared" si="150"/>
        <v>0</v>
      </c>
      <c r="L1089" s="94">
        <f t="shared" si="150"/>
        <v>0</v>
      </c>
      <c r="M1089" s="94">
        <f t="shared" si="150"/>
        <v>0</v>
      </c>
      <c r="N1089" s="94">
        <f t="shared" si="150"/>
        <v>0</v>
      </c>
      <c r="O1089" s="94">
        <f t="shared" si="150"/>
        <v>0</v>
      </c>
      <c r="P1089" s="94">
        <f t="shared" si="150"/>
        <v>0</v>
      </c>
      <c r="Q1089" s="94">
        <f t="shared" si="150"/>
        <v>0</v>
      </c>
      <c r="R1089" s="49">
        <f t="shared" si="149"/>
        <v>0</v>
      </c>
    </row>
    <row r="1090" spans="3:18" ht="13.5" customHeight="1" x14ac:dyDescent="0.15">
      <c r="C1090" s="71"/>
      <c r="D1090" s="181"/>
      <c r="E1090" s="46"/>
      <c r="F1090" s="50" t="s">
        <v>52</v>
      </c>
      <c r="G1090" s="50" t="s">
        <v>53</v>
      </c>
      <c r="H1090" s="94">
        <f t="shared" si="150"/>
        <v>0</v>
      </c>
      <c r="I1090" s="94">
        <f t="shared" si="150"/>
        <v>0</v>
      </c>
      <c r="J1090" s="94">
        <f t="shared" si="150"/>
        <v>0</v>
      </c>
      <c r="K1090" s="94">
        <f t="shared" si="150"/>
        <v>0</v>
      </c>
      <c r="L1090" s="94">
        <f t="shared" si="150"/>
        <v>0</v>
      </c>
      <c r="M1090" s="94">
        <f t="shared" si="150"/>
        <v>0</v>
      </c>
      <c r="N1090" s="94">
        <f t="shared" si="150"/>
        <v>0</v>
      </c>
      <c r="O1090" s="94">
        <f t="shared" si="150"/>
        <v>0</v>
      </c>
      <c r="P1090" s="94">
        <f t="shared" si="150"/>
        <v>0</v>
      </c>
      <c r="Q1090" s="94">
        <f t="shared" si="150"/>
        <v>0</v>
      </c>
      <c r="R1090" s="49">
        <f t="shared" si="149"/>
        <v>0</v>
      </c>
    </row>
    <row r="1091" spans="3:18" ht="13.5" customHeight="1" x14ac:dyDescent="0.15">
      <c r="C1091" s="71"/>
      <c r="D1091" s="181"/>
      <c r="E1091" s="46"/>
      <c r="F1091" s="50" t="s">
        <v>54</v>
      </c>
      <c r="G1091" s="50" t="s">
        <v>55</v>
      </c>
      <c r="H1091" s="94">
        <f t="shared" si="150"/>
        <v>0</v>
      </c>
      <c r="I1091" s="94">
        <f t="shared" si="150"/>
        <v>0</v>
      </c>
      <c r="J1091" s="94">
        <f t="shared" si="150"/>
        <v>0</v>
      </c>
      <c r="K1091" s="94">
        <f t="shared" si="150"/>
        <v>0</v>
      </c>
      <c r="L1091" s="94">
        <f t="shared" si="150"/>
        <v>0</v>
      </c>
      <c r="M1091" s="94">
        <f t="shared" si="150"/>
        <v>0</v>
      </c>
      <c r="N1091" s="94">
        <f t="shared" si="150"/>
        <v>0</v>
      </c>
      <c r="O1091" s="94">
        <f t="shared" si="150"/>
        <v>0</v>
      </c>
      <c r="P1091" s="94">
        <f t="shared" si="150"/>
        <v>0</v>
      </c>
      <c r="Q1091" s="94">
        <f t="shared" si="150"/>
        <v>0</v>
      </c>
      <c r="R1091" s="49">
        <f t="shared" si="149"/>
        <v>0</v>
      </c>
    </row>
    <row r="1092" spans="3:18" ht="13.5" customHeight="1" x14ac:dyDescent="0.15">
      <c r="C1092" s="71"/>
      <c r="D1092" s="181"/>
      <c r="E1092" s="46"/>
      <c r="F1092" s="50" t="s">
        <v>56</v>
      </c>
      <c r="G1092" s="50" t="s">
        <v>57</v>
      </c>
      <c r="H1092" s="94">
        <f t="shared" si="150"/>
        <v>0</v>
      </c>
      <c r="I1092" s="94">
        <f t="shared" si="150"/>
        <v>0</v>
      </c>
      <c r="J1092" s="94">
        <f t="shared" si="150"/>
        <v>0</v>
      </c>
      <c r="K1092" s="94">
        <f t="shared" si="150"/>
        <v>0</v>
      </c>
      <c r="L1092" s="94">
        <f t="shared" si="150"/>
        <v>0</v>
      </c>
      <c r="M1092" s="94">
        <f t="shared" si="150"/>
        <v>0</v>
      </c>
      <c r="N1092" s="94">
        <f t="shared" si="150"/>
        <v>0</v>
      </c>
      <c r="O1092" s="94">
        <f t="shared" si="150"/>
        <v>0</v>
      </c>
      <c r="P1092" s="94">
        <f t="shared" si="150"/>
        <v>0</v>
      </c>
      <c r="Q1092" s="94">
        <f t="shared" si="150"/>
        <v>0</v>
      </c>
      <c r="R1092" s="49">
        <f t="shared" si="149"/>
        <v>0</v>
      </c>
    </row>
    <row r="1093" spans="3:18" ht="13.5" customHeight="1" x14ac:dyDescent="0.15">
      <c r="C1093" s="71"/>
      <c r="D1093" s="181"/>
      <c r="E1093" s="46"/>
      <c r="F1093" s="51" t="s">
        <v>58</v>
      </c>
      <c r="G1093" s="50" t="s">
        <v>59</v>
      </c>
      <c r="H1093" s="94">
        <f t="shared" si="150"/>
        <v>0</v>
      </c>
      <c r="I1093" s="94">
        <f t="shared" si="150"/>
        <v>0</v>
      </c>
      <c r="J1093" s="94">
        <f t="shared" si="150"/>
        <v>0</v>
      </c>
      <c r="K1093" s="94">
        <f t="shared" si="150"/>
        <v>0</v>
      </c>
      <c r="L1093" s="94">
        <f t="shared" si="150"/>
        <v>0</v>
      </c>
      <c r="M1093" s="94">
        <f t="shared" si="150"/>
        <v>0</v>
      </c>
      <c r="N1093" s="94">
        <f t="shared" si="150"/>
        <v>0</v>
      </c>
      <c r="O1093" s="94">
        <f t="shared" si="150"/>
        <v>0</v>
      </c>
      <c r="P1093" s="94">
        <f t="shared" si="150"/>
        <v>0</v>
      </c>
      <c r="Q1093" s="94">
        <f t="shared" si="150"/>
        <v>0</v>
      </c>
      <c r="R1093" s="49">
        <f t="shared" si="149"/>
        <v>0</v>
      </c>
    </row>
    <row r="1094" spans="3:18" ht="13.5" customHeight="1" x14ac:dyDescent="0.15">
      <c r="C1094" s="71"/>
      <c r="D1094" s="181"/>
      <c r="E1094" s="46"/>
      <c r="F1094" s="52" t="s">
        <v>60</v>
      </c>
      <c r="G1094" s="50" t="s">
        <v>61</v>
      </c>
      <c r="H1094" s="94">
        <f t="shared" si="150"/>
        <v>0</v>
      </c>
      <c r="I1094" s="94">
        <f t="shared" si="150"/>
        <v>0</v>
      </c>
      <c r="J1094" s="94">
        <f t="shared" si="150"/>
        <v>0</v>
      </c>
      <c r="K1094" s="94">
        <f t="shared" si="150"/>
        <v>0</v>
      </c>
      <c r="L1094" s="94">
        <f t="shared" si="150"/>
        <v>0</v>
      </c>
      <c r="M1094" s="94">
        <f t="shared" si="150"/>
        <v>0</v>
      </c>
      <c r="N1094" s="94">
        <f t="shared" si="150"/>
        <v>0</v>
      </c>
      <c r="O1094" s="94">
        <f t="shared" si="150"/>
        <v>0</v>
      </c>
      <c r="P1094" s="94">
        <f t="shared" si="150"/>
        <v>0</v>
      </c>
      <c r="Q1094" s="94">
        <f t="shared" si="150"/>
        <v>0</v>
      </c>
      <c r="R1094" s="49">
        <f t="shared" si="149"/>
        <v>0</v>
      </c>
    </row>
    <row r="1095" spans="3:18" ht="13.5" customHeight="1" x14ac:dyDescent="0.15">
      <c r="C1095" s="71"/>
      <c r="D1095" s="181"/>
      <c r="E1095" s="46"/>
      <c r="F1095" s="51" t="s">
        <v>62</v>
      </c>
      <c r="G1095" s="50" t="s">
        <v>63</v>
      </c>
      <c r="H1095" s="94">
        <f t="shared" si="150"/>
        <v>0</v>
      </c>
      <c r="I1095" s="94">
        <f t="shared" si="150"/>
        <v>0</v>
      </c>
      <c r="J1095" s="94">
        <f t="shared" si="150"/>
        <v>0</v>
      </c>
      <c r="K1095" s="94">
        <f t="shared" si="150"/>
        <v>0</v>
      </c>
      <c r="L1095" s="94">
        <f t="shared" si="150"/>
        <v>0</v>
      </c>
      <c r="M1095" s="94">
        <f t="shared" si="150"/>
        <v>0</v>
      </c>
      <c r="N1095" s="94">
        <f t="shared" si="150"/>
        <v>0</v>
      </c>
      <c r="O1095" s="94">
        <f t="shared" si="150"/>
        <v>0</v>
      </c>
      <c r="P1095" s="94">
        <f t="shared" si="150"/>
        <v>0</v>
      </c>
      <c r="Q1095" s="94">
        <f t="shared" si="150"/>
        <v>0</v>
      </c>
      <c r="R1095" s="49">
        <f t="shared" si="149"/>
        <v>0</v>
      </c>
    </row>
    <row r="1096" spans="3:18" ht="13.5" customHeight="1" x14ac:dyDescent="0.15">
      <c r="C1096" s="71"/>
      <c r="D1096" s="181"/>
      <c r="E1096" s="46"/>
      <c r="F1096" s="50" t="s">
        <v>64</v>
      </c>
      <c r="G1096" s="50" t="s">
        <v>65</v>
      </c>
      <c r="H1096" s="94">
        <f t="shared" si="150"/>
        <v>0</v>
      </c>
      <c r="I1096" s="94">
        <f t="shared" si="150"/>
        <v>0</v>
      </c>
      <c r="J1096" s="94">
        <f t="shared" si="150"/>
        <v>0</v>
      </c>
      <c r="K1096" s="94">
        <f t="shared" si="150"/>
        <v>0</v>
      </c>
      <c r="L1096" s="94">
        <f t="shared" si="150"/>
        <v>0</v>
      </c>
      <c r="M1096" s="94">
        <f t="shared" si="150"/>
        <v>0</v>
      </c>
      <c r="N1096" s="94">
        <f t="shared" si="150"/>
        <v>0</v>
      </c>
      <c r="O1096" s="94">
        <f t="shared" si="150"/>
        <v>0</v>
      </c>
      <c r="P1096" s="94">
        <f t="shared" si="150"/>
        <v>0</v>
      </c>
      <c r="Q1096" s="94">
        <f t="shared" si="150"/>
        <v>0</v>
      </c>
      <c r="R1096" s="49">
        <f t="shared" si="149"/>
        <v>0</v>
      </c>
    </row>
    <row r="1097" spans="3:18" ht="13.5" customHeight="1" x14ac:dyDescent="0.15">
      <c r="C1097" s="71"/>
      <c r="D1097" s="181"/>
      <c r="E1097" s="46"/>
      <c r="F1097" s="50" t="s">
        <v>66</v>
      </c>
      <c r="G1097" s="50" t="s">
        <v>67</v>
      </c>
      <c r="H1097" s="94">
        <f t="shared" si="150"/>
        <v>0</v>
      </c>
      <c r="I1097" s="94">
        <f t="shared" si="150"/>
        <v>0</v>
      </c>
      <c r="J1097" s="94">
        <f t="shared" si="150"/>
        <v>0</v>
      </c>
      <c r="K1097" s="94">
        <f t="shared" si="150"/>
        <v>0</v>
      </c>
      <c r="L1097" s="94">
        <f t="shared" si="150"/>
        <v>0</v>
      </c>
      <c r="M1097" s="94">
        <f t="shared" si="150"/>
        <v>0</v>
      </c>
      <c r="N1097" s="94">
        <f t="shared" si="150"/>
        <v>0</v>
      </c>
      <c r="O1097" s="94">
        <f t="shared" si="150"/>
        <v>0</v>
      </c>
      <c r="P1097" s="94">
        <f t="shared" si="150"/>
        <v>0</v>
      </c>
      <c r="Q1097" s="94">
        <f t="shared" si="150"/>
        <v>0</v>
      </c>
      <c r="R1097" s="49">
        <f t="shared" si="149"/>
        <v>0</v>
      </c>
    </row>
    <row r="1098" spans="3:18" ht="13.5" customHeight="1" x14ac:dyDescent="0.15">
      <c r="C1098" s="71"/>
      <c r="D1098" s="181"/>
      <c r="E1098" s="46"/>
      <c r="F1098" s="51" t="s">
        <v>68</v>
      </c>
      <c r="G1098" s="50" t="s">
        <v>69</v>
      </c>
      <c r="H1098" s="94">
        <f t="shared" si="150"/>
        <v>0</v>
      </c>
      <c r="I1098" s="94">
        <f t="shared" si="150"/>
        <v>0</v>
      </c>
      <c r="J1098" s="94">
        <f t="shared" si="150"/>
        <v>0</v>
      </c>
      <c r="K1098" s="94">
        <f t="shared" si="150"/>
        <v>0</v>
      </c>
      <c r="L1098" s="94">
        <f t="shared" si="150"/>
        <v>0</v>
      </c>
      <c r="M1098" s="94">
        <f t="shared" si="150"/>
        <v>0</v>
      </c>
      <c r="N1098" s="94">
        <f t="shared" si="150"/>
        <v>0</v>
      </c>
      <c r="O1098" s="94">
        <f t="shared" si="150"/>
        <v>0</v>
      </c>
      <c r="P1098" s="94">
        <f t="shared" si="150"/>
        <v>0</v>
      </c>
      <c r="Q1098" s="94">
        <f t="shared" si="150"/>
        <v>0</v>
      </c>
      <c r="R1098" s="49">
        <f t="shared" si="149"/>
        <v>0</v>
      </c>
    </row>
    <row r="1099" spans="3:18" ht="13.5" customHeight="1" x14ac:dyDescent="0.15">
      <c r="C1099" s="71"/>
      <c r="D1099" s="181"/>
      <c r="E1099" s="46"/>
      <c r="F1099" s="51" t="s">
        <v>70</v>
      </c>
      <c r="G1099" s="50" t="s">
        <v>71</v>
      </c>
      <c r="H1099" s="94">
        <f t="shared" si="150"/>
        <v>0</v>
      </c>
      <c r="I1099" s="94">
        <f t="shared" si="150"/>
        <v>0</v>
      </c>
      <c r="J1099" s="94">
        <f t="shared" si="150"/>
        <v>0</v>
      </c>
      <c r="K1099" s="94">
        <f t="shared" si="150"/>
        <v>0</v>
      </c>
      <c r="L1099" s="94">
        <f t="shared" si="150"/>
        <v>0</v>
      </c>
      <c r="M1099" s="94">
        <f t="shared" si="150"/>
        <v>0</v>
      </c>
      <c r="N1099" s="94">
        <f t="shared" si="150"/>
        <v>0</v>
      </c>
      <c r="O1099" s="94">
        <f t="shared" si="150"/>
        <v>0</v>
      </c>
      <c r="P1099" s="94">
        <f t="shared" si="150"/>
        <v>0</v>
      </c>
      <c r="Q1099" s="94">
        <f t="shared" si="150"/>
        <v>0</v>
      </c>
      <c r="R1099" s="49">
        <f t="shared" si="149"/>
        <v>0</v>
      </c>
    </row>
    <row r="1100" spans="3:18" x14ac:dyDescent="0.15">
      <c r="C1100" s="71"/>
      <c r="D1100" s="181"/>
      <c r="E1100" s="46"/>
      <c r="F1100" s="47" t="s">
        <v>72</v>
      </c>
      <c r="G1100" s="50" t="s">
        <v>73</v>
      </c>
      <c r="H1100" s="94">
        <f t="shared" ref="H1100:Q1115" si="151">H988-H1044</f>
        <v>0</v>
      </c>
      <c r="I1100" s="94">
        <f t="shared" si="151"/>
        <v>0</v>
      </c>
      <c r="J1100" s="94">
        <f t="shared" si="151"/>
        <v>0</v>
      </c>
      <c r="K1100" s="94">
        <f t="shared" si="151"/>
        <v>0</v>
      </c>
      <c r="L1100" s="94">
        <f t="shared" si="151"/>
        <v>0</v>
      </c>
      <c r="M1100" s="94">
        <f t="shared" si="151"/>
        <v>0</v>
      </c>
      <c r="N1100" s="94">
        <f t="shared" si="151"/>
        <v>0</v>
      </c>
      <c r="O1100" s="94">
        <f t="shared" si="151"/>
        <v>0</v>
      </c>
      <c r="P1100" s="94">
        <f t="shared" si="151"/>
        <v>0</v>
      </c>
      <c r="Q1100" s="94">
        <f t="shared" si="151"/>
        <v>0</v>
      </c>
      <c r="R1100" s="49">
        <f t="shared" si="149"/>
        <v>0</v>
      </c>
    </row>
    <row r="1101" spans="3:18" ht="12.75" customHeight="1" x14ac:dyDescent="0.15">
      <c r="C1101" s="71"/>
      <c r="D1101" s="181"/>
      <c r="E1101" s="46"/>
      <c r="F1101" s="47" t="s">
        <v>74</v>
      </c>
      <c r="G1101" s="50" t="s">
        <v>73</v>
      </c>
      <c r="H1101" s="94">
        <f t="shared" si="151"/>
        <v>0</v>
      </c>
      <c r="I1101" s="94">
        <f t="shared" si="151"/>
        <v>0</v>
      </c>
      <c r="J1101" s="94">
        <f t="shared" si="151"/>
        <v>0</v>
      </c>
      <c r="K1101" s="94">
        <f t="shared" si="151"/>
        <v>0</v>
      </c>
      <c r="L1101" s="94">
        <f t="shared" si="151"/>
        <v>0</v>
      </c>
      <c r="M1101" s="94">
        <f t="shared" si="151"/>
        <v>0</v>
      </c>
      <c r="N1101" s="94">
        <f t="shared" si="151"/>
        <v>0</v>
      </c>
      <c r="O1101" s="94">
        <f t="shared" si="151"/>
        <v>0</v>
      </c>
      <c r="P1101" s="94">
        <f t="shared" si="151"/>
        <v>0</v>
      </c>
      <c r="Q1101" s="94">
        <f t="shared" si="151"/>
        <v>0</v>
      </c>
      <c r="R1101" s="49">
        <f t="shared" si="149"/>
        <v>0</v>
      </c>
    </row>
    <row r="1102" spans="3:18" x14ac:dyDescent="0.15">
      <c r="C1102" s="71"/>
      <c r="D1102" s="181"/>
      <c r="E1102" s="46"/>
      <c r="F1102" s="47" t="s">
        <v>76</v>
      </c>
      <c r="G1102" s="50" t="s">
        <v>73</v>
      </c>
      <c r="H1102" s="94">
        <f t="shared" si="151"/>
        <v>0</v>
      </c>
      <c r="I1102" s="94">
        <f t="shared" si="151"/>
        <v>0</v>
      </c>
      <c r="J1102" s="94">
        <f t="shared" si="151"/>
        <v>0</v>
      </c>
      <c r="K1102" s="94">
        <f t="shared" si="151"/>
        <v>0</v>
      </c>
      <c r="L1102" s="94">
        <f t="shared" si="151"/>
        <v>0</v>
      </c>
      <c r="M1102" s="94">
        <f t="shared" si="151"/>
        <v>0</v>
      </c>
      <c r="N1102" s="94">
        <f t="shared" si="151"/>
        <v>0</v>
      </c>
      <c r="O1102" s="94">
        <f t="shared" si="151"/>
        <v>0</v>
      </c>
      <c r="P1102" s="94">
        <f t="shared" si="151"/>
        <v>0</v>
      </c>
      <c r="Q1102" s="94">
        <f t="shared" si="151"/>
        <v>0</v>
      </c>
      <c r="R1102" s="49">
        <f t="shared" si="149"/>
        <v>0</v>
      </c>
    </row>
    <row r="1103" spans="3:18" ht="14.25" thickBot="1" x14ac:dyDescent="0.2">
      <c r="C1103" s="71"/>
      <c r="D1103" s="184"/>
      <c r="E1103" s="61"/>
      <c r="F1103" s="62" t="s">
        <v>77</v>
      </c>
      <c r="G1103" s="93" t="s">
        <v>73</v>
      </c>
      <c r="H1103" s="97">
        <f t="shared" si="151"/>
        <v>0</v>
      </c>
      <c r="I1103" s="97">
        <f t="shared" si="151"/>
        <v>0</v>
      </c>
      <c r="J1103" s="97">
        <f t="shared" si="151"/>
        <v>0</v>
      </c>
      <c r="K1103" s="97">
        <f t="shared" si="151"/>
        <v>0</v>
      </c>
      <c r="L1103" s="97">
        <f t="shared" si="151"/>
        <v>0</v>
      </c>
      <c r="M1103" s="97">
        <f t="shared" si="151"/>
        <v>0</v>
      </c>
      <c r="N1103" s="97">
        <f t="shared" si="151"/>
        <v>0</v>
      </c>
      <c r="O1103" s="97">
        <f t="shared" si="151"/>
        <v>0</v>
      </c>
      <c r="P1103" s="97">
        <f t="shared" si="151"/>
        <v>0</v>
      </c>
      <c r="Q1103" s="97">
        <f t="shared" si="151"/>
        <v>0</v>
      </c>
      <c r="R1103" s="64">
        <f t="shared" si="149"/>
        <v>0</v>
      </c>
    </row>
    <row r="1104" spans="3:18" ht="13.5" customHeight="1" x14ac:dyDescent="0.15">
      <c r="C1104" s="71"/>
      <c r="D1104" s="185" t="s">
        <v>96</v>
      </c>
      <c r="E1104" s="65"/>
      <c r="F1104" s="66" t="s">
        <v>79</v>
      </c>
      <c r="G1104" s="98" t="s">
        <v>45</v>
      </c>
      <c r="H1104" s="99">
        <f t="shared" si="151"/>
        <v>0</v>
      </c>
      <c r="I1104" s="99">
        <f t="shared" si="151"/>
        <v>0</v>
      </c>
      <c r="J1104" s="99">
        <f t="shared" si="151"/>
        <v>0</v>
      </c>
      <c r="K1104" s="99">
        <f t="shared" si="151"/>
        <v>0</v>
      </c>
      <c r="L1104" s="99">
        <f t="shared" si="151"/>
        <v>0</v>
      </c>
      <c r="M1104" s="99">
        <f t="shared" si="151"/>
        <v>0</v>
      </c>
      <c r="N1104" s="99">
        <f t="shared" si="151"/>
        <v>0</v>
      </c>
      <c r="O1104" s="99">
        <f t="shared" si="151"/>
        <v>0</v>
      </c>
      <c r="P1104" s="99">
        <f t="shared" si="151"/>
        <v>0</v>
      </c>
      <c r="Q1104" s="99">
        <f t="shared" si="151"/>
        <v>0</v>
      </c>
      <c r="R1104" s="68">
        <f t="shared" si="149"/>
        <v>0</v>
      </c>
    </row>
    <row r="1105" spans="3:20" ht="13.5" customHeight="1" x14ac:dyDescent="0.15">
      <c r="C1105" s="71"/>
      <c r="D1105" s="181"/>
      <c r="E1105" s="46"/>
      <c r="F1105" s="50" t="s">
        <v>80</v>
      </c>
      <c r="G1105" s="50" t="s">
        <v>47</v>
      </c>
      <c r="H1105" s="94">
        <f t="shared" si="151"/>
        <v>0</v>
      </c>
      <c r="I1105" s="94">
        <f t="shared" si="151"/>
        <v>0</v>
      </c>
      <c r="J1105" s="94">
        <f t="shared" si="151"/>
        <v>0</v>
      </c>
      <c r="K1105" s="94">
        <f t="shared" si="151"/>
        <v>0</v>
      </c>
      <c r="L1105" s="94">
        <f t="shared" si="151"/>
        <v>0</v>
      </c>
      <c r="M1105" s="94">
        <f t="shared" si="151"/>
        <v>0</v>
      </c>
      <c r="N1105" s="94">
        <f t="shared" si="151"/>
        <v>0</v>
      </c>
      <c r="O1105" s="94">
        <f t="shared" si="151"/>
        <v>0</v>
      </c>
      <c r="P1105" s="94">
        <f t="shared" si="151"/>
        <v>0</v>
      </c>
      <c r="Q1105" s="94">
        <f t="shared" si="151"/>
        <v>0</v>
      </c>
      <c r="R1105" s="49">
        <f t="shared" si="149"/>
        <v>0</v>
      </c>
    </row>
    <row r="1106" spans="3:20" ht="13.5" customHeight="1" x14ac:dyDescent="0.15">
      <c r="C1106" s="71"/>
      <c r="D1106" s="181"/>
      <c r="E1106" s="46"/>
      <c r="F1106" s="50" t="s">
        <v>48</v>
      </c>
      <c r="G1106" s="50" t="s">
        <v>49</v>
      </c>
      <c r="H1106" s="94">
        <f t="shared" si="151"/>
        <v>0</v>
      </c>
      <c r="I1106" s="94">
        <f t="shared" si="151"/>
        <v>0</v>
      </c>
      <c r="J1106" s="94">
        <f t="shared" si="151"/>
        <v>0</v>
      </c>
      <c r="K1106" s="94">
        <f t="shared" si="151"/>
        <v>0</v>
      </c>
      <c r="L1106" s="94">
        <f t="shared" si="151"/>
        <v>0</v>
      </c>
      <c r="M1106" s="94">
        <f t="shared" si="151"/>
        <v>0</v>
      </c>
      <c r="N1106" s="94">
        <f t="shared" si="151"/>
        <v>0</v>
      </c>
      <c r="O1106" s="94">
        <f t="shared" si="151"/>
        <v>0</v>
      </c>
      <c r="P1106" s="94">
        <f t="shared" si="151"/>
        <v>0</v>
      </c>
      <c r="Q1106" s="94">
        <f t="shared" si="151"/>
        <v>0</v>
      </c>
      <c r="R1106" s="49">
        <f t="shared" si="149"/>
        <v>0</v>
      </c>
    </row>
    <row r="1107" spans="3:20" ht="13.5" customHeight="1" x14ac:dyDescent="0.15">
      <c r="C1107" s="71"/>
      <c r="D1107" s="181"/>
      <c r="E1107" s="46"/>
      <c r="F1107" s="50" t="s">
        <v>50</v>
      </c>
      <c r="G1107" s="50" t="s">
        <v>51</v>
      </c>
      <c r="H1107" s="94">
        <f t="shared" si="151"/>
        <v>0</v>
      </c>
      <c r="I1107" s="94">
        <f t="shared" si="151"/>
        <v>0</v>
      </c>
      <c r="J1107" s="94">
        <f t="shared" si="151"/>
        <v>0</v>
      </c>
      <c r="K1107" s="94">
        <f t="shared" si="151"/>
        <v>0</v>
      </c>
      <c r="L1107" s="94">
        <f t="shared" si="151"/>
        <v>0</v>
      </c>
      <c r="M1107" s="94">
        <f t="shared" si="151"/>
        <v>0</v>
      </c>
      <c r="N1107" s="94">
        <f t="shared" si="151"/>
        <v>0</v>
      </c>
      <c r="O1107" s="94">
        <f t="shared" si="151"/>
        <v>0</v>
      </c>
      <c r="P1107" s="94">
        <f t="shared" si="151"/>
        <v>0</v>
      </c>
      <c r="Q1107" s="94">
        <f t="shared" si="151"/>
        <v>0</v>
      </c>
      <c r="R1107" s="49">
        <f t="shared" si="149"/>
        <v>0</v>
      </c>
    </row>
    <row r="1108" spans="3:20" ht="13.5" customHeight="1" x14ac:dyDescent="0.15">
      <c r="C1108" s="71"/>
      <c r="D1108" s="181"/>
      <c r="E1108" s="46"/>
      <c r="F1108" s="50" t="s">
        <v>52</v>
      </c>
      <c r="G1108" s="50" t="s">
        <v>53</v>
      </c>
      <c r="H1108" s="94">
        <f t="shared" si="151"/>
        <v>0</v>
      </c>
      <c r="I1108" s="94">
        <f t="shared" si="151"/>
        <v>0</v>
      </c>
      <c r="J1108" s="94">
        <f t="shared" si="151"/>
        <v>0</v>
      </c>
      <c r="K1108" s="94">
        <f t="shared" si="151"/>
        <v>0</v>
      </c>
      <c r="L1108" s="94">
        <f t="shared" si="151"/>
        <v>0</v>
      </c>
      <c r="M1108" s="94">
        <f t="shared" si="151"/>
        <v>0</v>
      </c>
      <c r="N1108" s="94">
        <f t="shared" si="151"/>
        <v>0</v>
      </c>
      <c r="O1108" s="94">
        <f t="shared" si="151"/>
        <v>0</v>
      </c>
      <c r="P1108" s="94">
        <f t="shared" si="151"/>
        <v>0</v>
      </c>
      <c r="Q1108" s="94">
        <f t="shared" si="151"/>
        <v>0</v>
      </c>
      <c r="R1108" s="49">
        <f t="shared" si="149"/>
        <v>0</v>
      </c>
    </row>
    <row r="1109" spans="3:20" ht="13.5" customHeight="1" x14ac:dyDescent="0.15">
      <c r="C1109" s="71"/>
      <c r="D1109" s="181"/>
      <c r="E1109" s="46"/>
      <c r="F1109" s="50" t="s">
        <v>54</v>
      </c>
      <c r="G1109" s="50" t="s">
        <v>55</v>
      </c>
      <c r="H1109" s="94">
        <f t="shared" si="151"/>
        <v>0</v>
      </c>
      <c r="I1109" s="94">
        <f t="shared" si="151"/>
        <v>0</v>
      </c>
      <c r="J1109" s="94">
        <f t="shared" si="151"/>
        <v>0</v>
      </c>
      <c r="K1109" s="94">
        <f t="shared" si="151"/>
        <v>0</v>
      </c>
      <c r="L1109" s="94">
        <f t="shared" si="151"/>
        <v>0</v>
      </c>
      <c r="M1109" s="94">
        <f t="shared" si="151"/>
        <v>0</v>
      </c>
      <c r="N1109" s="94">
        <f t="shared" si="151"/>
        <v>0</v>
      </c>
      <c r="O1109" s="94">
        <f t="shared" si="151"/>
        <v>0</v>
      </c>
      <c r="P1109" s="94">
        <f t="shared" si="151"/>
        <v>0</v>
      </c>
      <c r="Q1109" s="94">
        <f t="shared" si="151"/>
        <v>0</v>
      </c>
      <c r="R1109" s="49">
        <f t="shared" si="149"/>
        <v>0</v>
      </c>
    </row>
    <row r="1110" spans="3:20" ht="13.5" customHeight="1" x14ac:dyDescent="0.15">
      <c r="C1110" s="71"/>
      <c r="D1110" s="181"/>
      <c r="E1110" s="46"/>
      <c r="F1110" s="50" t="s">
        <v>56</v>
      </c>
      <c r="G1110" s="50" t="s">
        <v>57</v>
      </c>
      <c r="H1110" s="94">
        <f t="shared" si="151"/>
        <v>0</v>
      </c>
      <c r="I1110" s="94">
        <f t="shared" si="151"/>
        <v>0</v>
      </c>
      <c r="J1110" s="94">
        <f t="shared" si="151"/>
        <v>0</v>
      </c>
      <c r="K1110" s="94">
        <f t="shared" si="151"/>
        <v>0</v>
      </c>
      <c r="L1110" s="94">
        <f t="shared" si="151"/>
        <v>0</v>
      </c>
      <c r="M1110" s="94">
        <f t="shared" si="151"/>
        <v>0</v>
      </c>
      <c r="N1110" s="94">
        <f t="shared" si="151"/>
        <v>0</v>
      </c>
      <c r="O1110" s="94">
        <f t="shared" si="151"/>
        <v>0</v>
      </c>
      <c r="P1110" s="94">
        <f t="shared" si="151"/>
        <v>0</v>
      </c>
      <c r="Q1110" s="94">
        <f t="shared" si="151"/>
        <v>0</v>
      </c>
      <c r="R1110" s="49">
        <f t="shared" si="149"/>
        <v>0</v>
      </c>
    </row>
    <row r="1111" spans="3:20" ht="13.5" customHeight="1" x14ac:dyDescent="0.15">
      <c r="C1111" s="71"/>
      <c r="D1111" s="181"/>
      <c r="E1111" s="46"/>
      <c r="F1111" s="51" t="s">
        <v>58</v>
      </c>
      <c r="G1111" s="50" t="s">
        <v>59</v>
      </c>
      <c r="H1111" s="94">
        <f t="shared" si="151"/>
        <v>0</v>
      </c>
      <c r="I1111" s="94">
        <f t="shared" si="151"/>
        <v>0</v>
      </c>
      <c r="J1111" s="94">
        <f t="shared" si="151"/>
        <v>0</v>
      </c>
      <c r="K1111" s="94">
        <f t="shared" si="151"/>
        <v>0</v>
      </c>
      <c r="L1111" s="94">
        <f t="shared" si="151"/>
        <v>0</v>
      </c>
      <c r="M1111" s="94">
        <f t="shared" si="151"/>
        <v>0</v>
      </c>
      <c r="N1111" s="94">
        <f t="shared" si="151"/>
        <v>0</v>
      </c>
      <c r="O1111" s="94">
        <f t="shared" si="151"/>
        <v>0</v>
      </c>
      <c r="P1111" s="94">
        <f t="shared" si="151"/>
        <v>0</v>
      </c>
      <c r="Q1111" s="94">
        <f t="shared" si="151"/>
        <v>0</v>
      </c>
      <c r="R1111" s="49">
        <f t="shared" si="149"/>
        <v>0</v>
      </c>
    </row>
    <row r="1112" spans="3:20" ht="13.5" customHeight="1" x14ac:dyDescent="0.15">
      <c r="C1112" s="71"/>
      <c r="D1112" s="181"/>
      <c r="E1112" s="46"/>
      <c r="F1112" s="52" t="s">
        <v>60</v>
      </c>
      <c r="G1112" s="50" t="s">
        <v>61</v>
      </c>
      <c r="H1112" s="94">
        <f t="shared" si="151"/>
        <v>0</v>
      </c>
      <c r="I1112" s="94">
        <f t="shared" si="151"/>
        <v>0</v>
      </c>
      <c r="J1112" s="94">
        <f t="shared" si="151"/>
        <v>0</v>
      </c>
      <c r="K1112" s="94">
        <f t="shared" si="151"/>
        <v>0</v>
      </c>
      <c r="L1112" s="94">
        <f t="shared" si="151"/>
        <v>0</v>
      </c>
      <c r="M1112" s="94">
        <f t="shared" si="151"/>
        <v>0</v>
      </c>
      <c r="N1112" s="94">
        <f t="shared" si="151"/>
        <v>0</v>
      </c>
      <c r="O1112" s="94">
        <f t="shared" si="151"/>
        <v>0</v>
      </c>
      <c r="P1112" s="94">
        <f t="shared" si="151"/>
        <v>0</v>
      </c>
      <c r="Q1112" s="94">
        <f t="shared" si="151"/>
        <v>0</v>
      </c>
      <c r="R1112" s="49">
        <f t="shared" si="149"/>
        <v>0</v>
      </c>
    </row>
    <row r="1113" spans="3:20" ht="13.5" customHeight="1" x14ac:dyDescent="0.15">
      <c r="C1113" s="71"/>
      <c r="D1113" s="181"/>
      <c r="E1113" s="46"/>
      <c r="F1113" s="51" t="s">
        <v>62</v>
      </c>
      <c r="G1113" s="50" t="s">
        <v>63</v>
      </c>
      <c r="H1113" s="94">
        <f t="shared" si="151"/>
        <v>0</v>
      </c>
      <c r="I1113" s="94">
        <f t="shared" si="151"/>
        <v>0</v>
      </c>
      <c r="J1113" s="94">
        <f t="shared" si="151"/>
        <v>0</v>
      </c>
      <c r="K1113" s="94">
        <f t="shared" si="151"/>
        <v>0</v>
      </c>
      <c r="L1113" s="94">
        <f t="shared" si="151"/>
        <v>0</v>
      </c>
      <c r="M1113" s="94">
        <f t="shared" si="151"/>
        <v>0</v>
      </c>
      <c r="N1113" s="94">
        <f t="shared" si="151"/>
        <v>0</v>
      </c>
      <c r="O1113" s="94">
        <f t="shared" si="151"/>
        <v>0</v>
      </c>
      <c r="P1113" s="94">
        <f t="shared" si="151"/>
        <v>0</v>
      </c>
      <c r="Q1113" s="94">
        <f t="shared" si="151"/>
        <v>0</v>
      </c>
      <c r="R1113" s="49">
        <f t="shared" si="149"/>
        <v>0</v>
      </c>
    </row>
    <row r="1114" spans="3:20" ht="13.5" customHeight="1" x14ac:dyDescent="0.15">
      <c r="C1114" s="71"/>
      <c r="D1114" s="181"/>
      <c r="E1114" s="46"/>
      <c r="F1114" s="50" t="s">
        <v>64</v>
      </c>
      <c r="G1114" s="50" t="s">
        <v>65</v>
      </c>
      <c r="H1114" s="94">
        <f t="shared" si="151"/>
        <v>0</v>
      </c>
      <c r="I1114" s="94">
        <f t="shared" si="151"/>
        <v>0</v>
      </c>
      <c r="J1114" s="94">
        <f t="shared" si="151"/>
        <v>0</v>
      </c>
      <c r="K1114" s="94">
        <f t="shared" si="151"/>
        <v>0</v>
      </c>
      <c r="L1114" s="94">
        <f t="shared" si="151"/>
        <v>0</v>
      </c>
      <c r="M1114" s="94">
        <f t="shared" si="151"/>
        <v>0</v>
      </c>
      <c r="N1114" s="94">
        <f t="shared" si="151"/>
        <v>0</v>
      </c>
      <c r="O1114" s="94">
        <f t="shared" si="151"/>
        <v>0</v>
      </c>
      <c r="P1114" s="94">
        <f t="shared" si="151"/>
        <v>0</v>
      </c>
      <c r="Q1114" s="94">
        <f t="shared" si="151"/>
        <v>0</v>
      </c>
      <c r="R1114" s="49">
        <f t="shared" si="149"/>
        <v>0</v>
      </c>
    </row>
    <row r="1115" spans="3:20" ht="13.5" customHeight="1" x14ac:dyDescent="0.15">
      <c r="C1115" s="71"/>
      <c r="D1115" s="181"/>
      <c r="E1115" s="46"/>
      <c r="F1115" s="50" t="s">
        <v>66</v>
      </c>
      <c r="G1115" s="50" t="s">
        <v>67</v>
      </c>
      <c r="H1115" s="94">
        <f t="shared" si="151"/>
        <v>0</v>
      </c>
      <c r="I1115" s="94">
        <f t="shared" si="151"/>
        <v>0</v>
      </c>
      <c r="J1115" s="94">
        <f t="shared" si="151"/>
        <v>0</v>
      </c>
      <c r="K1115" s="94">
        <f t="shared" si="151"/>
        <v>0</v>
      </c>
      <c r="L1115" s="94">
        <f t="shared" si="151"/>
        <v>0</v>
      </c>
      <c r="M1115" s="94">
        <f t="shared" si="151"/>
        <v>0</v>
      </c>
      <c r="N1115" s="94">
        <f t="shared" si="151"/>
        <v>0</v>
      </c>
      <c r="O1115" s="94">
        <f t="shared" si="151"/>
        <v>0</v>
      </c>
      <c r="P1115" s="94">
        <f t="shared" si="151"/>
        <v>0</v>
      </c>
      <c r="Q1115" s="94">
        <f t="shared" si="151"/>
        <v>0</v>
      </c>
      <c r="R1115" s="49">
        <f t="shared" si="149"/>
        <v>0</v>
      </c>
    </row>
    <row r="1116" spans="3:20" x14ac:dyDescent="0.15">
      <c r="C1116" s="71"/>
      <c r="D1116" s="181"/>
      <c r="E1116" s="46"/>
      <c r="F1116" s="51" t="s">
        <v>68</v>
      </c>
      <c r="G1116" s="50" t="s">
        <v>69</v>
      </c>
      <c r="H1116" s="94">
        <f t="shared" ref="H1116:Q1121" si="152">H1004-H1060</f>
        <v>0</v>
      </c>
      <c r="I1116" s="94">
        <f t="shared" si="152"/>
        <v>0</v>
      </c>
      <c r="J1116" s="94">
        <f t="shared" si="152"/>
        <v>0</v>
      </c>
      <c r="K1116" s="94">
        <f t="shared" si="152"/>
        <v>0</v>
      </c>
      <c r="L1116" s="94">
        <f t="shared" si="152"/>
        <v>0</v>
      </c>
      <c r="M1116" s="94">
        <f t="shared" si="152"/>
        <v>0</v>
      </c>
      <c r="N1116" s="94">
        <f t="shared" si="152"/>
        <v>0</v>
      </c>
      <c r="O1116" s="94">
        <f t="shared" si="152"/>
        <v>0</v>
      </c>
      <c r="P1116" s="94">
        <f t="shared" si="152"/>
        <v>0</v>
      </c>
      <c r="Q1116" s="94">
        <f t="shared" si="152"/>
        <v>0</v>
      </c>
      <c r="R1116" s="49">
        <f t="shared" si="149"/>
        <v>0</v>
      </c>
    </row>
    <row r="1117" spans="3:20" ht="13.5" customHeight="1" x14ac:dyDescent="0.15">
      <c r="C1117" s="71"/>
      <c r="D1117" s="181"/>
      <c r="E1117" s="46"/>
      <c r="F1117" s="51" t="s">
        <v>70</v>
      </c>
      <c r="G1117" s="50" t="s">
        <v>71</v>
      </c>
      <c r="H1117" s="94">
        <f t="shared" si="152"/>
        <v>0</v>
      </c>
      <c r="I1117" s="94">
        <f t="shared" si="152"/>
        <v>0</v>
      </c>
      <c r="J1117" s="94">
        <f t="shared" si="152"/>
        <v>0</v>
      </c>
      <c r="K1117" s="94">
        <f t="shared" si="152"/>
        <v>0</v>
      </c>
      <c r="L1117" s="94">
        <f t="shared" si="152"/>
        <v>0</v>
      </c>
      <c r="M1117" s="94">
        <f t="shared" si="152"/>
        <v>0</v>
      </c>
      <c r="N1117" s="94">
        <f t="shared" si="152"/>
        <v>0</v>
      </c>
      <c r="O1117" s="94">
        <f t="shared" si="152"/>
        <v>0</v>
      </c>
      <c r="P1117" s="94">
        <f t="shared" si="152"/>
        <v>0</v>
      </c>
      <c r="Q1117" s="94">
        <f t="shared" si="152"/>
        <v>0</v>
      </c>
      <c r="R1117" s="49">
        <f t="shared" si="149"/>
        <v>0</v>
      </c>
    </row>
    <row r="1118" spans="3:20" x14ac:dyDescent="0.15">
      <c r="C1118" s="71"/>
      <c r="D1118" s="181"/>
      <c r="E1118" s="46"/>
      <c r="F1118" s="47" t="s">
        <v>72</v>
      </c>
      <c r="G1118" s="50" t="s">
        <v>73</v>
      </c>
      <c r="H1118" s="94">
        <f t="shared" si="152"/>
        <v>0</v>
      </c>
      <c r="I1118" s="94">
        <f t="shared" si="152"/>
        <v>0</v>
      </c>
      <c r="J1118" s="94">
        <f t="shared" si="152"/>
        <v>0</v>
      </c>
      <c r="K1118" s="94">
        <f t="shared" si="152"/>
        <v>0</v>
      </c>
      <c r="L1118" s="94">
        <f t="shared" si="152"/>
        <v>0</v>
      </c>
      <c r="M1118" s="94">
        <f t="shared" si="152"/>
        <v>0</v>
      </c>
      <c r="N1118" s="94">
        <f t="shared" si="152"/>
        <v>0</v>
      </c>
      <c r="O1118" s="94">
        <f t="shared" si="152"/>
        <v>0</v>
      </c>
      <c r="P1118" s="94">
        <f t="shared" si="152"/>
        <v>0</v>
      </c>
      <c r="Q1118" s="94">
        <f t="shared" si="152"/>
        <v>0</v>
      </c>
      <c r="R1118" s="49">
        <f t="shared" si="149"/>
        <v>0</v>
      </c>
      <c r="T1118" s="69">
        <f>SUM(G1066:Q1328)</f>
        <v>397270.6500000002</v>
      </c>
    </row>
    <row r="1119" spans="3:20" x14ac:dyDescent="0.15">
      <c r="C1119" s="71"/>
      <c r="D1119" s="181"/>
      <c r="E1119" s="46"/>
      <c r="F1119" s="47" t="s">
        <v>74</v>
      </c>
      <c r="G1119" s="50" t="s">
        <v>73</v>
      </c>
      <c r="H1119" s="94">
        <f t="shared" si="152"/>
        <v>0</v>
      </c>
      <c r="I1119" s="94">
        <f t="shared" si="152"/>
        <v>0</v>
      </c>
      <c r="J1119" s="94">
        <f t="shared" si="152"/>
        <v>0</v>
      </c>
      <c r="K1119" s="94">
        <f t="shared" si="152"/>
        <v>0</v>
      </c>
      <c r="L1119" s="94">
        <f t="shared" si="152"/>
        <v>0</v>
      </c>
      <c r="M1119" s="94">
        <f t="shared" si="152"/>
        <v>0</v>
      </c>
      <c r="N1119" s="94">
        <f t="shared" si="152"/>
        <v>0</v>
      </c>
      <c r="O1119" s="94">
        <f t="shared" si="152"/>
        <v>0</v>
      </c>
      <c r="P1119" s="94">
        <f t="shared" si="152"/>
        <v>0</v>
      </c>
      <c r="Q1119" s="94">
        <f t="shared" si="152"/>
        <v>0</v>
      </c>
      <c r="R1119" s="49">
        <f t="shared" si="149"/>
        <v>0</v>
      </c>
      <c r="T1119" s="69">
        <f>SUM(G1066:Q1328)</f>
        <v>397270.6500000002</v>
      </c>
    </row>
    <row r="1120" spans="3:20" x14ac:dyDescent="0.15">
      <c r="C1120" s="71"/>
      <c r="D1120" s="181"/>
      <c r="E1120" s="46"/>
      <c r="F1120" s="47" t="s">
        <v>76</v>
      </c>
      <c r="G1120" s="50" t="s">
        <v>73</v>
      </c>
      <c r="H1120" s="94">
        <f t="shared" si="152"/>
        <v>0</v>
      </c>
      <c r="I1120" s="94">
        <f t="shared" si="152"/>
        <v>0</v>
      </c>
      <c r="J1120" s="94">
        <f t="shared" si="152"/>
        <v>0</v>
      </c>
      <c r="K1120" s="94">
        <f t="shared" si="152"/>
        <v>0</v>
      </c>
      <c r="L1120" s="94">
        <f t="shared" si="152"/>
        <v>0</v>
      </c>
      <c r="M1120" s="94">
        <f t="shared" si="152"/>
        <v>0</v>
      </c>
      <c r="N1120" s="94">
        <f t="shared" si="152"/>
        <v>0</v>
      </c>
      <c r="O1120" s="94">
        <f t="shared" si="152"/>
        <v>0</v>
      </c>
      <c r="P1120" s="94">
        <f t="shared" si="152"/>
        <v>0</v>
      </c>
      <c r="Q1120" s="94">
        <f t="shared" si="152"/>
        <v>0</v>
      </c>
      <c r="R1120" s="49">
        <f t="shared" si="149"/>
        <v>0</v>
      </c>
      <c r="T1120" s="69">
        <f>SUM(G1066:Q1328)</f>
        <v>397270.6500000002</v>
      </c>
    </row>
    <row r="1121" spans="3:22" x14ac:dyDescent="0.15">
      <c r="C1121" s="71"/>
      <c r="D1121" s="181"/>
      <c r="E1121" s="46"/>
      <c r="F1121" s="47" t="s">
        <v>77</v>
      </c>
      <c r="G1121" s="50" t="s">
        <v>73</v>
      </c>
      <c r="H1121" s="94">
        <f t="shared" si="152"/>
        <v>0</v>
      </c>
      <c r="I1121" s="94">
        <f t="shared" si="152"/>
        <v>0</v>
      </c>
      <c r="J1121" s="94">
        <f t="shared" si="152"/>
        <v>0</v>
      </c>
      <c r="K1121" s="94">
        <f t="shared" si="152"/>
        <v>0</v>
      </c>
      <c r="L1121" s="94">
        <f t="shared" si="152"/>
        <v>0</v>
      </c>
      <c r="M1121" s="94">
        <f t="shared" si="152"/>
        <v>0</v>
      </c>
      <c r="N1121" s="94">
        <f t="shared" si="152"/>
        <v>0</v>
      </c>
      <c r="O1121" s="94">
        <f t="shared" si="152"/>
        <v>0</v>
      </c>
      <c r="P1121" s="94">
        <f t="shared" si="152"/>
        <v>0</v>
      </c>
      <c r="Q1121" s="94">
        <f t="shared" si="152"/>
        <v>0</v>
      </c>
      <c r="R1121" s="49">
        <f t="shared" si="149"/>
        <v>0</v>
      </c>
      <c r="T1121" s="69">
        <f>SUM(G1067:Q1329)</f>
        <v>397270.6500000002</v>
      </c>
    </row>
    <row r="1122" spans="3:22" x14ac:dyDescent="0.15">
      <c r="C1122" s="190" t="s">
        <v>100</v>
      </c>
      <c r="D1122" s="190"/>
      <c r="E1122" s="191"/>
      <c r="F1122" s="100"/>
      <c r="G1122" s="101"/>
      <c r="H1122" s="102"/>
      <c r="I1122" s="102"/>
      <c r="J1122" s="102"/>
      <c r="K1122" s="102"/>
      <c r="L1122" s="102"/>
      <c r="M1122" s="102"/>
      <c r="N1122" s="102"/>
      <c r="O1122" s="102"/>
      <c r="P1122" s="102"/>
      <c r="Q1122" s="102"/>
      <c r="R1122" s="102"/>
      <c r="S1122" s="74"/>
      <c r="V1122" s="75"/>
    </row>
    <row r="1123" spans="3:22" ht="13.5" customHeight="1" x14ac:dyDescent="0.15">
      <c r="C1123" s="103"/>
      <c r="D1123" s="181" t="s">
        <v>94</v>
      </c>
      <c r="E1123" s="46"/>
      <c r="F1123" s="47" t="s">
        <v>79</v>
      </c>
      <c r="G1123" s="48" t="s">
        <v>45</v>
      </c>
      <c r="H1123" s="49">
        <f>(H955-H918)*1.05</f>
        <v>71.400000000000006</v>
      </c>
      <c r="I1123" s="49">
        <f t="shared" ref="I1123:N1123" si="153">(I955-I918)*1.05</f>
        <v>166.95000000000002</v>
      </c>
      <c r="J1123" s="49">
        <f t="shared" si="153"/>
        <v>227.85000000000002</v>
      </c>
      <c r="K1123" s="49">
        <f t="shared" si="153"/>
        <v>313.95</v>
      </c>
      <c r="L1123" s="49">
        <f t="shared" si="153"/>
        <v>407.40000000000003</v>
      </c>
      <c r="M1123" s="49">
        <f t="shared" si="153"/>
        <v>399</v>
      </c>
      <c r="N1123" s="49">
        <f t="shared" si="153"/>
        <v>100.80000000000001</v>
      </c>
      <c r="O1123" s="49"/>
      <c r="P1123" s="49"/>
      <c r="Q1123" s="49"/>
      <c r="R1123" s="49">
        <f t="shared" ref="R1123:R1134" si="154">SUM(H1123:Q1123)</f>
        <v>1687.3500000000001</v>
      </c>
      <c r="T1123" s="10">
        <f>SUM(H1123:Q1176)</f>
        <v>166620.29999999996</v>
      </c>
    </row>
    <row r="1124" spans="3:22" ht="13.5" customHeight="1" x14ac:dyDescent="0.15">
      <c r="C1124" s="103"/>
      <c r="D1124" s="181"/>
      <c r="E1124" s="46"/>
      <c r="F1124" s="50" t="s">
        <v>80</v>
      </c>
      <c r="G1124" s="48" t="s">
        <v>47</v>
      </c>
      <c r="H1124" s="49">
        <f t="shared" ref="H1124:N1139" si="155">(H956-H919)*1.05</f>
        <v>48.300000000000004</v>
      </c>
      <c r="I1124" s="49">
        <f t="shared" si="155"/>
        <v>202.65</v>
      </c>
      <c r="J1124" s="49">
        <f t="shared" si="155"/>
        <v>353.85</v>
      </c>
      <c r="K1124" s="49">
        <f t="shared" si="155"/>
        <v>349.65000000000003</v>
      </c>
      <c r="L1124" s="49">
        <f t="shared" si="155"/>
        <v>596.4</v>
      </c>
      <c r="M1124" s="49">
        <f t="shared" si="155"/>
        <v>457.8</v>
      </c>
      <c r="N1124" s="49">
        <f t="shared" si="155"/>
        <v>126</v>
      </c>
      <c r="O1124" s="49"/>
      <c r="P1124" s="49"/>
      <c r="Q1124" s="49"/>
      <c r="R1124" s="49">
        <f t="shared" si="154"/>
        <v>2134.6499999999996</v>
      </c>
    </row>
    <row r="1125" spans="3:22" ht="13.5" customHeight="1" x14ac:dyDescent="0.15">
      <c r="C1125" s="103"/>
      <c r="D1125" s="181"/>
      <c r="E1125" s="46"/>
      <c r="F1125" s="50" t="s">
        <v>48</v>
      </c>
      <c r="G1125" s="48" t="s">
        <v>49</v>
      </c>
      <c r="H1125" s="49">
        <f t="shared" si="155"/>
        <v>1446.9</v>
      </c>
      <c r="I1125" s="49">
        <f t="shared" si="155"/>
        <v>3688.65</v>
      </c>
      <c r="J1125" s="49">
        <f t="shared" si="155"/>
        <v>4485.6000000000004</v>
      </c>
      <c r="K1125" s="49">
        <f t="shared" si="155"/>
        <v>3174.15</v>
      </c>
      <c r="L1125" s="49">
        <f t="shared" si="155"/>
        <v>3209.85</v>
      </c>
      <c r="M1125" s="49">
        <f t="shared" si="155"/>
        <v>1651.65</v>
      </c>
      <c r="N1125" s="49">
        <f t="shared" si="155"/>
        <v>385.35</v>
      </c>
      <c r="O1125" s="49"/>
      <c r="P1125" s="49"/>
      <c r="Q1125" s="49"/>
      <c r="R1125" s="49">
        <f t="shared" si="154"/>
        <v>18042.150000000001</v>
      </c>
    </row>
    <row r="1126" spans="3:22" ht="13.5" customHeight="1" x14ac:dyDescent="0.15">
      <c r="C1126" s="103"/>
      <c r="D1126" s="181"/>
      <c r="E1126" s="46"/>
      <c r="F1126" s="50" t="s">
        <v>50</v>
      </c>
      <c r="G1126" s="48" t="s">
        <v>51</v>
      </c>
      <c r="H1126" s="49">
        <f t="shared" si="155"/>
        <v>218.4</v>
      </c>
      <c r="I1126" s="49">
        <f t="shared" si="155"/>
        <v>676.2</v>
      </c>
      <c r="J1126" s="49">
        <f t="shared" si="155"/>
        <v>1190.7</v>
      </c>
      <c r="K1126" s="49">
        <f t="shared" si="155"/>
        <v>1626.45</v>
      </c>
      <c r="L1126" s="49">
        <f t="shared" si="155"/>
        <v>2063.25</v>
      </c>
      <c r="M1126" s="49">
        <f t="shared" si="155"/>
        <v>1431.15</v>
      </c>
      <c r="N1126" s="49">
        <f t="shared" si="155"/>
        <v>481.95000000000005</v>
      </c>
      <c r="O1126" s="49"/>
      <c r="P1126" s="49"/>
      <c r="Q1126" s="49"/>
      <c r="R1126" s="49">
        <f t="shared" si="154"/>
        <v>7688.0999999999995</v>
      </c>
    </row>
    <row r="1127" spans="3:22" ht="13.5" customHeight="1" x14ac:dyDescent="0.15">
      <c r="C1127" s="103"/>
      <c r="D1127" s="181"/>
      <c r="E1127" s="46"/>
      <c r="F1127" s="50" t="s">
        <v>52</v>
      </c>
      <c r="G1127" s="48" t="s">
        <v>53</v>
      </c>
      <c r="H1127" s="49">
        <f t="shared" si="155"/>
        <v>186.9</v>
      </c>
      <c r="I1127" s="49">
        <f t="shared" si="155"/>
        <v>560.70000000000005</v>
      </c>
      <c r="J1127" s="49">
        <f t="shared" si="155"/>
        <v>825.30000000000007</v>
      </c>
      <c r="K1127" s="49">
        <f t="shared" si="155"/>
        <v>838.95</v>
      </c>
      <c r="L1127" s="49">
        <f t="shared" si="155"/>
        <v>720.30000000000007</v>
      </c>
      <c r="M1127" s="49">
        <f t="shared" si="155"/>
        <v>387.45</v>
      </c>
      <c r="N1127" s="49">
        <f t="shared" si="155"/>
        <v>100.80000000000001</v>
      </c>
      <c r="O1127" s="49"/>
      <c r="P1127" s="49"/>
      <c r="Q1127" s="49"/>
      <c r="R1127" s="49">
        <f t="shared" si="154"/>
        <v>3620.4000000000005</v>
      </c>
    </row>
    <row r="1128" spans="3:22" ht="13.5" customHeight="1" x14ac:dyDescent="0.15">
      <c r="C1128" s="103"/>
      <c r="D1128" s="181"/>
      <c r="E1128" s="46"/>
      <c r="F1128" s="50" t="s">
        <v>54</v>
      </c>
      <c r="G1128" s="48" t="s">
        <v>55</v>
      </c>
      <c r="H1128" s="49">
        <f t="shared" si="155"/>
        <v>558.6</v>
      </c>
      <c r="I1128" s="49">
        <f t="shared" si="155"/>
        <v>1311.45</v>
      </c>
      <c r="J1128" s="49">
        <f t="shared" si="155"/>
        <v>1870.0500000000002</v>
      </c>
      <c r="K1128" s="49">
        <f t="shared" si="155"/>
        <v>1965.6000000000001</v>
      </c>
      <c r="L1128" s="49">
        <f t="shared" si="155"/>
        <v>2111.5500000000002</v>
      </c>
      <c r="M1128" s="49">
        <f t="shared" si="155"/>
        <v>1370.25</v>
      </c>
      <c r="N1128" s="49">
        <f t="shared" si="155"/>
        <v>442.05</v>
      </c>
      <c r="O1128" s="49"/>
      <c r="P1128" s="49"/>
      <c r="Q1128" s="49"/>
      <c r="R1128" s="49">
        <f t="shared" si="154"/>
        <v>9629.5499999999993</v>
      </c>
    </row>
    <row r="1129" spans="3:22" ht="13.5" customHeight="1" x14ac:dyDescent="0.15">
      <c r="C1129" s="103"/>
      <c r="D1129" s="181"/>
      <c r="E1129" s="46"/>
      <c r="F1129" s="50" t="s">
        <v>56</v>
      </c>
      <c r="G1129" s="48" t="s">
        <v>57</v>
      </c>
      <c r="H1129" s="49">
        <f t="shared" si="155"/>
        <v>163.80000000000001</v>
      </c>
      <c r="I1129" s="49">
        <f t="shared" si="155"/>
        <v>586.95000000000005</v>
      </c>
      <c r="J1129" s="49">
        <f t="shared" si="155"/>
        <v>955.5</v>
      </c>
      <c r="K1129" s="49">
        <f t="shared" si="155"/>
        <v>1289.4000000000001</v>
      </c>
      <c r="L1129" s="49">
        <f t="shared" si="155"/>
        <v>2186.1</v>
      </c>
      <c r="M1129" s="49">
        <f t="shared" si="155"/>
        <v>1882.65</v>
      </c>
      <c r="N1129" s="49">
        <f t="shared" si="155"/>
        <v>795.9</v>
      </c>
      <c r="O1129" s="49"/>
      <c r="P1129" s="49"/>
      <c r="Q1129" s="49"/>
      <c r="R1129" s="49">
        <f t="shared" si="154"/>
        <v>7860.2999999999993</v>
      </c>
    </row>
    <row r="1130" spans="3:22" ht="13.5" customHeight="1" x14ac:dyDescent="0.15">
      <c r="C1130" s="103"/>
      <c r="D1130" s="181"/>
      <c r="E1130" s="46"/>
      <c r="F1130" s="51" t="s">
        <v>58</v>
      </c>
      <c r="G1130" s="48" t="s">
        <v>59</v>
      </c>
      <c r="H1130" s="49">
        <f t="shared" si="155"/>
        <v>742.35</v>
      </c>
      <c r="I1130" s="49">
        <f t="shared" si="155"/>
        <v>1857.45</v>
      </c>
      <c r="J1130" s="49">
        <f t="shared" si="155"/>
        <v>2661.75</v>
      </c>
      <c r="K1130" s="49">
        <f t="shared" si="155"/>
        <v>2873.85</v>
      </c>
      <c r="L1130" s="49">
        <f t="shared" si="155"/>
        <v>3172.05</v>
      </c>
      <c r="M1130" s="49">
        <f t="shared" si="155"/>
        <v>2072.7000000000003</v>
      </c>
      <c r="N1130" s="49">
        <f t="shared" si="155"/>
        <v>561.75</v>
      </c>
      <c r="O1130" s="49"/>
      <c r="P1130" s="49"/>
      <c r="Q1130" s="49"/>
      <c r="R1130" s="49">
        <f t="shared" si="154"/>
        <v>13941.900000000001</v>
      </c>
    </row>
    <row r="1131" spans="3:22" ht="13.5" customHeight="1" x14ac:dyDescent="0.15">
      <c r="C1131" s="103"/>
      <c r="D1131" s="181"/>
      <c r="E1131" s="46"/>
      <c r="F1131" s="52" t="s">
        <v>60</v>
      </c>
      <c r="G1131" s="48" t="s">
        <v>61</v>
      </c>
      <c r="H1131" s="49">
        <f t="shared" si="155"/>
        <v>69.3</v>
      </c>
      <c r="I1131" s="49">
        <f t="shared" si="155"/>
        <v>186.9</v>
      </c>
      <c r="J1131" s="49">
        <f t="shared" si="155"/>
        <v>344.40000000000003</v>
      </c>
      <c r="K1131" s="49">
        <f t="shared" si="155"/>
        <v>452.55</v>
      </c>
      <c r="L1131" s="49">
        <f t="shared" si="155"/>
        <v>602.70000000000005</v>
      </c>
      <c r="M1131" s="49">
        <f t="shared" si="155"/>
        <v>421.05</v>
      </c>
      <c r="N1131" s="49">
        <f t="shared" si="155"/>
        <v>88.2</v>
      </c>
      <c r="O1131" s="49"/>
      <c r="P1131" s="49"/>
      <c r="Q1131" s="49"/>
      <c r="R1131" s="49">
        <f t="shared" si="154"/>
        <v>2165.1</v>
      </c>
    </row>
    <row r="1132" spans="3:22" ht="13.5" customHeight="1" x14ac:dyDescent="0.15">
      <c r="C1132" s="103"/>
      <c r="D1132" s="181"/>
      <c r="E1132" s="46"/>
      <c r="F1132" s="51" t="s">
        <v>62</v>
      </c>
      <c r="G1132" s="48" t="s">
        <v>63</v>
      </c>
      <c r="H1132" s="49">
        <f t="shared" si="155"/>
        <v>277.2</v>
      </c>
      <c r="I1132" s="49">
        <f t="shared" si="155"/>
        <v>862.05000000000007</v>
      </c>
      <c r="J1132" s="49">
        <f t="shared" si="155"/>
        <v>1227.45</v>
      </c>
      <c r="K1132" s="49">
        <f t="shared" si="155"/>
        <v>1232.7</v>
      </c>
      <c r="L1132" s="49">
        <f t="shared" si="155"/>
        <v>955.5</v>
      </c>
      <c r="M1132" s="49">
        <f t="shared" si="155"/>
        <v>471.45000000000005</v>
      </c>
      <c r="N1132" s="49">
        <f t="shared" si="155"/>
        <v>163.80000000000001</v>
      </c>
      <c r="O1132" s="49"/>
      <c r="P1132" s="49"/>
      <c r="Q1132" s="49"/>
      <c r="R1132" s="49">
        <f t="shared" si="154"/>
        <v>5190.1499999999996</v>
      </c>
    </row>
    <row r="1133" spans="3:22" ht="13.5" customHeight="1" x14ac:dyDescent="0.15">
      <c r="C1133" s="103"/>
      <c r="D1133" s="181"/>
      <c r="E1133" s="46"/>
      <c r="F1133" s="50" t="s">
        <v>64</v>
      </c>
      <c r="G1133" s="48" t="s">
        <v>65</v>
      </c>
      <c r="H1133" s="49">
        <f t="shared" si="155"/>
        <v>353.85</v>
      </c>
      <c r="I1133" s="49">
        <f t="shared" si="155"/>
        <v>1180.2</v>
      </c>
      <c r="J1133" s="49">
        <f t="shared" si="155"/>
        <v>1733.5500000000002</v>
      </c>
      <c r="K1133" s="49">
        <f t="shared" si="155"/>
        <v>1806</v>
      </c>
      <c r="L1133" s="49">
        <f t="shared" si="155"/>
        <v>1652.7</v>
      </c>
      <c r="M1133" s="49">
        <f t="shared" si="155"/>
        <v>967.05000000000007</v>
      </c>
      <c r="N1133" s="49">
        <f t="shared" si="155"/>
        <v>320.25</v>
      </c>
      <c r="O1133" s="49"/>
      <c r="P1133" s="49"/>
      <c r="Q1133" s="49"/>
      <c r="R1133" s="49">
        <f t="shared" si="154"/>
        <v>8013.6</v>
      </c>
    </row>
    <row r="1134" spans="3:22" ht="13.5" customHeight="1" x14ac:dyDescent="0.15">
      <c r="C1134" s="103"/>
      <c r="D1134" s="181"/>
      <c r="E1134" s="46"/>
      <c r="F1134" s="50" t="s">
        <v>66</v>
      </c>
      <c r="G1134" s="48" t="s">
        <v>67</v>
      </c>
      <c r="H1134" s="49">
        <f t="shared" si="155"/>
        <v>274.05</v>
      </c>
      <c r="I1134" s="49">
        <f t="shared" si="155"/>
        <v>1037.4000000000001</v>
      </c>
      <c r="J1134" s="49">
        <f t="shared" si="155"/>
        <v>1875.3000000000002</v>
      </c>
      <c r="K1134" s="49">
        <f t="shared" si="155"/>
        <v>2219.7000000000003</v>
      </c>
      <c r="L1134" s="49">
        <f t="shared" si="155"/>
        <v>3722.25</v>
      </c>
      <c r="M1134" s="49">
        <f t="shared" si="155"/>
        <v>2611.35</v>
      </c>
      <c r="N1134" s="49">
        <f t="shared" si="155"/>
        <v>843.15000000000009</v>
      </c>
      <c r="O1134" s="49"/>
      <c r="P1134" s="49"/>
      <c r="Q1134" s="49"/>
      <c r="R1134" s="49">
        <f t="shared" si="154"/>
        <v>12583.2</v>
      </c>
    </row>
    <row r="1135" spans="3:22" x14ac:dyDescent="0.15">
      <c r="C1135" s="103"/>
      <c r="D1135" s="181"/>
      <c r="E1135" s="46"/>
      <c r="F1135" s="51" t="s">
        <v>68</v>
      </c>
      <c r="G1135" s="48" t="s">
        <v>69</v>
      </c>
      <c r="H1135" s="49">
        <f t="shared" si="155"/>
        <v>234.15</v>
      </c>
      <c r="I1135" s="49">
        <f t="shared" si="155"/>
        <v>787.5</v>
      </c>
      <c r="J1135" s="49">
        <f t="shared" si="155"/>
        <v>1114.05</v>
      </c>
      <c r="K1135" s="49">
        <f t="shared" si="155"/>
        <v>1307.25</v>
      </c>
      <c r="L1135" s="49">
        <f t="shared" si="155"/>
        <v>1828.0500000000002</v>
      </c>
      <c r="M1135" s="49">
        <f t="shared" si="155"/>
        <v>1299.9000000000001</v>
      </c>
      <c r="N1135" s="49">
        <f t="shared" si="155"/>
        <v>458.85</v>
      </c>
      <c r="O1135" s="49"/>
      <c r="P1135" s="49"/>
      <c r="Q1135" s="49"/>
      <c r="R1135" s="49">
        <f>SUM(H1135:Q1135)</f>
        <v>7029.75</v>
      </c>
    </row>
    <row r="1136" spans="3:22" ht="13.5" customHeight="1" x14ac:dyDescent="0.15">
      <c r="C1136" s="103"/>
      <c r="D1136" s="181"/>
      <c r="E1136" s="46"/>
      <c r="F1136" s="51" t="s">
        <v>70</v>
      </c>
      <c r="G1136" s="48" t="s">
        <v>71</v>
      </c>
      <c r="H1136" s="49">
        <f t="shared" si="155"/>
        <v>213.15</v>
      </c>
      <c r="I1136" s="49">
        <f t="shared" si="155"/>
        <v>585.9</v>
      </c>
      <c r="J1136" s="49">
        <f t="shared" si="155"/>
        <v>682.5</v>
      </c>
      <c r="K1136" s="49">
        <f t="shared" si="155"/>
        <v>934.5</v>
      </c>
      <c r="L1136" s="49">
        <f t="shared" si="155"/>
        <v>1176</v>
      </c>
      <c r="M1136" s="49">
        <f t="shared" si="155"/>
        <v>1200.1500000000001</v>
      </c>
      <c r="N1136" s="49">
        <f t="shared" si="155"/>
        <v>401.1</v>
      </c>
      <c r="O1136" s="49"/>
      <c r="P1136" s="49"/>
      <c r="Q1136" s="49"/>
      <c r="R1136" s="49">
        <f t="shared" ref="R1136:R1176" si="156">SUM(H1136:Q1136)</f>
        <v>5193.3000000000011</v>
      </c>
    </row>
    <row r="1137" spans="3:21" x14ac:dyDescent="0.15">
      <c r="C1137" s="103"/>
      <c r="D1137" s="181"/>
      <c r="E1137" s="46"/>
      <c r="F1137" s="47" t="s">
        <v>72</v>
      </c>
      <c r="G1137" s="48" t="s">
        <v>73</v>
      </c>
      <c r="H1137" s="49">
        <f t="shared" si="155"/>
        <v>0</v>
      </c>
      <c r="I1137" s="49">
        <f t="shared" si="155"/>
        <v>0</v>
      </c>
      <c r="J1137" s="49">
        <f t="shared" si="155"/>
        <v>0</v>
      </c>
      <c r="K1137" s="49">
        <f t="shared" si="155"/>
        <v>0</v>
      </c>
      <c r="L1137" s="49">
        <f t="shared" si="155"/>
        <v>0</v>
      </c>
      <c r="M1137" s="49">
        <f t="shared" si="155"/>
        <v>0</v>
      </c>
      <c r="N1137" s="49">
        <f t="shared" si="155"/>
        <v>0</v>
      </c>
      <c r="O1137" s="49"/>
      <c r="P1137" s="49"/>
      <c r="Q1137" s="49"/>
      <c r="R1137" s="49">
        <f t="shared" si="156"/>
        <v>0</v>
      </c>
    </row>
    <row r="1138" spans="3:21" x14ac:dyDescent="0.15">
      <c r="C1138" s="103"/>
      <c r="D1138" s="181"/>
      <c r="E1138" s="46"/>
      <c r="F1138" s="47" t="s">
        <v>74</v>
      </c>
      <c r="G1138" s="48" t="s">
        <v>73</v>
      </c>
      <c r="H1138" s="49">
        <f t="shared" si="155"/>
        <v>88.2</v>
      </c>
      <c r="I1138" s="49">
        <f t="shared" si="155"/>
        <v>315</v>
      </c>
      <c r="J1138" s="49">
        <f t="shared" si="155"/>
        <v>504</v>
      </c>
      <c r="K1138" s="49">
        <f t="shared" si="155"/>
        <v>466.20000000000005</v>
      </c>
      <c r="L1138" s="49">
        <f t="shared" si="155"/>
        <v>541.80000000000007</v>
      </c>
      <c r="M1138" s="49">
        <f t="shared" si="155"/>
        <v>352.8</v>
      </c>
      <c r="N1138" s="49">
        <f t="shared" si="155"/>
        <v>126</v>
      </c>
      <c r="O1138" s="49"/>
      <c r="P1138" s="49"/>
      <c r="Q1138" s="49"/>
      <c r="R1138" s="49">
        <f t="shared" si="156"/>
        <v>2394.0000000000005</v>
      </c>
    </row>
    <row r="1139" spans="3:21" x14ac:dyDescent="0.15">
      <c r="C1139" s="103"/>
      <c r="D1139" s="181"/>
      <c r="E1139" s="46"/>
      <c r="F1139" s="47" t="s">
        <v>76</v>
      </c>
      <c r="G1139" s="48" t="s">
        <v>73</v>
      </c>
      <c r="H1139" s="49">
        <f t="shared" si="155"/>
        <v>117.60000000000001</v>
      </c>
      <c r="I1139" s="49">
        <f t="shared" si="155"/>
        <v>301.35000000000002</v>
      </c>
      <c r="J1139" s="49">
        <f t="shared" si="155"/>
        <v>465.15000000000003</v>
      </c>
      <c r="K1139" s="49">
        <f t="shared" si="155"/>
        <v>549.15</v>
      </c>
      <c r="L1139" s="49">
        <f t="shared" si="155"/>
        <v>837.90000000000009</v>
      </c>
      <c r="M1139" s="49">
        <f t="shared" si="155"/>
        <v>721.35</v>
      </c>
      <c r="N1139" s="49">
        <f t="shared" si="155"/>
        <v>252</v>
      </c>
      <c r="O1139" s="49"/>
      <c r="P1139" s="49"/>
      <c r="Q1139" s="49"/>
      <c r="R1139" s="49">
        <f t="shared" si="156"/>
        <v>3244.5</v>
      </c>
    </row>
    <row r="1140" spans="3:21" ht="14.25" thickBot="1" x14ac:dyDescent="0.2">
      <c r="C1140" s="103"/>
      <c r="D1140" s="182"/>
      <c r="E1140" s="53"/>
      <c r="F1140" s="54" t="s">
        <v>77</v>
      </c>
      <c r="G1140" s="55" t="s">
        <v>73</v>
      </c>
      <c r="H1140" s="56">
        <f t="shared" ref="H1140:N1140" si="157">(H972-H935)*1.05</f>
        <v>63</v>
      </c>
      <c r="I1140" s="56">
        <f t="shared" si="157"/>
        <v>247.8</v>
      </c>
      <c r="J1140" s="56">
        <f t="shared" si="157"/>
        <v>347.55</v>
      </c>
      <c r="K1140" s="56">
        <f t="shared" si="157"/>
        <v>380.1</v>
      </c>
      <c r="L1140" s="56">
        <f>(L972-L935)*1.05</f>
        <v>479.85</v>
      </c>
      <c r="M1140" s="56">
        <f t="shared" si="157"/>
        <v>311.85000000000002</v>
      </c>
      <c r="N1140" s="56">
        <f t="shared" si="157"/>
        <v>85.05</v>
      </c>
      <c r="O1140" s="56"/>
      <c r="P1140" s="56"/>
      <c r="Q1140" s="56"/>
      <c r="R1140" s="56">
        <f t="shared" si="156"/>
        <v>1915.2</v>
      </c>
    </row>
    <row r="1141" spans="3:21" ht="13.5" customHeight="1" x14ac:dyDescent="0.15">
      <c r="C1141" s="103"/>
      <c r="D1141" s="183" t="s">
        <v>95</v>
      </c>
      <c r="E1141" s="57"/>
      <c r="F1141" s="58" t="s">
        <v>79</v>
      </c>
      <c r="G1141" s="59" t="s">
        <v>45</v>
      </c>
      <c r="H1141" s="60"/>
      <c r="I1141" s="60"/>
      <c r="J1141" s="60"/>
      <c r="K1141" s="60"/>
      <c r="L1141" s="60"/>
      <c r="M1141" s="60"/>
      <c r="N1141" s="60"/>
      <c r="O1141" s="60">
        <f>(O974-O918)*1.05</f>
        <v>214.20000000000002</v>
      </c>
      <c r="P1141" s="60">
        <f t="shared" ref="P1141:Q1141" si="158">(P974-P918)*1.05</f>
        <v>315</v>
      </c>
      <c r="Q1141" s="60">
        <f t="shared" si="158"/>
        <v>163.80000000000001</v>
      </c>
      <c r="R1141" s="60">
        <f t="shared" si="156"/>
        <v>693</v>
      </c>
    </row>
    <row r="1142" spans="3:21" ht="13.5" customHeight="1" x14ac:dyDescent="0.15">
      <c r="C1142" s="103"/>
      <c r="D1142" s="181"/>
      <c r="E1142" s="46"/>
      <c r="F1142" s="50" t="s">
        <v>80</v>
      </c>
      <c r="G1142" s="48" t="s">
        <v>47</v>
      </c>
      <c r="H1142" s="49"/>
      <c r="I1142" s="49"/>
      <c r="J1142" s="49"/>
      <c r="K1142" s="49"/>
      <c r="L1142" s="49"/>
      <c r="M1142" s="49"/>
      <c r="N1142" s="49"/>
      <c r="O1142" s="49">
        <f t="shared" ref="O1142:Q1157" si="159">(O975-O919)*1.05</f>
        <v>214.20000000000002</v>
      </c>
      <c r="P1142" s="49">
        <f t="shared" si="159"/>
        <v>277.2</v>
      </c>
      <c r="Q1142" s="49">
        <f t="shared" si="159"/>
        <v>189</v>
      </c>
      <c r="R1142" s="49">
        <f t="shared" si="156"/>
        <v>680.4</v>
      </c>
    </row>
    <row r="1143" spans="3:21" ht="13.5" customHeight="1" x14ac:dyDescent="0.15">
      <c r="C1143" s="103"/>
      <c r="D1143" s="181"/>
      <c r="E1143" s="46"/>
      <c r="F1143" s="50" t="s">
        <v>48</v>
      </c>
      <c r="G1143" s="48" t="s">
        <v>49</v>
      </c>
      <c r="H1143" s="49"/>
      <c r="I1143" s="49"/>
      <c r="J1143" s="49"/>
      <c r="K1143" s="49"/>
      <c r="L1143" s="49"/>
      <c r="M1143" s="49"/>
      <c r="N1143" s="49"/>
      <c r="O1143" s="49">
        <f t="shared" si="159"/>
        <v>1964.5500000000002</v>
      </c>
      <c r="P1143" s="49">
        <f t="shared" si="159"/>
        <v>1909.95</v>
      </c>
      <c r="Q1143" s="49">
        <f t="shared" si="159"/>
        <v>1116.1500000000001</v>
      </c>
      <c r="R1143" s="49">
        <f t="shared" si="156"/>
        <v>4990.6499999999996</v>
      </c>
    </row>
    <row r="1144" spans="3:21" ht="13.5" customHeight="1" x14ac:dyDescent="0.15">
      <c r="C1144" s="103"/>
      <c r="D1144" s="181"/>
      <c r="E1144" s="46"/>
      <c r="F1144" s="50" t="s">
        <v>50</v>
      </c>
      <c r="G1144" s="48" t="s">
        <v>51</v>
      </c>
      <c r="H1144" s="49"/>
      <c r="I1144" s="49"/>
      <c r="J1144" s="49"/>
      <c r="K1144" s="49"/>
      <c r="L1144" s="49"/>
      <c r="M1144" s="49"/>
      <c r="N1144" s="49"/>
      <c r="O1144" s="49">
        <f t="shared" si="159"/>
        <v>554.4</v>
      </c>
      <c r="P1144" s="49">
        <f t="shared" si="159"/>
        <v>1524.6000000000001</v>
      </c>
      <c r="Q1144" s="49">
        <f t="shared" si="159"/>
        <v>702.45</v>
      </c>
      <c r="R1144" s="49">
        <f t="shared" si="156"/>
        <v>2781.45</v>
      </c>
    </row>
    <row r="1145" spans="3:21" ht="13.5" customHeight="1" x14ac:dyDescent="0.15">
      <c r="C1145" s="103"/>
      <c r="D1145" s="181"/>
      <c r="E1145" s="46"/>
      <c r="F1145" s="50" t="s">
        <v>52</v>
      </c>
      <c r="G1145" s="48" t="s">
        <v>53</v>
      </c>
      <c r="H1145" s="49"/>
      <c r="I1145" s="49"/>
      <c r="J1145" s="49"/>
      <c r="K1145" s="49"/>
      <c r="L1145" s="49"/>
      <c r="M1145" s="49"/>
      <c r="N1145" s="49"/>
      <c r="O1145" s="49">
        <f t="shared" si="159"/>
        <v>189</v>
      </c>
      <c r="P1145" s="49">
        <f t="shared" si="159"/>
        <v>201.60000000000002</v>
      </c>
      <c r="Q1145" s="49">
        <f t="shared" si="159"/>
        <v>126</v>
      </c>
      <c r="R1145" s="49">
        <f t="shared" si="156"/>
        <v>516.6</v>
      </c>
    </row>
    <row r="1146" spans="3:21" ht="13.5" customHeight="1" x14ac:dyDescent="0.15">
      <c r="C1146" s="103"/>
      <c r="D1146" s="181"/>
      <c r="E1146" s="46"/>
      <c r="F1146" s="50" t="s">
        <v>54</v>
      </c>
      <c r="G1146" s="48" t="s">
        <v>55</v>
      </c>
      <c r="H1146" s="49"/>
      <c r="I1146" s="49"/>
      <c r="J1146" s="49"/>
      <c r="K1146" s="49"/>
      <c r="L1146" s="49"/>
      <c r="M1146" s="49"/>
      <c r="N1146" s="49"/>
      <c r="O1146" s="49">
        <f t="shared" si="159"/>
        <v>1456.3500000000001</v>
      </c>
      <c r="P1146" s="49">
        <f t="shared" si="159"/>
        <v>1651.65</v>
      </c>
      <c r="Q1146" s="49">
        <f t="shared" si="159"/>
        <v>1000.6500000000001</v>
      </c>
      <c r="R1146" s="49">
        <f t="shared" si="156"/>
        <v>4108.6499999999996</v>
      </c>
      <c r="T1146" s="2">
        <v>27911</v>
      </c>
      <c r="U1146" s="2">
        <f>T1146*1.05</f>
        <v>29306.550000000003</v>
      </c>
    </row>
    <row r="1147" spans="3:21" ht="13.5" customHeight="1" x14ac:dyDescent="0.15">
      <c r="C1147" s="103"/>
      <c r="D1147" s="181"/>
      <c r="E1147" s="46"/>
      <c r="F1147" s="50" t="s">
        <v>56</v>
      </c>
      <c r="G1147" s="48" t="s">
        <v>57</v>
      </c>
      <c r="H1147" s="49"/>
      <c r="I1147" s="49"/>
      <c r="J1147" s="49"/>
      <c r="K1147" s="49"/>
      <c r="L1147" s="49"/>
      <c r="M1147" s="49"/>
      <c r="N1147" s="49"/>
      <c r="O1147" s="49">
        <f t="shared" si="159"/>
        <v>358.05</v>
      </c>
      <c r="P1147" s="49">
        <f t="shared" si="159"/>
        <v>941.85</v>
      </c>
      <c r="Q1147" s="49">
        <f t="shared" si="159"/>
        <v>622.65</v>
      </c>
      <c r="R1147" s="49">
        <f t="shared" si="156"/>
        <v>1922.5500000000002</v>
      </c>
      <c r="T1147" s="2">
        <v>14294</v>
      </c>
      <c r="U1147" s="2">
        <f>T1147*1.05</f>
        <v>15008.7</v>
      </c>
    </row>
    <row r="1148" spans="3:21" ht="13.5" customHeight="1" x14ac:dyDescent="0.15">
      <c r="C1148" s="103"/>
      <c r="D1148" s="181"/>
      <c r="E1148" s="46"/>
      <c r="F1148" s="51" t="s">
        <v>58</v>
      </c>
      <c r="G1148" s="48" t="s">
        <v>59</v>
      </c>
      <c r="H1148" s="49"/>
      <c r="I1148" s="49"/>
      <c r="J1148" s="49"/>
      <c r="K1148" s="49"/>
      <c r="L1148" s="49"/>
      <c r="M1148" s="49"/>
      <c r="N1148" s="49"/>
      <c r="O1148" s="49">
        <f t="shared" si="159"/>
        <v>1293.6000000000001</v>
      </c>
      <c r="P1148" s="49">
        <f t="shared" si="159"/>
        <v>1478.4</v>
      </c>
      <c r="Q1148" s="49">
        <f t="shared" si="159"/>
        <v>901.95</v>
      </c>
      <c r="R1148" s="49">
        <f t="shared" si="156"/>
        <v>3673.95</v>
      </c>
    </row>
    <row r="1149" spans="3:21" ht="13.5" customHeight="1" x14ac:dyDescent="0.15">
      <c r="C1149" s="103"/>
      <c r="D1149" s="181"/>
      <c r="E1149" s="46"/>
      <c r="F1149" s="52" t="s">
        <v>60</v>
      </c>
      <c r="G1149" s="48" t="s">
        <v>61</v>
      </c>
      <c r="H1149" s="49"/>
      <c r="I1149" s="49"/>
      <c r="J1149" s="49"/>
      <c r="K1149" s="49"/>
      <c r="L1149" s="49"/>
      <c r="M1149" s="49"/>
      <c r="N1149" s="49"/>
      <c r="O1149" s="49">
        <f t="shared" si="159"/>
        <v>214.20000000000002</v>
      </c>
      <c r="P1149" s="49">
        <f t="shared" si="159"/>
        <v>315</v>
      </c>
      <c r="Q1149" s="49">
        <f t="shared" si="159"/>
        <v>176.4</v>
      </c>
      <c r="R1149" s="49">
        <f t="shared" si="156"/>
        <v>705.6</v>
      </c>
    </row>
    <row r="1150" spans="3:21" ht="13.5" customHeight="1" x14ac:dyDescent="0.15">
      <c r="C1150" s="103"/>
      <c r="D1150" s="181"/>
      <c r="E1150" s="46"/>
      <c r="F1150" s="51" t="s">
        <v>62</v>
      </c>
      <c r="G1150" s="48" t="s">
        <v>63</v>
      </c>
      <c r="H1150" s="49"/>
      <c r="I1150" s="49"/>
      <c r="J1150" s="49"/>
      <c r="K1150" s="49"/>
      <c r="L1150" s="49"/>
      <c r="M1150" s="49"/>
      <c r="N1150" s="49"/>
      <c r="O1150" s="49">
        <f t="shared" si="159"/>
        <v>718.2</v>
      </c>
      <c r="P1150" s="49">
        <f t="shared" si="159"/>
        <v>806.40000000000009</v>
      </c>
      <c r="Q1150" s="49">
        <f t="shared" si="159"/>
        <v>478.8</v>
      </c>
      <c r="R1150" s="49">
        <f t="shared" si="156"/>
        <v>2003.4</v>
      </c>
    </row>
    <row r="1151" spans="3:21" ht="13.5" customHeight="1" x14ac:dyDescent="0.15">
      <c r="C1151" s="103"/>
      <c r="D1151" s="181"/>
      <c r="E1151" s="46"/>
      <c r="F1151" s="50" t="s">
        <v>64</v>
      </c>
      <c r="G1151" s="48" t="s">
        <v>65</v>
      </c>
      <c r="H1151" s="49"/>
      <c r="I1151" s="49"/>
      <c r="J1151" s="49"/>
      <c r="K1151" s="49"/>
      <c r="L1151" s="49"/>
      <c r="M1151" s="49"/>
      <c r="N1151" s="49"/>
      <c r="O1151" s="49">
        <f t="shared" si="159"/>
        <v>725.55000000000007</v>
      </c>
      <c r="P1151" s="49">
        <f t="shared" si="159"/>
        <v>1088.8500000000001</v>
      </c>
      <c r="Q1151" s="49">
        <f t="shared" si="159"/>
        <v>777</v>
      </c>
      <c r="R1151" s="49">
        <f t="shared" si="156"/>
        <v>2591.4</v>
      </c>
    </row>
    <row r="1152" spans="3:21" ht="13.5" customHeight="1" x14ac:dyDescent="0.15">
      <c r="C1152" s="103"/>
      <c r="D1152" s="181"/>
      <c r="E1152" s="46"/>
      <c r="F1152" s="50" t="s">
        <v>66</v>
      </c>
      <c r="G1152" s="48" t="s">
        <v>67</v>
      </c>
      <c r="H1152" s="49"/>
      <c r="I1152" s="49"/>
      <c r="J1152" s="49"/>
      <c r="K1152" s="49"/>
      <c r="L1152" s="49"/>
      <c r="M1152" s="49"/>
      <c r="N1152" s="49"/>
      <c r="O1152" s="49">
        <f t="shared" si="159"/>
        <v>1591.8</v>
      </c>
      <c r="P1152" s="49">
        <f t="shared" si="159"/>
        <v>2222.85</v>
      </c>
      <c r="Q1152" s="49">
        <f t="shared" si="159"/>
        <v>1482.6000000000001</v>
      </c>
      <c r="R1152" s="49">
        <f t="shared" si="156"/>
        <v>5297.25</v>
      </c>
    </row>
    <row r="1153" spans="3:18" ht="13.5" customHeight="1" x14ac:dyDescent="0.15">
      <c r="C1153" s="103"/>
      <c r="D1153" s="181"/>
      <c r="E1153" s="46"/>
      <c r="F1153" s="51" t="s">
        <v>68</v>
      </c>
      <c r="G1153" s="48" t="s">
        <v>69</v>
      </c>
      <c r="H1153" s="49"/>
      <c r="I1153" s="49"/>
      <c r="J1153" s="49"/>
      <c r="K1153" s="49"/>
      <c r="L1153" s="49"/>
      <c r="M1153" s="49"/>
      <c r="N1153" s="49"/>
      <c r="O1153" s="49">
        <f t="shared" si="159"/>
        <v>521.85</v>
      </c>
      <c r="P1153" s="49">
        <f t="shared" si="159"/>
        <v>858.90000000000009</v>
      </c>
      <c r="Q1153" s="49">
        <f t="shared" si="159"/>
        <v>535.5</v>
      </c>
      <c r="R1153" s="49">
        <f t="shared" si="156"/>
        <v>1916.25</v>
      </c>
    </row>
    <row r="1154" spans="3:18" ht="13.5" customHeight="1" x14ac:dyDescent="0.15">
      <c r="C1154" s="103"/>
      <c r="D1154" s="181"/>
      <c r="E1154" s="46"/>
      <c r="F1154" s="51" t="s">
        <v>70</v>
      </c>
      <c r="G1154" s="48" t="s">
        <v>71</v>
      </c>
      <c r="H1154" s="49"/>
      <c r="I1154" s="49"/>
      <c r="J1154" s="49"/>
      <c r="K1154" s="49"/>
      <c r="L1154" s="49"/>
      <c r="M1154" s="49"/>
      <c r="N1154" s="49"/>
      <c r="O1154" s="49">
        <f t="shared" si="159"/>
        <v>606.9</v>
      </c>
      <c r="P1154" s="49">
        <f t="shared" si="159"/>
        <v>910.35</v>
      </c>
      <c r="Q1154" s="49">
        <f t="shared" si="159"/>
        <v>507.15000000000003</v>
      </c>
      <c r="R1154" s="49">
        <f t="shared" si="156"/>
        <v>2024.4</v>
      </c>
    </row>
    <row r="1155" spans="3:18" x14ac:dyDescent="0.15">
      <c r="C1155" s="103"/>
      <c r="D1155" s="181"/>
      <c r="E1155" s="46"/>
      <c r="F1155" s="47" t="s">
        <v>72</v>
      </c>
      <c r="G1155" s="48" t="s">
        <v>73</v>
      </c>
      <c r="H1155" s="49"/>
      <c r="I1155" s="49"/>
      <c r="J1155" s="49"/>
      <c r="K1155" s="49"/>
      <c r="L1155" s="49"/>
      <c r="M1155" s="49"/>
      <c r="N1155" s="49"/>
      <c r="O1155" s="49">
        <f t="shared" si="159"/>
        <v>0</v>
      </c>
      <c r="P1155" s="49">
        <f t="shared" si="159"/>
        <v>0</v>
      </c>
      <c r="Q1155" s="49">
        <f t="shared" si="159"/>
        <v>0</v>
      </c>
      <c r="R1155" s="49">
        <f t="shared" si="156"/>
        <v>0</v>
      </c>
    </row>
    <row r="1156" spans="3:18" x14ac:dyDescent="0.15">
      <c r="C1156" s="103"/>
      <c r="D1156" s="181"/>
      <c r="E1156" s="46"/>
      <c r="F1156" s="47" t="s">
        <v>74</v>
      </c>
      <c r="G1156" s="48" t="s">
        <v>73</v>
      </c>
      <c r="H1156" s="49"/>
      <c r="I1156" s="49"/>
      <c r="J1156" s="49"/>
      <c r="K1156" s="49"/>
      <c r="L1156" s="49"/>
      <c r="M1156" s="49"/>
      <c r="N1156" s="49"/>
      <c r="O1156" s="49">
        <f t="shared" si="159"/>
        <v>315</v>
      </c>
      <c r="P1156" s="49">
        <f t="shared" si="159"/>
        <v>378</v>
      </c>
      <c r="Q1156" s="49">
        <f t="shared" si="159"/>
        <v>289.8</v>
      </c>
      <c r="R1156" s="49">
        <f t="shared" si="156"/>
        <v>982.8</v>
      </c>
    </row>
    <row r="1157" spans="3:18" x14ac:dyDescent="0.15">
      <c r="C1157" s="103"/>
      <c r="D1157" s="181"/>
      <c r="E1157" s="46"/>
      <c r="F1157" s="47" t="s">
        <v>76</v>
      </c>
      <c r="G1157" s="48" t="s">
        <v>73</v>
      </c>
      <c r="H1157" s="49"/>
      <c r="I1157" s="49"/>
      <c r="J1157" s="49"/>
      <c r="K1157" s="49"/>
      <c r="L1157" s="49"/>
      <c r="M1157" s="49"/>
      <c r="N1157" s="49"/>
      <c r="O1157" s="49">
        <f t="shared" si="159"/>
        <v>247.8</v>
      </c>
      <c r="P1157" s="49">
        <f t="shared" si="159"/>
        <v>386.40000000000003</v>
      </c>
      <c r="Q1157" s="49">
        <f t="shared" si="159"/>
        <v>244.65</v>
      </c>
      <c r="R1157" s="49">
        <f t="shared" si="156"/>
        <v>878.85</v>
      </c>
    </row>
    <row r="1158" spans="3:18" ht="14.25" thickBot="1" x14ac:dyDescent="0.2">
      <c r="C1158" s="103"/>
      <c r="D1158" s="184"/>
      <c r="E1158" s="61"/>
      <c r="F1158" s="62" t="s">
        <v>77</v>
      </c>
      <c r="G1158" s="63" t="s">
        <v>73</v>
      </c>
      <c r="H1158" s="64"/>
      <c r="I1158" s="64"/>
      <c r="J1158" s="64"/>
      <c r="K1158" s="64"/>
      <c r="L1158" s="64"/>
      <c r="M1158" s="64"/>
      <c r="N1158" s="64"/>
      <c r="O1158" s="64">
        <f t="shared" ref="O1158:Q1158" si="160">(O991-O935)*1.05</f>
        <v>75.600000000000009</v>
      </c>
      <c r="P1158" s="64">
        <f t="shared" si="160"/>
        <v>93.45</v>
      </c>
      <c r="Q1158" s="64">
        <f t="shared" si="160"/>
        <v>59.85</v>
      </c>
      <c r="R1158" s="64">
        <f t="shared" si="156"/>
        <v>228.9</v>
      </c>
    </row>
    <row r="1159" spans="3:18" ht="13.5" customHeight="1" x14ac:dyDescent="0.15">
      <c r="C1159" s="103"/>
      <c r="D1159" s="185" t="s">
        <v>96</v>
      </c>
      <c r="E1159" s="65"/>
      <c r="F1159" s="66" t="s">
        <v>79</v>
      </c>
      <c r="G1159" s="67" t="s">
        <v>45</v>
      </c>
      <c r="H1159" s="68">
        <f>H992*1.05</f>
        <v>0</v>
      </c>
      <c r="I1159" s="68">
        <f t="shared" ref="I1159:N1159" si="161">I992*1.05</f>
        <v>0</v>
      </c>
      <c r="J1159" s="68">
        <f t="shared" si="161"/>
        <v>50.400000000000006</v>
      </c>
      <c r="K1159" s="68">
        <f t="shared" si="161"/>
        <v>63</v>
      </c>
      <c r="L1159" s="68">
        <f t="shared" si="161"/>
        <v>75.600000000000009</v>
      </c>
      <c r="M1159" s="68">
        <f t="shared" si="161"/>
        <v>63</v>
      </c>
      <c r="N1159" s="68">
        <f t="shared" si="161"/>
        <v>0</v>
      </c>
      <c r="O1159" s="68"/>
      <c r="P1159" s="68"/>
      <c r="Q1159" s="68"/>
      <c r="R1159" s="68">
        <f t="shared" si="156"/>
        <v>252</v>
      </c>
    </row>
    <row r="1160" spans="3:18" ht="13.5" customHeight="1" x14ac:dyDescent="0.15">
      <c r="C1160" s="103"/>
      <c r="D1160" s="181"/>
      <c r="E1160" s="46"/>
      <c r="F1160" s="50" t="s">
        <v>80</v>
      </c>
      <c r="G1160" s="48" t="s">
        <v>47</v>
      </c>
      <c r="H1160" s="49">
        <f t="shared" ref="H1160:N1175" si="162">H993*1.05</f>
        <v>0</v>
      </c>
      <c r="I1160" s="49">
        <f t="shared" si="162"/>
        <v>0</v>
      </c>
      <c r="J1160" s="49">
        <f t="shared" si="162"/>
        <v>50.400000000000006</v>
      </c>
      <c r="K1160" s="49">
        <f t="shared" si="162"/>
        <v>100.80000000000001</v>
      </c>
      <c r="L1160" s="49">
        <f t="shared" si="162"/>
        <v>151.20000000000002</v>
      </c>
      <c r="M1160" s="49">
        <f t="shared" si="162"/>
        <v>75.600000000000009</v>
      </c>
      <c r="N1160" s="49">
        <f t="shared" si="162"/>
        <v>0</v>
      </c>
      <c r="O1160" s="49"/>
      <c r="P1160" s="49"/>
      <c r="Q1160" s="49"/>
      <c r="R1160" s="49">
        <f t="shared" si="156"/>
        <v>378.00000000000006</v>
      </c>
    </row>
    <row r="1161" spans="3:18" ht="13.5" customHeight="1" x14ac:dyDescent="0.15">
      <c r="C1161" s="103"/>
      <c r="D1161" s="181"/>
      <c r="E1161" s="46"/>
      <c r="F1161" s="50" t="s">
        <v>48</v>
      </c>
      <c r="G1161" s="48" t="s">
        <v>49</v>
      </c>
      <c r="H1161" s="49">
        <f t="shared" si="162"/>
        <v>0</v>
      </c>
      <c r="I1161" s="49">
        <f t="shared" si="162"/>
        <v>0</v>
      </c>
      <c r="J1161" s="49">
        <f t="shared" si="162"/>
        <v>555.45000000000005</v>
      </c>
      <c r="K1161" s="49">
        <f t="shared" si="162"/>
        <v>978.6</v>
      </c>
      <c r="L1161" s="49">
        <f t="shared" si="162"/>
        <v>1014.3000000000001</v>
      </c>
      <c r="M1161" s="49">
        <f t="shared" si="162"/>
        <v>265.65000000000003</v>
      </c>
      <c r="N1161" s="49">
        <f t="shared" si="162"/>
        <v>0</v>
      </c>
      <c r="O1161" s="49"/>
      <c r="P1161" s="49"/>
      <c r="Q1161" s="49"/>
      <c r="R1161" s="49">
        <f t="shared" si="156"/>
        <v>2814.0000000000005</v>
      </c>
    </row>
    <row r="1162" spans="3:18" ht="13.5" customHeight="1" x14ac:dyDescent="0.15">
      <c r="C1162" s="103"/>
      <c r="D1162" s="181"/>
      <c r="E1162" s="46"/>
      <c r="F1162" s="50" t="s">
        <v>50</v>
      </c>
      <c r="G1162" s="48" t="s">
        <v>51</v>
      </c>
      <c r="H1162" s="49">
        <f t="shared" si="162"/>
        <v>0</v>
      </c>
      <c r="I1162" s="49">
        <f t="shared" si="162"/>
        <v>0</v>
      </c>
      <c r="J1162" s="49">
        <f t="shared" si="162"/>
        <v>173.25</v>
      </c>
      <c r="K1162" s="49">
        <f t="shared" si="162"/>
        <v>365.40000000000003</v>
      </c>
      <c r="L1162" s="49">
        <f t="shared" si="162"/>
        <v>554.4</v>
      </c>
      <c r="M1162" s="49">
        <f t="shared" si="162"/>
        <v>317.10000000000002</v>
      </c>
      <c r="N1162" s="49">
        <f t="shared" si="162"/>
        <v>0</v>
      </c>
      <c r="O1162" s="49"/>
      <c r="P1162" s="49"/>
      <c r="Q1162" s="49"/>
      <c r="R1162" s="49">
        <f t="shared" si="156"/>
        <v>1410.15</v>
      </c>
    </row>
    <row r="1163" spans="3:18" ht="13.5" customHeight="1" x14ac:dyDescent="0.15">
      <c r="C1163" s="103"/>
      <c r="D1163" s="181"/>
      <c r="E1163" s="46"/>
      <c r="F1163" s="50" t="s">
        <v>52</v>
      </c>
      <c r="G1163" s="48" t="s">
        <v>53</v>
      </c>
      <c r="H1163" s="49">
        <f t="shared" si="162"/>
        <v>0</v>
      </c>
      <c r="I1163" s="49">
        <f t="shared" si="162"/>
        <v>0</v>
      </c>
      <c r="J1163" s="49">
        <f t="shared" si="162"/>
        <v>138.6</v>
      </c>
      <c r="K1163" s="49">
        <f t="shared" si="162"/>
        <v>189</v>
      </c>
      <c r="L1163" s="49">
        <f t="shared" si="162"/>
        <v>126</v>
      </c>
      <c r="M1163" s="49">
        <f t="shared" si="162"/>
        <v>37.800000000000004</v>
      </c>
      <c r="N1163" s="49">
        <f t="shared" si="162"/>
        <v>0</v>
      </c>
      <c r="O1163" s="49"/>
      <c r="P1163" s="49"/>
      <c r="Q1163" s="49"/>
      <c r="R1163" s="49">
        <f t="shared" si="156"/>
        <v>491.40000000000003</v>
      </c>
    </row>
    <row r="1164" spans="3:18" ht="13.5" customHeight="1" x14ac:dyDescent="0.15">
      <c r="C1164" s="103"/>
      <c r="D1164" s="181"/>
      <c r="E1164" s="46"/>
      <c r="F1164" s="50" t="s">
        <v>54</v>
      </c>
      <c r="G1164" s="48" t="s">
        <v>55</v>
      </c>
      <c r="H1164" s="49">
        <f t="shared" si="162"/>
        <v>0</v>
      </c>
      <c r="I1164" s="49">
        <f t="shared" si="162"/>
        <v>0</v>
      </c>
      <c r="J1164" s="49">
        <f t="shared" si="162"/>
        <v>384.3</v>
      </c>
      <c r="K1164" s="49">
        <f t="shared" si="162"/>
        <v>638.4</v>
      </c>
      <c r="L1164" s="49">
        <f t="shared" si="162"/>
        <v>707.7</v>
      </c>
      <c r="M1164" s="49">
        <f t="shared" si="162"/>
        <v>333.90000000000003</v>
      </c>
      <c r="N1164" s="49">
        <f t="shared" si="162"/>
        <v>0</v>
      </c>
      <c r="O1164" s="49"/>
      <c r="P1164" s="49"/>
      <c r="Q1164" s="49"/>
      <c r="R1164" s="49">
        <f t="shared" si="156"/>
        <v>2064.3000000000002</v>
      </c>
    </row>
    <row r="1165" spans="3:18" ht="13.5" customHeight="1" x14ac:dyDescent="0.15">
      <c r="C1165" s="103"/>
      <c r="D1165" s="181"/>
      <c r="E1165" s="46"/>
      <c r="F1165" s="50" t="s">
        <v>56</v>
      </c>
      <c r="G1165" s="48" t="s">
        <v>57</v>
      </c>
      <c r="H1165" s="49">
        <f t="shared" si="162"/>
        <v>0</v>
      </c>
      <c r="I1165" s="49">
        <f t="shared" si="162"/>
        <v>0</v>
      </c>
      <c r="J1165" s="49">
        <f t="shared" si="162"/>
        <v>80.850000000000009</v>
      </c>
      <c r="K1165" s="49">
        <f t="shared" si="162"/>
        <v>201.60000000000002</v>
      </c>
      <c r="L1165" s="49">
        <f t="shared" si="162"/>
        <v>459.90000000000003</v>
      </c>
      <c r="M1165" s="49">
        <f t="shared" si="162"/>
        <v>228.9</v>
      </c>
      <c r="N1165" s="49">
        <f t="shared" si="162"/>
        <v>0</v>
      </c>
      <c r="O1165" s="49"/>
      <c r="P1165" s="49"/>
      <c r="Q1165" s="49"/>
      <c r="R1165" s="49">
        <f t="shared" si="156"/>
        <v>971.25000000000011</v>
      </c>
    </row>
    <row r="1166" spans="3:18" ht="13.5" customHeight="1" x14ac:dyDescent="0.15">
      <c r="C1166" s="103"/>
      <c r="D1166" s="181"/>
      <c r="E1166" s="46"/>
      <c r="F1166" s="51" t="s">
        <v>58</v>
      </c>
      <c r="G1166" s="48" t="s">
        <v>59</v>
      </c>
      <c r="H1166" s="49">
        <f t="shared" si="162"/>
        <v>0</v>
      </c>
      <c r="I1166" s="49">
        <f t="shared" si="162"/>
        <v>0</v>
      </c>
      <c r="J1166" s="49">
        <f t="shared" si="162"/>
        <v>341.25</v>
      </c>
      <c r="K1166" s="49">
        <f t="shared" si="162"/>
        <v>567</v>
      </c>
      <c r="L1166" s="49">
        <f t="shared" si="162"/>
        <v>631.05000000000007</v>
      </c>
      <c r="M1166" s="49">
        <f t="shared" si="162"/>
        <v>299.25</v>
      </c>
      <c r="N1166" s="49">
        <f t="shared" si="162"/>
        <v>0</v>
      </c>
      <c r="O1166" s="49"/>
      <c r="P1166" s="49"/>
      <c r="Q1166" s="49"/>
      <c r="R1166" s="49">
        <f t="shared" si="156"/>
        <v>1838.5500000000002</v>
      </c>
    </row>
    <row r="1167" spans="3:18" ht="13.5" customHeight="1" x14ac:dyDescent="0.15">
      <c r="C1167" s="103"/>
      <c r="D1167" s="181"/>
      <c r="E1167" s="46"/>
      <c r="F1167" s="52" t="s">
        <v>60</v>
      </c>
      <c r="G1167" s="48" t="s">
        <v>61</v>
      </c>
      <c r="H1167" s="49">
        <f t="shared" si="162"/>
        <v>0</v>
      </c>
      <c r="I1167" s="49">
        <f t="shared" si="162"/>
        <v>0</v>
      </c>
      <c r="J1167" s="49">
        <f t="shared" si="162"/>
        <v>37.800000000000004</v>
      </c>
      <c r="K1167" s="49">
        <f t="shared" si="162"/>
        <v>75.600000000000009</v>
      </c>
      <c r="L1167" s="49">
        <f t="shared" si="162"/>
        <v>126</v>
      </c>
      <c r="M1167" s="49">
        <f t="shared" si="162"/>
        <v>63</v>
      </c>
      <c r="N1167" s="49">
        <f t="shared" si="162"/>
        <v>0</v>
      </c>
      <c r="O1167" s="49"/>
      <c r="P1167" s="49"/>
      <c r="Q1167" s="49"/>
      <c r="R1167" s="49">
        <f t="shared" si="156"/>
        <v>302.39999999999998</v>
      </c>
    </row>
    <row r="1168" spans="3:18" ht="13.5" customHeight="1" x14ac:dyDescent="0.15">
      <c r="C1168" s="103"/>
      <c r="D1168" s="181"/>
      <c r="E1168" s="46"/>
      <c r="F1168" s="51" t="s">
        <v>62</v>
      </c>
      <c r="G1168" s="48" t="s">
        <v>63</v>
      </c>
      <c r="H1168" s="49">
        <f t="shared" si="162"/>
        <v>0</v>
      </c>
      <c r="I1168" s="49">
        <f t="shared" si="162"/>
        <v>0</v>
      </c>
      <c r="J1168" s="49">
        <f t="shared" si="162"/>
        <v>126</v>
      </c>
      <c r="K1168" s="49">
        <f t="shared" si="162"/>
        <v>315</v>
      </c>
      <c r="L1168" s="49">
        <f t="shared" si="162"/>
        <v>214.20000000000002</v>
      </c>
      <c r="M1168" s="49">
        <f t="shared" si="162"/>
        <v>189</v>
      </c>
      <c r="N1168" s="49">
        <f t="shared" si="162"/>
        <v>0</v>
      </c>
      <c r="O1168" s="49"/>
      <c r="P1168" s="49"/>
      <c r="Q1168" s="49"/>
      <c r="R1168" s="49">
        <f t="shared" si="156"/>
        <v>844.2</v>
      </c>
    </row>
    <row r="1169" spans="3:22" ht="13.5" customHeight="1" x14ac:dyDescent="0.15">
      <c r="C1169" s="103"/>
      <c r="D1169" s="181"/>
      <c r="E1169" s="46"/>
      <c r="F1169" s="50" t="s">
        <v>64</v>
      </c>
      <c r="G1169" s="48" t="s">
        <v>65</v>
      </c>
      <c r="H1169" s="49">
        <f t="shared" si="162"/>
        <v>0</v>
      </c>
      <c r="I1169" s="49">
        <f t="shared" si="162"/>
        <v>0</v>
      </c>
      <c r="J1169" s="49">
        <f t="shared" si="162"/>
        <v>229.95000000000002</v>
      </c>
      <c r="K1169" s="49">
        <f t="shared" si="162"/>
        <v>578.55000000000007</v>
      </c>
      <c r="L1169" s="49">
        <f t="shared" si="162"/>
        <v>393.75</v>
      </c>
      <c r="M1169" s="49">
        <f t="shared" si="162"/>
        <v>215.25</v>
      </c>
      <c r="N1169" s="49">
        <f t="shared" si="162"/>
        <v>0</v>
      </c>
      <c r="O1169" s="49"/>
      <c r="P1169" s="49"/>
      <c r="Q1169" s="49"/>
      <c r="R1169" s="49">
        <f t="shared" si="156"/>
        <v>1417.5</v>
      </c>
    </row>
    <row r="1170" spans="3:22" ht="13.5" customHeight="1" x14ac:dyDescent="0.15">
      <c r="C1170" s="103"/>
      <c r="D1170" s="181"/>
      <c r="E1170" s="46"/>
      <c r="F1170" s="50" t="s">
        <v>66</v>
      </c>
      <c r="G1170" s="48" t="s">
        <v>67</v>
      </c>
      <c r="H1170" s="49">
        <f t="shared" si="162"/>
        <v>0</v>
      </c>
      <c r="I1170" s="49">
        <f t="shared" si="162"/>
        <v>0</v>
      </c>
      <c r="J1170" s="49">
        <f t="shared" si="162"/>
        <v>359.1</v>
      </c>
      <c r="K1170" s="49">
        <f t="shared" si="162"/>
        <v>765.45</v>
      </c>
      <c r="L1170" s="49">
        <f t="shared" si="162"/>
        <v>972.30000000000007</v>
      </c>
      <c r="M1170" s="49">
        <f t="shared" si="162"/>
        <v>458.85</v>
      </c>
      <c r="N1170" s="49">
        <f t="shared" si="162"/>
        <v>0</v>
      </c>
      <c r="O1170" s="49"/>
      <c r="P1170" s="49"/>
      <c r="Q1170" s="49"/>
      <c r="R1170" s="49">
        <f t="shared" si="156"/>
        <v>2555.7000000000003</v>
      </c>
    </row>
    <row r="1171" spans="3:22" x14ac:dyDescent="0.15">
      <c r="C1171" s="103"/>
      <c r="D1171" s="181"/>
      <c r="E1171" s="46"/>
      <c r="F1171" s="51" t="s">
        <v>68</v>
      </c>
      <c r="G1171" s="48" t="s">
        <v>69</v>
      </c>
      <c r="H1171" s="49">
        <f t="shared" si="162"/>
        <v>0</v>
      </c>
      <c r="I1171" s="49">
        <f t="shared" si="162"/>
        <v>0</v>
      </c>
      <c r="J1171" s="49">
        <f t="shared" si="162"/>
        <v>133.35</v>
      </c>
      <c r="K1171" s="49">
        <f t="shared" si="162"/>
        <v>284.55</v>
      </c>
      <c r="L1171" s="49">
        <f t="shared" si="162"/>
        <v>392.7</v>
      </c>
      <c r="M1171" s="49">
        <f t="shared" si="162"/>
        <v>267.75</v>
      </c>
      <c r="N1171" s="49">
        <f t="shared" si="162"/>
        <v>0</v>
      </c>
      <c r="O1171" s="49"/>
      <c r="P1171" s="49"/>
      <c r="Q1171" s="49"/>
      <c r="R1171" s="49">
        <f t="shared" si="156"/>
        <v>1078.3499999999999</v>
      </c>
    </row>
    <row r="1172" spans="3:22" ht="13.5" customHeight="1" x14ac:dyDescent="0.15">
      <c r="C1172" s="103"/>
      <c r="D1172" s="181"/>
      <c r="E1172" s="46"/>
      <c r="F1172" s="51" t="s">
        <v>70</v>
      </c>
      <c r="G1172" s="48" t="s">
        <v>71</v>
      </c>
      <c r="H1172" s="49">
        <f t="shared" si="162"/>
        <v>0</v>
      </c>
      <c r="I1172" s="49">
        <f t="shared" si="162"/>
        <v>0</v>
      </c>
      <c r="J1172" s="49">
        <f t="shared" si="162"/>
        <v>171.15</v>
      </c>
      <c r="K1172" s="49">
        <f t="shared" si="162"/>
        <v>197.4</v>
      </c>
      <c r="L1172" s="49">
        <f t="shared" si="162"/>
        <v>283.5</v>
      </c>
      <c r="M1172" s="49">
        <f t="shared" si="162"/>
        <v>206.85000000000002</v>
      </c>
      <c r="N1172" s="49">
        <f t="shared" si="162"/>
        <v>0</v>
      </c>
      <c r="O1172" s="49"/>
      <c r="P1172" s="49"/>
      <c r="Q1172" s="49"/>
      <c r="R1172" s="49">
        <f t="shared" si="156"/>
        <v>858.9</v>
      </c>
    </row>
    <row r="1173" spans="3:22" x14ac:dyDescent="0.15">
      <c r="C1173" s="103"/>
      <c r="D1173" s="181"/>
      <c r="E1173" s="46"/>
      <c r="F1173" s="47" t="s">
        <v>72</v>
      </c>
      <c r="G1173" s="48" t="s">
        <v>73</v>
      </c>
      <c r="H1173" s="49">
        <f t="shared" si="162"/>
        <v>0</v>
      </c>
      <c r="I1173" s="49">
        <f t="shared" si="162"/>
        <v>0</v>
      </c>
      <c r="J1173" s="49">
        <f t="shared" si="162"/>
        <v>0</v>
      </c>
      <c r="K1173" s="49">
        <f t="shared" si="162"/>
        <v>0</v>
      </c>
      <c r="L1173" s="49">
        <f t="shared" si="162"/>
        <v>0</v>
      </c>
      <c r="M1173" s="49">
        <f t="shared" si="162"/>
        <v>0</v>
      </c>
      <c r="N1173" s="49">
        <f t="shared" si="162"/>
        <v>0</v>
      </c>
      <c r="O1173" s="49"/>
      <c r="P1173" s="49"/>
      <c r="Q1173" s="49"/>
      <c r="R1173" s="49">
        <f t="shared" ref="R1173:R1174" si="163">SUM(H1173:Q1173)</f>
        <v>0</v>
      </c>
      <c r="T1173" s="69">
        <f>SUM(G1122:Q1355)</f>
        <v>400126.6500000002</v>
      </c>
    </row>
    <row r="1174" spans="3:22" x14ac:dyDescent="0.15">
      <c r="C1174" s="103"/>
      <c r="D1174" s="181"/>
      <c r="E1174" s="46"/>
      <c r="F1174" s="47" t="s">
        <v>74</v>
      </c>
      <c r="G1174" s="48" t="s">
        <v>73</v>
      </c>
      <c r="H1174" s="49">
        <f t="shared" si="162"/>
        <v>0</v>
      </c>
      <c r="I1174" s="49">
        <f t="shared" si="162"/>
        <v>0</v>
      </c>
      <c r="J1174" s="49">
        <f t="shared" si="162"/>
        <v>63</v>
      </c>
      <c r="K1174" s="49">
        <f t="shared" si="162"/>
        <v>201.60000000000002</v>
      </c>
      <c r="L1174" s="49">
        <f t="shared" si="162"/>
        <v>163.80000000000001</v>
      </c>
      <c r="M1174" s="49">
        <f t="shared" si="162"/>
        <v>75.600000000000009</v>
      </c>
      <c r="N1174" s="49">
        <f t="shared" si="162"/>
        <v>0</v>
      </c>
      <c r="O1174" s="49"/>
      <c r="P1174" s="49"/>
      <c r="Q1174" s="49"/>
      <c r="R1174" s="49">
        <f t="shared" si="163"/>
        <v>504.00000000000006</v>
      </c>
      <c r="T1174" s="69">
        <f>SUM(G1122:Q1355)</f>
        <v>400126.6500000002</v>
      </c>
    </row>
    <row r="1175" spans="3:22" x14ac:dyDescent="0.15">
      <c r="C1175" s="103"/>
      <c r="D1175" s="181"/>
      <c r="E1175" s="46"/>
      <c r="F1175" s="47" t="s">
        <v>76</v>
      </c>
      <c r="G1175" s="48"/>
      <c r="H1175" s="49">
        <f t="shared" si="162"/>
        <v>0</v>
      </c>
      <c r="I1175" s="49">
        <f t="shared" si="162"/>
        <v>0</v>
      </c>
      <c r="J1175" s="49">
        <f t="shared" si="162"/>
        <v>73.5</v>
      </c>
      <c r="K1175" s="49">
        <f t="shared" si="162"/>
        <v>121.80000000000001</v>
      </c>
      <c r="L1175" s="49">
        <f t="shared" si="162"/>
        <v>181.65</v>
      </c>
      <c r="M1175" s="49">
        <f t="shared" si="162"/>
        <v>133.35</v>
      </c>
      <c r="N1175" s="49">
        <f t="shared" si="162"/>
        <v>0</v>
      </c>
      <c r="O1175" s="49"/>
      <c r="P1175" s="49"/>
      <c r="Q1175" s="49"/>
      <c r="R1175" s="49"/>
      <c r="T1175" s="69"/>
    </row>
    <row r="1176" spans="3:22" x14ac:dyDescent="0.15">
      <c r="C1176" s="103"/>
      <c r="D1176" s="181"/>
      <c r="E1176" s="46"/>
      <c r="F1176" s="47" t="s">
        <v>77</v>
      </c>
      <c r="G1176" s="48" t="s">
        <v>73</v>
      </c>
      <c r="H1176" s="49">
        <f t="shared" ref="H1176:N1176" si="164">H1009*1.05</f>
        <v>0</v>
      </c>
      <c r="I1176" s="49">
        <f t="shared" si="164"/>
        <v>0</v>
      </c>
      <c r="J1176" s="49">
        <f t="shared" si="164"/>
        <v>0</v>
      </c>
      <c r="K1176" s="49">
        <f t="shared" si="164"/>
        <v>0</v>
      </c>
      <c r="L1176" s="49">
        <f t="shared" si="164"/>
        <v>0</v>
      </c>
      <c r="M1176" s="49">
        <f t="shared" si="164"/>
        <v>0</v>
      </c>
      <c r="N1176" s="49">
        <f t="shared" si="164"/>
        <v>0</v>
      </c>
      <c r="O1176" s="49"/>
      <c r="P1176" s="49"/>
      <c r="Q1176" s="49"/>
      <c r="R1176" s="49">
        <f t="shared" si="156"/>
        <v>0</v>
      </c>
      <c r="T1176" s="69">
        <f>SUM(G1123:Q1356)</f>
        <v>400126.6500000002</v>
      </c>
    </row>
    <row r="1177" spans="3:22" ht="14.25" thickBot="1" x14ac:dyDescent="0.2">
      <c r="C1177" s="103"/>
      <c r="D1177" s="104"/>
      <c r="E1177" s="104"/>
      <c r="F1177" s="105" t="s">
        <v>101</v>
      </c>
      <c r="G1177" s="106"/>
      <c r="H1177" s="107">
        <f t="shared" ref="H1177:R1177" si="165">SUM(H1123:H1176)</f>
        <v>5127.1500000000005</v>
      </c>
      <c r="I1177" s="107">
        <f t="shared" si="165"/>
        <v>14555.099999999999</v>
      </c>
      <c r="J1177" s="107">
        <f t="shared" si="165"/>
        <v>23832.899999999998</v>
      </c>
      <c r="K1177" s="107">
        <f t="shared" si="165"/>
        <v>27423.899999999998</v>
      </c>
      <c r="L1177" s="107">
        <f t="shared" si="165"/>
        <v>32711.700000000004</v>
      </c>
      <c r="M1177" s="107">
        <f t="shared" si="165"/>
        <v>21240.449999999993</v>
      </c>
      <c r="N1177" s="107">
        <f t="shared" si="165"/>
        <v>5733.0000000000009</v>
      </c>
      <c r="O1177" s="107">
        <f t="shared" si="165"/>
        <v>11261.25</v>
      </c>
      <c r="P1177" s="107">
        <f t="shared" si="165"/>
        <v>15360.45</v>
      </c>
      <c r="Q1177" s="107">
        <f t="shared" si="165"/>
        <v>9374.4</v>
      </c>
      <c r="R1177" s="107">
        <f t="shared" si="165"/>
        <v>166109.99999999994</v>
      </c>
    </row>
    <row r="1178" spans="3:22" x14ac:dyDescent="0.15">
      <c r="C1178" s="190" t="s">
        <v>102</v>
      </c>
      <c r="D1178" s="190"/>
      <c r="E1178" s="191"/>
      <c r="F1178" s="108"/>
      <c r="G1178" s="108"/>
      <c r="H1178" s="108"/>
      <c r="I1178" s="108"/>
      <c r="J1178" s="108"/>
      <c r="K1178" s="108"/>
      <c r="L1178" s="108"/>
      <c r="M1178" s="108"/>
      <c r="N1178" s="108"/>
      <c r="O1178" s="108"/>
      <c r="P1178" s="108"/>
      <c r="Q1178" s="108"/>
      <c r="R1178" s="108"/>
      <c r="V1178" s="75"/>
    </row>
    <row r="1179" spans="3:22" ht="13.5" customHeight="1" x14ac:dyDescent="0.15">
      <c r="C1179" s="192"/>
      <c r="D1179" s="181" t="s">
        <v>89</v>
      </c>
      <c r="E1179" s="46"/>
      <c r="F1179" s="47" t="s">
        <v>44</v>
      </c>
      <c r="G1179" s="48" t="s">
        <v>45</v>
      </c>
      <c r="H1179" s="49">
        <f>H937*1.05</f>
        <v>0</v>
      </c>
      <c r="I1179" s="49">
        <f t="shared" ref="I1179:Q1179" si="166">I937*1.05</f>
        <v>0</v>
      </c>
      <c r="J1179" s="49">
        <f t="shared" si="166"/>
        <v>0</v>
      </c>
      <c r="K1179" s="49">
        <f t="shared" si="166"/>
        <v>0</v>
      </c>
      <c r="L1179" s="49">
        <f t="shared" si="166"/>
        <v>0</v>
      </c>
      <c r="M1179" s="49">
        <f t="shared" si="166"/>
        <v>0</v>
      </c>
      <c r="N1179" s="49">
        <f t="shared" si="166"/>
        <v>0</v>
      </c>
      <c r="O1179" s="49">
        <f t="shared" si="166"/>
        <v>0</v>
      </c>
      <c r="P1179" s="49">
        <f t="shared" si="166"/>
        <v>0</v>
      </c>
      <c r="Q1179" s="49">
        <f t="shared" si="166"/>
        <v>0</v>
      </c>
      <c r="R1179" s="49">
        <f t="shared" ref="R1179:R1190" si="167">SUM(H1179:Q1179)</f>
        <v>0</v>
      </c>
      <c r="T1179" s="10">
        <f>SUM(H1179:Q1299)</f>
        <v>66886.049999999988</v>
      </c>
    </row>
    <row r="1180" spans="3:22" ht="13.5" customHeight="1" x14ac:dyDescent="0.15">
      <c r="C1180" s="193"/>
      <c r="D1180" s="181"/>
      <c r="E1180" s="46"/>
      <c r="F1180" s="50" t="s">
        <v>46</v>
      </c>
      <c r="G1180" s="48" t="s">
        <v>47</v>
      </c>
      <c r="H1180" s="49">
        <f t="shared" ref="H1180:Q1195" si="168">H938*1.05</f>
        <v>0</v>
      </c>
      <c r="I1180" s="49">
        <f t="shared" si="168"/>
        <v>37.800000000000004</v>
      </c>
      <c r="J1180" s="49">
        <f t="shared" si="168"/>
        <v>50.400000000000006</v>
      </c>
      <c r="K1180" s="49">
        <f t="shared" si="168"/>
        <v>63</v>
      </c>
      <c r="L1180" s="49">
        <f t="shared" si="168"/>
        <v>75.600000000000009</v>
      </c>
      <c r="M1180" s="49">
        <f t="shared" si="168"/>
        <v>37.800000000000004</v>
      </c>
      <c r="N1180" s="49">
        <f t="shared" si="168"/>
        <v>0</v>
      </c>
      <c r="O1180" s="49">
        <f t="shared" si="168"/>
        <v>0</v>
      </c>
      <c r="P1180" s="49">
        <f t="shared" si="168"/>
        <v>0</v>
      </c>
      <c r="Q1180" s="49">
        <f t="shared" si="168"/>
        <v>0</v>
      </c>
      <c r="R1180" s="49">
        <f t="shared" si="167"/>
        <v>264.60000000000002</v>
      </c>
      <c r="T1180" s="2" t="s">
        <v>90</v>
      </c>
      <c r="V1180" s="2">
        <v>29</v>
      </c>
    </row>
    <row r="1181" spans="3:22" ht="13.5" customHeight="1" x14ac:dyDescent="0.15">
      <c r="C1181" s="193"/>
      <c r="D1181" s="181"/>
      <c r="E1181" s="46"/>
      <c r="F1181" s="50" t="s">
        <v>48</v>
      </c>
      <c r="G1181" s="48" t="s">
        <v>49</v>
      </c>
      <c r="H1181" s="49">
        <f t="shared" si="168"/>
        <v>0</v>
      </c>
      <c r="I1181" s="49">
        <f t="shared" si="168"/>
        <v>0</v>
      </c>
      <c r="J1181" s="49">
        <f t="shared" si="168"/>
        <v>0</v>
      </c>
      <c r="K1181" s="49">
        <f t="shared" si="168"/>
        <v>0</v>
      </c>
      <c r="L1181" s="49">
        <f t="shared" si="168"/>
        <v>0</v>
      </c>
      <c r="M1181" s="49">
        <f t="shared" si="168"/>
        <v>0</v>
      </c>
      <c r="N1181" s="49">
        <f t="shared" si="168"/>
        <v>0</v>
      </c>
      <c r="O1181" s="49">
        <f t="shared" si="168"/>
        <v>0</v>
      </c>
      <c r="P1181" s="49">
        <f t="shared" si="168"/>
        <v>0</v>
      </c>
      <c r="Q1181" s="49">
        <f t="shared" si="168"/>
        <v>0</v>
      </c>
      <c r="R1181" s="49">
        <f t="shared" si="167"/>
        <v>0</v>
      </c>
      <c r="V1181" s="2">
        <v>29</v>
      </c>
    </row>
    <row r="1182" spans="3:22" ht="13.5" customHeight="1" x14ac:dyDescent="0.15">
      <c r="C1182" s="193"/>
      <c r="D1182" s="181"/>
      <c r="E1182" s="46"/>
      <c r="F1182" s="50" t="s">
        <v>50</v>
      </c>
      <c r="G1182" s="48" t="s">
        <v>51</v>
      </c>
      <c r="H1182" s="49">
        <f t="shared" si="168"/>
        <v>0</v>
      </c>
      <c r="I1182" s="49">
        <f t="shared" si="168"/>
        <v>68.25</v>
      </c>
      <c r="J1182" s="49">
        <f t="shared" si="168"/>
        <v>80.850000000000009</v>
      </c>
      <c r="K1182" s="49">
        <f t="shared" si="168"/>
        <v>123.9</v>
      </c>
      <c r="L1182" s="49">
        <f t="shared" si="168"/>
        <v>136.5</v>
      </c>
      <c r="M1182" s="49">
        <f t="shared" si="168"/>
        <v>68.25</v>
      </c>
      <c r="N1182" s="49">
        <f t="shared" si="168"/>
        <v>0</v>
      </c>
      <c r="O1182" s="49">
        <f t="shared" si="168"/>
        <v>0</v>
      </c>
      <c r="P1182" s="49">
        <f t="shared" si="168"/>
        <v>0</v>
      </c>
      <c r="Q1182" s="49">
        <f t="shared" si="168"/>
        <v>0</v>
      </c>
      <c r="R1182" s="49">
        <f t="shared" si="167"/>
        <v>477.75</v>
      </c>
      <c r="V1182" s="2">
        <v>29</v>
      </c>
    </row>
    <row r="1183" spans="3:22" ht="13.5" customHeight="1" x14ac:dyDescent="0.15">
      <c r="C1183" s="193"/>
      <c r="D1183" s="181"/>
      <c r="E1183" s="46"/>
      <c r="F1183" s="50" t="s">
        <v>52</v>
      </c>
      <c r="G1183" s="48" t="s">
        <v>53</v>
      </c>
      <c r="H1183" s="49">
        <f t="shared" si="168"/>
        <v>0</v>
      </c>
      <c r="I1183" s="49">
        <f t="shared" si="168"/>
        <v>68.25</v>
      </c>
      <c r="J1183" s="49">
        <f t="shared" si="168"/>
        <v>93.45</v>
      </c>
      <c r="K1183" s="49">
        <f t="shared" si="168"/>
        <v>111.30000000000001</v>
      </c>
      <c r="L1183" s="49">
        <f t="shared" si="168"/>
        <v>149.1</v>
      </c>
      <c r="M1183" s="49">
        <f t="shared" si="168"/>
        <v>93.45</v>
      </c>
      <c r="N1183" s="49">
        <f t="shared" si="168"/>
        <v>0</v>
      </c>
      <c r="O1183" s="49">
        <f t="shared" si="168"/>
        <v>0</v>
      </c>
      <c r="P1183" s="49">
        <f t="shared" si="168"/>
        <v>0</v>
      </c>
      <c r="Q1183" s="49">
        <f t="shared" si="168"/>
        <v>0</v>
      </c>
      <c r="R1183" s="49">
        <f t="shared" si="167"/>
        <v>515.55000000000007</v>
      </c>
      <c r="T1183" s="2" t="s">
        <v>90</v>
      </c>
      <c r="V1183" s="2">
        <v>29</v>
      </c>
    </row>
    <row r="1184" spans="3:22" ht="13.5" customHeight="1" x14ac:dyDescent="0.15">
      <c r="C1184" s="193"/>
      <c r="D1184" s="181"/>
      <c r="E1184" s="46"/>
      <c r="F1184" s="50" t="s">
        <v>54</v>
      </c>
      <c r="G1184" s="48" t="s">
        <v>55</v>
      </c>
      <c r="H1184" s="49">
        <f t="shared" si="168"/>
        <v>0</v>
      </c>
      <c r="I1184" s="49">
        <f t="shared" si="168"/>
        <v>0</v>
      </c>
      <c r="J1184" s="49">
        <f t="shared" si="168"/>
        <v>0</v>
      </c>
      <c r="K1184" s="49">
        <f t="shared" si="168"/>
        <v>0</v>
      </c>
      <c r="L1184" s="49">
        <f t="shared" si="168"/>
        <v>0</v>
      </c>
      <c r="M1184" s="49">
        <f t="shared" si="168"/>
        <v>0</v>
      </c>
      <c r="N1184" s="49">
        <f t="shared" si="168"/>
        <v>0</v>
      </c>
      <c r="O1184" s="49">
        <f t="shared" si="168"/>
        <v>0</v>
      </c>
      <c r="P1184" s="49">
        <f t="shared" si="168"/>
        <v>0</v>
      </c>
      <c r="Q1184" s="49">
        <f t="shared" si="168"/>
        <v>0</v>
      </c>
      <c r="R1184" s="49">
        <f t="shared" si="167"/>
        <v>0</v>
      </c>
      <c r="V1184" s="2">
        <v>29</v>
      </c>
    </row>
    <row r="1185" spans="3:22" ht="13.5" customHeight="1" x14ac:dyDescent="0.15">
      <c r="C1185" s="193"/>
      <c r="D1185" s="181"/>
      <c r="E1185" s="46"/>
      <c r="F1185" s="50" t="s">
        <v>56</v>
      </c>
      <c r="G1185" s="48" t="s">
        <v>57</v>
      </c>
      <c r="H1185" s="49">
        <f t="shared" si="168"/>
        <v>0</v>
      </c>
      <c r="I1185" s="49">
        <f t="shared" si="168"/>
        <v>93.45</v>
      </c>
      <c r="J1185" s="49">
        <f t="shared" si="168"/>
        <v>131.25</v>
      </c>
      <c r="K1185" s="49">
        <f t="shared" si="168"/>
        <v>161.70000000000002</v>
      </c>
      <c r="L1185" s="49">
        <f t="shared" si="168"/>
        <v>186.9</v>
      </c>
      <c r="M1185" s="49">
        <f t="shared" si="168"/>
        <v>106.05000000000001</v>
      </c>
      <c r="N1185" s="49">
        <f t="shared" si="168"/>
        <v>0</v>
      </c>
      <c r="O1185" s="49">
        <f t="shared" si="168"/>
        <v>0</v>
      </c>
      <c r="P1185" s="49">
        <f t="shared" si="168"/>
        <v>0</v>
      </c>
      <c r="Q1185" s="49">
        <f t="shared" si="168"/>
        <v>0</v>
      </c>
      <c r="R1185" s="49">
        <f t="shared" si="167"/>
        <v>679.34999999999991</v>
      </c>
      <c r="T1185" s="2" t="s">
        <v>90</v>
      </c>
      <c r="V1185" s="2">
        <v>33</v>
      </c>
    </row>
    <row r="1186" spans="3:22" ht="13.5" customHeight="1" x14ac:dyDescent="0.15">
      <c r="C1186" s="193"/>
      <c r="D1186" s="181"/>
      <c r="E1186" s="46"/>
      <c r="F1186" s="51" t="s">
        <v>58</v>
      </c>
      <c r="G1186" s="48" t="s">
        <v>59</v>
      </c>
      <c r="H1186" s="49">
        <f t="shared" si="168"/>
        <v>0</v>
      </c>
      <c r="I1186" s="49">
        <f t="shared" si="168"/>
        <v>131.25</v>
      </c>
      <c r="J1186" s="49">
        <f t="shared" si="168"/>
        <v>169.05</v>
      </c>
      <c r="K1186" s="49">
        <f t="shared" si="168"/>
        <v>224.70000000000002</v>
      </c>
      <c r="L1186" s="49">
        <f t="shared" si="168"/>
        <v>249.9</v>
      </c>
      <c r="M1186" s="49">
        <f t="shared" si="168"/>
        <v>143.85</v>
      </c>
      <c r="N1186" s="49">
        <f t="shared" si="168"/>
        <v>0</v>
      </c>
      <c r="O1186" s="49">
        <f t="shared" si="168"/>
        <v>0</v>
      </c>
      <c r="P1186" s="49">
        <f t="shared" si="168"/>
        <v>0</v>
      </c>
      <c r="Q1186" s="49">
        <f t="shared" si="168"/>
        <v>0</v>
      </c>
      <c r="R1186" s="49">
        <f t="shared" si="167"/>
        <v>918.75</v>
      </c>
      <c r="T1186" s="2" t="s">
        <v>90</v>
      </c>
      <c r="V1186" s="2">
        <v>29</v>
      </c>
    </row>
    <row r="1187" spans="3:22" ht="13.5" customHeight="1" x14ac:dyDescent="0.15">
      <c r="C1187" s="193"/>
      <c r="D1187" s="181"/>
      <c r="E1187" s="46"/>
      <c r="F1187" s="52" t="s">
        <v>60</v>
      </c>
      <c r="G1187" s="48" t="s">
        <v>61</v>
      </c>
      <c r="H1187" s="49">
        <f t="shared" si="168"/>
        <v>0</v>
      </c>
      <c r="I1187" s="49">
        <f t="shared" si="168"/>
        <v>0</v>
      </c>
      <c r="J1187" s="49">
        <f t="shared" si="168"/>
        <v>0</v>
      </c>
      <c r="K1187" s="49">
        <f t="shared" si="168"/>
        <v>0</v>
      </c>
      <c r="L1187" s="49">
        <f t="shared" si="168"/>
        <v>0</v>
      </c>
      <c r="M1187" s="49">
        <f t="shared" si="168"/>
        <v>0</v>
      </c>
      <c r="N1187" s="49">
        <f t="shared" si="168"/>
        <v>0</v>
      </c>
      <c r="O1187" s="49">
        <f t="shared" si="168"/>
        <v>0</v>
      </c>
      <c r="P1187" s="49">
        <f t="shared" si="168"/>
        <v>0</v>
      </c>
      <c r="Q1187" s="49">
        <f t="shared" si="168"/>
        <v>0</v>
      </c>
      <c r="R1187" s="49">
        <f t="shared" si="167"/>
        <v>0</v>
      </c>
    </row>
    <row r="1188" spans="3:22" ht="13.5" customHeight="1" x14ac:dyDescent="0.15">
      <c r="C1188" s="193"/>
      <c r="D1188" s="181"/>
      <c r="E1188" s="46"/>
      <c r="F1188" s="51" t="s">
        <v>62</v>
      </c>
      <c r="G1188" s="48" t="s">
        <v>63</v>
      </c>
      <c r="H1188" s="49">
        <f t="shared" si="168"/>
        <v>0</v>
      </c>
      <c r="I1188" s="49">
        <f t="shared" si="168"/>
        <v>43.050000000000004</v>
      </c>
      <c r="J1188" s="49">
        <f t="shared" si="168"/>
        <v>55.650000000000006</v>
      </c>
      <c r="K1188" s="49">
        <f t="shared" si="168"/>
        <v>86.100000000000009</v>
      </c>
      <c r="L1188" s="49">
        <f t="shared" si="168"/>
        <v>98.7</v>
      </c>
      <c r="M1188" s="49">
        <f t="shared" si="168"/>
        <v>55.650000000000006</v>
      </c>
      <c r="N1188" s="49">
        <f t="shared" si="168"/>
        <v>0</v>
      </c>
      <c r="O1188" s="49">
        <f t="shared" si="168"/>
        <v>0</v>
      </c>
      <c r="P1188" s="49">
        <f t="shared" si="168"/>
        <v>0</v>
      </c>
      <c r="Q1188" s="49">
        <f t="shared" si="168"/>
        <v>0</v>
      </c>
      <c r="R1188" s="49">
        <f t="shared" si="167"/>
        <v>339.15</v>
      </c>
      <c r="T1188" s="2" t="s">
        <v>90</v>
      </c>
    </row>
    <row r="1189" spans="3:22" ht="13.5" customHeight="1" x14ac:dyDescent="0.15">
      <c r="C1189" s="193"/>
      <c r="D1189" s="181"/>
      <c r="E1189" s="46"/>
      <c r="F1189" s="50" t="s">
        <v>64</v>
      </c>
      <c r="G1189" s="48" t="s">
        <v>65</v>
      </c>
      <c r="H1189" s="49">
        <f t="shared" si="168"/>
        <v>0</v>
      </c>
      <c r="I1189" s="49">
        <f t="shared" si="168"/>
        <v>34.65</v>
      </c>
      <c r="J1189" s="49">
        <f t="shared" si="168"/>
        <v>34.65</v>
      </c>
      <c r="K1189" s="49">
        <f t="shared" si="168"/>
        <v>69.3</v>
      </c>
      <c r="L1189" s="49">
        <f t="shared" si="168"/>
        <v>69.3</v>
      </c>
      <c r="M1189" s="49">
        <f t="shared" si="168"/>
        <v>34.65</v>
      </c>
      <c r="N1189" s="49">
        <f t="shared" si="168"/>
        <v>0</v>
      </c>
      <c r="O1189" s="49">
        <f t="shared" si="168"/>
        <v>0</v>
      </c>
      <c r="P1189" s="49">
        <f t="shared" si="168"/>
        <v>0</v>
      </c>
      <c r="Q1189" s="49">
        <f t="shared" si="168"/>
        <v>0</v>
      </c>
      <c r="R1189" s="49">
        <f t="shared" si="167"/>
        <v>242.54999999999998</v>
      </c>
      <c r="T1189" s="2" t="s">
        <v>93</v>
      </c>
    </row>
    <row r="1190" spans="3:22" ht="13.5" customHeight="1" x14ac:dyDescent="0.15">
      <c r="C1190" s="193"/>
      <c r="D1190" s="181"/>
      <c r="E1190" s="46"/>
      <c r="F1190" s="50" t="s">
        <v>66</v>
      </c>
      <c r="G1190" s="48" t="s">
        <v>67</v>
      </c>
      <c r="H1190" s="49">
        <f t="shared" si="168"/>
        <v>0</v>
      </c>
      <c r="I1190" s="49">
        <f t="shared" si="168"/>
        <v>118.65</v>
      </c>
      <c r="J1190" s="49">
        <f t="shared" si="168"/>
        <v>156.45000000000002</v>
      </c>
      <c r="K1190" s="49">
        <f t="shared" si="168"/>
        <v>199.5</v>
      </c>
      <c r="L1190" s="49">
        <f t="shared" si="168"/>
        <v>224.70000000000002</v>
      </c>
      <c r="M1190" s="49">
        <f t="shared" si="168"/>
        <v>118.65</v>
      </c>
      <c r="N1190" s="49">
        <f t="shared" si="168"/>
        <v>0</v>
      </c>
      <c r="O1190" s="49">
        <f t="shared" si="168"/>
        <v>0</v>
      </c>
      <c r="P1190" s="49">
        <f t="shared" si="168"/>
        <v>0</v>
      </c>
      <c r="Q1190" s="49">
        <f t="shared" si="168"/>
        <v>0</v>
      </c>
      <c r="R1190" s="49">
        <f t="shared" si="167"/>
        <v>817.95</v>
      </c>
      <c r="T1190" s="2" t="s">
        <v>90</v>
      </c>
    </row>
    <row r="1191" spans="3:22" x14ac:dyDescent="0.15">
      <c r="C1191" s="193"/>
      <c r="D1191" s="181"/>
      <c r="E1191" s="46"/>
      <c r="F1191" s="51" t="s">
        <v>68</v>
      </c>
      <c r="G1191" s="48" t="s">
        <v>69</v>
      </c>
      <c r="H1191" s="49">
        <f t="shared" si="168"/>
        <v>0</v>
      </c>
      <c r="I1191" s="49">
        <f t="shared" si="168"/>
        <v>0</v>
      </c>
      <c r="J1191" s="49">
        <f t="shared" si="168"/>
        <v>0</v>
      </c>
      <c r="K1191" s="49">
        <f t="shared" si="168"/>
        <v>0</v>
      </c>
      <c r="L1191" s="49">
        <f t="shared" si="168"/>
        <v>0</v>
      </c>
      <c r="M1191" s="49">
        <f t="shared" si="168"/>
        <v>0</v>
      </c>
      <c r="N1191" s="49">
        <f t="shared" si="168"/>
        <v>0</v>
      </c>
      <c r="O1191" s="49">
        <f t="shared" si="168"/>
        <v>0</v>
      </c>
      <c r="P1191" s="49">
        <f t="shared" si="168"/>
        <v>0</v>
      </c>
      <c r="Q1191" s="49">
        <f t="shared" si="168"/>
        <v>0</v>
      </c>
      <c r="R1191" s="49">
        <f>SUM(H1191:Q1191)</f>
        <v>0</v>
      </c>
    </row>
    <row r="1192" spans="3:22" ht="13.5" customHeight="1" x14ac:dyDescent="0.15">
      <c r="C1192" s="193"/>
      <c r="D1192" s="181"/>
      <c r="E1192" s="46"/>
      <c r="F1192" s="51" t="s">
        <v>70</v>
      </c>
      <c r="G1192" s="48" t="s">
        <v>71</v>
      </c>
      <c r="H1192" s="49">
        <f t="shared" si="168"/>
        <v>0</v>
      </c>
      <c r="I1192" s="49">
        <f t="shared" si="168"/>
        <v>0</v>
      </c>
      <c r="J1192" s="49">
        <f t="shared" si="168"/>
        <v>0</v>
      </c>
      <c r="K1192" s="49">
        <f t="shared" si="168"/>
        <v>0</v>
      </c>
      <c r="L1192" s="49">
        <f t="shared" si="168"/>
        <v>0</v>
      </c>
      <c r="M1192" s="49">
        <f t="shared" si="168"/>
        <v>0</v>
      </c>
      <c r="N1192" s="49">
        <f t="shared" si="168"/>
        <v>0</v>
      </c>
      <c r="O1192" s="49">
        <f t="shared" si="168"/>
        <v>0</v>
      </c>
      <c r="P1192" s="49">
        <f t="shared" si="168"/>
        <v>0</v>
      </c>
      <c r="Q1192" s="49">
        <f t="shared" si="168"/>
        <v>0</v>
      </c>
      <c r="R1192" s="49">
        <f t="shared" ref="R1192:R1196" si="169">SUM(H1192:Q1192)</f>
        <v>0</v>
      </c>
    </row>
    <row r="1193" spans="3:22" x14ac:dyDescent="0.15">
      <c r="C1193" s="193"/>
      <c r="D1193" s="181"/>
      <c r="E1193" s="46"/>
      <c r="F1193" s="47" t="s">
        <v>72</v>
      </c>
      <c r="G1193" s="48" t="s">
        <v>73</v>
      </c>
      <c r="H1193" s="49">
        <f t="shared" si="168"/>
        <v>0</v>
      </c>
      <c r="I1193" s="49">
        <f t="shared" si="168"/>
        <v>0</v>
      </c>
      <c r="J1193" s="49">
        <f t="shared" si="168"/>
        <v>0</v>
      </c>
      <c r="K1193" s="49">
        <f t="shared" si="168"/>
        <v>0</v>
      </c>
      <c r="L1193" s="49">
        <f t="shared" si="168"/>
        <v>0</v>
      </c>
      <c r="M1193" s="49">
        <f t="shared" si="168"/>
        <v>0</v>
      </c>
      <c r="N1193" s="49">
        <f t="shared" si="168"/>
        <v>0</v>
      </c>
      <c r="O1193" s="49">
        <f t="shared" si="168"/>
        <v>0</v>
      </c>
      <c r="P1193" s="49">
        <f t="shared" si="168"/>
        <v>0</v>
      </c>
      <c r="Q1193" s="49">
        <f t="shared" si="168"/>
        <v>0</v>
      </c>
      <c r="R1193" s="49">
        <f t="shared" si="169"/>
        <v>0</v>
      </c>
    </row>
    <row r="1194" spans="3:22" x14ac:dyDescent="0.15">
      <c r="C1194" s="193"/>
      <c r="D1194" s="181"/>
      <c r="E1194" s="46"/>
      <c r="F1194" s="47" t="s">
        <v>74</v>
      </c>
      <c r="G1194" s="48" t="s">
        <v>73</v>
      </c>
      <c r="H1194" s="49">
        <f t="shared" si="168"/>
        <v>0</v>
      </c>
      <c r="I1194" s="49">
        <f t="shared" si="168"/>
        <v>0</v>
      </c>
      <c r="J1194" s="49">
        <f t="shared" si="168"/>
        <v>0</v>
      </c>
      <c r="K1194" s="49">
        <f t="shared" si="168"/>
        <v>0</v>
      </c>
      <c r="L1194" s="49">
        <f t="shared" si="168"/>
        <v>0</v>
      </c>
      <c r="M1194" s="49">
        <f t="shared" si="168"/>
        <v>0</v>
      </c>
      <c r="N1194" s="49">
        <f t="shared" si="168"/>
        <v>0</v>
      </c>
      <c r="O1194" s="49">
        <f t="shared" si="168"/>
        <v>0</v>
      </c>
      <c r="P1194" s="49">
        <f t="shared" si="168"/>
        <v>0</v>
      </c>
      <c r="Q1194" s="49">
        <f t="shared" si="168"/>
        <v>0</v>
      </c>
      <c r="R1194" s="49">
        <f t="shared" si="169"/>
        <v>0</v>
      </c>
    </row>
    <row r="1195" spans="3:22" x14ac:dyDescent="0.15">
      <c r="C1195" s="193"/>
      <c r="D1195" s="181"/>
      <c r="E1195" s="46"/>
      <c r="F1195" s="47" t="s">
        <v>76</v>
      </c>
      <c r="G1195" s="48" t="s">
        <v>73</v>
      </c>
      <c r="H1195" s="49">
        <f t="shared" si="168"/>
        <v>0</v>
      </c>
      <c r="I1195" s="49">
        <f t="shared" si="168"/>
        <v>0</v>
      </c>
      <c r="J1195" s="49">
        <f t="shared" si="168"/>
        <v>0</v>
      </c>
      <c r="K1195" s="49">
        <f t="shared" si="168"/>
        <v>0</v>
      </c>
      <c r="L1195" s="49">
        <f t="shared" si="168"/>
        <v>0</v>
      </c>
      <c r="M1195" s="49">
        <f t="shared" si="168"/>
        <v>0</v>
      </c>
      <c r="N1195" s="49">
        <f t="shared" si="168"/>
        <v>0</v>
      </c>
      <c r="O1195" s="49">
        <f t="shared" si="168"/>
        <v>0</v>
      </c>
      <c r="P1195" s="49">
        <f t="shared" si="168"/>
        <v>0</v>
      </c>
      <c r="Q1195" s="49">
        <f t="shared" si="168"/>
        <v>0</v>
      </c>
      <c r="R1195" s="49">
        <f t="shared" si="169"/>
        <v>0</v>
      </c>
    </row>
    <row r="1196" spans="3:22" ht="14.25" thickBot="1" x14ac:dyDescent="0.2">
      <c r="C1196" s="194"/>
      <c r="D1196" s="181"/>
      <c r="E1196" s="46"/>
      <c r="F1196" s="62" t="s">
        <v>77</v>
      </c>
      <c r="G1196" s="48" t="s">
        <v>73</v>
      </c>
      <c r="H1196" s="49">
        <f t="shared" ref="H1196:Q1196" si="170">H954*1.05</f>
        <v>0</v>
      </c>
      <c r="I1196" s="49">
        <f t="shared" si="170"/>
        <v>66.150000000000006</v>
      </c>
      <c r="J1196" s="49">
        <f t="shared" si="170"/>
        <v>78.75</v>
      </c>
      <c r="K1196" s="49">
        <f t="shared" si="170"/>
        <v>107.10000000000001</v>
      </c>
      <c r="L1196" s="49">
        <f t="shared" si="170"/>
        <v>132.30000000000001</v>
      </c>
      <c r="M1196" s="49">
        <f t="shared" si="170"/>
        <v>78.75</v>
      </c>
      <c r="N1196" s="49">
        <f t="shared" si="170"/>
        <v>0</v>
      </c>
      <c r="O1196" s="49">
        <f t="shared" si="170"/>
        <v>0</v>
      </c>
      <c r="P1196" s="49">
        <f t="shared" si="170"/>
        <v>0</v>
      </c>
      <c r="Q1196" s="49">
        <f t="shared" si="170"/>
        <v>0</v>
      </c>
      <c r="R1196" s="49">
        <f t="shared" si="169"/>
        <v>463.05</v>
      </c>
      <c r="T1196" s="2" t="s">
        <v>90</v>
      </c>
    </row>
    <row r="1197" spans="3:22" ht="14.25" thickBot="1" x14ac:dyDescent="0.2">
      <c r="C1197" s="190" t="s">
        <v>103</v>
      </c>
      <c r="D1197" s="190"/>
      <c r="E1197" s="190"/>
      <c r="F1197" s="191"/>
      <c r="G1197" s="108"/>
      <c r="H1197" s="108"/>
      <c r="I1197" s="108"/>
      <c r="J1197" s="108"/>
      <c r="K1197" s="108"/>
      <c r="L1197" s="108"/>
      <c r="M1197" s="108"/>
      <c r="N1197" s="108"/>
      <c r="O1197" s="108"/>
      <c r="P1197" s="108"/>
      <c r="Q1197" s="108"/>
      <c r="R1197" s="108"/>
    </row>
    <row r="1198" spans="3:22" ht="13.5" customHeight="1" x14ac:dyDescent="0.15">
      <c r="C1198" s="108"/>
      <c r="D1198" s="181" t="s">
        <v>86</v>
      </c>
      <c r="E1198" s="46"/>
      <c r="F1198" s="58" t="s">
        <v>44</v>
      </c>
      <c r="G1198" s="48" t="s">
        <v>45</v>
      </c>
      <c r="H1198" s="49">
        <f>H918*1.05</f>
        <v>0</v>
      </c>
      <c r="I1198" s="49">
        <f t="shared" ref="I1198:R1198" si="171">I918*1.05</f>
        <v>0</v>
      </c>
      <c r="J1198" s="49">
        <f t="shared" si="171"/>
        <v>0</v>
      </c>
      <c r="K1198" s="49">
        <f t="shared" si="171"/>
        <v>0</v>
      </c>
      <c r="L1198" s="49">
        <f t="shared" si="171"/>
        <v>0</v>
      </c>
      <c r="M1198" s="49">
        <f t="shared" si="171"/>
        <v>0</v>
      </c>
      <c r="N1198" s="49">
        <f t="shared" si="171"/>
        <v>0</v>
      </c>
      <c r="O1198" s="49">
        <f t="shared" si="171"/>
        <v>0</v>
      </c>
      <c r="P1198" s="49">
        <f t="shared" si="171"/>
        <v>0</v>
      </c>
      <c r="Q1198" s="49">
        <f t="shared" si="171"/>
        <v>0</v>
      </c>
      <c r="R1198" s="49">
        <f t="shared" si="171"/>
        <v>0</v>
      </c>
      <c r="T1198" s="10">
        <f>SUM(H1198:Q1275)</f>
        <v>62167.350000000006</v>
      </c>
    </row>
    <row r="1199" spans="3:22" ht="13.5" customHeight="1" x14ac:dyDescent="0.15">
      <c r="C1199" s="108"/>
      <c r="D1199" s="181"/>
      <c r="E1199" s="46"/>
      <c r="F1199" s="50" t="s">
        <v>46</v>
      </c>
      <c r="G1199" s="48" t="s">
        <v>47</v>
      </c>
      <c r="H1199" s="49">
        <f t="shared" ref="H1199:R1214" si="172">H919*1.05</f>
        <v>0</v>
      </c>
      <c r="I1199" s="49">
        <f t="shared" si="172"/>
        <v>0</v>
      </c>
      <c r="J1199" s="49">
        <f t="shared" si="172"/>
        <v>1033.2</v>
      </c>
      <c r="K1199" s="49">
        <f t="shared" si="172"/>
        <v>1108.8</v>
      </c>
      <c r="L1199" s="49">
        <f t="shared" si="172"/>
        <v>1121.4000000000001</v>
      </c>
      <c r="M1199" s="49">
        <f t="shared" si="172"/>
        <v>1184.4000000000001</v>
      </c>
      <c r="N1199" s="49">
        <f t="shared" si="172"/>
        <v>625.80000000000007</v>
      </c>
      <c r="O1199" s="49">
        <f t="shared" si="172"/>
        <v>0</v>
      </c>
      <c r="P1199" s="49">
        <f t="shared" si="172"/>
        <v>0</v>
      </c>
      <c r="Q1199" s="49">
        <f t="shared" si="172"/>
        <v>0</v>
      </c>
      <c r="R1199" s="49">
        <f t="shared" si="172"/>
        <v>5073.6000000000004</v>
      </c>
    </row>
    <row r="1200" spans="3:22" ht="13.5" customHeight="1" x14ac:dyDescent="0.15">
      <c r="C1200" s="108"/>
      <c r="D1200" s="181"/>
      <c r="E1200" s="46"/>
      <c r="F1200" s="50" t="s">
        <v>48</v>
      </c>
      <c r="G1200" s="48" t="s">
        <v>49</v>
      </c>
      <c r="H1200" s="49">
        <f t="shared" si="172"/>
        <v>0</v>
      </c>
      <c r="I1200" s="49">
        <f t="shared" si="172"/>
        <v>0</v>
      </c>
      <c r="J1200" s="49">
        <f t="shared" si="172"/>
        <v>1572.9</v>
      </c>
      <c r="K1200" s="49">
        <f t="shared" si="172"/>
        <v>1799.7</v>
      </c>
      <c r="L1200" s="49">
        <f t="shared" si="172"/>
        <v>1812.3000000000002</v>
      </c>
      <c r="M1200" s="49">
        <f t="shared" si="172"/>
        <v>1976.1000000000001</v>
      </c>
      <c r="N1200" s="49">
        <f t="shared" si="172"/>
        <v>975.45</v>
      </c>
      <c r="O1200" s="49">
        <f t="shared" si="172"/>
        <v>0</v>
      </c>
      <c r="P1200" s="49">
        <f t="shared" si="172"/>
        <v>0</v>
      </c>
      <c r="Q1200" s="49">
        <f t="shared" si="172"/>
        <v>0</v>
      </c>
      <c r="R1200" s="49">
        <f t="shared" si="172"/>
        <v>8136.4500000000007</v>
      </c>
    </row>
    <row r="1201" spans="3:18" ht="13.5" customHeight="1" x14ac:dyDescent="0.15">
      <c r="C1201" s="108"/>
      <c r="D1201" s="181"/>
      <c r="E1201" s="46"/>
      <c r="F1201" s="50" t="s">
        <v>50</v>
      </c>
      <c r="G1201" s="48" t="s">
        <v>51</v>
      </c>
      <c r="H1201" s="49">
        <f t="shared" si="172"/>
        <v>0</v>
      </c>
      <c r="I1201" s="49">
        <f t="shared" si="172"/>
        <v>0</v>
      </c>
      <c r="J1201" s="49">
        <f t="shared" si="172"/>
        <v>1220.1000000000001</v>
      </c>
      <c r="K1201" s="49">
        <f t="shared" si="172"/>
        <v>1346.1000000000001</v>
      </c>
      <c r="L1201" s="49">
        <f t="shared" si="172"/>
        <v>1346.1000000000001</v>
      </c>
      <c r="M1201" s="49">
        <f t="shared" si="172"/>
        <v>1446.9</v>
      </c>
      <c r="N1201" s="49">
        <f t="shared" si="172"/>
        <v>723.45</v>
      </c>
      <c r="O1201" s="49">
        <f t="shared" si="172"/>
        <v>0</v>
      </c>
      <c r="P1201" s="49">
        <f t="shared" si="172"/>
        <v>0</v>
      </c>
      <c r="Q1201" s="49">
        <f t="shared" si="172"/>
        <v>0</v>
      </c>
      <c r="R1201" s="49">
        <f t="shared" si="172"/>
        <v>6082.6500000000005</v>
      </c>
    </row>
    <row r="1202" spans="3:18" ht="13.5" customHeight="1" x14ac:dyDescent="0.15">
      <c r="C1202" s="108"/>
      <c r="D1202" s="181"/>
      <c r="E1202" s="46"/>
      <c r="F1202" s="50" t="s">
        <v>52</v>
      </c>
      <c r="G1202" s="48" t="s">
        <v>53</v>
      </c>
      <c r="H1202" s="49">
        <f t="shared" si="172"/>
        <v>0</v>
      </c>
      <c r="I1202" s="49">
        <f t="shared" si="172"/>
        <v>0</v>
      </c>
      <c r="J1202" s="49">
        <f t="shared" si="172"/>
        <v>0</v>
      </c>
      <c r="K1202" s="49">
        <f t="shared" si="172"/>
        <v>0</v>
      </c>
      <c r="L1202" s="49">
        <f t="shared" si="172"/>
        <v>0</v>
      </c>
      <c r="M1202" s="49">
        <f t="shared" si="172"/>
        <v>0</v>
      </c>
      <c r="N1202" s="49">
        <f t="shared" si="172"/>
        <v>0</v>
      </c>
      <c r="O1202" s="49">
        <f t="shared" si="172"/>
        <v>0</v>
      </c>
      <c r="P1202" s="49">
        <f t="shared" si="172"/>
        <v>0</v>
      </c>
      <c r="Q1202" s="49">
        <f t="shared" si="172"/>
        <v>0</v>
      </c>
      <c r="R1202" s="49">
        <f t="shared" si="172"/>
        <v>0</v>
      </c>
    </row>
    <row r="1203" spans="3:18" ht="13.5" customHeight="1" x14ac:dyDescent="0.15">
      <c r="C1203" s="108"/>
      <c r="D1203" s="181"/>
      <c r="E1203" s="46"/>
      <c r="F1203" s="50" t="s">
        <v>54</v>
      </c>
      <c r="G1203" s="48" t="s">
        <v>55</v>
      </c>
      <c r="H1203" s="49">
        <f t="shared" si="172"/>
        <v>0</v>
      </c>
      <c r="I1203" s="49">
        <f t="shared" si="172"/>
        <v>0</v>
      </c>
      <c r="J1203" s="49">
        <f t="shared" si="172"/>
        <v>1295.7</v>
      </c>
      <c r="K1203" s="49">
        <f t="shared" si="172"/>
        <v>1421.7</v>
      </c>
      <c r="L1203" s="49">
        <f t="shared" si="172"/>
        <v>1446.9</v>
      </c>
      <c r="M1203" s="49">
        <f t="shared" si="172"/>
        <v>1547.7</v>
      </c>
      <c r="N1203" s="49">
        <f t="shared" si="172"/>
        <v>786.45</v>
      </c>
      <c r="O1203" s="49">
        <f t="shared" si="172"/>
        <v>0</v>
      </c>
      <c r="P1203" s="49">
        <f t="shared" si="172"/>
        <v>0</v>
      </c>
      <c r="Q1203" s="49">
        <f t="shared" si="172"/>
        <v>0</v>
      </c>
      <c r="R1203" s="49">
        <f t="shared" si="172"/>
        <v>6498.4500000000007</v>
      </c>
    </row>
    <row r="1204" spans="3:18" ht="13.5" customHeight="1" x14ac:dyDescent="0.15">
      <c r="C1204" s="108"/>
      <c r="D1204" s="181"/>
      <c r="E1204" s="46"/>
      <c r="F1204" s="50" t="s">
        <v>56</v>
      </c>
      <c r="G1204" s="48" t="s">
        <v>57</v>
      </c>
      <c r="H1204" s="49">
        <f t="shared" si="172"/>
        <v>0</v>
      </c>
      <c r="I1204" s="49">
        <f t="shared" si="172"/>
        <v>0</v>
      </c>
      <c r="J1204" s="49">
        <f t="shared" si="172"/>
        <v>1623.3000000000002</v>
      </c>
      <c r="K1204" s="49">
        <f t="shared" si="172"/>
        <v>1862.7</v>
      </c>
      <c r="L1204" s="49">
        <f t="shared" si="172"/>
        <v>1875.3000000000002</v>
      </c>
      <c r="M1204" s="49">
        <f t="shared" si="172"/>
        <v>2039.1000000000001</v>
      </c>
      <c r="N1204" s="49">
        <f t="shared" si="172"/>
        <v>1025.8500000000001</v>
      </c>
      <c r="O1204" s="49">
        <f t="shared" si="172"/>
        <v>0</v>
      </c>
      <c r="P1204" s="49">
        <f t="shared" si="172"/>
        <v>0</v>
      </c>
      <c r="Q1204" s="49">
        <f t="shared" si="172"/>
        <v>0</v>
      </c>
      <c r="R1204" s="49">
        <f t="shared" si="172"/>
        <v>8426.25</v>
      </c>
    </row>
    <row r="1205" spans="3:18" ht="13.5" customHeight="1" x14ac:dyDescent="0.15">
      <c r="C1205" s="108"/>
      <c r="D1205" s="181"/>
      <c r="E1205" s="46"/>
      <c r="F1205" s="51" t="s">
        <v>58</v>
      </c>
      <c r="G1205" s="48" t="s">
        <v>59</v>
      </c>
      <c r="H1205" s="49">
        <f t="shared" si="172"/>
        <v>0</v>
      </c>
      <c r="I1205" s="49">
        <f t="shared" si="172"/>
        <v>0</v>
      </c>
      <c r="J1205" s="49">
        <f t="shared" si="172"/>
        <v>0</v>
      </c>
      <c r="K1205" s="49">
        <f t="shared" si="172"/>
        <v>0</v>
      </c>
      <c r="L1205" s="49">
        <f t="shared" si="172"/>
        <v>0</v>
      </c>
      <c r="M1205" s="49">
        <f t="shared" si="172"/>
        <v>0</v>
      </c>
      <c r="N1205" s="49">
        <f t="shared" si="172"/>
        <v>0</v>
      </c>
      <c r="O1205" s="49">
        <f t="shared" si="172"/>
        <v>0</v>
      </c>
      <c r="P1205" s="49">
        <f t="shared" si="172"/>
        <v>0</v>
      </c>
      <c r="Q1205" s="49">
        <f t="shared" si="172"/>
        <v>0</v>
      </c>
      <c r="R1205" s="49">
        <f t="shared" si="172"/>
        <v>0</v>
      </c>
    </row>
    <row r="1206" spans="3:18" ht="13.5" customHeight="1" x14ac:dyDescent="0.15">
      <c r="C1206" s="108"/>
      <c r="D1206" s="181"/>
      <c r="E1206" s="46"/>
      <c r="F1206" s="52" t="s">
        <v>60</v>
      </c>
      <c r="G1206" s="48" t="s">
        <v>61</v>
      </c>
      <c r="H1206" s="49">
        <f t="shared" si="172"/>
        <v>0</v>
      </c>
      <c r="I1206" s="49">
        <f t="shared" si="172"/>
        <v>0</v>
      </c>
      <c r="J1206" s="49">
        <f t="shared" si="172"/>
        <v>0</v>
      </c>
      <c r="K1206" s="49">
        <f t="shared" si="172"/>
        <v>0</v>
      </c>
      <c r="L1206" s="49">
        <f t="shared" si="172"/>
        <v>0</v>
      </c>
      <c r="M1206" s="49">
        <f t="shared" si="172"/>
        <v>0</v>
      </c>
      <c r="N1206" s="49">
        <f t="shared" si="172"/>
        <v>0</v>
      </c>
      <c r="O1206" s="49">
        <f t="shared" si="172"/>
        <v>0</v>
      </c>
      <c r="P1206" s="49">
        <f t="shared" si="172"/>
        <v>0</v>
      </c>
      <c r="Q1206" s="49">
        <f t="shared" si="172"/>
        <v>0</v>
      </c>
      <c r="R1206" s="49">
        <f t="shared" si="172"/>
        <v>0</v>
      </c>
    </row>
    <row r="1207" spans="3:18" ht="13.5" customHeight="1" x14ac:dyDescent="0.15">
      <c r="C1207" s="108"/>
      <c r="D1207" s="181"/>
      <c r="E1207" s="46"/>
      <c r="F1207" s="51" t="s">
        <v>62</v>
      </c>
      <c r="G1207" s="48" t="s">
        <v>63</v>
      </c>
      <c r="H1207" s="49">
        <f t="shared" si="172"/>
        <v>0</v>
      </c>
      <c r="I1207" s="49">
        <f t="shared" si="172"/>
        <v>0</v>
      </c>
      <c r="J1207" s="49">
        <f t="shared" si="172"/>
        <v>995.40000000000009</v>
      </c>
      <c r="K1207" s="49">
        <f t="shared" si="172"/>
        <v>1071</v>
      </c>
      <c r="L1207" s="49">
        <f t="shared" si="172"/>
        <v>1083.6000000000001</v>
      </c>
      <c r="M1207" s="49">
        <f t="shared" si="172"/>
        <v>1159.2</v>
      </c>
      <c r="N1207" s="49">
        <f t="shared" si="172"/>
        <v>579.6</v>
      </c>
      <c r="O1207" s="49">
        <f t="shared" si="172"/>
        <v>0</v>
      </c>
      <c r="P1207" s="49">
        <f t="shared" si="172"/>
        <v>0</v>
      </c>
      <c r="Q1207" s="49">
        <f t="shared" si="172"/>
        <v>0</v>
      </c>
      <c r="R1207" s="49">
        <f t="shared" si="172"/>
        <v>4888.8</v>
      </c>
    </row>
    <row r="1208" spans="3:18" ht="13.5" customHeight="1" x14ac:dyDescent="0.15">
      <c r="C1208" s="108"/>
      <c r="D1208" s="181"/>
      <c r="E1208" s="46"/>
      <c r="F1208" s="50" t="s">
        <v>64</v>
      </c>
      <c r="G1208" s="48" t="s">
        <v>65</v>
      </c>
      <c r="H1208" s="49">
        <f t="shared" si="172"/>
        <v>0</v>
      </c>
      <c r="I1208" s="49">
        <f t="shared" si="172"/>
        <v>0</v>
      </c>
      <c r="J1208" s="49">
        <f t="shared" si="172"/>
        <v>1509.9</v>
      </c>
      <c r="K1208" s="49">
        <f t="shared" si="172"/>
        <v>1724.1000000000001</v>
      </c>
      <c r="L1208" s="49">
        <f t="shared" si="172"/>
        <v>1736.7</v>
      </c>
      <c r="M1208" s="49">
        <f t="shared" si="172"/>
        <v>1887.9</v>
      </c>
      <c r="N1208" s="49">
        <f t="shared" si="172"/>
        <v>950.25</v>
      </c>
      <c r="O1208" s="49">
        <f t="shared" si="172"/>
        <v>0</v>
      </c>
      <c r="P1208" s="49">
        <f t="shared" si="172"/>
        <v>0</v>
      </c>
      <c r="Q1208" s="49">
        <f t="shared" si="172"/>
        <v>0</v>
      </c>
      <c r="R1208" s="49">
        <f t="shared" si="172"/>
        <v>7808.85</v>
      </c>
    </row>
    <row r="1209" spans="3:18" ht="13.5" customHeight="1" x14ac:dyDescent="0.15">
      <c r="C1209" s="108"/>
      <c r="D1209" s="181"/>
      <c r="E1209" s="46"/>
      <c r="F1209" s="50" t="s">
        <v>66</v>
      </c>
      <c r="G1209" s="48" t="s">
        <v>67</v>
      </c>
      <c r="H1209" s="49">
        <f t="shared" si="172"/>
        <v>0</v>
      </c>
      <c r="I1209" s="49">
        <f t="shared" si="172"/>
        <v>0</v>
      </c>
      <c r="J1209" s="49">
        <f t="shared" si="172"/>
        <v>1459.5</v>
      </c>
      <c r="K1209" s="49">
        <f t="shared" si="172"/>
        <v>1661.1000000000001</v>
      </c>
      <c r="L1209" s="49">
        <f t="shared" si="172"/>
        <v>1686.3000000000002</v>
      </c>
      <c r="M1209" s="49">
        <f t="shared" si="172"/>
        <v>1824.9</v>
      </c>
      <c r="N1209" s="49">
        <f t="shared" si="172"/>
        <v>925.05000000000007</v>
      </c>
      <c r="O1209" s="49">
        <f t="shared" si="172"/>
        <v>0</v>
      </c>
      <c r="P1209" s="49">
        <f t="shared" si="172"/>
        <v>0</v>
      </c>
      <c r="Q1209" s="49">
        <f t="shared" si="172"/>
        <v>0</v>
      </c>
      <c r="R1209" s="49">
        <f t="shared" si="172"/>
        <v>7556.85</v>
      </c>
    </row>
    <row r="1210" spans="3:18" x14ac:dyDescent="0.15">
      <c r="C1210" s="108"/>
      <c r="D1210" s="181"/>
      <c r="E1210" s="46"/>
      <c r="F1210" s="51" t="s">
        <v>68</v>
      </c>
      <c r="G1210" s="48" t="s">
        <v>69</v>
      </c>
      <c r="H1210" s="49">
        <f t="shared" si="172"/>
        <v>0</v>
      </c>
      <c r="I1210" s="49">
        <f t="shared" si="172"/>
        <v>0</v>
      </c>
      <c r="J1210" s="49">
        <f t="shared" si="172"/>
        <v>1484.7</v>
      </c>
      <c r="K1210" s="49">
        <f t="shared" si="172"/>
        <v>1698.9</v>
      </c>
      <c r="L1210" s="49">
        <f t="shared" si="172"/>
        <v>1711.5</v>
      </c>
      <c r="M1210" s="49">
        <f t="shared" si="172"/>
        <v>1862.7</v>
      </c>
      <c r="N1210" s="49">
        <f t="shared" si="172"/>
        <v>937.65000000000009</v>
      </c>
      <c r="O1210" s="49">
        <f t="shared" si="172"/>
        <v>0</v>
      </c>
      <c r="P1210" s="49">
        <f t="shared" si="172"/>
        <v>0</v>
      </c>
      <c r="Q1210" s="49">
        <f t="shared" si="172"/>
        <v>0</v>
      </c>
      <c r="R1210" s="49">
        <f t="shared" si="172"/>
        <v>7695.4500000000007</v>
      </c>
    </row>
    <row r="1211" spans="3:18" ht="13.5" customHeight="1" x14ac:dyDescent="0.15">
      <c r="C1211" s="108"/>
      <c r="D1211" s="181"/>
      <c r="E1211" s="46"/>
      <c r="F1211" s="51" t="s">
        <v>70</v>
      </c>
      <c r="G1211" s="48" t="s">
        <v>71</v>
      </c>
      <c r="H1211" s="49">
        <f t="shared" si="172"/>
        <v>0</v>
      </c>
      <c r="I1211" s="49">
        <f t="shared" si="172"/>
        <v>0</v>
      </c>
      <c r="J1211" s="49">
        <f t="shared" si="172"/>
        <v>0</v>
      </c>
      <c r="K1211" s="49">
        <f t="shared" si="172"/>
        <v>0</v>
      </c>
      <c r="L1211" s="49">
        <f t="shared" si="172"/>
        <v>0</v>
      </c>
      <c r="M1211" s="49">
        <f t="shared" si="172"/>
        <v>0</v>
      </c>
      <c r="N1211" s="49">
        <f t="shared" si="172"/>
        <v>0</v>
      </c>
      <c r="O1211" s="49">
        <f t="shared" si="172"/>
        <v>0</v>
      </c>
      <c r="P1211" s="49">
        <f t="shared" si="172"/>
        <v>0</v>
      </c>
      <c r="Q1211" s="49">
        <f t="shared" si="172"/>
        <v>0</v>
      </c>
      <c r="R1211" s="49">
        <f t="shared" si="172"/>
        <v>0</v>
      </c>
    </row>
    <row r="1212" spans="3:18" ht="13.5" customHeight="1" x14ac:dyDescent="0.15">
      <c r="C1212" s="108"/>
      <c r="D1212" s="181"/>
      <c r="E1212" s="46"/>
      <c r="F1212" s="47" t="s">
        <v>72</v>
      </c>
      <c r="G1212" s="48" t="s">
        <v>71</v>
      </c>
      <c r="H1212" s="49">
        <f t="shared" si="172"/>
        <v>0</v>
      </c>
      <c r="I1212" s="49">
        <f t="shared" si="172"/>
        <v>0</v>
      </c>
      <c r="J1212" s="49">
        <f t="shared" si="172"/>
        <v>0</v>
      </c>
      <c r="K1212" s="49">
        <f t="shared" si="172"/>
        <v>0</v>
      </c>
      <c r="L1212" s="49">
        <f t="shared" si="172"/>
        <v>0</v>
      </c>
      <c r="M1212" s="49">
        <f t="shared" si="172"/>
        <v>0</v>
      </c>
      <c r="N1212" s="49">
        <f t="shared" si="172"/>
        <v>0</v>
      </c>
      <c r="O1212" s="49">
        <f t="shared" si="172"/>
        <v>0</v>
      </c>
      <c r="P1212" s="49">
        <f t="shared" si="172"/>
        <v>0</v>
      </c>
      <c r="Q1212" s="49">
        <f t="shared" si="172"/>
        <v>0</v>
      </c>
      <c r="R1212" s="49">
        <f t="shared" si="172"/>
        <v>0</v>
      </c>
    </row>
    <row r="1213" spans="3:18" ht="13.5" customHeight="1" x14ac:dyDescent="0.15">
      <c r="C1213" s="108"/>
      <c r="D1213" s="181"/>
      <c r="E1213" s="46"/>
      <c r="F1213" s="47" t="s">
        <v>74</v>
      </c>
      <c r="G1213" s="48" t="s">
        <v>71</v>
      </c>
      <c r="H1213" s="49">
        <f t="shared" si="172"/>
        <v>0</v>
      </c>
      <c r="I1213" s="49">
        <f t="shared" si="172"/>
        <v>0</v>
      </c>
      <c r="J1213" s="49">
        <f t="shared" si="172"/>
        <v>0</v>
      </c>
      <c r="K1213" s="49">
        <f t="shared" si="172"/>
        <v>0</v>
      </c>
      <c r="L1213" s="49">
        <f t="shared" si="172"/>
        <v>0</v>
      </c>
      <c r="M1213" s="49">
        <f t="shared" si="172"/>
        <v>0</v>
      </c>
      <c r="N1213" s="49">
        <f t="shared" si="172"/>
        <v>0</v>
      </c>
      <c r="O1213" s="49">
        <f t="shared" si="172"/>
        <v>0</v>
      </c>
      <c r="P1213" s="49">
        <f t="shared" si="172"/>
        <v>0</v>
      </c>
      <c r="Q1213" s="49">
        <f t="shared" si="172"/>
        <v>0</v>
      </c>
      <c r="R1213" s="49">
        <f t="shared" si="172"/>
        <v>0</v>
      </c>
    </row>
    <row r="1214" spans="3:18" ht="13.5" customHeight="1" x14ac:dyDescent="0.15">
      <c r="C1214" s="108"/>
      <c r="D1214" s="181"/>
      <c r="E1214" s="46"/>
      <c r="F1214" s="47" t="s">
        <v>76</v>
      </c>
      <c r="G1214" s="48"/>
      <c r="H1214" s="49">
        <f t="shared" si="172"/>
        <v>0</v>
      </c>
      <c r="I1214" s="49">
        <f t="shared" si="172"/>
        <v>0</v>
      </c>
      <c r="J1214" s="49">
        <f t="shared" si="172"/>
        <v>0</v>
      </c>
      <c r="K1214" s="49">
        <f t="shared" si="172"/>
        <v>0</v>
      </c>
      <c r="L1214" s="49">
        <f t="shared" si="172"/>
        <v>0</v>
      </c>
      <c r="M1214" s="49">
        <f t="shared" si="172"/>
        <v>0</v>
      </c>
      <c r="N1214" s="49">
        <f t="shared" si="172"/>
        <v>0</v>
      </c>
      <c r="O1214" s="49">
        <f t="shared" si="172"/>
        <v>0</v>
      </c>
      <c r="P1214" s="49">
        <f t="shared" si="172"/>
        <v>0</v>
      </c>
      <c r="Q1214" s="49">
        <f t="shared" si="172"/>
        <v>0</v>
      </c>
      <c r="R1214" s="49">
        <f t="shared" si="172"/>
        <v>0</v>
      </c>
    </row>
    <row r="1215" spans="3:18" x14ac:dyDescent="0.15">
      <c r="C1215" s="108"/>
      <c r="D1215" s="181"/>
      <c r="E1215" s="46"/>
      <c r="F1215" s="47" t="s">
        <v>77</v>
      </c>
      <c r="G1215" s="48"/>
      <c r="H1215" s="49">
        <f t="shared" ref="H1215:R1216" si="173">H935*1.05</f>
        <v>0</v>
      </c>
      <c r="I1215" s="49">
        <f t="shared" si="173"/>
        <v>0</v>
      </c>
      <c r="J1215" s="49">
        <f t="shared" si="173"/>
        <v>0</v>
      </c>
      <c r="K1215" s="49">
        <f t="shared" si="173"/>
        <v>0</v>
      </c>
      <c r="L1215" s="49">
        <f t="shared" si="173"/>
        <v>0</v>
      </c>
      <c r="M1215" s="49">
        <f t="shared" si="173"/>
        <v>0</v>
      </c>
      <c r="N1215" s="49">
        <f t="shared" si="173"/>
        <v>0</v>
      </c>
      <c r="O1215" s="49">
        <f t="shared" si="173"/>
        <v>0</v>
      </c>
      <c r="P1215" s="49">
        <f t="shared" si="173"/>
        <v>0</v>
      </c>
      <c r="Q1215" s="49">
        <f t="shared" si="173"/>
        <v>0</v>
      </c>
      <c r="R1215" s="49">
        <f t="shared" si="173"/>
        <v>0</v>
      </c>
    </row>
    <row r="1216" spans="3:18" ht="14.25" thickBot="1" x14ac:dyDescent="0.2">
      <c r="F1216" s="62" t="s">
        <v>87</v>
      </c>
      <c r="H1216" s="49">
        <f t="shared" si="173"/>
        <v>0</v>
      </c>
      <c r="I1216" s="49">
        <f t="shared" si="173"/>
        <v>0</v>
      </c>
      <c r="J1216" s="49">
        <f t="shared" si="173"/>
        <v>0</v>
      </c>
      <c r="K1216" s="49">
        <f t="shared" si="173"/>
        <v>0</v>
      </c>
      <c r="L1216" s="49">
        <f t="shared" si="173"/>
        <v>0</v>
      </c>
      <c r="M1216" s="49">
        <f t="shared" si="173"/>
        <v>0</v>
      </c>
      <c r="N1216" s="49">
        <f t="shared" si="173"/>
        <v>0</v>
      </c>
      <c r="O1216" s="49">
        <f t="shared" si="173"/>
        <v>0</v>
      </c>
      <c r="P1216" s="49">
        <f t="shared" si="173"/>
        <v>0</v>
      </c>
      <c r="Q1216" s="49">
        <f t="shared" si="173"/>
        <v>0</v>
      </c>
      <c r="R1216" s="49">
        <f t="shared" si="173"/>
        <v>0</v>
      </c>
    </row>
  </sheetData>
  <mergeCells count="200">
    <mergeCell ref="C623:C670"/>
    <mergeCell ref="D624:D639"/>
    <mergeCell ref="E624:E638"/>
    <mergeCell ref="H624:H635"/>
    <mergeCell ref="D640:D654"/>
    <mergeCell ref="E640:E654"/>
    <mergeCell ref="H640:H653"/>
    <mergeCell ref="D655:D670"/>
    <mergeCell ref="E655:E670"/>
    <mergeCell ref="H655:H669"/>
    <mergeCell ref="C575:C622"/>
    <mergeCell ref="D576:D591"/>
    <mergeCell ref="E576:E590"/>
    <mergeCell ref="H576:H587"/>
    <mergeCell ref="D592:D606"/>
    <mergeCell ref="E592:E606"/>
    <mergeCell ref="H592:H605"/>
    <mergeCell ref="D607:D622"/>
    <mergeCell ref="E607:E622"/>
    <mergeCell ref="H607:H621"/>
    <mergeCell ref="C527:C574"/>
    <mergeCell ref="D528:D543"/>
    <mergeCell ref="E528:E542"/>
    <mergeCell ref="H528:H539"/>
    <mergeCell ref="D544:D558"/>
    <mergeCell ref="E544:E558"/>
    <mergeCell ref="H544:H557"/>
    <mergeCell ref="D559:D574"/>
    <mergeCell ref="E559:E574"/>
    <mergeCell ref="H559:H573"/>
    <mergeCell ref="C479:C526"/>
    <mergeCell ref="D480:D495"/>
    <mergeCell ref="E480:E494"/>
    <mergeCell ref="H480:H491"/>
    <mergeCell ref="D496:D510"/>
    <mergeCell ref="E496:E510"/>
    <mergeCell ref="H496:H509"/>
    <mergeCell ref="D511:D526"/>
    <mergeCell ref="E511:E526"/>
    <mergeCell ref="H511:H525"/>
    <mergeCell ref="C431:C478"/>
    <mergeCell ref="D432:D447"/>
    <mergeCell ref="E432:E446"/>
    <mergeCell ref="H432:H443"/>
    <mergeCell ref="D448:D462"/>
    <mergeCell ref="E448:E462"/>
    <mergeCell ref="H448:H461"/>
    <mergeCell ref="D463:D478"/>
    <mergeCell ref="E463:E478"/>
    <mergeCell ref="H463:H477"/>
    <mergeCell ref="C383:C430"/>
    <mergeCell ref="D384:D399"/>
    <mergeCell ref="E384:E398"/>
    <mergeCell ref="H384:H395"/>
    <mergeCell ref="D400:D414"/>
    <mergeCell ref="E400:E414"/>
    <mergeCell ref="H400:H413"/>
    <mergeCell ref="D415:D430"/>
    <mergeCell ref="E415:E430"/>
    <mergeCell ref="H415:H429"/>
    <mergeCell ref="C335:C382"/>
    <mergeCell ref="D336:D351"/>
    <mergeCell ref="E336:E350"/>
    <mergeCell ref="H336:H347"/>
    <mergeCell ref="D352:D366"/>
    <mergeCell ref="E352:E366"/>
    <mergeCell ref="H352:H365"/>
    <mergeCell ref="D367:D382"/>
    <mergeCell ref="E367:E382"/>
    <mergeCell ref="H367:H381"/>
    <mergeCell ref="C1179:C1196"/>
    <mergeCell ref="D1179:D1196"/>
    <mergeCell ref="C1197:F1197"/>
    <mergeCell ref="D1198:D1215"/>
    <mergeCell ref="E4:E18"/>
    <mergeCell ref="D4:D19"/>
    <mergeCell ref="D20:D34"/>
    <mergeCell ref="E20:E34"/>
    <mergeCell ref="D35:D49"/>
    <mergeCell ref="E35:E49"/>
    <mergeCell ref="D51:D66"/>
    <mergeCell ref="E51:E65"/>
    <mergeCell ref="D67:D81"/>
    <mergeCell ref="E67:E81"/>
    <mergeCell ref="D82:D96"/>
    <mergeCell ref="E82:E96"/>
    <mergeCell ref="C4:C49"/>
    <mergeCell ref="C50:C97"/>
    <mergeCell ref="D99:D114"/>
    <mergeCell ref="E99:E113"/>
    <mergeCell ref="D1104:D1121"/>
    <mergeCell ref="C1122:E1122"/>
    <mergeCell ref="D1123:D1140"/>
    <mergeCell ref="D1141:D1158"/>
    <mergeCell ref="D1159:D1176"/>
    <mergeCell ref="C1178:E1178"/>
    <mergeCell ref="H20:H33"/>
    <mergeCell ref="H35:H48"/>
    <mergeCell ref="H51:H62"/>
    <mergeCell ref="H67:H80"/>
    <mergeCell ref="H82:H95"/>
    <mergeCell ref="H99:H110"/>
    <mergeCell ref="D115:D129"/>
    <mergeCell ref="E115:E129"/>
    <mergeCell ref="H115:H128"/>
    <mergeCell ref="D130:D144"/>
    <mergeCell ref="E130:E144"/>
    <mergeCell ref="H130:H143"/>
    <mergeCell ref="C98:C145"/>
    <mergeCell ref="D147:D162"/>
    <mergeCell ref="E147:E161"/>
    <mergeCell ref="H147:H158"/>
    <mergeCell ref="D1011:D1029"/>
    <mergeCell ref="D974:D991"/>
    <mergeCell ref="D992:D1009"/>
    <mergeCell ref="C146:C192"/>
    <mergeCell ref="C193:C239"/>
    <mergeCell ref="C775:C778"/>
    <mergeCell ref="P1011:Q1011"/>
    <mergeCell ref="D1030:D1047"/>
    <mergeCell ref="D1048:D1065"/>
    <mergeCell ref="D1067:D1085"/>
    <mergeCell ref="D1086:D1103"/>
    <mergeCell ref="D163:D177"/>
    <mergeCell ref="E163:E177"/>
    <mergeCell ref="H163:H176"/>
    <mergeCell ref="D178:D192"/>
    <mergeCell ref="E178:E192"/>
    <mergeCell ref="H178:H191"/>
    <mergeCell ref="D194:D209"/>
    <mergeCell ref="E194:E208"/>
    <mergeCell ref="H194:H205"/>
    <mergeCell ref="D210:D224"/>
    <mergeCell ref="E210:E224"/>
    <mergeCell ref="H210:H223"/>
    <mergeCell ref="D225:D239"/>
    <mergeCell ref="E225:E239"/>
    <mergeCell ref="H225:H238"/>
    <mergeCell ref="D900:D917"/>
    <mergeCell ref="D918:D936"/>
    <mergeCell ref="D937:D954"/>
    <mergeCell ref="D955:D973"/>
    <mergeCell ref="D775:D778"/>
    <mergeCell ref="G775:G778"/>
    <mergeCell ref="C792:C1009"/>
    <mergeCell ref="D792:D809"/>
    <mergeCell ref="D810:D827"/>
    <mergeCell ref="D828:D845"/>
    <mergeCell ref="D846:D863"/>
    <mergeCell ref="D864:D881"/>
    <mergeCell ref="D882:D899"/>
    <mergeCell ref="C744:C747"/>
    <mergeCell ref="D744:D747"/>
    <mergeCell ref="G744:G747"/>
    <mergeCell ref="C762:C765"/>
    <mergeCell ref="D762:D765"/>
    <mergeCell ref="G762:G765"/>
    <mergeCell ref="C768:C771"/>
    <mergeCell ref="D768:D771"/>
    <mergeCell ref="G768:G771"/>
    <mergeCell ref="C750:C753"/>
    <mergeCell ref="D750:D753"/>
    <mergeCell ref="G750:G753"/>
    <mergeCell ref="C756:C759"/>
    <mergeCell ref="D756:D759"/>
    <mergeCell ref="G756:G759"/>
    <mergeCell ref="C240:C286"/>
    <mergeCell ref="E272:E286"/>
    <mergeCell ref="D288:D303"/>
    <mergeCell ref="E288:E302"/>
    <mergeCell ref="H288:H299"/>
    <mergeCell ref="D304:D318"/>
    <mergeCell ref="E304:E318"/>
    <mergeCell ref="H304:H317"/>
    <mergeCell ref="C738:C741"/>
    <mergeCell ref="D738:D741"/>
    <mergeCell ref="G738:G741"/>
    <mergeCell ref="H319:H333"/>
    <mergeCell ref="D319:D334"/>
    <mergeCell ref="E319:E334"/>
    <mergeCell ref="C287:C334"/>
    <mergeCell ref="C688:C735"/>
    <mergeCell ref="D689:D704"/>
    <mergeCell ref="E689:E703"/>
    <mergeCell ref="H689:H700"/>
    <mergeCell ref="D705:D719"/>
    <mergeCell ref="E705:E719"/>
    <mergeCell ref="H705:H718"/>
    <mergeCell ref="D720:D735"/>
    <mergeCell ref="E720:E735"/>
    <mergeCell ref="H720:H734"/>
    <mergeCell ref="H4:H15"/>
    <mergeCell ref="D241:D256"/>
    <mergeCell ref="E241:E255"/>
    <mergeCell ref="H241:H252"/>
    <mergeCell ref="D257:D271"/>
    <mergeCell ref="E257:E271"/>
    <mergeCell ref="H257:H270"/>
    <mergeCell ref="H272:H285"/>
    <mergeCell ref="D272:D286"/>
  </mergeCells>
  <phoneticPr fontId="3" type="noConversion"/>
  <pageMargins left="0.25" right="0.25" top="0.75" bottom="0.75" header="0.3" footer="0.3"/>
  <pageSetup paperSize="9" scale="32" fitToHeight="0" orientation="portrait" r:id="rId1"/>
  <headerFooter alignWithMargins="0"/>
  <rowBreaks count="6" manualBreakCount="6">
    <brk id="334" max="23" man="1"/>
    <brk id="380" max="23" man="1"/>
    <brk id="784" max="23" man="1"/>
    <brk id="899" max="23" man="1"/>
    <brk id="936" max="23" man="1"/>
    <brk id="1121" max="2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SS22</vt:lpstr>
      <vt:lpstr>'SS22'!Print_Area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2021-08-24T04:02:23Z</dcterms:created>
  <dcterms:modified xsi:type="dcterms:W3CDTF">2021-09-02T02:41:13Z</dcterms:modified>
</cp:coreProperties>
</file>