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1\3. LIFUNG\2. commit  PO\KIDS\PO\SS22\"/>
    </mc:Choice>
  </mc:AlternateContent>
  <xr:revisionPtr revIDLastSave="0" documentId="13_ncr:1_{C69FDB1A-46B5-41FB-9E4D-D9A6355F6B5E}" xr6:coauthVersionLast="47" xr6:coauthVersionMax="47" xr10:uidLastSave="{00000000-0000-0000-0000-000000000000}"/>
  <bookViews>
    <workbookView xWindow="-120" yWindow="-120" windowWidth="29040" windowHeight="15840" xr2:uid="{D60C12B8-8A39-4F69-BB4B-9A4DEED60F57}"/>
  </bookViews>
  <sheets>
    <sheet name="SS22 commit" sheetId="1" r:id="rId1"/>
    <sheet name="SS22 po" sheetId="2" r:id="rId2"/>
  </sheets>
  <definedNames>
    <definedName name="_xlnm.Print_Area" localSheetId="0">'SS22 commit'!$A$1:$X$179</definedName>
    <definedName name="_xlnm.Print_Area" localSheetId="1">'SS22 po'!$A$1:$X$135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K47" i="1"/>
  <c r="L47" i="1"/>
  <c r="M47" i="1"/>
  <c r="N47" i="1"/>
  <c r="O47" i="1"/>
  <c r="P47" i="1"/>
  <c r="H47" i="1"/>
  <c r="I46" i="1"/>
  <c r="J46" i="1"/>
  <c r="K46" i="1"/>
  <c r="L46" i="1"/>
  <c r="M46" i="1"/>
  <c r="N46" i="1"/>
  <c r="H46" i="1"/>
  <c r="R45" i="1"/>
  <c r="R44" i="1"/>
  <c r="R43" i="1"/>
  <c r="R42" i="1"/>
  <c r="R41" i="1"/>
  <c r="R40" i="1"/>
  <c r="R39" i="1"/>
  <c r="R38" i="1"/>
  <c r="R37" i="1"/>
  <c r="R36" i="1"/>
  <c r="R35" i="1"/>
  <c r="R34" i="1"/>
  <c r="R28" i="1"/>
  <c r="R33" i="1"/>
  <c r="R32" i="1"/>
  <c r="R31" i="1"/>
  <c r="R30" i="1"/>
  <c r="R29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Q46" i="1"/>
  <c r="P46" i="1"/>
  <c r="O46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I133" i="2"/>
  <c r="Q129" i="2"/>
  <c r="I129" i="2"/>
  <c r="Q128" i="2"/>
  <c r="P128" i="2"/>
  <c r="O128" i="2"/>
  <c r="N128" i="2"/>
  <c r="M128" i="2"/>
  <c r="L128" i="2"/>
  <c r="K128" i="2"/>
  <c r="J128" i="2"/>
  <c r="R128" i="2"/>
  <c r="I128" i="2"/>
  <c r="H128" i="2"/>
  <c r="Q127" i="2"/>
  <c r="P127" i="2"/>
  <c r="O127" i="2"/>
  <c r="O129" i="2"/>
  <c r="N127" i="2"/>
  <c r="M127" i="2"/>
  <c r="L127" i="2"/>
  <c r="K127" i="2"/>
  <c r="J127" i="2"/>
  <c r="I127" i="2"/>
  <c r="R127" i="2"/>
  <c r="H127" i="2"/>
  <c r="Q126" i="2"/>
  <c r="P126" i="2"/>
  <c r="O126" i="2"/>
  <c r="N126" i="2"/>
  <c r="M126" i="2"/>
  <c r="L126" i="2"/>
  <c r="K126" i="2"/>
  <c r="J126" i="2"/>
  <c r="R126" i="2"/>
  <c r="I126" i="2"/>
  <c r="H126" i="2"/>
  <c r="Q125" i="2"/>
  <c r="P125" i="2"/>
  <c r="O125" i="2"/>
  <c r="N125" i="2"/>
  <c r="M125" i="2"/>
  <c r="L125" i="2"/>
  <c r="K125" i="2"/>
  <c r="J125" i="2"/>
  <c r="I125" i="2"/>
  <c r="H125" i="2"/>
  <c r="R125" i="2"/>
  <c r="Q124" i="2"/>
  <c r="P124" i="2"/>
  <c r="P129" i="2"/>
  <c r="O124" i="2"/>
  <c r="N124" i="2"/>
  <c r="M124" i="2"/>
  <c r="L124" i="2"/>
  <c r="K124" i="2"/>
  <c r="J124" i="2"/>
  <c r="I124" i="2"/>
  <c r="H124" i="2"/>
  <c r="R124" i="2"/>
  <c r="Q123" i="2"/>
  <c r="P123" i="2"/>
  <c r="O123" i="2"/>
  <c r="N123" i="2"/>
  <c r="N129" i="2"/>
  <c r="M123" i="2"/>
  <c r="M129" i="2"/>
  <c r="L123" i="2"/>
  <c r="L129" i="2"/>
  <c r="K123" i="2"/>
  <c r="K129" i="2"/>
  <c r="J123" i="2"/>
  <c r="J129" i="2"/>
  <c r="I123" i="2"/>
  <c r="R123" i="2"/>
  <c r="H123" i="2"/>
  <c r="Q120" i="2"/>
  <c r="P120" i="2"/>
  <c r="O120" i="2"/>
  <c r="N120" i="2"/>
  <c r="I120" i="2"/>
  <c r="H120" i="2"/>
  <c r="Q119" i="2"/>
  <c r="P119" i="2"/>
  <c r="O119" i="2"/>
  <c r="N119" i="2"/>
  <c r="I119" i="2"/>
  <c r="H119" i="2"/>
  <c r="N118" i="2"/>
  <c r="M118" i="2"/>
  <c r="L118" i="2"/>
  <c r="K118" i="2"/>
  <c r="J118" i="2"/>
  <c r="I118" i="2"/>
  <c r="H118" i="2"/>
  <c r="N117" i="2"/>
  <c r="M117" i="2"/>
  <c r="L117" i="2"/>
  <c r="K117" i="2"/>
  <c r="J117" i="2"/>
  <c r="I117" i="2"/>
  <c r="H117" i="2"/>
  <c r="Q116" i="2"/>
  <c r="P116" i="2"/>
  <c r="O116" i="2"/>
  <c r="Q115" i="2"/>
  <c r="P115" i="2"/>
  <c r="O115" i="2"/>
  <c r="Q112" i="2"/>
  <c r="P112" i="2"/>
  <c r="O112" i="2"/>
  <c r="N112" i="2"/>
  <c r="M112" i="2"/>
  <c r="L112" i="2"/>
  <c r="K112" i="2"/>
  <c r="J112" i="2"/>
  <c r="I112" i="2"/>
  <c r="R112" i="2"/>
  <c r="H112" i="2"/>
  <c r="R111" i="2"/>
  <c r="R110" i="2"/>
  <c r="R109" i="2"/>
  <c r="R108" i="2"/>
  <c r="R107" i="2"/>
  <c r="R106" i="2"/>
  <c r="K103" i="2"/>
  <c r="K120" i="2"/>
  <c r="J103" i="2"/>
  <c r="Q101" i="2"/>
  <c r="Q118" i="2"/>
  <c r="P101" i="2"/>
  <c r="P118" i="2"/>
  <c r="N99" i="2"/>
  <c r="N116" i="2"/>
  <c r="N98" i="2"/>
  <c r="N104" i="2"/>
  <c r="M98" i="2"/>
  <c r="M115" i="2"/>
  <c r="M97" i="2"/>
  <c r="M133" i="2"/>
  <c r="L97" i="2"/>
  <c r="L133" i="2"/>
  <c r="K97" i="2"/>
  <c r="K133" i="2"/>
  <c r="J97" i="2"/>
  <c r="J133" i="2"/>
  <c r="I97" i="2"/>
  <c r="R97" i="2"/>
  <c r="M96" i="2"/>
  <c r="M132" i="2"/>
  <c r="L96" i="2"/>
  <c r="L132" i="2"/>
  <c r="K96" i="2"/>
  <c r="K132" i="2"/>
  <c r="J96" i="2"/>
  <c r="J132" i="2"/>
  <c r="I96" i="2"/>
  <c r="R96" i="2"/>
  <c r="M95" i="2"/>
  <c r="M103" i="2"/>
  <c r="M120" i="2"/>
  <c r="L95" i="2"/>
  <c r="L103" i="2"/>
  <c r="L120" i="2"/>
  <c r="K95" i="2"/>
  <c r="J95" i="2"/>
  <c r="R95" i="2"/>
  <c r="R94" i="2"/>
  <c r="M94" i="2"/>
  <c r="M102" i="2"/>
  <c r="M119" i="2"/>
  <c r="L94" i="2"/>
  <c r="L102" i="2"/>
  <c r="L119" i="2"/>
  <c r="K94" i="2"/>
  <c r="K102" i="2"/>
  <c r="K119" i="2"/>
  <c r="J94" i="2"/>
  <c r="J102" i="2"/>
  <c r="Q93" i="2"/>
  <c r="P93" i="2"/>
  <c r="O93" i="2"/>
  <c r="R93" i="2"/>
  <c r="Q92" i="2"/>
  <c r="Q100" i="2"/>
  <c r="P92" i="2"/>
  <c r="P100" i="2"/>
  <c r="O92" i="2"/>
  <c r="O100" i="2"/>
  <c r="N91" i="2"/>
  <c r="M91" i="2"/>
  <c r="L91" i="2"/>
  <c r="L99" i="2"/>
  <c r="L116" i="2"/>
  <c r="K91" i="2"/>
  <c r="K99" i="2"/>
  <c r="K116" i="2"/>
  <c r="J91" i="2"/>
  <c r="J99" i="2"/>
  <c r="J116" i="2"/>
  <c r="I91" i="2"/>
  <c r="I99" i="2"/>
  <c r="I116" i="2"/>
  <c r="H91" i="2"/>
  <c r="R91" i="2"/>
  <c r="N90" i="2"/>
  <c r="M90" i="2"/>
  <c r="L90" i="2"/>
  <c r="L98" i="2"/>
  <c r="K90" i="2"/>
  <c r="K98" i="2"/>
  <c r="J90" i="2"/>
  <c r="J98" i="2"/>
  <c r="I90" i="2"/>
  <c r="I98" i="2"/>
  <c r="H90" i="2"/>
  <c r="H98" i="2"/>
  <c r="T87" i="2"/>
  <c r="Q86" i="2"/>
  <c r="P86" i="2"/>
  <c r="O86" i="2"/>
  <c r="N86" i="2"/>
  <c r="M86" i="2"/>
  <c r="L84" i="2"/>
  <c r="K84" i="2"/>
  <c r="J84" i="2"/>
  <c r="I84" i="2"/>
  <c r="H84" i="2"/>
  <c r="R84" i="2"/>
  <c r="L83" i="2"/>
  <c r="K83" i="2"/>
  <c r="J83" i="2"/>
  <c r="I83" i="2"/>
  <c r="H83" i="2"/>
  <c r="R83" i="2"/>
  <c r="L82" i="2"/>
  <c r="K82" i="2"/>
  <c r="J82" i="2"/>
  <c r="I82" i="2"/>
  <c r="H82" i="2"/>
  <c r="R82" i="2"/>
  <c r="L81" i="2"/>
  <c r="L86" i="2"/>
  <c r="K81" i="2"/>
  <c r="K86" i="2"/>
  <c r="J81" i="2"/>
  <c r="J86" i="2"/>
  <c r="I81" i="2"/>
  <c r="I86" i="2"/>
  <c r="H81" i="2"/>
  <c r="R81" i="2"/>
  <c r="Q79" i="2"/>
  <c r="P79" i="2"/>
  <c r="O79" i="2"/>
  <c r="N79" i="2"/>
  <c r="M79" i="2"/>
  <c r="L79" i="2"/>
  <c r="K79" i="2"/>
  <c r="J79" i="2"/>
  <c r="I79" i="2"/>
  <c r="H79" i="2"/>
  <c r="R77" i="2"/>
  <c r="R76" i="2"/>
  <c r="R75" i="2"/>
  <c r="R79" i="2"/>
  <c r="R74" i="2"/>
  <c r="R73" i="2"/>
  <c r="Q73" i="2"/>
  <c r="P73" i="2"/>
  <c r="O73" i="2"/>
  <c r="N73" i="2"/>
  <c r="M73" i="2"/>
  <c r="L73" i="2"/>
  <c r="K73" i="2"/>
  <c r="J73" i="2"/>
  <c r="I73" i="2"/>
  <c r="H73" i="2"/>
  <c r="R71" i="2"/>
  <c r="R70" i="2"/>
  <c r="R69" i="2"/>
  <c r="R68" i="2"/>
  <c r="Q67" i="2"/>
  <c r="P67" i="2"/>
  <c r="O67" i="2"/>
  <c r="N67" i="2"/>
  <c r="M67" i="2"/>
  <c r="L67" i="2"/>
  <c r="K67" i="2"/>
  <c r="J67" i="2"/>
  <c r="I67" i="2"/>
  <c r="H67" i="2"/>
  <c r="R65" i="2"/>
  <c r="R64" i="2"/>
  <c r="R63" i="2"/>
  <c r="R62" i="2"/>
  <c r="R67" i="2"/>
  <c r="Q61" i="2"/>
  <c r="P61" i="2"/>
  <c r="O61" i="2"/>
  <c r="N61" i="2"/>
  <c r="M61" i="2"/>
  <c r="L61" i="2"/>
  <c r="K61" i="2"/>
  <c r="J61" i="2"/>
  <c r="I61" i="2"/>
  <c r="H61" i="2"/>
  <c r="R59" i="2"/>
  <c r="R58" i="2"/>
  <c r="R61" i="2"/>
  <c r="R57" i="2"/>
  <c r="R56" i="2"/>
  <c r="Q55" i="2"/>
  <c r="P55" i="2"/>
  <c r="O55" i="2"/>
  <c r="N55" i="2"/>
  <c r="M55" i="2"/>
  <c r="L55" i="2"/>
  <c r="K55" i="2"/>
  <c r="J55" i="2"/>
  <c r="I55" i="2"/>
  <c r="H55" i="2"/>
  <c r="R53" i="2"/>
  <c r="R52" i="2"/>
  <c r="R51" i="2"/>
  <c r="R55" i="2"/>
  <c r="R50" i="2"/>
  <c r="Q49" i="2"/>
  <c r="P49" i="2"/>
  <c r="O49" i="2"/>
  <c r="N49" i="2"/>
  <c r="M49" i="2"/>
  <c r="L49" i="2"/>
  <c r="K49" i="2"/>
  <c r="J49" i="2"/>
  <c r="I49" i="2"/>
  <c r="H49" i="2"/>
  <c r="R47" i="2"/>
  <c r="R46" i="2"/>
  <c r="R45" i="2"/>
  <c r="R44" i="2"/>
  <c r="R49" i="2"/>
  <c r="Q43" i="2"/>
  <c r="P43" i="2"/>
  <c r="O43" i="2"/>
  <c r="N43" i="2"/>
  <c r="M43" i="2"/>
  <c r="L43" i="2"/>
  <c r="K43" i="2"/>
  <c r="J43" i="2"/>
  <c r="I43" i="2"/>
  <c r="H43" i="2"/>
  <c r="R41" i="2"/>
  <c r="R40" i="2"/>
  <c r="R39" i="2"/>
  <c r="R38" i="2"/>
  <c r="R43" i="2"/>
  <c r="R86" i="2"/>
  <c r="O117" i="2"/>
  <c r="R100" i="2"/>
  <c r="H115" i="2"/>
  <c r="H104" i="2"/>
  <c r="R98" i="2"/>
  <c r="Q104" i="2"/>
  <c r="Q117" i="2"/>
  <c r="Q121" i="2"/>
  <c r="P104" i="2"/>
  <c r="P117" i="2"/>
  <c r="P121" i="2"/>
  <c r="J115" i="2"/>
  <c r="J121" i="2"/>
  <c r="J104" i="2"/>
  <c r="I104" i="2"/>
  <c r="I115" i="2"/>
  <c r="I121" i="2"/>
  <c r="K115" i="2"/>
  <c r="K121" i="2"/>
  <c r="K104" i="2"/>
  <c r="M121" i="2"/>
  <c r="L115" i="2"/>
  <c r="L121" i="2"/>
  <c r="L104" i="2"/>
  <c r="J119" i="2"/>
  <c r="R119" i="2"/>
  <c r="R102" i="2"/>
  <c r="R103" i="2"/>
  <c r="R133" i="2"/>
  <c r="O101" i="2"/>
  <c r="O104" i="2"/>
  <c r="N115" i="2"/>
  <c r="N121" i="2"/>
  <c r="H86" i="2"/>
  <c r="R92" i="2"/>
  <c r="M99" i="2"/>
  <c r="M116" i="2"/>
  <c r="H129" i="2"/>
  <c r="R129" i="2"/>
  <c r="M104" i="2"/>
  <c r="J120" i="2"/>
  <c r="R120" i="2"/>
  <c r="H99" i="2"/>
  <c r="I132" i="2"/>
  <c r="R132" i="2"/>
  <c r="R90" i="2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K173" i="1" s="1"/>
  <c r="J168" i="1"/>
  <c r="I168" i="1"/>
  <c r="H168" i="1"/>
  <c r="Q167" i="1"/>
  <c r="P167" i="1"/>
  <c r="O167" i="1"/>
  <c r="N167" i="1"/>
  <c r="M167" i="1"/>
  <c r="L167" i="1"/>
  <c r="K167" i="1"/>
  <c r="J167" i="1"/>
  <c r="I167" i="1"/>
  <c r="I173" i="1" s="1"/>
  <c r="H167" i="1"/>
  <c r="V27" i="2"/>
  <c r="W27" i="2"/>
  <c r="V5" i="2"/>
  <c r="W5" i="2"/>
  <c r="R115" i="2"/>
  <c r="R104" i="2"/>
  <c r="H116" i="2"/>
  <c r="R116" i="2"/>
  <c r="R99" i="2"/>
  <c r="O118" i="2"/>
  <c r="R101" i="2"/>
  <c r="R117" i="2"/>
  <c r="H121" i="2"/>
  <c r="R121" i="2"/>
  <c r="O121" i="2"/>
  <c r="R118" i="2"/>
  <c r="M141" i="1"/>
  <c r="M177" i="1"/>
  <c r="L141" i="1"/>
  <c r="L177" i="1" s="1"/>
  <c r="K141" i="1"/>
  <c r="K177" i="1"/>
  <c r="J141" i="1"/>
  <c r="J177" i="1" s="1"/>
  <c r="I141" i="1"/>
  <c r="I177" i="1" s="1"/>
  <c r="Q164" i="1"/>
  <c r="P164" i="1"/>
  <c r="O164" i="1"/>
  <c r="N164" i="1"/>
  <c r="I164" i="1"/>
  <c r="H164" i="1"/>
  <c r="Q163" i="1"/>
  <c r="P163" i="1"/>
  <c r="O163" i="1"/>
  <c r="N163" i="1"/>
  <c r="I163" i="1"/>
  <c r="H163" i="1"/>
  <c r="N162" i="1"/>
  <c r="M162" i="1"/>
  <c r="L162" i="1"/>
  <c r="K162" i="1"/>
  <c r="J162" i="1"/>
  <c r="I162" i="1"/>
  <c r="H162" i="1"/>
  <c r="N161" i="1"/>
  <c r="M161" i="1"/>
  <c r="L161" i="1"/>
  <c r="K161" i="1"/>
  <c r="J161" i="1"/>
  <c r="I161" i="1"/>
  <c r="H161" i="1"/>
  <c r="Q160" i="1"/>
  <c r="P160" i="1"/>
  <c r="O160" i="1"/>
  <c r="Q159" i="1"/>
  <c r="P159" i="1"/>
  <c r="O159" i="1"/>
  <c r="R153" i="1"/>
  <c r="R151" i="1"/>
  <c r="M140" i="1"/>
  <c r="M176" i="1" s="1"/>
  <c r="L140" i="1"/>
  <c r="L176" i="1" s="1"/>
  <c r="K140" i="1"/>
  <c r="K176" i="1" s="1"/>
  <c r="J140" i="1"/>
  <c r="J176" i="1" s="1"/>
  <c r="I140" i="1"/>
  <c r="I176" i="1" s="1"/>
  <c r="Q137" i="1"/>
  <c r="Q145" i="1" s="1"/>
  <c r="Q162" i="1" s="1"/>
  <c r="Q156" i="1"/>
  <c r="P137" i="1"/>
  <c r="P145" i="1" s="1"/>
  <c r="P162" i="1" s="1"/>
  <c r="O137" i="1"/>
  <c r="O145" i="1" s="1"/>
  <c r="O162" i="1" s="1"/>
  <c r="M138" i="1"/>
  <c r="M146" i="1"/>
  <c r="M163" i="1" s="1"/>
  <c r="L138" i="1"/>
  <c r="L146" i="1" s="1"/>
  <c r="L163" i="1" s="1"/>
  <c r="K138" i="1"/>
  <c r="K146" i="1" s="1"/>
  <c r="J138" i="1"/>
  <c r="J146" i="1" s="1"/>
  <c r="J163" i="1" s="1"/>
  <c r="M139" i="1"/>
  <c r="M147" i="1"/>
  <c r="M164" i="1" s="1"/>
  <c r="L139" i="1"/>
  <c r="L147" i="1" s="1"/>
  <c r="L164" i="1" s="1"/>
  <c r="K139" i="1"/>
  <c r="K147" i="1" s="1"/>
  <c r="K164" i="1" s="1"/>
  <c r="J139" i="1"/>
  <c r="J147" i="1" s="1"/>
  <c r="J164" i="1" s="1"/>
  <c r="R154" i="1"/>
  <c r="Q136" i="1"/>
  <c r="Q144" i="1" s="1"/>
  <c r="P136" i="1"/>
  <c r="P144" i="1" s="1"/>
  <c r="P161" i="1" s="1"/>
  <c r="O136" i="1"/>
  <c r="O144" i="1" s="1"/>
  <c r="N135" i="1"/>
  <c r="N143" i="1" s="1"/>
  <c r="N160" i="1" s="1"/>
  <c r="N156" i="1"/>
  <c r="M135" i="1"/>
  <c r="M143" i="1" s="1"/>
  <c r="M160" i="1" s="1"/>
  <c r="L135" i="1"/>
  <c r="K135" i="1"/>
  <c r="K143" i="1" s="1"/>
  <c r="K160" i="1" s="1"/>
  <c r="J135" i="1"/>
  <c r="I135" i="1"/>
  <c r="H135" i="1"/>
  <c r="H143" i="1" s="1"/>
  <c r="H160" i="1" s="1"/>
  <c r="N134" i="1"/>
  <c r="N142" i="1" s="1"/>
  <c r="M134" i="1"/>
  <c r="L134" i="1"/>
  <c r="K134" i="1"/>
  <c r="J134" i="1"/>
  <c r="I134" i="1"/>
  <c r="H134" i="1"/>
  <c r="H142" i="1" s="1"/>
  <c r="T131" i="1"/>
  <c r="O128" i="1"/>
  <c r="N128" i="1"/>
  <c r="O121" i="1"/>
  <c r="N121" i="1"/>
  <c r="O115" i="1"/>
  <c r="N115" i="1"/>
  <c r="O109" i="1"/>
  <c r="N109" i="1"/>
  <c r="O103" i="1"/>
  <c r="N103" i="1"/>
  <c r="O97" i="1"/>
  <c r="N97" i="1"/>
  <c r="O91" i="1"/>
  <c r="N91" i="1"/>
  <c r="O85" i="1"/>
  <c r="N85" i="1"/>
  <c r="I156" i="1"/>
  <c r="P156" i="1"/>
  <c r="H156" i="1"/>
  <c r="R150" i="1"/>
  <c r="K156" i="1"/>
  <c r="R152" i="1"/>
  <c r="O156" i="1"/>
  <c r="L156" i="1"/>
  <c r="M156" i="1"/>
  <c r="R155" i="1"/>
  <c r="J156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H126" i="1"/>
  <c r="H125" i="1"/>
  <c r="H124" i="1"/>
  <c r="H123" i="1"/>
  <c r="Q121" i="1"/>
  <c r="P121" i="1"/>
  <c r="M121" i="1"/>
  <c r="L121" i="1"/>
  <c r="K121" i="1"/>
  <c r="J121" i="1"/>
  <c r="I121" i="1"/>
  <c r="H121" i="1"/>
  <c r="R119" i="1"/>
  <c r="R118" i="1"/>
  <c r="R117" i="1"/>
  <c r="R116" i="1"/>
  <c r="Q115" i="1"/>
  <c r="P115" i="1"/>
  <c r="M115" i="1"/>
  <c r="L115" i="1"/>
  <c r="K115" i="1"/>
  <c r="J115" i="1"/>
  <c r="I115" i="1"/>
  <c r="H115" i="1"/>
  <c r="R113" i="1"/>
  <c r="R112" i="1"/>
  <c r="R111" i="1"/>
  <c r="R110" i="1"/>
  <c r="Q128" i="1"/>
  <c r="P128" i="1"/>
  <c r="M128" i="1"/>
  <c r="L128" i="1"/>
  <c r="I128" i="1"/>
  <c r="Q109" i="1"/>
  <c r="P109" i="1"/>
  <c r="M109" i="1"/>
  <c r="L109" i="1"/>
  <c r="K109" i="1"/>
  <c r="J109" i="1"/>
  <c r="I109" i="1"/>
  <c r="H109" i="1"/>
  <c r="R107" i="1"/>
  <c r="R106" i="1"/>
  <c r="R105" i="1"/>
  <c r="R104" i="1"/>
  <c r="Q103" i="1"/>
  <c r="P103" i="1"/>
  <c r="M103" i="1"/>
  <c r="L103" i="1"/>
  <c r="K103" i="1"/>
  <c r="J103" i="1"/>
  <c r="I103" i="1"/>
  <c r="H103" i="1"/>
  <c r="R101" i="1"/>
  <c r="R100" i="1"/>
  <c r="R99" i="1"/>
  <c r="R98" i="1"/>
  <c r="Q97" i="1"/>
  <c r="P97" i="1"/>
  <c r="M97" i="1"/>
  <c r="L97" i="1"/>
  <c r="K97" i="1"/>
  <c r="J97" i="1"/>
  <c r="I97" i="1"/>
  <c r="H97" i="1"/>
  <c r="R95" i="1"/>
  <c r="R94" i="1"/>
  <c r="R93" i="1"/>
  <c r="R92" i="1"/>
  <c r="Q91" i="1"/>
  <c r="P91" i="1"/>
  <c r="M91" i="1"/>
  <c r="L91" i="1"/>
  <c r="K91" i="1"/>
  <c r="J91" i="1"/>
  <c r="I91" i="1"/>
  <c r="H91" i="1"/>
  <c r="R89" i="1"/>
  <c r="R88" i="1"/>
  <c r="R87" i="1"/>
  <c r="R86" i="1"/>
  <c r="Q85" i="1"/>
  <c r="P85" i="1"/>
  <c r="M85" i="1"/>
  <c r="L85" i="1"/>
  <c r="K85" i="1"/>
  <c r="J85" i="1"/>
  <c r="I85" i="1"/>
  <c r="H85" i="1"/>
  <c r="R83" i="1"/>
  <c r="R82" i="1"/>
  <c r="R81" i="1"/>
  <c r="R80" i="1"/>
  <c r="M142" i="1" l="1"/>
  <c r="R51" i="1"/>
  <c r="R85" i="1"/>
  <c r="R91" i="1"/>
  <c r="R97" i="1"/>
  <c r="R103" i="1"/>
  <c r="R109" i="1"/>
  <c r="L173" i="1"/>
  <c r="P173" i="1"/>
  <c r="R140" i="1"/>
  <c r="R167" i="1"/>
  <c r="R168" i="1"/>
  <c r="R169" i="1"/>
  <c r="R171" i="1"/>
  <c r="R172" i="1"/>
  <c r="R156" i="1"/>
  <c r="R126" i="1"/>
  <c r="R125" i="1"/>
  <c r="L142" i="1"/>
  <c r="L148" i="1" s="1"/>
  <c r="M173" i="1"/>
  <c r="Q173" i="1"/>
  <c r="O173" i="1"/>
  <c r="R47" i="1"/>
  <c r="J128" i="1"/>
  <c r="R123" i="1"/>
  <c r="I143" i="1"/>
  <c r="I142" i="1"/>
  <c r="I148" i="1" s="1"/>
  <c r="K142" i="1"/>
  <c r="K159" i="1" s="1"/>
  <c r="M148" i="1"/>
  <c r="M159" i="1"/>
  <c r="M165" i="1" s="1"/>
  <c r="N173" i="1"/>
  <c r="R170" i="1"/>
  <c r="R50" i="1"/>
  <c r="R115" i="1"/>
  <c r="I160" i="1"/>
  <c r="P165" i="1"/>
  <c r="R135" i="1"/>
  <c r="R137" i="1"/>
  <c r="R48" i="1"/>
  <c r="R49" i="1"/>
  <c r="K128" i="1"/>
  <c r="L143" i="1"/>
  <c r="L160" i="1" s="1"/>
  <c r="R121" i="1"/>
  <c r="H128" i="1"/>
  <c r="R124" i="1"/>
  <c r="R139" i="1"/>
  <c r="P148" i="1"/>
  <c r="J143" i="1"/>
  <c r="J160" i="1" s="1"/>
  <c r="R176" i="1"/>
  <c r="H173" i="1"/>
  <c r="R46" i="1"/>
  <c r="H148" i="1"/>
  <c r="H159" i="1"/>
  <c r="K163" i="1"/>
  <c r="R177" i="1"/>
  <c r="Q148" i="1"/>
  <c r="N148" i="1"/>
  <c r="N159" i="1"/>
  <c r="N165" i="1" s="1"/>
  <c r="O148" i="1"/>
  <c r="O161" i="1"/>
  <c r="O165" i="1" s="1"/>
  <c r="R144" i="1"/>
  <c r="R147" i="1"/>
  <c r="R162" i="1"/>
  <c r="R164" i="1"/>
  <c r="L159" i="1"/>
  <c r="L165" i="1" s="1"/>
  <c r="R146" i="1"/>
  <c r="J142" i="1"/>
  <c r="Q161" i="1"/>
  <c r="Q165" i="1" s="1"/>
  <c r="R134" i="1"/>
  <c r="R141" i="1"/>
  <c r="J173" i="1"/>
  <c r="R145" i="1"/>
  <c r="R138" i="1"/>
  <c r="R136" i="1"/>
  <c r="K148" i="1" l="1"/>
  <c r="R160" i="1"/>
  <c r="K165" i="1"/>
  <c r="I159" i="1"/>
  <c r="R173" i="1"/>
  <c r="R128" i="1"/>
  <c r="R143" i="1"/>
  <c r="I165" i="1"/>
  <c r="J148" i="1"/>
  <c r="J159" i="1"/>
  <c r="J165" i="1" s="1"/>
  <c r="R142" i="1"/>
  <c r="V23" i="1"/>
  <c r="W23" i="1" s="1"/>
  <c r="V69" i="1"/>
  <c r="W69" i="1" s="1"/>
  <c r="R161" i="1"/>
  <c r="H165" i="1"/>
  <c r="R163" i="1"/>
  <c r="R148" i="1"/>
  <c r="R159" i="1" l="1"/>
  <c r="V47" i="1"/>
  <c r="W47" i="1" s="1"/>
  <c r="R165" i="1"/>
</calcChain>
</file>

<file path=xl/sharedStrings.xml><?xml version="1.0" encoding="utf-8"?>
<sst xmlns="http://schemas.openxmlformats.org/spreadsheetml/2006/main" count="446" uniqueCount="67">
  <si>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</si>
  <si>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</si>
  <si>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</si>
  <si>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</si>
  <si>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</si>
  <si>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</si>
  <si>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</si>
  <si>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</si>
  <si>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</si>
  <si>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</si>
  <si>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VSSL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</si>
  <si>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</si>
  <si>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</si>
  <si>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</si>
  <si>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COMMIT#</t>
    <phoneticPr fontId="2" type="noConversion"/>
  </si>
  <si>
    <t>Type</t>
    <phoneticPr fontId="2" type="noConversion"/>
  </si>
  <si>
    <t>ARTIC GRAY</t>
    <phoneticPr fontId="2" type="noConversion"/>
  </si>
  <si>
    <t>TAN PEBBLE</t>
    <phoneticPr fontId="2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</si>
  <si>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</si>
  <si>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</si>
  <si>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</si>
  <si>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DEEP SEA NAVY</t>
    <phoneticPr fontId="2" type="noConversion"/>
  </si>
  <si>
    <t>BLACK</t>
    <phoneticPr fontId="2" type="noConversion"/>
  </si>
  <si>
    <t xml:space="preserve"> =&gt;</t>
    <phoneticPr fontId="2" type="noConversion"/>
  </si>
  <si>
    <t>Carton Size</t>
  </si>
  <si>
    <t>Blister with gusset</t>
  </si>
  <si>
    <t>23x17x11”</t>
  </si>
  <si>
    <t>23x17x31”</t>
    <phoneticPr fontId="2" type="noConversion"/>
  </si>
  <si>
    <t>23x17x5”</t>
  </si>
  <si>
    <t>23x17x25”</t>
    <phoneticPr fontId="2" type="noConversion"/>
  </si>
  <si>
    <t>17x12x5” </t>
  </si>
  <si>
    <t>17x11x20”</t>
    <phoneticPr fontId="2" type="noConversion"/>
  </si>
  <si>
    <t>Regular - KOHL'S</t>
    <phoneticPr fontId="2" type="noConversion"/>
  </si>
  <si>
    <t>TOTAL - KOHL'S ONLY</t>
    <phoneticPr fontId="2" type="noConversion"/>
  </si>
  <si>
    <t>NET COLOR COMMIT - EDWARD</t>
    <phoneticPr fontId="2" type="noConversion"/>
  </si>
  <si>
    <t>3. POLYBAG STICKER 5% 로스 - 하단 차트 참조</t>
    <phoneticPr fontId="2" type="noConversion"/>
  </si>
  <si>
    <t>SKU-BC LABEL - BASED ON STYLE# - 5% LOSS (NO KOHLS ORDER)</t>
    <phoneticPr fontId="2" type="noConversion"/>
  </si>
  <si>
    <t>5. C/O LABEL - 3% loss</t>
    <phoneticPr fontId="2" type="noConversion"/>
  </si>
  <si>
    <t>SP22</t>
    <phoneticPr fontId="2" type="noConversion"/>
  </si>
  <si>
    <t>B CB stripe swim trunk</t>
    <phoneticPr fontId="2" type="noConversion"/>
  </si>
  <si>
    <t xml:space="preserve">SIDE PANEL CB - Deep sea navy CB </t>
    <phoneticPr fontId="2" type="noConversion"/>
  </si>
  <si>
    <t>HERITAGE CB - Electric blue CB</t>
    <phoneticPr fontId="2" type="noConversion"/>
  </si>
  <si>
    <t>XXS</t>
    <phoneticPr fontId="4" type="noConversion"/>
  </si>
  <si>
    <t>M</t>
    <phoneticPr fontId="2" type="noConversion"/>
  </si>
  <si>
    <t>Regular
528196/528197</t>
    <phoneticPr fontId="2" type="noConversion"/>
  </si>
  <si>
    <t>SLIM
528210/528211</t>
    <phoneticPr fontId="2" type="noConversion"/>
  </si>
  <si>
    <t>HUSKUY
528199/528209</t>
    <phoneticPr fontId="2" type="noConversion"/>
  </si>
  <si>
    <t>XS</t>
    <phoneticPr fontId="4" type="noConversion"/>
  </si>
  <si>
    <t>S</t>
    <phoneticPr fontId="2" type="noConversion"/>
  </si>
  <si>
    <t>RETAIL Regular
528196/528197</t>
    <phoneticPr fontId="2" type="noConversion"/>
  </si>
  <si>
    <t>Regular TOTAL
528196/528197</t>
    <phoneticPr fontId="2" type="noConversion"/>
  </si>
  <si>
    <t>HUSKY TOTAL
528199/528209</t>
    <phoneticPr fontId="2" type="noConversion"/>
  </si>
  <si>
    <t>SLIM TOTAL
528210/528211</t>
    <phoneticPr fontId="2" type="noConversion"/>
  </si>
  <si>
    <t>BLISTER BAG 29 PCS</t>
    <phoneticPr fontId="2" type="noConversion"/>
  </si>
  <si>
    <t xml:space="preserve"> CHECK LIST</t>
    <phoneticPr fontId="2" type="noConversion"/>
  </si>
  <si>
    <t>BALANCE BETWEEN CHECK LIST AND EDWARD</t>
    <phoneticPr fontId="2" type="noConversion"/>
  </si>
  <si>
    <t>TOTAL</t>
    <phoneticPr fontId="16" type="noConversion"/>
  </si>
  <si>
    <t>RETAIL PX TICKET /ATTRIBUTE TAG 5% LOSS</t>
    <phoneticPr fontId="2" type="noConversion"/>
  </si>
  <si>
    <t>1. POLYBAG - PB 08LEB 10"W x 12"L - outside flap - 4 1/2 (NO KOHLS ORDER)</t>
    <phoneticPr fontId="2" type="noConversion"/>
  </si>
  <si>
    <t>PB 08LEB</t>
  </si>
  <si>
    <t>2. prepack  -  58 PCS NEED</t>
    <phoneticPr fontId="2" type="noConversion"/>
  </si>
  <si>
    <t>3. RETAIL  ORDER 5% 로스 - 하단 참조</t>
    <phoneticPr fontId="2" type="noConversion"/>
  </si>
  <si>
    <t xml:space="preserve">US </t>
    <phoneticPr fontId="2" type="noConversion"/>
  </si>
  <si>
    <t>REGULAR</t>
    <phoneticPr fontId="2" type="noConversion"/>
  </si>
  <si>
    <t>HUSKY</t>
    <phoneticPr fontId="2" type="noConversion"/>
  </si>
  <si>
    <t>SLIM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</si>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</sst>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 * #,##0_ ;_ * \-#,##0_ ;_ * &quot;-&quot;_ ;_ @_ "/>
    <numFmt numFmtId="181" formatCode="_ * #,##0.00_ ;_ * \-#,##0.00_ ;_ * &quot;-&quot;??_ ;_ @_ "/>
  </numFmts>
  <fonts count="25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1"/>
      <color rgb="FFFFFF00"/>
      <name val="돋움"/>
      <family val="3"/>
      <charset val="129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바탕체"/>
      <family val="1"/>
      <charset val="129"/>
    </font>
    <font>
      <sz val="10"/>
      <color rgb="FFFF0000"/>
      <name val="맑은 고딕"/>
      <family val="3"/>
      <charset val="129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top"/>
    </xf>
    <xf numFmtId="0" fontId="10" fillId="0" borderId="0"/>
    <xf numFmtId="41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/>
    <xf numFmtId="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80" fontId="23" fillId="0" borderId="0" applyFont="0" applyFill="0" applyBorder="0" applyAlignment="0" applyProtection="0"/>
    <xf numFmtId="181" fontId="23" fillId="0" borderId="0" applyFont="0" applyFill="0" applyBorder="0" applyAlignment="0" applyProtection="0"/>
  </cellStyleXfs>
  <cellXfs count="215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79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177" fontId="13" fillId="2" borderId="0" xfId="0" applyNumberFormat="1" applyFont="1" applyFill="1" applyAlignment="1">
      <alignment vertical="center"/>
    </xf>
    <xf numFmtId="9" fontId="17" fillId="0" borderId="0" xfId="1" applyNumberFormat="1" applyFont="1" applyAlignment="1">
      <alignment horizontal="left" vertical="center"/>
    </xf>
    <xf numFmtId="0" fontId="0" fillId="5" borderId="0" xfId="0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20" fillId="3" borderId="0" xfId="0" applyNumberFormat="1" applyFont="1" applyFill="1" applyAlignment="1">
      <alignment vertical="center"/>
    </xf>
    <xf numFmtId="0" fontId="14" fillId="2" borderId="0" xfId="3" applyFill="1" applyAlignment="1">
      <alignment vertical="center"/>
    </xf>
    <xf numFmtId="0" fontId="20" fillId="2" borderId="0" xfId="0" applyFont="1" applyFill="1" applyAlignme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177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179" fontId="1" fillId="7" borderId="1" xfId="0" applyNumberFormat="1" applyFont="1" applyFill="1" applyBorder="1" applyAlignment="1">
      <alignment horizontal="left" vertical="center"/>
    </xf>
    <xf numFmtId="178" fontId="7" fillId="7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41" fontId="15" fillId="0" borderId="0" xfId="2" applyFont="1" applyFill="1" applyBorder="1" applyAlignment="1">
      <alignment vertical="center"/>
    </xf>
    <xf numFmtId="0" fontId="21" fillId="4" borderId="2" xfId="0" applyFont="1" applyFill="1" applyBorder="1" applyAlignment="1">
      <alignment horizontal="center" vertical="center"/>
    </xf>
    <xf numFmtId="176" fontId="21" fillId="4" borderId="2" xfId="0" applyNumberFormat="1" applyFont="1" applyFill="1" applyBorder="1" applyAlignment="1">
      <alignment horizontal="center" vertical="center"/>
    </xf>
    <xf numFmtId="177" fontId="21" fillId="4" borderId="2" xfId="0" applyNumberFormat="1" applyFont="1" applyFill="1" applyBorder="1" applyAlignment="1">
      <alignment horizontal="center" vertical="center"/>
    </xf>
    <xf numFmtId="177" fontId="21" fillId="2" borderId="1" xfId="0" applyNumberFormat="1" applyFont="1" applyFill="1" applyBorder="1" applyAlignment="1">
      <alignment horizontal="center" vertical="center"/>
    </xf>
    <xf numFmtId="177" fontId="21" fillId="2" borderId="6" xfId="0" applyNumberFormat="1" applyFont="1" applyFill="1" applyBorder="1" applyAlignment="1">
      <alignment horizontal="center" vertical="center"/>
    </xf>
    <xf numFmtId="177" fontId="21" fillId="2" borderId="7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78" fontId="21" fillId="2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178" fontId="21" fillId="2" borderId="4" xfId="0" applyNumberFormat="1" applyFont="1" applyFill="1" applyBorder="1" applyAlignment="1">
      <alignment horizontal="center" vertical="center"/>
    </xf>
    <xf numFmtId="177" fontId="21" fillId="2" borderId="4" xfId="0" applyNumberFormat="1" applyFont="1" applyFill="1" applyBorder="1" applyAlignment="1">
      <alignment horizontal="center" vertical="center"/>
    </xf>
    <xf numFmtId="178" fontId="21" fillId="2" borderId="6" xfId="0" applyNumberFormat="1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178" fontId="21" fillId="2" borderId="9" xfId="0" applyNumberFormat="1" applyFont="1" applyFill="1" applyBorder="1" applyAlignment="1">
      <alignment horizontal="center" vertical="center"/>
    </xf>
    <xf numFmtId="177" fontId="21" fillId="2" borderId="9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79" fontId="21" fillId="0" borderId="2" xfId="0" applyNumberFormat="1" applyFont="1" applyFill="1" applyBorder="1" applyAlignment="1">
      <alignment horizontal="center" vertical="center"/>
    </xf>
    <xf numFmtId="178" fontId="21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177" fontId="21" fillId="2" borderId="1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1" fontId="0" fillId="3" borderId="0" xfId="0" applyNumberFormat="1" applyFill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78" fontId="21" fillId="0" borderId="3" xfId="0" applyNumberFormat="1" applyFont="1" applyFill="1" applyBorder="1" applyAlignment="1">
      <alignment horizontal="center" vertical="center"/>
    </xf>
    <xf numFmtId="177" fontId="21" fillId="0" borderId="3" xfId="0" applyNumberFormat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178" fontId="21" fillId="3" borderId="6" xfId="0" applyNumberFormat="1" applyFont="1" applyFill="1" applyBorder="1" applyAlignment="1">
      <alignment horizontal="center" vertical="center"/>
    </xf>
    <xf numFmtId="177" fontId="21" fillId="3" borderId="6" xfId="0" applyNumberFormat="1" applyFont="1" applyFill="1" applyBorder="1" applyAlignment="1">
      <alignment horizontal="center" vertical="center"/>
    </xf>
    <xf numFmtId="177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178" fontId="21" fillId="3" borderId="1" xfId="0" applyNumberFormat="1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178" fontId="21" fillId="3" borderId="9" xfId="0" applyNumberFormat="1" applyFont="1" applyFill="1" applyBorder="1" applyAlignment="1">
      <alignment horizontal="center" vertical="center"/>
    </xf>
    <xf numFmtId="177" fontId="21" fillId="3" borderId="9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78" fontId="21" fillId="3" borderId="4" xfId="0" applyNumberFormat="1" applyFont="1" applyFill="1" applyBorder="1" applyAlignment="1">
      <alignment horizontal="center" vertical="center"/>
    </xf>
    <xf numFmtId="177" fontId="21" fillId="3" borderId="4" xfId="0" applyNumberFormat="1" applyFont="1" applyFill="1" applyBorder="1" applyAlignment="1">
      <alignment horizontal="center" vertical="center"/>
    </xf>
    <xf numFmtId="49" fontId="24" fillId="0" borderId="4" xfId="1" applyNumberFormat="1" applyFont="1" applyFill="1" applyBorder="1" applyAlignment="1">
      <alignment horizontal="center" vertical="center"/>
    </xf>
    <xf numFmtId="49" fontId="24" fillId="3" borderId="4" xfId="1" applyNumberFormat="1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1" applyFont="1" applyFill="1" applyBorder="1" applyAlignment="1">
      <alignment horizontal="center" vertical="center"/>
    </xf>
    <xf numFmtId="178" fontId="21" fillId="3" borderId="25" xfId="0" applyNumberFormat="1" applyFont="1" applyFill="1" applyBorder="1" applyAlignment="1">
      <alignment horizontal="center" vertical="center"/>
    </xf>
    <xf numFmtId="177" fontId="21" fillId="3" borderId="25" xfId="0" applyNumberFormat="1" applyFont="1" applyFill="1" applyBorder="1" applyAlignment="1">
      <alignment horizontal="center" vertical="center"/>
    </xf>
    <xf numFmtId="49" fontId="24" fillId="0" borderId="6" xfId="1" applyNumberFormat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49" fontId="24" fillId="3" borderId="6" xfId="1" applyNumberFormat="1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center" vertical="center"/>
    </xf>
    <xf numFmtId="178" fontId="21" fillId="0" borderId="6" xfId="0" applyNumberFormat="1" applyFont="1" applyFill="1" applyBorder="1" applyAlignment="1">
      <alignment horizontal="center" vertical="center"/>
    </xf>
    <xf numFmtId="177" fontId="21" fillId="0" borderId="6" xfId="0" applyNumberFormat="1" applyFont="1" applyFill="1" applyBorder="1" applyAlignment="1">
      <alignment horizontal="center" vertical="center"/>
    </xf>
    <xf numFmtId="178" fontId="21" fillId="0" borderId="9" xfId="0" applyNumberFormat="1" applyFont="1" applyFill="1" applyBorder="1" applyAlignment="1">
      <alignment horizontal="center" vertical="center"/>
    </xf>
    <xf numFmtId="177" fontId="21" fillId="0" borderId="9" xfId="0" applyNumberFormat="1" applyFont="1" applyFill="1" applyBorder="1" applyAlignment="1">
      <alignment horizontal="center" vertical="center"/>
    </xf>
    <xf numFmtId="178" fontId="21" fillId="0" borderId="4" xfId="0" applyNumberFormat="1" applyFont="1" applyFill="1" applyBorder="1" applyAlignment="1">
      <alignment horizontal="center" vertical="center"/>
    </xf>
    <xf numFmtId="177" fontId="21" fillId="0" borderId="4" xfId="0" applyNumberFormat="1" applyFont="1" applyFill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25" xfId="1" applyFont="1" applyFill="1" applyBorder="1" applyAlignment="1">
      <alignment horizontal="center" vertical="center"/>
    </xf>
    <xf numFmtId="178" fontId="21" fillId="0" borderId="25" xfId="0" applyNumberFormat="1" applyFont="1" applyFill="1" applyBorder="1" applyAlignment="1">
      <alignment horizontal="center" vertical="center"/>
    </xf>
    <xf numFmtId="177" fontId="21" fillId="0" borderId="25" xfId="0" applyNumberFormat="1" applyFont="1" applyFill="1" applyBorder="1" applyAlignment="1">
      <alignment horizontal="center" vertical="center"/>
    </xf>
    <xf numFmtId="180" fontId="24" fillId="0" borderId="6" xfId="6" applyFont="1" applyFill="1" applyBorder="1" applyAlignment="1">
      <alignment vertical="center"/>
    </xf>
    <xf numFmtId="180" fontId="24" fillId="0" borderId="24" xfId="6" applyFont="1" applyFill="1" applyBorder="1" applyAlignment="1">
      <alignment vertical="center"/>
    </xf>
    <xf numFmtId="0" fontId="24" fillId="0" borderId="4" xfId="1" applyFont="1" applyFill="1" applyBorder="1" applyAlignment="1">
      <alignment horizontal="center" vertical="center"/>
    </xf>
    <xf numFmtId="180" fontId="24" fillId="0" borderId="9" xfId="6" applyFont="1" applyFill="1" applyBorder="1" applyAlignment="1">
      <alignment vertical="center"/>
    </xf>
    <xf numFmtId="0" fontId="24" fillId="0" borderId="6" xfId="1" applyFont="1" applyFill="1" applyBorder="1" applyAlignment="1">
      <alignment horizontal="center" vertical="center"/>
    </xf>
    <xf numFmtId="180" fontId="24" fillId="0" borderId="6" xfId="6" applyFont="1" applyFill="1" applyBorder="1" applyAlignment="1">
      <alignment horizontal="center" vertical="center"/>
    </xf>
    <xf numFmtId="180" fontId="24" fillId="0" borderId="9" xfId="6" applyFont="1" applyFill="1" applyBorder="1" applyAlignment="1">
      <alignment horizontal="center" vertical="center"/>
    </xf>
    <xf numFmtId="180" fontId="24" fillId="0" borderId="4" xfId="6" applyFont="1" applyFill="1" applyBorder="1" applyAlignment="1">
      <alignment horizontal="center" vertical="center"/>
    </xf>
    <xf numFmtId="180" fontId="24" fillId="0" borderId="1" xfId="6" applyFont="1" applyFill="1" applyBorder="1" applyAlignment="1">
      <alignment horizontal="center" vertical="center"/>
    </xf>
    <xf numFmtId="180" fontId="24" fillId="0" borderId="20" xfId="6" applyFont="1" applyFill="1" applyBorder="1" applyAlignment="1">
      <alignment horizontal="center" vertical="center"/>
    </xf>
    <xf numFmtId="177" fontId="24" fillId="0" borderId="6" xfId="1" applyNumberFormat="1" applyFont="1" applyFill="1" applyBorder="1" applyAlignment="1">
      <alignment horizontal="center" vertical="center"/>
    </xf>
    <xf numFmtId="177" fontId="21" fillId="0" borderId="7" xfId="0" applyNumberFormat="1" applyFont="1" applyFill="1" applyBorder="1" applyAlignment="1">
      <alignment horizontal="center" vertical="center"/>
    </xf>
    <xf numFmtId="177" fontId="21" fillId="0" borderId="10" xfId="0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177" fontId="24" fillId="0" borderId="2" xfId="1" applyNumberFormat="1" applyFont="1" applyFill="1" applyBorder="1" applyAlignment="1">
      <alignment horizontal="center" vertical="center"/>
    </xf>
    <xf numFmtId="177" fontId="21" fillId="0" borderId="13" xfId="0" applyNumberFormat="1" applyFont="1" applyFill="1" applyBorder="1" applyAlignment="1">
      <alignment horizontal="center" vertical="center"/>
    </xf>
    <xf numFmtId="177" fontId="24" fillId="0" borderId="4" xfId="1" applyNumberFormat="1" applyFont="1" applyFill="1" applyBorder="1" applyAlignment="1">
      <alignment horizontal="center" vertical="center"/>
    </xf>
    <xf numFmtId="177" fontId="21" fillId="0" borderId="12" xfId="0" applyNumberFormat="1" applyFont="1" applyFill="1" applyBorder="1" applyAlignment="1">
      <alignment horizontal="center" vertical="center"/>
    </xf>
    <xf numFmtId="177" fontId="24" fillId="0" borderId="9" xfId="1" applyNumberFormat="1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21" xfId="1" applyFont="1" applyFill="1" applyBorder="1" applyAlignment="1">
      <alignment horizontal="center" vertical="center"/>
    </xf>
    <xf numFmtId="178" fontId="21" fillId="0" borderId="21" xfId="0" applyNumberFormat="1" applyFont="1" applyFill="1" applyBorder="1" applyAlignment="1">
      <alignment horizontal="center" vertical="center"/>
    </xf>
    <xf numFmtId="177" fontId="21" fillId="0" borderId="21" xfId="0" applyNumberFormat="1" applyFont="1" applyFill="1" applyBorder="1" applyAlignment="1">
      <alignment horizontal="center" vertical="center"/>
    </xf>
    <xf numFmtId="177" fontId="21" fillId="0" borderId="23" xfId="0" applyNumberFormat="1" applyFont="1" applyFill="1" applyBorder="1" applyAlignment="1">
      <alignment horizontal="center" vertical="center"/>
    </xf>
    <xf numFmtId="1" fontId="24" fillId="0" borderId="22" xfId="1" applyNumberFormat="1" applyFont="1" applyFill="1" applyBorder="1" applyAlignment="1">
      <alignment horizontal="center" vertical="center"/>
    </xf>
    <xf numFmtId="1" fontId="21" fillId="0" borderId="22" xfId="0" applyNumberFormat="1" applyFont="1" applyFill="1" applyBorder="1" applyAlignment="1">
      <alignment horizontal="center" vertical="center"/>
    </xf>
    <xf numFmtId="1" fontId="24" fillId="0" borderId="2" xfId="1" applyNumberFormat="1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4" fillId="0" borderId="9" xfId="1" applyNumberFormat="1" applyFont="1" applyFill="1" applyBorder="1" applyAlignment="1">
      <alignment horizontal="center" vertical="center"/>
    </xf>
    <xf numFmtId="1" fontId="21" fillId="0" borderId="9" xfId="0" applyNumberFormat="1" applyFont="1" applyFill="1" applyBorder="1" applyAlignment="1">
      <alignment horizontal="center" vertical="center"/>
    </xf>
    <xf numFmtId="1" fontId="24" fillId="0" borderId="3" xfId="1" applyNumberFormat="1" applyFont="1" applyFill="1" applyBorder="1" applyAlignment="1">
      <alignment horizontal="center" vertical="center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21" xfId="0" applyNumberFormat="1" applyFont="1" applyFill="1" applyBorder="1" applyAlignment="1">
      <alignment horizontal="center" vertical="center"/>
    </xf>
    <xf numFmtId="177" fontId="21" fillId="2" borderId="25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177" fontId="21" fillId="2" borderId="2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8" fontId="7" fillId="7" borderId="2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21" fillId="2" borderId="22" xfId="0" applyNumberFormat="1" applyFont="1" applyFill="1" applyBorder="1" applyAlignment="1">
      <alignment horizontal="center" vertical="center"/>
    </xf>
    <xf numFmtId="178" fontId="21" fillId="2" borderId="3" xfId="0" applyNumberFormat="1" applyFont="1" applyFill="1" applyBorder="1" applyAlignment="1">
      <alignment horizontal="center" vertical="center"/>
    </xf>
    <xf numFmtId="178" fontId="21" fillId="2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178" fontId="7" fillId="4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</cellXfs>
  <cellStyles count="11">
    <cellStyle name="경고문" xfId="3" builtinId="11"/>
    <cellStyle name="백분율 2" xfId="5" xr:uid="{ADCF95FA-66ED-413D-BCAF-81FD3B27525A}"/>
    <cellStyle name="쉼표 [0]" xfId="2" builtinId="6"/>
    <cellStyle name="쉼표 [0] 2" xfId="7" xr:uid="{56FBC53A-F7D0-4CFC-8B8A-8CC4682D6E9F}"/>
    <cellStyle name="쉼표 [0] 2 2" xfId="8" xr:uid="{BEA42F0F-84BF-4C96-AEFE-4F40ADFF6140}"/>
    <cellStyle name="쉼표 [0] 3" xfId="6" xr:uid="{37F3AFA1-EF40-4C18-842C-738E06AFBF40}"/>
    <cellStyle name="콤마 [0]_112052 DCPO (uk추가)" xfId="9" xr:uid="{0B752D11-CA05-433C-BE52-3BFF77A06666}"/>
    <cellStyle name="콤마_112052 DCPO (uk추가)" xfId="10" xr:uid="{B8EF6D58-0667-451E-86AD-D340A0A681F1}"/>
    <cellStyle name="표준" xfId="0" builtinId="0"/>
    <cellStyle name="표준 2" xfId="1" xr:uid="{B7DA621F-6099-4A52-9F7A-D068A97DF60C}"/>
    <cellStyle name="표준 3" xfId="4" xr:uid="{9056CAF8-A4C6-4BD8-B715-74C3BBD14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CD25-F836-47B0-95B1-F2C1DB710510}">
  <sheetPr>
    <tabColor theme="0"/>
    <pageSetUpPr fitToPage="1"/>
  </sheetPr>
  <dimension ref="B1:X179"/>
  <sheetViews>
    <sheetView tabSelected="1" view="pageBreakPreview" topLeftCell="C7" zoomScaleNormal="100" zoomScaleSheetLayoutView="100" workbookViewId="0">
      <selection activeCell="J168" sqref="J168"/>
    </sheetView>
  </sheetViews>
  <sheetFormatPr defaultColWidth="8.88671875" defaultRowHeight="13.5"/>
  <cols>
    <col min="1" max="1" width="3" style="2" customWidth="1"/>
    <col min="2" max="2" width="36.77734375" style="2" customWidth="1"/>
    <col min="3" max="3" width="20" style="2" customWidth="1"/>
    <col min="4" max="4" width="16.5546875" style="2" customWidth="1"/>
    <col min="5" max="5" width="11.109375" style="2" customWidth="1"/>
    <col min="6" max="6" width="31.88671875" style="2" customWidth="1"/>
    <col min="7" max="7" width="6.109375" style="2" customWidth="1"/>
    <col min="8" max="8" width="7.109375" style="2" bestFit="1" customWidth="1"/>
    <col min="9" max="17" width="7" style="2" customWidth="1"/>
    <col min="18" max="18" width="9" style="2" bestFit="1" customWidth="1"/>
    <col min="19" max="19" width="4" style="2" customWidth="1"/>
    <col min="20" max="20" width="9" style="2" bestFit="1" customWidth="1"/>
    <col min="21" max="21" width="15.21875" style="2" customWidth="1"/>
    <col min="22" max="23" width="11.5546875" style="2" bestFit="1" customWidth="1"/>
    <col min="24" max="24" width="11" style="2" customWidth="1"/>
    <col min="25" max="16384" width="8.88671875" style="2"/>
  </cols>
  <sheetData>
    <row r="1" spans="2:22">
      <c r="B1" s="1" t="s">
        <v>14</v>
      </c>
      <c r="E1" s="1"/>
    </row>
    <row r="2" spans="2:22" ht="13.5" customHeight="1">
      <c r="B2" s="3" t="s">
        <v>38</v>
      </c>
      <c r="E2" s="3" t="s">
        <v>38</v>
      </c>
    </row>
    <row r="3" spans="2:22" ht="14.25" thickBot="1">
      <c r="B3" s="4" t="s">
        <v>13</v>
      </c>
      <c r="C3" s="5" t="s">
        <v>2</v>
      </c>
      <c r="D3" s="5" t="s">
        <v>15</v>
      </c>
      <c r="E3" s="4" t="s">
        <v>0</v>
      </c>
      <c r="F3" s="4" t="s">
        <v>1</v>
      </c>
      <c r="G3" s="5" t="s">
        <v>3</v>
      </c>
      <c r="H3" s="5" t="s">
        <v>42</v>
      </c>
      <c r="I3" s="5" t="s">
        <v>47</v>
      </c>
      <c r="J3" s="5" t="s">
        <v>48</v>
      </c>
      <c r="K3" s="5" t="s">
        <v>43</v>
      </c>
      <c r="L3" s="5" t="s">
        <v>6</v>
      </c>
      <c r="M3" s="5" t="s">
        <v>7</v>
      </c>
      <c r="N3" s="5" t="s">
        <v>8</v>
      </c>
      <c r="O3" s="5" t="s">
        <v>6</v>
      </c>
      <c r="P3" s="5" t="s">
        <v>7</v>
      </c>
      <c r="Q3" s="5" t="s">
        <v>8</v>
      </c>
      <c r="R3" s="6" t="s">
        <v>9</v>
      </c>
      <c r="T3" s="27"/>
      <c r="U3" s="2" t="s">
        <v>58</v>
      </c>
    </row>
    <row r="4" spans="2:22">
      <c r="C4" s="192">
        <v>4500458430</v>
      </c>
      <c r="D4" s="174" t="s">
        <v>63</v>
      </c>
      <c r="E4" s="64">
        <v>528196</v>
      </c>
      <c r="F4" s="110" t="s">
        <v>40</v>
      </c>
      <c r="G4" s="184">
        <v>44503</v>
      </c>
      <c r="H4" s="59">
        <v>18</v>
      </c>
      <c r="I4" s="59">
        <v>54</v>
      </c>
      <c r="J4" s="59">
        <v>91</v>
      </c>
      <c r="K4" s="59">
        <v>87</v>
      </c>
      <c r="L4" s="59">
        <v>151</v>
      </c>
      <c r="M4" s="59">
        <v>122</v>
      </c>
      <c r="N4" s="59">
        <v>47</v>
      </c>
      <c r="O4" s="59"/>
      <c r="P4" s="59"/>
      <c r="Q4" s="59"/>
      <c r="R4" s="59">
        <f>SUM(H4:Q4)</f>
        <v>570</v>
      </c>
    </row>
    <row r="5" spans="2:22" ht="14.25" thickBot="1">
      <c r="C5" s="193"/>
      <c r="D5" s="175"/>
      <c r="E5" s="69">
        <v>528197</v>
      </c>
      <c r="F5" s="111" t="s">
        <v>41</v>
      </c>
      <c r="G5" s="185"/>
      <c r="H5" s="71">
        <v>13</v>
      </c>
      <c r="I5" s="71">
        <v>29</v>
      </c>
      <c r="J5" s="71">
        <v>36</v>
      </c>
      <c r="K5" s="71">
        <v>37</v>
      </c>
      <c r="L5" s="71">
        <v>66</v>
      </c>
      <c r="M5" s="71">
        <v>59</v>
      </c>
      <c r="N5" s="71">
        <v>16</v>
      </c>
      <c r="O5" s="71"/>
      <c r="P5" s="71"/>
      <c r="Q5" s="71"/>
      <c r="R5" s="71">
        <f>SUM(H5:Q5)</f>
        <v>256</v>
      </c>
    </row>
    <row r="6" spans="2:22">
      <c r="C6" s="193"/>
      <c r="D6" s="200" t="s">
        <v>64</v>
      </c>
      <c r="E6" s="65">
        <v>528199</v>
      </c>
      <c r="F6" s="103" t="s">
        <v>40</v>
      </c>
      <c r="G6" s="185"/>
      <c r="H6" s="67"/>
      <c r="I6" s="67"/>
      <c r="J6" s="67"/>
      <c r="K6" s="67"/>
      <c r="L6" s="67"/>
      <c r="M6" s="67"/>
      <c r="N6" s="67"/>
      <c r="O6" s="67">
        <v>40</v>
      </c>
      <c r="P6" s="67">
        <v>72</v>
      </c>
      <c r="Q6" s="67">
        <v>48</v>
      </c>
      <c r="R6" s="67">
        <f t="shared" ref="R6:R9" si="0">SUM(H6:Q6)</f>
        <v>160</v>
      </c>
    </row>
    <row r="7" spans="2:22" ht="14.25" thickBot="1">
      <c r="C7" s="193"/>
      <c r="D7" s="201"/>
      <c r="E7" s="61">
        <v>528211</v>
      </c>
      <c r="F7" s="89" t="s">
        <v>41</v>
      </c>
      <c r="G7" s="185"/>
      <c r="H7" s="58"/>
      <c r="I7" s="58"/>
      <c r="J7" s="58"/>
      <c r="K7" s="58"/>
      <c r="L7" s="58"/>
      <c r="M7" s="58"/>
      <c r="N7" s="58"/>
      <c r="O7" s="58">
        <v>18</v>
      </c>
      <c r="P7" s="58">
        <v>28</v>
      </c>
      <c r="Q7" s="58">
        <v>14</v>
      </c>
      <c r="R7" s="58">
        <f t="shared" si="0"/>
        <v>60</v>
      </c>
    </row>
    <row r="8" spans="2:22" ht="14.25" customHeight="1">
      <c r="C8" s="193"/>
      <c r="D8" s="174" t="s">
        <v>65</v>
      </c>
      <c r="E8" s="64">
        <v>528210</v>
      </c>
      <c r="F8" s="110" t="s">
        <v>40</v>
      </c>
      <c r="G8" s="185"/>
      <c r="H8" s="59"/>
      <c r="I8" s="59"/>
      <c r="J8" s="59">
        <v>13</v>
      </c>
      <c r="K8" s="59">
        <v>20</v>
      </c>
      <c r="L8" s="59">
        <v>44</v>
      </c>
      <c r="M8" s="59">
        <v>33</v>
      </c>
      <c r="N8" s="59"/>
      <c r="O8" s="59"/>
      <c r="P8" s="59"/>
      <c r="Q8" s="59"/>
      <c r="R8" s="59">
        <f t="shared" si="0"/>
        <v>110</v>
      </c>
    </row>
    <row r="9" spans="2:22" ht="17.25" thickBot="1">
      <c r="C9" s="193"/>
      <c r="D9" s="175"/>
      <c r="E9" s="69">
        <v>528209</v>
      </c>
      <c r="F9" s="111" t="s">
        <v>41</v>
      </c>
      <c r="G9" s="186"/>
      <c r="H9" s="71"/>
      <c r="I9" s="71"/>
      <c r="J9" s="71">
        <v>10</v>
      </c>
      <c r="K9" s="71">
        <v>10</v>
      </c>
      <c r="L9" s="71">
        <v>10</v>
      </c>
      <c r="M9" s="71">
        <v>10</v>
      </c>
      <c r="N9" s="71"/>
      <c r="O9" s="71"/>
      <c r="P9" s="71"/>
      <c r="Q9" s="71"/>
      <c r="R9" s="71">
        <f t="shared" si="0"/>
        <v>40</v>
      </c>
      <c r="S9" s="28"/>
      <c r="T9" s="28"/>
      <c r="V9" s="34"/>
    </row>
    <row r="10" spans="2:22">
      <c r="C10" s="192">
        <v>4500458431</v>
      </c>
      <c r="D10" s="174" t="s">
        <v>63</v>
      </c>
      <c r="E10" s="64">
        <v>528196</v>
      </c>
      <c r="F10" s="110" t="s">
        <v>40</v>
      </c>
      <c r="G10" s="184">
        <v>44524</v>
      </c>
      <c r="H10" s="59">
        <v>71</v>
      </c>
      <c r="I10" s="59">
        <v>216</v>
      </c>
      <c r="J10" s="59">
        <v>364</v>
      </c>
      <c r="K10" s="59">
        <v>346</v>
      </c>
      <c r="L10" s="59">
        <v>604</v>
      </c>
      <c r="M10" s="59">
        <v>489</v>
      </c>
      <c r="N10" s="59">
        <v>189</v>
      </c>
      <c r="O10" s="59"/>
      <c r="P10" s="59"/>
      <c r="Q10" s="59"/>
      <c r="R10" s="59">
        <f>SUM(H10:Q10)</f>
        <v>2279</v>
      </c>
    </row>
    <row r="11" spans="2:22" ht="14.25" thickBot="1">
      <c r="C11" s="193"/>
      <c r="D11" s="175"/>
      <c r="E11" s="69">
        <v>528197</v>
      </c>
      <c r="F11" s="111" t="s">
        <v>41</v>
      </c>
      <c r="G11" s="185"/>
      <c r="H11" s="71">
        <v>53</v>
      </c>
      <c r="I11" s="71">
        <v>115</v>
      </c>
      <c r="J11" s="71">
        <v>144</v>
      </c>
      <c r="K11" s="71">
        <v>149</v>
      </c>
      <c r="L11" s="71">
        <v>263</v>
      </c>
      <c r="M11" s="71">
        <v>237</v>
      </c>
      <c r="N11" s="71">
        <v>65</v>
      </c>
      <c r="O11" s="71"/>
      <c r="P11" s="71"/>
      <c r="Q11" s="71"/>
      <c r="R11" s="71">
        <f>SUM(H11:Q11)</f>
        <v>1026</v>
      </c>
    </row>
    <row r="12" spans="2:22">
      <c r="C12" s="193"/>
      <c r="D12" s="200" t="s">
        <v>64</v>
      </c>
      <c r="E12" s="65">
        <v>528199</v>
      </c>
      <c r="F12" s="103" t="s">
        <v>40</v>
      </c>
      <c r="G12" s="185"/>
      <c r="H12" s="67"/>
      <c r="I12" s="67"/>
      <c r="J12" s="67"/>
      <c r="K12" s="67"/>
      <c r="L12" s="67"/>
      <c r="M12" s="67"/>
      <c r="N12" s="67"/>
      <c r="O12" s="67">
        <v>159</v>
      </c>
      <c r="P12" s="67">
        <v>287</v>
      </c>
      <c r="Q12" s="67">
        <v>191</v>
      </c>
      <c r="R12" s="67">
        <f t="shared" ref="R12:R15" si="1">SUM(H12:Q12)</f>
        <v>637</v>
      </c>
    </row>
    <row r="13" spans="2:22" ht="14.25" thickBot="1">
      <c r="C13" s="193"/>
      <c r="D13" s="201"/>
      <c r="E13" s="61">
        <v>528211</v>
      </c>
      <c r="F13" s="89" t="s">
        <v>41</v>
      </c>
      <c r="G13" s="185"/>
      <c r="H13" s="58"/>
      <c r="I13" s="58"/>
      <c r="J13" s="58"/>
      <c r="K13" s="58"/>
      <c r="L13" s="58"/>
      <c r="M13" s="58"/>
      <c r="N13" s="58"/>
      <c r="O13" s="58">
        <v>71</v>
      </c>
      <c r="P13" s="58">
        <v>111</v>
      </c>
      <c r="Q13" s="58">
        <v>54</v>
      </c>
      <c r="R13" s="58">
        <f t="shared" si="1"/>
        <v>236</v>
      </c>
    </row>
    <row r="14" spans="2:22" ht="14.25" customHeight="1">
      <c r="C14" s="193"/>
      <c r="D14" s="174" t="s">
        <v>65</v>
      </c>
      <c r="E14" s="64">
        <v>528210</v>
      </c>
      <c r="F14" s="110" t="s">
        <v>40</v>
      </c>
      <c r="G14" s="185"/>
      <c r="H14" s="59"/>
      <c r="I14" s="59"/>
      <c r="J14" s="59">
        <v>52</v>
      </c>
      <c r="K14" s="59">
        <v>78</v>
      </c>
      <c r="L14" s="59">
        <v>174</v>
      </c>
      <c r="M14" s="59">
        <v>131</v>
      </c>
      <c r="N14" s="59"/>
      <c r="O14" s="59"/>
      <c r="P14" s="59"/>
      <c r="Q14" s="59"/>
      <c r="R14" s="59">
        <f t="shared" si="1"/>
        <v>435</v>
      </c>
    </row>
    <row r="15" spans="2:22" ht="17.25" thickBot="1">
      <c r="C15" s="193"/>
      <c r="D15" s="175"/>
      <c r="E15" s="69">
        <v>528209</v>
      </c>
      <c r="F15" s="111" t="s">
        <v>41</v>
      </c>
      <c r="G15" s="186"/>
      <c r="H15" s="71"/>
      <c r="I15" s="71"/>
      <c r="J15" s="71">
        <v>24</v>
      </c>
      <c r="K15" s="71">
        <v>30</v>
      </c>
      <c r="L15" s="71">
        <v>42</v>
      </c>
      <c r="M15" s="71">
        <v>30</v>
      </c>
      <c r="N15" s="71"/>
      <c r="O15" s="71"/>
      <c r="P15" s="71"/>
      <c r="Q15" s="71"/>
      <c r="R15" s="71">
        <f t="shared" si="1"/>
        <v>126</v>
      </c>
      <c r="S15" s="28"/>
      <c r="T15" s="28"/>
      <c r="V15" s="34"/>
    </row>
    <row r="16" spans="2:22">
      <c r="C16" s="192">
        <v>4500458432</v>
      </c>
      <c r="D16" s="174" t="s">
        <v>63</v>
      </c>
      <c r="E16" s="64">
        <v>528196</v>
      </c>
      <c r="F16" s="110" t="s">
        <v>40</v>
      </c>
      <c r="G16" s="184">
        <v>44552</v>
      </c>
      <c r="H16" s="59">
        <v>100</v>
      </c>
      <c r="I16" s="59">
        <v>303</v>
      </c>
      <c r="J16" s="59">
        <v>511</v>
      </c>
      <c r="K16" s="59">
        <v>487</v>
      </c>
      <c r="L16" s="59">
        <v>850</v>
      </c>
      <c r="M16" s="59">
        <v>687</v>
      </c>
      <c r="N16" s="59">
        <v>265</v>
      </c>
      <c r="O16" s="59"/>
      <c r="P16" s="59"/>
      <c r="Q16" s="59"/>
      <c r="R16" s="59">
        <f>SUM(H16:Q16)</f>
        <v>3203</v>
      </c>
    </row>
    <row r="17" spans="2:23" ht="14.25" thickBot="1">
      <c r="C17" s="193"/>
      <c r="D17" s="175"/>
      <c r="E17" s="69">
        <v>528197</v>
      </c>
      <c r="F17" s="111" t="s">
        <v>41</v>
      </c>
      <c r="G17" s="185"/>
      <c r="H17" s="71">
        <v>74</v>
      </c>
      <c r="I17" s="71">
        <v>162</v>
      </c>
      <c r="J17" s="71">
        <v>202</v>
      </c>
      <c r="K17" s="71">
        <v>210</v>
      </c>
      <c r="L17" s="71">
        <v>370</v>
      </c>
      <c r="M17" s="71">
        <v>334</v>
      </c>
      <c r="N17" s="71">
        <v>92</v>
      </c>
      <c r="O17" s="71"/>
      <c r="P17" s="71"/>
      <c r="Q17" s="71"/>
      <c r="R17" s="71">
        <f>SUM(H17:Q17)</f>
        <v>1444</v>
      </c>
    </row>
    <row r="18" spans="2:23">
      <c r="C18" s="193"/>
      <c r="D18" s="200" t="s">
        <v>64</v>
      </c>
      <c r="E18" s="65">
        <v>528199</v>
      </c>
      <c r="F18" s="103" t="s">
        <v>40</v>
      </c>
      <c r="G18" s="185"/>
      <c r="H18" s="67"/>
      <c r="I18" s="67"/>
      <c r="J18" s="67"/>
      <c r="K18" s="67"/>
      <c r="L18" s="67"/>
      <c r="M18" s="67"/>
      <c r="N18" s="67"/>
      <c r="O18" s="67">
        <v>224</v>
      </c>
      <c r="P18" s="67">
        <v>403</v>
      </c>
      <c r="Q18" s="67">
        <v>269</v>
      </c>
      <c r="R18" s="67">
        <f t="shared" ref="R18:R21" si="2">SUM(H18:Q18)</f>
        <v>896</v>
      </c>
    </row>
    <row r="19" spans="2:23" ht="14.25" thickBot="1">
      <c r="C19" s="193"/>
      <c r="D19" s="201"/>
      <c r="E19" s="61">
        <v>528211</v>
      </c>
      <c r="F19" s="89" t="s">
        <v>41</v>
      </c>
      <c r="G19" s="185"/>
      <c r="H19" s="58"/>
      <c r="I19" s="58"/>
      <c r="J19" s="58"/>
      <c r="K19" s="58"/>
      <c r="L19" s="58"/>
      <c r="M19" s="58"/>
      <c r="N19" s="58"/>
      <c r="O19" s="58">
        <v>99</v>
      </c>
      <c r="P19" s="58">
        <v>156</v>
      </c>
      <c r="Q19" s="58">
        <v>76</v>
      </c>
      <c r="R19" s="58">
        <f t="shared" si="2"/>
        <v>331</v>
      </c>
    </row>
    <row r="20" spans="2:23" ht="14.25" customHeight="1">
      <c r="C20" s="193"/>
      <c r="D20" s="174" t="s">
        <v>65</v>
      </c>
      <c r="E20" s="64">
        <v>528210</v>
      </c>
      <c r="F20" s="110" t="s">
        <v>40</v>
      </c>
      <c r="G20" s="185"/>
      <c r="H20" s="59"/>
      <c r="I20" s="59"/>
      <c r="J20" s="59">
        <v>74</v>
      </c>
      <c r="K20" s="59">
        <v>110</v>
      </c>
      <c r="L20" s="59">
        <v>245</v>
      </c>
      <c r="M20" s="59">
        <v>184</v>
      </c>
      <c r="N20" s="59"/>
      <c r="O20" s="59"/>
      <c r="P20" s="59"/>
      <c r="Q20" s="59"/>
      <c r="R20" s="59">
        <f t="shared" si="2"/>
        <v>613</v>
      </c>
    </row>
    <row r="21" spans="2:23" ht="17.25" thickBot="1">
      <c r="C21" s="193"/>
      <c r="D21" s="175"/>
      <c r="E21" s="69">
        <v>528209</v>
      </c>
      <c r="F21" s="111" t="s">
        <v>41</v>
      </c>
      <c r="G21" s="186"/>
      <c r="H21" s="71"/>
      <c r="I21" s="71"/>
      <c r="J21" s="71">
        <v>33</v>
      </c>
      <c r="K21" s="71">
        <v>42</v>
      </c>
      <c r="L21" s="71">
        <v>59</v>
      </c>
      <c r="M21" s="71">
        <v>42</v>
      </c>
      <c r="N21" s="71"/>
      <c r="O21" s="71"/>
      <c r="P21" s="71"/>
      <c r="Q21" s="71"/>
      <c r="R21" s="71">
        <f t="shared" si="2"/>
        <v>176</v>
      </c>
      <c r="S21" s="28"/>
      <c r="T21" s="28"/>
      <c r="V21" s="34"/>
    </row>
    <row r="22" spans="2:23">
      <c r="B22" s="7" t="s">
        <v>39</v>
      </c>
      <c r="C22" s="192">
        <v>4500458433</v>
      </c>
      <c r="D22" s="174" t="s">
        <v>63</v>
      </c>
      <c r="E22" s="64">
        <v>528196</v>
      </c>
      <c r="F22" s="110" t="s">
        <v>40</v>
      </c>
      <c r="G22" s="184">
        <v>44215</v>
      </c>
      <c r="H22" s="59">
        <v>34</v>
      </c>
      <c r="I22" s="59">
        <v>101</v>
      </c>
      <c r="J22" s="59">
        <v>171</v>
      </c>
      <c r="K22" s="59">
        <v>163</v>
      </c>
      <c r="L22" s="59">
        <v>283</v>
      </c>
      <c r="M22" s="59">
        <v>230</v>
      </c>
      <c r="N22" s="59">
        <v>88</v>
      </c>
      <c r="O22" s="59"/>
      <c r="P22" s="59"/>
      <c r="Q22" s="59"/>
      <c r="R22" s="59">
        <f>SUM(H22:Q22)</f>
        <v>1070</v>
      </c>
      <c r="T22" s="27"/>
      <c r="U22" s="28"/>
      <c r="V22" s="28"/>
      <c r="W22" s="33"/>
    </row>
    <row r="23" spans="2:23" ht="14.25" thickBot="1">
      <c r="B23" s="17"/>
      <c r="C23" s="193"/>
      <c r="D23" s="175"/>
      <c r="E23" s="69">
        <v>528197</v>
      </c>
      <c r="F23" s="111" t="s">
        <v>41</v>
      </c>
      <c r="G23" s="185"/>
      <c r="H23" s="71">
        <v>25</v>
      </c>
      <c r="I23" s="71">
        <v>54</v>
      </c>
      <c r="J23" s="71">
        <v>67</v>
      </c>
      <c r="K23" s="71">
        <v>69</v>
      </c>
      <c r="L23" s="71">
        <v>123</v>
      </c>
      <c r="M23" s="71">
        <v>111</v>
      </c>
      <c r="N23" s="71">
        <v>31</v>
      </c>
      <c r="O23" s="71"/>
      <c r="P23" s="71"/>
      <c r="Q23" s="71"/>
      <c r="R23" s="71">
        <f>SUM(H23:Q23)</f>
        <v>480</v>
      </c>
      <c r="T23" s="27"/>
      <c r="U23" s="2" t="s">
        <v>59</v>
      </c>
      <c r="V23" s="28">
        <f>SUM(R134:R141)</f>
        <v>16005</v>
      </c>
      <c r="W23" s="33">
        <f>V23*1.03</f>
        <v>16485.150000000001</v>
      </c>
    </row>
    <row r="24" spans="2:23">
      <c r="B24" s="10"/>
      <c r="C24" s="193"/>
      <c r="D24" s="200" t="s">
        <v>64</v>
      </c>
      <c r="E24" s="65">
        <v>528199</v>
      </c>
      <c r="F24" s="103" t="s">
        <v>40</v>
      </c>
      <c r="G24" s="185"/>
      <c r="H24" s="67"/>
      <c r="I24" s="67"/>
      <c r="J24" s="67"/>
      <c r="K24" s="67"/>
      <c r="L24" s="67"/>
      <c r="M24" s="67"/>
      <c r="N24" s="67"/>
      <c r="O24" s="67">
        <v>74</v>
      </c>
      <c r="P24" s="67">
        <v>134</v>
      </c>
      <c r="Q24" s="67">
        <v>90</v>
      </c>
      <c r="R24" s="67">
        <f t="shared" ref="R24:R27" si="3">SUM(H24:Q24)</f>
        <v>298</v>
      </c>
      <c r="T24" s="27"/>
    </row>
    <row r="25" spans="2:23" ht="14.25" thickBot="1">
      <c r="B25" s="20"/>
      <c r="C25" s="193"/>
      <c r="D25" s="201"/>
      <c r="E25" s="61">
        <v>528211</v>
      </c>
      <c r="F25" s="89" t="s">
        <v>41</v>
      </c>
      <c r="G25" s="185"/>
      <c r="H25" s="58"/>
      <c r="I25" s="58"/>
      <c r="J25" s="58"/>
      <c r="K25" s="58"/>
      <c r="L25" s="58"/>
      <c r="M25" s="58"/>
      <c r="N25" s="58"/>
      <c r="O25" s="58">
        <v>33</v>
      </c>
      <c r="P25" s="58">
        <v>52</v>
      </c>
      <c r="Q25" s="58">
        <v>25</v>
      </c>
      <c r="R25" s="58">
        <f t="shared" si="3"/>
        <v>110</v>
      </c>
      <c r="T25" s="27"/>
      <c r="U25" s="2" t="s">
        <v>60</v>
      </c>
    </row>
    <row r="26" spans="2:23" ht="15.75" thickBot="1">
      <c r="B26" s="20"/>
      <c r="C26" s="193"/>
      <c r="D26" s="174" t="s">
        <v>65</v>
      </c>
      <c r="E26" s="64">
        <v>528210</v>
      </c>
      <c r="F26" s="110" t="s">
        <v>40</v>
      </c>
      <c r="G26" s="185"/>
      <c r="H26" s="59"/>
      <c r="I26" s="59"/>
      <c r="J26" s="59">
        <v>24</v>
      </c>
      <c r="K26" s="59">
        <v>37</v>
      </c>
      <c r="L26" s="59">
        <v>82</v>
      </c>
      <c r="M26" s="59">
        <v>62</v>
      </c>
      <c r="N26" s="59"/>
      <c r="O26" s="59"/>
      <c r="P26" s="59"/>
      <c r="Q26" s="59"/>
      <c r="R26" s="59">
        <f t="shared" si="3"/>
        <v>205</v>
      </c>
      <c r="T26" s="27"/>
      <c r="U26" s="29" t="s">
        <v>24</v>
      </c>
      <c r="V26" s="30" t="s">
        <v>25</v>
      </c>
    </row>
    <row r="27" spans="2:23" ht="15.75" thickBot="1">
      <c r="B27" s="20"/>
      <c r="C27" s="193"/>
      <c r="D27" s="175"/>
      <c r="E27" s="69">
        <v>528209</v>
      </c>
      <c r="F27" s="111" t="s">
        <v>41</v>
      </c>
      <c r="G27" s="186"/>
      <c r="H27" s="170"/>
      <c r="I27" s="170"/>
      <c r="J27" s="170">
        <v>11</v>
      </c>
      <c r="K27" s="170">
        <v>14</v>
      </c>
      <c r="L27" s="170">
        <v>19</v>
      </c>
      <c r="M27" s="170">
        <v>14</v>
      </c>
      <c r="N27" s="170"/>
      <c r="O27" s="170"/>
      <c r="P27" s="170"/>
      <c r="Q27" s="170"/>
      <c r="R27" s="71">
        <f t="shared" si="3"/>
        <v>58</v>
      </c>
      <c r="T27" s="27"/>
      <c r="U27" s="31" t="s">
        <v>26</v>
      </c>
      <c r="V27" s="32" t="s">
        <v>27</v>
      </c>
    </row>
    <row r="28" spans="2:23" ht="15">
      <c r="B28" s="20"/>
      <c r="C28" s="192">
        <v>4500458564</v>
      </c>
      <c r="D28" s="174" t="s">
        <v>63</v>
      </c>
      <c r="E28" s="64">
        <v>528196</v>
      </c>
      <c r="F28" s="110" t="s">
        <v>40</v>
      </c>
      <c r="G28" s="184">
        <v>44503</v>
      </c>
      <c r="H28" s="59"/>
      <c r="I28" s="59">
        <v>36</v>
      </c>
      <c r="J28" s="59">
        <v>48</v>
      </c>
      <c r="K28" s="59">
        <v>60</v>
      </c>
      <c r="L28" s="59">
        <v>72</v>
      </c>
      <c r="M28" s="59">
        <v>36</v>
      </c>
      <c r="N28" s="59"/>
      <c r="O28" s="59"/>
      <c r="P28" s="59"/>
      <c r="Q28" s="59"/>
      <c r="R28" s="59">
        <f>SUM(H28:Q28)</f>
        <v>252</v>
      </c>
      <c r="S28" s="2">
        <v>4.4000000000000004</v>
      </c>
      <c r="T28" s="27"/>
      <c r="U28" s="208"/>
      <c r="V28" s="208"/>
    </row>
    <row r="29" spans="2:23" ht="15.75" thickBot="1">
      <c r="B29" s="20"/>
      <c r="C29" s="193"/>
      <c r="D29" s="175"/>
      <c r="E29" s="69">
        <v>528197</v>
      </c>
      <c r="F29" s="111" t="s">
        <v>41</v>
      </c>
      <c r="G29" s="185"/>
      <c r="H29" s="71"/>
      <c r="I29" s="71">
        <v>29</v>
      </c>
      <c r="J29" s="71">
        <v>29</v>
      </c>
      <c r="K29" s="71">
        <v>58</v>
      </c>
      <c r="L29" s="71">
        <v>58</v>
      </c>
      <c r="M29" s="71">
        <v>29</v>
      </c>
      <c r="N29" s="71"/>
      <c r="O29" s="71"/>
      <c r="P29" s="71"/>
      <c r="Q29" s="71"/>
      <c r="R29" s="71">
        <f>SUM(H29:Q29)</f>
        <v>203</v>
      </c>
      <c r="T29" s="27"/>
      <c r="U29" s="208"/>
      <c r="V29" s="208"/>
    </row>
    <row r="30" spans="2:23" ht="15">
      <c r="B30" s="20"/>
      <c r="C30" s="193"/>
      <c r="D30" s="200" t="s">
        <v>64</v>
      </c>
      <c r="E30" s="65">
        <v>528199</v>
      </c>
      <c r="F30" s="103" t="s">
        <v>40</v>
      </c>
      <c r="G30" s="185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>
        <f t="shared" ref="R30:R33" si="4">SUM(H30:Q30)</f>
        <v>0</v>
      </c>
      <c r="T30" s="27"/>
      <c r="U30" s="208"/>
      <c r="V30" s="208"/>
    </row>
    <row r="31" spans="2:23" ht="15.75" thickBot="1">
      <c r="B31" s="20"/>
      <c r="C31" s="193"/>
      <c r="D31" s="201"/>
      <c r="E31" s="61">
        <v>528211</v>
      </c>
      <c r="F31" s="89" t="s">
        <v>41</v>
      </c>
      <c r="G31" s="185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>
        <f t="shared" si="4"/>
        <v>0</v>
      </c>
      <c r="T31" s="27"/>
      <c r="U31" s="208"/>
      <c r="V31" s="208"/>
    </row>
    <row r="32" spans="2:23" ht="15">
      <c r="B32" s="20"/>
      <c r="C32" s="193"/>
      <c r="D32" s="174" t="s">
        <v>65</v>
      </c>
      <c r="E32" s="64">
        <v>528210</v>
      </c>
      <c r="F32" s="110" t="s">
        <v>40</v>
      </c>
      <c r="G32" s="185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>
        <f t="shared" si="4"/>
        <v>0</v>
      </c>
      <c r="T32" s="27"/>
      <c r="U32" s="208"/>
      <c r="V32" s="208"/>
    </row>
    <row r="33" spans="2:23" ht="15.75" thickBot="1">
      <c r="B33" s="20"/>
      <c r="C33" s="209"/>
      <c r="D33" s="175"/>
      <c r="E33" s="69">
        <v>528209</v>
      </c>
      <c r="F33" s="111" t="s">
        <v>41</v>
      </c>
      <c r="G33" s="186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>
        <f t="shared" si="4"/>
        <v>0</v>
      </c>
      <c r="T33" s="27"/>
      <c r="U33" s="208"/>
      <c r="V33" s="208"/>
    </row>
    <row r="34" spans="2:23" ht="15">
      <c r="B34" s="20"/>
      <c r="C34" s="192">
        <v>45000458563</v>
      </c>
      <c r="D34" s="174" t="s">
        <v>63</v>
      </c>
      <c r="E34" s="64">
        <v>528196</v>
      </c>
      <c r="F34" s="110" t="s">
        <v>40</v>
      </c>
      <c r="G34" s="184">
        <v>44468</v>
      </c>
      <c r="H34" s="59"/>
      <c r="I34" s="59">
        <v>29</v>
      </c>
      <c r="J34" s="59">
        <v>29</v>
      </c>
      <c r="K34" s="59">
        <v>58</v>
      </c>
      <c r="L34" s="59">
        <v>58</v>
      </c>
      <c r="M34" s="59">
        <v>29</v>
      </c>
      <c r="N34" s="59"/>
      <c r="O34" s="59"/>
      <c r="P34" s="59"/>
      <c r="Q34" s="59"/>
      <c r="R34" s="59">
        <f>SUM(H34:Q34)</f>
        <v>203</v>
      </c>
      <c r="T34" s="27"/>
      <c r="U34" s="208"/>
      <c r="V34" s="208"/>
    </row>
    <row r="35" spans="2:23" ht="15.75" thickBot="1">
      <c r="B35" s="20"/>
      <c r="C35" s="193"/>
      <c r="D35" s="175"/>
      <c r="E35" s="69">
        <v>528197</v>
      </c>
      <c r="F35" s="111" t="s">
        <v>41</v>
      </c>
      <c r="G35" s="185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>
        <f>SUM(H35:Q35)</f>
        <v>0</v>
      </c>
      <c r="T35" s="27"/>
      <c r="U35" s="208"/>
      <c r="V35" s="208"/>
    </row>
    <row r="36" spans="2:23" ht="15">
      <c r="B36" s="20"/>
      <c r="C36" s="193"/>
      <c r="D36" s="200" t="s">
        <v>64</v>
      </c>
      <c r="E36" s="65">
        <v>528199</v>
      </c>
      <c r="F36" s="103" t="s">
        <v>40</v>
      </c>
      <c r="G36" s="185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>
        <f t="shared" ref="R36:R39" si="5">SUM(H36:Q36)</f>
        <v>0</v>
      </c>
      <c r="T36" s="27"/>
      <c r="U36" s="208"/>
      <c r="V36" s="208"/>
    </row>
    <row r="37" spans="2:23" ht="15.75" thickBot="1">
      <c r="B37" s="20"/>
      <c r="C37" s="193"/>
      <c r="D37" s="201"/>
      <c r="E37" s="61">
        <v>528211</v>
      </c>
      <c r="F37" s="89" t="s">
        <v>41</v>
      </c>
      <c r="G37" s="185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>
        <f t="shared" si="5"/>
        <v>0</v>
      </c>
      <c r="T37" s="27"/>
      <c r="U37" s="208"/>
      <c r="V37" s="208"/>
    </row>
    <row r="38" spans="2:23" ht="15">
      <c r="B38" s="20"/>
      <c r="C38" s="193"/>
      <c r="D38" s="174" t="s">
        <v>65</v>
      </c>
      <c r="E38" s="64">
        <v>528210</v>
      </c>
      <c r="F38" s="110" t="s">
        <v>40</v>
      </c>
      <c r="G38" s="185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>
        <f t="shared" si="5"/>
        <v>0</v>
      </c>
      <c r="T38" s="27"/>
      <c r="U38" s="208"/>
      <c r="V38" s="208"/>
    </row>
    <row r="39" spans="2:23" ht="15.75" thickBot="1">
      <c r="B39" s="20"/>
      <c r="C39" s="209"/>
      <c r="D39" s="175"/>
      <c r="E39" s="69">
        <v>528209</v>
      </c>
      <c r="F39" s="111" t="s">
        <v>41</v>
      </c>
      <c r="G39" s="186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>
        <f t="shared" si="5"/>
        <v>0</v>
      </c>
      <c r="T39" s="27"/>
      <c r="U39" s="208"/>
      <c r="V39" s="208"/>
    </row>
    <row r="40" spans="2:23" ht="15">
      <c r="B40" s="20"/>
      <c r="C40" s="192">
        <v>45000458566</v>
      </c>
      <c r="D40" s="174" t="s">
        <v>63</v>
      </c>
      <c r="E40" s="64">
        <v>528196</v>
      </c>
      <c r="F40" s="110" t="s">
        <v>40</v>
      </c>
      <c r="G40" s="184">
        <v>44524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>
        <f>SUM(H40:Q40)</f>
        <v>0</v>
      </c>
      <c r="T40" s="27"/>
      <c r="U40" s="208"/>
      <c r="V40" s="208"/>
    </row>
    <row r="41" spans="2:23" ht="15.75" thickBot="1">
      <c r="B41" s="20"/>
      <c r="C41" s="193"/>
      <c r="D41" s="175"/>
      <c r="E41" s="69">
        <v>528197</v>
      </c>
      <c r="F41" s="111" t="s">
        <v>41</v>
      </c>
      <c r="G41" s="185"/>
      <c r="H41" s="71"/>
      <c r="I41" s="71">
        <v>72</v>
      </c>
      <c r="J41" s="71">
        <v>120</v>
      </c>
      <c r="K41" s="71">
        <v>108</v>
      </c>
      <c r="L41" s="71">
        <v>144</v>
      </c>
      <c r="M41" s="71">
        <v>84</v>
      </c>
      <c r="N41" s="71"/>
      <c r="O41" s="71"/>
      <c r="P41" s="71"/>
      <c r="Q41" s="71"/>
      <c r="R41" s="71">
        <f>SUM(H41:Q41)</f>
        <v>528</v>
      </c>
      <c r="T41" s="27"/>
      <c r="U41" s="208"/>
      <c r="V41" s="208"/>
    </row>
    <row r="42" spans="2:23" ht="15">
      <c r="B42" s="20"/>
      <c r="C42" s="193"/>
      <c r="D42" s="200" t="s">
        <v>64</v>
      </c>
      <c r="E42" s="65">
        <v>528199</v>
      </c>
      <c r="F42" s="103" t="s">
        <v>40</v>
      </c>
      <c r="G42" s="185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>
        <f t="shared" ref="R42:R45" si="6">SUM(H42:Q42)</f>
        <v>0</v>
      </c>
      <c r="T42" s="27"/>
      <c r="U42" s="208"/>
      <c r="V42" s="208"/>
    </row>
    <row r="43" spans="2:23" ht="15.75" thickBot="1">
      <c r="B43" s="20"/>
      <c r="C43" s="193"/>
      <c r="D43" s="201"/>
      <c r="E43" s="61">
        <v>528211</v>
      </c>
      <c r="F43" s="89" t="s">
        <v>41</v>
      </c>
      <c r="G43" s="185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>
        <f t="shared" si="6"/>
        <v>0</v>
      </c>
      <c r="T43" s="27"/>
      <c r="U43" s="208"/>
      <c r="V43" s="208"/>
    </row>
    <row r="44" spans="2:23" ht="15">
      <c r="B44" s="20"/>
      <c r="C44" s="193"/>
      <c r="D44" s="174" t="s">
        <v>65</v>
      </c>
      <c r="E44" s="64">
        <v>528210</v>
      </c>
      <c r="F44" s="110" t="s">
        <v>40</v>
      </c>
      <c r="G44" s="185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>
        <f t="shared" si="6"/>
        <v>0</v>
      </c>
      <c r="T44" s="27"/>
      <c r="U44" s="208"/>
      <c r="V44" s="208"/>
    </row>
    <row r="45" spans="2:23" ht="15.75" thickBot="1">
      <c r="B45" s="20"/>
      <c r="C45" s="209"/>
      <c r="D45" s="175"/>
      <c r="E45" s="69">
        <v>528209</v>
      </c>
      <c r="F45" s="111" t="s">
        <v>41</v>
      </c>
      <c r="G45" s="186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>
        <f t="shared" si="6"/>
        <v>0</v>
      </c>
      <c r="T45" s="27"/>
      <c r="U45" s="208"/>
      <c r="V45" s="208"/>
    </row>
    <row r="46" spans="2:23">
      <c r="B46" s="7" t="s">
        <v>39</v>
      </c>
      <c r="C46" s="192" t="s">
        <v>66</v>
      </c>
      <c r="D46" s="174" t="s">
        <v>63</v>
      </c>
      <c r="E46" s="64">
        <v>528196</v>
      </c>
      <c r="F46" s="110" t="s">
        <v>40</v>
      </c>
      <c r="G46" s="184"/>
      <c r="H46" s="59">
        <f>H4+H10+H16+H22+H28+H34+H40</f>
        <v>223</v>
      </c>
      <c r="I46" s="59">
        <f t="shared" ref="I46:N46" si="7">I4+I10+I16+I22+I28+I34+I40</f>
        <v>739</v>
      </c>
      <c r="J46" s="59">
        <f t="shared" si="7"/>
        <v>1214</v>
      </c>
      <c r="K46" s="59">
        <f t="shared" si="7"/>
        <v>1201</v>
      </c>
      <c r="L46" s="59">
        <f t="shared" si="7"/>
        <v>2018</v>
      </c>
      <c r="M46" s="59">
        <f t="shared" si="7"/>
        <v>1593</v>
      </c>
      <c r="N46" s="59">
        <f t="shared" si="7"/>
        <v>589</v>
      </c>
      <c r="O46" s="59">
        <f t="shared" ref="O46:Q46" si="8">O4+O10+O16+O22</f>
        <v>0</v>
      </c>
      <c r="P46" s="59">
        <f t="shared" si="8"/>
        <v>0</v>
      </c>
      <c r="Q46" s="59">
        <f t="shared" si="8"/>
        <v>0</v>
      </c>
      <c r="R46" s="59">
        <f>SUM(H46:Q46)</f>
        <v>7577</v>
      </c>
      <c r="T46" s="27"/>
      <c r="U46" s="28"/>
      <c r="V46" s="28"/>
      <c r="W46" s="33"/>
    </row>
    <row r="47" spans="2:23" ht="14.25" thickBot="1">
      <c r="B47" s="17"/>
      <c r="C47" s="193"/>
      <c r="D47" s="175"/>
      <c r="E47" s="69">
        <v>528197</v>
      </c>
      <c r="F47" s="111" t="s">
        <v>41</v>
      </c>
      <c r="G47" s="185"/>
      <c r="H47" s="58">
        <f>H5+H11+H17+H23+H29+H35+H41</f>
        <v>165</v>
      </c>
      <c r="I47" s="58">
        <f t="shared" ref="I47:P47" si="9">I5+I11+I17+I23+I29+I35+I41</f>
        <v>461</v>
      </c>
      <c r="J47" s="58">
        <f t="shared" si="9"/>
        <v>598</v>
      </c>
      <c r="K47" s="58">
        <f t="shared" si="9"/>
        <v>631</v>
      </c>
      <c r="L47" s="58">
        <f t="shared" si="9"/>
        <v>1024</v>
      </c>
      <c r="M47" s="58">
        <f t="shared" si="9"/>
        <v>854</v>
      </c>
      <c r="N47" s="58">
        <f t="shared" si="9"/>
        <v>204</v>
      </c>
      <c r="O47" s="58">
        <f t="shared" si="9"/>
        <v>0</v>
      </c>
      <c r="P47" s="58">
        <f t="shared" si="9"/>
        <v>0</v>
      </c>
      <c r="Q47" s="58">
        <f t="shared" ref="Q47" si="10">Q5+Q11+Q17+Q23</f>
        <v>0</v>
      </c>
      <c r="R47" s="71">
        <f>SUM(H47:Q47)</f>
        <v>3937</v>
      </c>
      <c r="T47" s="27"/>
      <c r="U47" s="2" t="s">
        <v>59</v>
      </c>
      <c r="V47" s="28">
        <f>SUM(R140:R147)</f>
        <v>17191</v>
      </c>
      <c r="W47" s="33">
        <f>V47*1.03</f>
        <v>17706.73</v>
      </c>
    </row>
    <row r="48" spans="2:23">
      <c r="B48" s="10"/>
      <c r="C48" s="193"/>
      <c r="D48" s="200" t="s">
        <v>64</v>
      </c>
      <c r="E48" s="65">
        <v>528199</v>
      </c>
      <c r="F48" s="103" t="s">
        <v>40</v>
      </c>
      <c r="G48" s="185"/>
      <c r="H48" s="58">
        <f t="shared" ref="H48:Q48" si="11">H6+H12+H18+H24</f>
        <v>0</v>
      </c>
      <c r="I48" s="58">
        <f t="shared" si="11"/>
        <v>0</v>
      </c>
      <c r="J48" s="58">
        <f t="shared" si="11"/>
        <v>0</v>
      </c>
      <c r="K48" s="58">
        <f t="shared" si="11"/>
        <v>0</v>
      </c>
      <c r="L48" s="58">
        <f t="shared" si="11"/>
        <v>0</v>
      </c>
      <c r="M48" s="58">
        <f t="shared" si="11"/>
        <v>0</v>
      </c>
      <c r="N48" s="58">
        <f t="shared" si="11"/>
        <v>0</v>
      </c>
      <c r="O48" s="58">
        <f t="shared" si="11"/>
        <v>497</v>
      </c>
      <c r="P48" s="58">
        <f t="shared" si="11"/>
        <v>896</v>
      </c>
      <c r="Q48" s="58">
        <f t="shared" si="11"/>
        <v>598</v>
      </c>
      <c r="R48" s="67">
        <f t="shared" ref="R48:R51" si="12">SUM(H48:Q48)</f>
        <v>1991</v>
      </c>
      <c r="T48" s="27"/>
    </row>
    <row r="49" spans="2:22" ht="14.25" thickBot="1">
      <c r="B49" s="20"/>
      <c r="C49" s="193"/>
      <c r="D49" s="201"/>
      <c r="E49" s="61">
        <v>528211</v>
      </c>
      <c r="F49" s="89" t="s">
        <v>41</v>
      </c>
      <c r="G49" s="185"/>
      <c r="H49" s="58">
        <f t="shared" ref="H49:Q49" si="13">H7+H13+H19+H25</f>
        <v>0</v>
      </c>
      <c r="I49" s="58">
        <f t="shared" si="13"/>
        <v>0</v>
      </c>
      <c r="J49" s="58">
        <f t="shared" si="13"/>
        <v>0</v>
      </c>
      <c r="K49" s="58">
        <f t="shared" si="13"/>
        <v>0</v>
      </c>
      <c r="L49" s="58">
        <f t="shared" si="13"/>
        <v>0</v>
      </c>
      <c r="M49" s="58">
        <f t="shared" si="13"/>
        <v>0</v>
      </c>
      <c r="N49" s="58">
        <f t="shared" si="13"/>
        <v>0</v>
      </c>
      <c r="O49" s="58">
        <f t="shared" si="13"/>
        <v>221</v>
      </c>
      <c r="P49" s="58">
        <f t="shared" si="13"/>
        <v>347</v>
      </c>
      <c r="Q49" s="58">
        <f t="shared" si="13"/>
        <v>169</v>
      </c>
      <c r="R49" s="58">
        <f t="shared" si="12"/>
        <v>737</v>
      </c>
      <c r="T49" s="27"/>
      <c r="U49" s="2" t="s">
        <v>60</v>
      </c>
    </row>
    <row r="50" spans="2:22" ht="15.75" thickBot="1">
      <c r="B50" s="20"/>
      <c r="C50" s="193"/>
      <c r="D50" s="174" t="s">
        <v>65</v>
      </c>
      <c r="E50" s="64">
        <v>528210</v>
      </c>
      <c r="F50" s="110" t="s">
        <v>40</v>
      </c>
      <c r="G50" s="185"/>
      <c r="H50" s="58">
        <f t="shared" ref="H50:Q50" si="14">H8+H14+H20+H26</f>
        <v>0</v>
      </c>
      <c r="I50" s="58">
        <f t="shared" si="14"/>
        <v>0</v>
      </c>
      <c r="J50" s="58">
        <f t="shared" si="14"/>
        <v>163</v>
      </c>
      <c r="K50" s="58">
        <f t="shared" si="14"/>
        <v>245</v>
      </c>
      <c r="L50" s="58">
        <f t="shared" si="14"/>
        <v>545</v>
      </c>
      <c r="M50" s="58">
        <f t="shared" si="14"/>
        <v>410</v>
      </c>
      <c r="N50" s="58">
        <f t="shared" si="14"/>
        <v>0</v>
      </c>
      <c r="O50" s="58">
        <f t="shared" si="14"/>
        <v>0</v>
      </c>
      <c r="P50" s="58">
        <f t="shared" si="14"/>
        <v>0</v>
      </c>
      <c r="Q50" s="58">
        <f t="shared" si="14"/>
        <v>0</v>
      </c>
      <c r="R50" s="59">
        <f t="shared" si="12"/>
        <v>1363</v>
      </c>
      <c r="T50" s="27"/>
      <c r="U50" s="29" t="s">
        <v>24</v>
      </c>
      <c r="V50" s="30" t="s">
        <v>25</v>
      </c>
    </row>
    <row r="51" spans="2:22" ht="15.75" thickBot="1">
      <c r="B51" s="20"/>
      <c r="C51" s="193"/>
      <c r="D51" s="175"/>
      <c r="E51" s="69">
        <v>528209</v>
      </c>
      <c r="F51" s="111" t="s">
        <v>41</v>
      </c>
      <c r="G51" s="186"/>
      <c r="H51" s="71">
        <f t="shared" ref="H51:Q51" si="15">H9+H15+H21+H27</f>
        <v>0</v>
      </c>
      <c r="I51" s="71">
        <f t="shared" si="15"/>
        <v>0</v>
      </c>
      <c r="J51" s="71">
        <f t="shared" si="15"/>
        <v>78</v>
      </c>
      <c r="K51" s="71">
        <f t="shared" si="15"/>
        <v>96</v>
      </c>
      <c r="L51" s="71">
        <f t="shared" si="15"/>
        <v>130</v>
      </c>
      <c r="M51" s="71">
        <f t="shared" si="15"/>
        <v>96</v>
      </c>
      <c r="N51" s="71">
        <f t="shared" si="15"/>
        <v>0</v>
      </c>
      <c r="O51" s="71">
        <f t="shared" si="15"/>
        <v>0</v>
      </c>
      <c r="P51" s="71">
        <f t="shared" si="15"/>
        <v>0</v>
      </c>
      <c r="Q51" s="71">
        <f t="shared" si="15"/>
        <v>0</v>
      </c>
      <c r="R51" s="71">
        <f t="shared" si="12"/>
        <v>400</v>
      </c>
      <c r="T51" s="27"/>
      <c r="U51" s="31" t="s">
        <v>26</v>
      </c>
      <c r="V51" s="32" t="s">
        <v>27</v>
      </c>
    </row>
    <row r="52" spans="2:22" ht="15.75" thickBot="1">
      <c r="B52" s="18"/>
      <c r="C52" s="8"/>
      <c r="D52" s="8"/>
      <c r="E52" s="10"/>
      <c r="F52" s="4"/>
      <c r="G52" s="9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6"/>
      <c r="T52" s="27"/>
      <c r="U52" s="31" t="s">
        <v>28</v>
      </c>
      <c r="V52" s="32" t="s">
        <v>29</v>
      </c>
    </row>
    <row r="53" spans="2:22" ht="15.75" hidden="1" thickBot="1">
      <c r="B53" s="18"/>
      <c r="C53" s="14"/>
      <c r="D53" s="14"/>
      <c r="E53" s="13"/>
      <c r="F53" s="13"/>
      <c r="G53" s="15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T53" s="27"/>
      <c r="U53" s="31" t="s">
        <v>30</v>
      </c>
      <c r="V53" s="32" t="s">
        <v>31</v>
      </c>
    </row>
    <row r="54" spans="2:22" hidden="1">
      <c r="B54" s="18"/>
      <c r="C54" s="187"/>
      <c r="D54" s="189"/>
      <c r="E54" s="11"/>
      <c r="F54" s="19"/>
      <c r="G54" s="190"/>
      <c r="H54" s="36"/>
      <c r="I54" s="36"/>
      <c r="J54" s="36"/>
      <c r="K54" s="36"/>
      <c r="L54" s="36"/>
      <c r="M54" s="6"/>
      <c r="N54" s="6"/>
      <c r="O54" s="6"/>
      <c r="P54" s="6"/>
      <c r="Q54" s="6"/>
      <c r="R54" s="6"/>
      <c r="T54" s="27"/>
    </row>
    <row r="55" spans="2:22" hidden="1">
      <c r="B55" s="18"/>
      <c r="C55" s="188"/>
      <c r="D55" s="189"/>
      <c r="E55" s="11"/>
      <c r="F55" s="19"/>
      <c r="G55" s="191"/>
      <c r="H55" s="36"/>
      <c r="I55" s="36"/>
      <c r="J55" s="36"/>
      <c r="K55" s="36"/>
      <c r="L55" s="36"/>
      <c r="M55" s="6"/>
      <c r="N55" s="6"/>
      <c r="O55" s="6"/>
      <c r="P55" s="6"/>
      <c r="Q55" s="6"/>
      <c r="R55" s="6"/>
      <c r="T55" s="27"/>
    </row>
    <row r="56" spans="2:22" hidden="1">
      <c r="B56" s="18"/>
      <c r="C56" s="188"/>
      <c r="D56" s="189"/>
      <c r="E56" s="11"/>
      <c r="F56" s="4"/>
      <c r="G56" s="191"/>
      <c r="H56" s="36"/>
      <c r="I56" s="36"/>
      <c r="J56" s="36"/>
      <c r="K56" s="36"/>
      <c r="L56" s="36"/>
      <c r="M56" s="6"/>
      <c r="N56" s="6"/>
      <c r="O56" s="6"/>
      <c r="P56" s="6"/>
      <c r="Q56" s="6"/>
      <c r="R56" s="6"/>
      <c r="T56" s="27"/>
      <c r="U56" s="2" t="s">
        <v>35</v>
      </c>
    </row>
    <row r="57" spans="2:22" hidden="1">
      <c r="B57" s="18"/>
      <c r="C57" s="188"/>
      <c r="D57" s="189"/>
      <c r="E57" s="11"/>
      <c r="F57" s="4"/>
      <c r="G57" s="191"/>
      <c r="H57" s="36"/>
      <c r="I57" s="36"/>
      <c r="J57" s="36"/>
      <c r="K57" s="36"/>
      <c r="L57" s="36"/>
      <c r="M57" s="6"/>
      <c r="N57" s="6"/>
      <c r="O57" s="6"/>
      <c r="P57" s="6"/>
      <c r="Q57" s="6"/>
      <c r="R57" s="6"/>
      <c r="T57" s="27"/>
      <c r="U57" s="35" t="s">
        <v>61</v>
      </c>
    </row>
    <row r="58" spans="2:22" hidden="1">
      <c r="B58" s="18"/>
      <c r="C58" s="188"/>
      <c r="D58" s="189"/>
      <c r="E58" s="11"/>
      <c r="F58" s="4"/>
      <c r="G58" s="191"/>
      <c r="H58" s="36"/>
      <c r="I58" s="36"/>
      <c r="J58" s="36"/>
      <c r="K58" s="36"/>
      <c r="L58" s="36"/>
      <c r="M58" s="6"/>
      <c r="N58" s="6"/>
      <c r="O58" s="6"/>
      <c r="P58" s="6"/>
      <c r="Q58" s="6"/>
      <c r="R58" s="6"/>
      <c r="T58" s="27"/>
    </row>
    <row r="59" spans="2:22" hidden="1">
      <c r="B59" s="18"/>
      <c r="C59" s="188"/>
      <c r="D59" s="189"/>
      <c r="E59" s="11"/>
      <c r="F59" s="4"/>
      <c r="G59" s="191"/>
      <c r="H59" s="36"/>
      <c r="I59" s="36"/>
      <c r="J59" s="36"/>
      <c r="K59" s="36"/>
      <c r="L59" s="36"/>
      <c r="M59" s="6"/>
      <c r="N59" s="6"/>
      <c r="O59" s="6"/>
      <c r="P59" s="6"/>
      <c r="Q59" s="6"/>
      <c r="R59" s="6"/>
      <c r="T59" s="27"/>
    </row>
    <row r="60" spans="2:22" hidden="1">
      <c r="B60" s="18"/>
      <c r="C60" s="188"/>
      <c r="D60" s="189"/>
      <c r="E60" s="11"/>
      <c r="F60" s="4"/>
      <c r="G60" s="191"/>
      <c r="H60" s="36"/>
      <c r="I60" s="36"/>
      <c r="J60" s="36"/>
      <c r="K60" s="36"/>
      <c r="L60" s="36"/>
      <c r="M60" s="6"/>
      <c r="N60" s="6"/>
      <c r="O60" s="6"/>
      <c r="P60" s="6"/>
      <c r="Q60" s="6"/>
      <c r="R60" s="6"/>
    </row>
    <row r="61" spans="2:22" hidden="1">
      <c r="B61" s="18"/>
      <c r="C61" s="188"/>
      <c r="D61" s="189"/>
      <c r="E61" s="11"/>
      <c r="F61" s="4"/>
      <c r="G61" s="191"/>
      <c r="H61" s="36"/>
      <c r="I61" s="36"/>
      <c r="J61" s="36"/>
      <c r="K61" s="36"/>
      <c r="L61" s="36"/>
      <c r="M61" s="6"/>
      <c r="N61" s="6"/>
      <c r="O61" s="6"/>
      <c r="P61" s="6"/>
      <c r="Q61" s="6"/>
      <c r="R61" s="6"/>
    </row>
    <row r="62" spans="2:22" hidden="1">
      <c r="B62" s="18"/>
      <c r="C62" s="188"/>
      <c r="D62" s="189"/>
      <c r="E62" s="11"/>
      <c r="F62" s="4"/>
      <c r="G62" s="191"/>
      <c r="H62" s="36"/>
      <c r="I62" s="36"/>
      <c r="J62" s="36"/>
      <c r="K62" s="36"/>
      <c r="L62" s="36"/>
      <c r="M62" s="6"/>
      <c r="N62" s="6"/>
      <c r="O62" s="6"/>
      <c r="P62" s="6"/>
      <c r="Q62" s="6"/>
      <c r="R62" s="6"/>
    </row>
    <row r="63" spans="2:22" hidden="1">
      <c r="B63" s="18"/>
      <c r="C63" s="188"/>
      <c r="D63" s="189"/>
      <c r="E63" s="11"/>
      <c r="F63" s="19"/>
      <c r="G63" s="19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2:22" hidden="1">
      <c r="B64" s="18"/>
      <c r="C64" s="188"/>
      <c r="D64" s="189"/>
      <c r="E64" s="11"/>
      <c r="F64" s="19"/>
      <c r="G64" s="19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2:24" hidden="1">
      <c r="B65" s="18"/>
      <c r="C65" s="188"/>
      <c r="D65" s="189"/>
      <c r="E65" s="11"/>
      <c r="F65" s="4"/>
      <c r="G65" s="19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2:24" hidden="1">
      <c r="B66" s="18"/>
      <c r="C66" s="188"/>
      <c r="D66" s="189"/>
      <c r="E66" s="11"/>
      <c r="F66" s="4"/>
      <c r="G66" s="19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2:24" hidden="1">
      <c r="B67" s="18"/>
      <c r="C67" s="188"/>
      <c r="D67" s="189"/>
      <c r="E67" s="11"/>
      <c r="F67" s="4"/>
      <c r="G67" s="19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2:24" hidden="1">
      <c r="B68" s="18"/>
      <c r="C68" s="188"/>
      <c r="D68" s="189"/>
      <c r="E68" s="11"/>
      <c r="F68" s="4"/>
      <c r="G68" s="19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U68" s="2" t="s">
        <v>37</v>
      </c>
    </row>
    <row r="69" spans="2:24" s="12" customFormat="1" hidden="1">
      <c r="B69" s="18"/>
      <c r="C69" s="188"/>
      <c r="D69" s="189"/>
      <c r="E69" s="11"/>
      <c r="F69" s="4"/>
      <c r="G69" s="19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  <c r="T69" s="2"/>
      <c r="U69" s="2" t="s">
        <v>62</v>
      </c>
      <c r="V69" s="28">
        <f>SUM(R134:R141)</f>
        <v>16005</v>
      </c>
      <c r="W69" s="79">
        <f>V69*1.03</f>
        <v>16485.150000000001</v>
      </c>
      <c r="X69" s="2"/>
    </row>
    <row r="70" spans="2:24" s="12" customFormat="1" hidden="1">
      <c r="B70" s="18"/>
      <c r="C70" s="188"/>
      <c r="D70" s="189"/>
      <c r="E70" s="11"/>
      <c r="F70" s="4"/>
      <c r="G70" s="19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  <c r="T70" s="2"/>
      <c r="U70" s="2"/>
      <c r="V70" s="28"/>
      <c r="W70" s="79"/>
      <c r="X70" s="2"/>
    </row>
    <row r="71" spans="2:24" s="12" customFormat="1" hidden="1">
      <c r="B71" s="18"/>
      <c r="C71" s="188"/>
      <c r="D71" s="189"/>
      <c r="E71" s="11"/>
      <c r="F71" s="4"/>
      <c r="G71" s="19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  <c r="T71" s="2"/>
      <c r="U71" s="2"/>
      <c r="V71" s="28"/>
      <c r="W71" s="79"/>
      <c r="X71" s="2"/>
    </row>
    <row r="72" spans="2:24" s="12" customFormat="1" hidden="1">
      <c r="B72" s="18"/>
      <c r="C72" s="8"/>
      <c r="D72" s="8"/>
      <c r="E72" s="10"/>
      <c r="F72" s="4"/>
      <c r="G72" s="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  <c r="T72" s="2"/>
      <c r="U72" s="2"/>
      <c r="V72" s="28"/>
      <c r="W72" s="79"/>
      <c r="X72" s="2"/>
    </row>
    <row r="73" spans="2:24" hidden="1">
      <c r="B73" s="21"/>
      <c r="C73" s="14"/>
      <c r="D73" s="14"/>
      <c r="E73" s="13"/>
      <c r="F73" s="13"/>
      <c r="G73" s="15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2:24" hidden="1">
      <c r="B74" s="18"/>
      <c r="C74" s="176"/>
      <c r="D74" s="178"/>
      <c r="E74" s="46"/>
      <c r="F74" s="47"/>
      <c r="G74" s="179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T74" s="27"/>
    </row>
    <row r="75" spans="2:24" hidden="1">
      <c r="B75" s="18"/>
      <c r="C75" s="177"/>
      <c r="D75" s="178"/>
      <c r="E75" s="46"/>
      <c r="F75" s="47"/>
      <c r="G75" s="180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T75" s="27"/>
    </row>
    <row r="76" spans="2:24" hidden="1">
      <c r="B76" s="18"/>
      <c r="C76" s="177"/>
      <c r="D76" s="178"/>
      <c r="E76" s="46"/>
      <c r="F76" s="49"/>
      <c r="G76" s="180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T76" s="27"/>
    </row>
    <row r="77" spans="2:24" hidden="1">
      <c r="B77" s="18"/>
      <c r="C77" s="177"/>
      <c r="D77" s="178"/>
      <c r="E77" s="46"/>
      <c r="F77" s="49"/>
      <c r="G77" s="180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T77" s="27"/>
      <c r="U77" s="35"/>
    </row>
    <row r="78" spans="2:24" s="12" customFormat="1" hidden="1">
      <c r="B78" s="18"/>
      <c r="C78" s="50"/>
      <c r="D78" s="50"/>
      <c r="E78" s="51"/>
      <c r="F78" s="49"/>
      <c r="G78" s="52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2"/>
      <c r="T78" s="2"/>
      <c r="U78" s="2"/>
      <c r="V78" s="2"/>
      <c r="W78" s="2"/>
      <c r="X78" s="2"/>
    </row>
    <row r="79" spans="2:24" hidden="1">
      <c r="B79" s="21"/>
      <c r="C79" s="53"/>
      <c r="D79" s="53"/>
      <c r="E79" s="49"/>
      <c r="F79" s="49"/>
      <c r="G79" s="52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</row>
    <row r="80" spans="2:24" hidden="1">
      <c r="B80" s="18"/>
      <c r="C80" s="181">
        <v>66801</v>
      </c>
      <c r="D80" s="183" t="s">
        <v>32</v>
      </c>
      <c r="E80" s="37">
        <v>517199</v>
      </c>
      <c r="F80" s="38" t="s">
        <v>16</v>
      </c>
      <c r="G80" s="172">
        <v>44175</v>
      </c>
      <c r="H80" s="39"/>
      <c r="I80" s="39">
        <v>120</v>
      </c>
      <c r="J80" s="39">
        <v>120</v>
      </c>
      <c r="K80" s="39">
        <v>60</v>
      </c>
      <c r="L80" s="39">
        <v>60</v>
      </c>
      <c r="M80" s="39"/>
      <c r="N80" s="39"/>
      <c r="O80" s="39"/>
      <c r="P80" s="39"/>
      <c r="Q80" s="39"/>
      <c r="R80" s="39">
        <f>SUM(H80:Q80)</f>
        <v>360</v>
      </c>
      <c r="T80" s="27"/>
    </row>
    <row r="81" spans="2:24" hidden="1">
      <c r="B81" s="18"/>
      <c r="C81" s="182"/>
      <c r="D81" s="183"/>
      <c r="E81" s="37">
        <v>517199</v>
      </c>
      <c r="F81" s="38" t="s">
        <v>22</v>
      </c>
      <c r="G81" s="173"/>
      <c r="H81" s="39"/>
      <c r="I81" s="39">
        <v>104</v>
      </c>
      <c r="J81" s="39">
        <v>104</v>
      </c>
      <c r="K81" s="39">
        <v>52</v>
      </c>
      <c r="L81" s="39">
        <v>52</v>
      </c>
      <c r="M81" s="39"/>
      <c r="N81" s="39"/>
      <c r="O81" s="39"/>
      <c r="P81" s="39"/>
      <c r="Q81" s="39"/>
      <c r="R81" s="39">
        <f t="shared" ref="R81:R83" si="16">SUM(H81:Q81)</f>
        <v>312</v>
      </c>
      <c r="T81" s="27"/>
    </row>
    <row r="82" spans="2:24" hidden="1">
      <c r="B82" s="18"/>
      <c r="C82" s="182"/>
      <c r="D82" s="183"/>
      <c r="E82" s="37">
        <v>517199</v>
      </c>
      <c r="F82" s="40" t="s">
        <v>17</v>
      </c>
      <c r="G82" s="173"/>
      <c r="H82" s="39"/>
      <c r="I82" s="39">
        <v>216</v>
      </c>
      <c r="J82" s="39">
        <v>216</v>
      </c>
      <c r="K82" s="39">
        <v>108</v>
      </c>
      <c r="L82" s="39">
        <v>108</v>
      </c>
      <c r="M82" s="39"/>
      <c r="N82" s="39"/>
      <c r="O82" s="39"/>
      <c r="P82" s="39"/>
      <c r="Q82" s="39"/>
      <c r="R82" s="39">
        <f t="shared" si="16"/>
        <v>648</v>
      </c>
      <c r="T82" s="27"/>
    </row>
    <row r="83" spans="2:24" hidden="1">
      <c r="B83" s="18"/>
      <c r="C83" s="182"/>
      <c r="D83" s="183"/>
      <c r="E83" s="37">
        <v>517199</v>
      </c>
      <c r="F83" s="40" t="s">
        <v>21</v>
      </c>
      <c r="G83" s="173"/>
      <c r="H83" s="39"/>
      <c r="I83" s="39">
        <v>92</v>
      </c>
      <c r="J83" s="39">
        <v>92</v>
      </c>
      <c r="K83" s="39">
        <v>46</v>
      </c>
      <c r="L83" s="39">
        <v>46</v>
      </c>
      <c r="M83" s="39"/>
      <c r="N83" s="39"/>
      <c r="O83" s="39"/>
      <c r="P83" s="39"/>
      <c r="Q83" s="39"/>
      <c r="R83" s="39">
        <f t="shared" si="16"/>
        <v>276</v>
      </c>
      <c r="T83" s="27"/>
      <c r="U83" s="35"/>
    </row>
    <row r="84" spans="2:24" s="12" customFormat="1" hidden="1">
      <c r="B84" s="18"/>
      <c r="C84" s="41"/>
      <c r="D84" s="41"/>
      <c r="E84" s="42"/>
      <c r="F84" s="40"/>
      <c r="G84" s="43" t="s">
        <v>10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"/>
      <c r="T84" s="2"/>
      <c r="U84" s="2"/>
      <c r="V84" s="2"/>
      <c r="W84" s="2"/>
      <c r="X84" s="2"/>
    </row>
    <row r="85" spans="2:24" hidden="1">
      <c r="B85" s="21"/>
      <c r="C85" s="44" t="s">
        <v>11</v>
      </c>
      <c r="D85" s="44"/>
      <c r="E85" s="40" t="s">
        <v>9</v>
      </c>
      <c r="F85" s="40"/>
      <c r="G85" s="43" t="s">
        <v>12</v>
      </c>
      <c r="H85" s="39">
        <f t="shared" ref="H85:R85" si="17">SUM(H80:H84)</f>
        <v>0</v>
      </c>
      <c r="I85" s="39">
        <f t="shared" si="17"/>
        <v>532</v>
      </c>
      <c r="J85" s="39">
        <f t="shared" si="17"/>
        <v>532</v>
      </c>
      <c r="K85" s="39">
        <f t="shared" si="17"/>
        <v>266</v>
      </c>
      <c r="L85" s="39">
        <f t="shared" si="17"/>
        <v>266</v>
      </c>
      <c r="M85" s="39">
        <f t="shared" si="17"/>
        <v>0</v>
      </c>
      <c r="N85" s="39">
        <f t="shared" ref="N85:O85" si="18">SUM(N80:N84)</f>
        <v>0</v>
      </c>
      <c r="O85" s="39">
        <f t="shared" si="18"/>
        <v>0</v>
      </c>
      <c r="P85" s="39">
        <f t="shared" si="17"/>
        <v>0</v>
      </c>
      <c r="Q85" s="39">
        <f t="shared" si="17"/>
        <v>0</v>
      </c>
      <c r="R85" s="39">
        <f t="shared" si="17"/>
        <v>1596</v>
      </c>
    </row>
    <row r="86" spans="2:24" hidden="1">
      <c r="B86" s="18"/>
      <c r="C86" s="181">
        <v>66806</v>
      </c>
      <c r="D86" s="183" t="s">
        <v>32</v>
      </c>
      <c r="E86" s="37">
        <v>517199</v>
      </c>
      <c r="F86" s="38" t="s">
        <v>16</v>
      </c>
      <c r="G86" s="172">
        <v>44175</v>
      </c>
      <c r="H86" s="39"/>
      <c r="I86" s="39">
        <v>52</v>
      </c>
      <c r="J86" s="39">
        <v>52</v>
      </c>
      <c r="K86" s="39">
        <v>26</v>
      </c>
      <c r="L86" s="39">
        <v>26</v>
      </c>
      <c r="M86" s="39"/>
      <c r="N86" s="39"/>
      <c r="O86" s="39"/>
      <c r="P86" s="39"/>
      <c r="Q86" s="39"/>
      <c r="R86" s="39">
        <f>SUM(H86:Q86)</f>
        <v>156</v>
      </c>
      <c r="T86" s="27"/>
    </row>
    <row r="87" spans="2:24" hidden="1">
      <c r="B87" s="18"/>
      <c r="C87" s="182"/>
      <c r="D87" s="183"/>
      <c r="E87" s="37">
        <v>517199</v>
      </c>
      <c r="F87" s="38" t="s">
        <v>22</v>
      </c>
      <c r="G87" s="173"/>
      <c r="H87" s="39"/>
      <c r="I87" s="39">
        <v>46</v>
      </c>
      <c r="J87" s="39">
        <v>46</v>
      </c>
      <c r="K87" s="39">
        <v>23</v>
      </c>
      <c r="L87" s="39">
        <v>23</v>
      </c>
      <c r="M87" s="39"/>
      <c r="N87" s="39"/>
      <c r="O87" s="39"/>
      <c r="P87" s="39"/>
      <c r="Q87" s="39"/>
      <c r="R87" s="39">
        <f t="shared" ref="R87:R89" si="19">SUM(H87:Q87)</f>
        <v>138</v>
      </c>
      <c r="T87" s="27"/>
    </row>
    <row r="88" spans="2:24" hidden="1">
      <c r="B88" s="18"/>
      <c r="C88" s="182"/>
      <c r="D88" s="183"/>
      <c r="E88" s="37">
        <v>517199</v>
      </c>
      <c r="F88" s="40" t="s">
        <v>17</v>
      </c>
      <c r="G88" s="173"/>
      <c r="H88" s="39"/>
      <c r="I88" s="39">
        <v>94</v>
      </c>
      <c r="J88" s="39">
        <v>94</v>
      </c>
      <c r="K88" s="39">
        <v>47</v>
      </c>
      <c r="L88" s="39">
        <v>47</v>
      </c>
      <c r="M88" s="39"/>
      <c r="N88" s="39"/>
      <c r="O88" s="39"/>
      <c r="P88" s="39"/>
      <c r="Q88" s="39"/>
      <c r="R88" s="39">
        <f t="shared" si="19"/>
        <v>282</v>
      </c>
      <c r="T88" s="27"/>
    </row>
    <row r="89" spans="2:24" hidden="1">
      <c r="B89" s="18"/>
      <c r="C89" s="182"/>
      <c r="D89" s="183"/>
      <c r="E89" s="37">
        <v>517199</v>
      </c>
      <c r="F89" s="40" t="s">
        <v>21</v>
      </c>
      <c r="G89" s="173"/>
      <c r="H89" s="39"/>
      <c r="I89" s="39">
        <v>40</v>
      </c>
      <c r="J89" s="39">
        <v>40</v>
      </c>
      <c r="K89" s="39">
        <v>20</v>
      </c>
      <c r="L89" s="39">
        <v>20</v>
      </c>
      <c r="M89" s="39"/>
      <c r="N89" s="39"/>
      <c r="O89" s="39"/>
      <c r="P89" s="39"/>
      <c r="Q89" s="39"/>
      <c r="R89" s="39">
        <f t="shared" si="19"/>
        <v>120</v>
      </c>
      <c r="T89" s="27"/>
      <c r="U89" s="35"/>
    </row>
    <row r="90" spans="2:24" s="12" customFormat="1" hidden="1">
      <c r="B90" s="18"/>
      <c r="C90" s="41"/>
      <c r="D90" s="41"/>
      <c r="E90" s="42"/>
      <c r="F90" s="40"/>
      <c r="G90" s="43" t="s">
        <v>10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2"/>
      <c r="T90" s="2"/>
      <c r="U90" s="2"/>
      <c r="V90" s="2"/>
      <c r="W90" s="2"/>
      <c r="X90" s="2"/>
    </row>
    <row r="91" spans="2:24" hidden="1">
      <c r="B91" s="21"/>
      <c r="C91" s="44" t="s">
        <v>11</v>
      </c>
      <c r="D91" s="44"/>
      <c r="E91" s="40" t="s">
        <v>9</v>
      </c>
      <c r="F91" s="40"/>
      <c r="G91" s="43" t="s">
        <v>12</v>
      </c>
      <c r="H91" s="39">
        <f t="shared" ref="H91:R91" si="20">SUM(H86:H90)</f>
        <v>0</v>
      </c>
      <c r="I91" s="39">
        <f t="shared" si="20"/>
        <v>232</v>
      </c>
      <c r="J91" s="39">
        <f t="shared" si="20"/>
        <v>232</v>
      </c>
      <c r="K91" s="39">
        <f t="shared" si="20"/>
        <v>116</v>
      </c>
      <c r="L91" s="39">
        <f t="shared" si="20"/>
        <v>116</v>
      </c>
      <c r="M91" s="39">
        <f t="shared" si="20"/>
        <v>0</v>
      </c>
      <c r="N91" s="39">
        <f t="shared" ref="N91:O91" si="21">SUM(N86:N90)</f>
        <v>0</v>
      </c>
      <c r="O91" s="39">
        <f t="shared" si="21"/>
        <v>0</v>
      </c>
      <c r="P91" s="39">
        <f t="shared" si="20"/>
        <v>0</v>
      </c>
      <c r="Q91" s="39">
        <f t="shared" si="20"/>
        <v>0</v>
      </c>
      <c r="R91" s="39">
        <f t="shared" si="20"/>
        <v>696</v>
      </c>
    </row>
    <row r="92" spans="2:24" hidden="1">
      <c r="B92" s="18"/>
      <c r="C92" s="181">
        <v>66807</v>
      </c>
      <c r="D92" s="183" t="s">
        <v>32</v>
      </c>
      <c r="E92" s="37">
        <v>517199</v>
      </c>
      <c r="F92" s="38" t="s">
        <v>16</v>
      </c>
      <c r="G92" s="172">
        <v>44175</v>
      </c>
      <c r="H92" s="39"/>
      <c r="I92" s="39">
        <v>52</v>
      </c>
      <c r="J92" s="39">
        <v>52</v>
      </c>
      <c r="K92" s="39">
        <v>26</v>
      </c>
      <c r="L92" s="39">
        <v>26</v>
      </c>
      <c r="M92" s="39"/>
      <c r="N92" s="39"/>
      <c r="O92" s="39"/>
      <c r="P92" s="39"/>
      <c r="Q92" s="39"/>
      <c r="R92" s="39">
        <f>SUM(H92:Q92)</f>
        <v>156</v>
      </c>
      <c r="T92" s="27"/>
    </row>
    <row r="93" spans="2:24" hidden="1">
      <c r="B93" s="18"/>
      <c r="C93" s="182"/>
      <c r="D93" s="183"/>
      <c r="E93" s="37">
        <v>517199</v>
      </c>
      <c r="F93" s="38" t="s">
        <v>22</v>
      </c>
      <c r="G93" s="173"/>
      <c r="H93" s="39"/>
      <c r="I93" s="39">
        <v>46</v>
      </c>
      <c r="J93" s="39">
        <v>46</v>
      </c>
      <c r="K93" s="39">
        <v>23</v>
      </c>
      <c r="L93" s="39">
        <v>23</v>
      </c>
      <c r="M93" s="39"/>
      <c r="N93" s="39"/>
      <c r="O93" s="39"/>
      <c r="P93" s="39"/>
      <c r="Q93" s="39"/>
      <c r="R93" s="39">
        <f t="shared" ref="R93:R95" si="22">SUM(H93:Q93)</f>
        <v>138</v>
      </c>
      <c r="T93" s="27"/>
    </row>
    <row r="94" spans="2:24" hidden="1">
      <c r="B94" s="18"/>
      <c r="C94" s="182"/>
      <c r="D94" s="183"/>
      <c r="E94" s="37">
        <v>517199</v>
      </c>
      <c r="F94" s="40" t="s">
        <v>17</v>
      </c>
      <c r="G94" s="173"/>
      <c r="H94" s="39"/>
      <c r="I94" s="39">
        <v>94</v>
      </c>
      <c r="J94" s="39">
        <v>94</v>
      </c>
      <c r="K94" s="39">
        <v>47</v>
      </c>
      <c r="L94" s="39">
        <v>47</v>
      </c>
      <c r="M94" s="39"/>
      <c r="N94" s="39"/>
      <c r="O94" s="39"/>
      <c r="P94" s="39"/>
      <c r="Q94" s="39"/>
      <c r="R94" s="39">
        <f t="shared" si="22"/>
        <v>282</v>
      </c>
      <c r="T94" s="27"/>
    </row>
    <row r="95" spans="2:24" hidden="1">
      <c r="B95" s="18"/>
      <c r="C95" s="182"/>
      <c r="D95" s="183"/>
      <c r="E95" s="37">
        <v>517199</v>
      </c>
      <c r="F95" s="40" t="s">
        <v>21</v>
      </c>
      <c r="G95" s="173"/>
      <c r="H95" s="39"/>
      <c r="I95" s="39">
        <v>40</v>
      </c>
      <c r="J95" s="39">
        <v>40</v>
      </c>
      <c r="K95" s="39">
        <v>20</v>
      </c>
      <c r="L95" s="39">
        <v>20</v>
      </c>
      <c r="M95" s="39"/>
      <c r="N95" s="39"/>
      <c r="O95" s="39"/>
      <c r="P95" s="39"/>
      <c r="Q95" s="39"/>
      <c r="R95" s="39">
        <f t="shared" si="22"/>
        <v>120</v>
      </c>
      <c r="T95" s="27"/>
      <c r="U95" s="35"/>
    </row>
    <row r="96" spans="2:24" s="12" customFormat="1" hidden="1">
      <c r="B96" s="18"/>
      <c r="C96" s="41"/>
      <c r="D96" s="41"/>
      <c r="E96" s="42"/>
      <c r="F96" s="40"/>
      <c r="G96" s="43" t="s">
        <v>10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2"/>
      <c r="T96" s="2"/>
      <c r="U96" s="2"/>
      <c r="V96" s="2"/>
      <c r="W96" s="2"/>
      <c r="X96" s="2"/>
    </row>
    <row r="97" spans="2:24" hidden="1">
      <c r="B97" s="21"/>
      <c r="C97" s="44" t="s">
        <v>11</v>
      </c>
      <c r="D97" s="44"/>
      <c r="E97" s="40" t="s">
        <v>9</v>
      </c>
      <c r="F97" s="40"/>
      <c r="G97" s="43" t="s">
        <v>12</v>
      </c>
      <c r="H97" s="39">
        <f t="shared" ref="H97:R97" si="23">SUM(H92:H96)</f>
        <v>0</v>
      </c>
      <c r="I97" s="39">
        <f t="shared" si="23"/>
        <v>232</v>
      </c>
      <c r="J97" s="39">
        <f t="shared" si="23"/>
        <v>232</v>
      </c>
      <c r="K97" s="39">
        <f t="shared" si="23"/>
        <v>116</v>
      </c>
      <c r="L97" s="39">
        <f t="shared" si="23"/>
        <v>116</v>
      </c>
      <c r="M97" s="39">
        <f t="shared" si="23"/>
        <v>0</v>
      </c>
      <c r="N97" s="39">
        <f t="shared" ref="N97:O97" si="24">SUM(N92:N96)</f>
        <v>0</v>
      </c>
      <c r="O97" s="39">
        <f t="shared" si="24"/>
        <v>0</v>
      </c>
      <c r="P97" s="39">
        <f t="shared" si="23"/>
        <v>0</v>
      </c>
      <c r="Q97" s="39">
        <f t="shared" si="23"/>
        <v>0</v>
      </c>
      <c r="R97" s="39">
        <f t="shared" si="23"/>
        <v>696</v>
      </c>
    </row>
    <row r="98" spans="2:24" hidden="1">
      <c r="B98" s="18"/>
      <c r="C98" s="181">
        <v>66847</v>
      </c>
      <c r="D98" s="183" t="s">
        <v>32</v>
      </c>
      <c r="E98" s="37">
        <v>517199</v>
      </c>
      <c r="F98" s="38" t="s">
        <v>16</v>
      </c>
      <c r="G98" s="172">
        <v>44175</v>
      </c>
      <c r="H98" s="39">
        <v>100</v>
      </c>
      <c r="I98" s="39">
        <v>200</v>
      </c>
      <c r="J98" s="39">
        <v>200</v>
      </c>
      <c r="K98" s="39">
        <v>200</v>
      </c>
      <c r="L98" s="39">
        <v>100</v>
      </c>
      <c r="M98" s="39"/>
      <c r="N98" s="39"/>
      <c r="O98" s="39"/>
      <c r="P98" s="39"/>
      <c r="Q98" s="39"/>
      <c r="R98" s="39">
        <f>SUM(H98:Q98)</f>
        <v>800</v>
      </c>
      <c r="T98" s="27"/>
    </row>
    <row r="99" spans="2:24" hidden="1">
      <c r="B99" s="18"/>
      <c r="C99" s="182"/>
      <c r="D99" s="183"/>
      <c r="E99" s="37">
        <v>517199</v>
      </c>
      <c r="F99" s="38" t="s">
        <v>22</v>
      </c>
      <c r="G99" s="173"/>
      <c r="H99" s="39">
        <v>100</v>
      </c>
      <c r="I99" s="39">
        <v>200</v>
      </c>
      <c r="J99" s="39">
        <v>200</v>
      </c>
      <c r="K99" s="39">
        <v>200</v>
      </c>
      <c r="L99" s="39">
        <v>100</v>
      </c>
      <c r="M99" s="39"/>
      <c r="N99" s="39"/>
      <c r="O99" s="39"/>
      <c r="P99" s="39"/>
      <c r="Q99" s="39"/>
      <c r="R99" s="39">
        <f t="shared" ref="R99:R101" si="25">SUM(H99:Q99)</f>
        <v>800</v>
      </c>
      <c r="T99" s="27"/>
    </row>
    <row r="100" spans="2:24" hidden="1">
      <c r="B100" s="18"/>
      <c r="C100" s="182"/>
      <c r="D100" s="183"/>
      <c r="E100" s="37">
        <v>517199</v>
      </c>
      <c r="F100" s="40" t="s">
        <v>17</v>
      </c>
      <c r="G100" s="173"/>
      <c r="H100" s="39">
        <v>100</v>
      </c>
      <c r="I100" s="39">
        <v>200</v>
      </c>
      <c r="J100" s="39">
        <v>200</v>
      </c>
      <c r="K100" s="39">
        <v>200</v>
      </c>
      <c r="L100" s="39">
        <v>100</v>
      </c>
      <c r="M100" s="39"/>
      <c r="N100" s="39"/>
      <c r="O100" s="39"/>
      <c r="P100" s="39"/>
      <c r="Q100" s="39"/>
      <c r="R100" s="39">
        <f t="shared" si="25"/>
        <v>800</v>
      </c>
      <c r="T100" s="27"/>
    </row>
    <row r="101" spans="2:24" hidden="1">
      <c r="B101" s="18"/>
      <c r="C101" s="182"/>
      <c r="D101" s="183"/>
      <c r="E101" s="37">
        <v>517199</v>
      </c>
      <c r="F101" s="40" t="s">
        <v>21</v>
      </c>
      <c r="G101" s="173"/>
      <c r="H101" s="39">
        <v>100</v>
      </c>
      <c r="I101" s="39">
        <v>200</v>
      </c>
      <c r="J101" s="39">
        <v>200</v>
      </c>
      <c r="K101" s="39">
        <v>200</v>
      </c>
      <c r="L101" s="39">
        <v>100</v>
      </c>
      <c r="M101" s="39"/>
      <c r="N101" s="39"/>
      <c r="O101" s="39"/>
      <c r="P101" s="39"/>
      <c r="Q101" s="39"/>
      <c r="R101" s="39">
        <f t="shared" si="25"/>
        <v>800</v>
      </c>
      <c r="T101" s="27"/>
      <c r="U101" s="35"/>
    </row>
    <row r="102" spans="2:24" s="12" customFormat="1" hidden="1">
      <c r="B102" s="18"/>
      <c r="C102" s="41"/>
      <c r="D102" s="41"/>
      <c r="E102" s="42"/>
      <c r="F102" s="40"/>
      <c r="G102" s="43" t="s">
        <v>10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2"/>
      <c r="T102" s="2"/>
      <c r="U102" s="2"/>
      <c r="V102" s="2"/>
      <c r="W102" s="2"/>
      <c r="X102" s="2"/>
    </row>
    <row r="103" spans="2:24" hidden="1">
      <c r="B103" s="21"/>
      <c r="C103" s="44" t="s">
        <v>11</v>
      </c>
      <c r="D103" s="44"/>
      <c r="E103" s="40" t="s">
        <v>9</v>
      </c>
      <c r="F103" s="40"/>
      <c r="G103" s="43" t="s">
        <v>12</v>
      </c>
      <c r="H103" s="39">
        <f t="shared" ref="H103:R103" si="26">SUM(H98:H102)</f>
        <v>400</v>
      </c>
      <c r="I103" s="39">
        <f t="shared" si="26"/>
        <v>800</v>
      </c>
      <c r="J103" s="39">
        <f t="shared" si="26"/>
        <v>800</v>
      </c>
      <c r="K103" s="39">
        <f t="shared" si="26"/>
        <v>800</v>
      </c>
      <c r="L103" s="39">
        <f t="shared" si="26"/>
        <v>400</v>
      </c>
      <c r="M103" s="39">
        <f t="shared" si="26"/>
        <v>0</v>
      </c>
      <c r="N103" s="39">
        <f t="shared" ref="N103:O103" si="27">SUM(N98:N102)</f>
        <v>0</v>
      </c>
      <c r="O103" s="39">
        <f t="shared" si="27"/>
        <v>0</v>
      </c>
      <c r="P103" s="39">
        <f t="shared" si="26"/>
        <v>0</v>
      </c>
      <c r="Q103" s="39">
        <f t="shared" si="26"/>
        <v>0</v>
      </c>
      <c r="R103" s="39">
        <f t="shared" si="26"/>
        <v>3200</v>
      </c>
    </row>
    <row r="104" spans="2:24" hidden="1">
      <c r="B104" s="18"/>
      <c r="C104" s="181">
        <v>66844</v>
      </c>
      <c r="D104" s="183" t="s">
        <v>32</v>
      </c>
      <c r="E104" s="37">
        <v>517199</v>
      </c>
      <c r="F104" s="38" t="s">
        <v>16</v>
      </c>
      <c r="G104" s="172">
        <v>44175</v>
      </c>
      <c r="H104" s="39">
        <v>50</v>
      </c>
      <c r="I104" s="39">
        <v>100</v>
      </c>
      <c r="J104" s="39">
        <v>100</v>
      </c>
      <c r="K104" s="39">
        <v>100</v>
      </c>
      <c r="L104" s="39">
        <v>50</v>
      </c>
      <c r="M104" s="39"/>
      <c r="N104" s="39"/>
      <c r="O104" s="39"/>
      <c r="P104" s="39"/>
      <c r="Q104" s="39"/>
      <c r="R104" s="39">
        <f>SUM(H104:Q104)</f>
        <v>400</v>
      </c>
      <c r="T104" s="27"/>
    </row>
    <row r="105" spans="2:24" hidden="1">
      <c r="B105" s="18"/>
      <c r="C105" s="182"/>
      <c r="D105" s="183"/>
      <c r="E105" s="37">
        <v>517199</v>
      </c>
      <c r="F105" s="38" t="s">
        <v>22</v>
      </c>
      <c r="G105" s="173"/>
      <c r="H105" s="39">
        <v>50</v>
      </c>
      <c r="I105" s="39">
        <v>100</v>
      </c>
      <c r="J105" s="39">
        <v>100</v>
      </c>
      <c r="K105" s="39">
        <v>100</v>
      </c>
      <c r="L105" s="39">
        <v>50</v>
      </c>
      <c r="M105" s="39"/>
      <c r="N105" s="39"/>
      <c r="O105" s="39"/>
      <c r="P105" s="39"/>
      <c r="Q105" s="39"/>
      <c r="R105" s="39">
        <f t="shared" ref="R105:R107" si="28">SUM(H105:Q105)</f>
        <v>400</v>
      </c>
      <c r="T105" s="27"/>
    </row>
    <row r="106" spans="2:24" hidden="1">
      <c r="B106" s="18"/>
      <c r="C106" s="182"/>
      <c r="D106" s="183"/>
      <c r="E106" s="37">
        <v>517199</v>
      </c>
      <c r="F106" s="40" t="s">
        <v>17</v>
      </c>
      <c r="G106" s="173"/>
      <c r="H106" s="39">
        <v>50</v>
      </c>
      <c r="I106" s="39">
        <v>100</v>
      </c>
      <c r="J106" s="39">
        <v>100</v>
      </c>
      <c r="K106" s="39">
        <v>100</v>
      </c>
      <c r="L106" s="39">
        <v>50</v>
      </c>
      <c r="M106" s="39"/>
      <c r="N106" s="39"/>
      <c r="O106" s="39"/>
      <c r="P106" s="39"/>
      <c r="Q106" s="39"/>
      <c r="R106" s="39">
        <f t="shared" si="28"/>
        <v>400</v>
      </c>
      <c r="T106" s="27"/>
    </row>
    <row r="107" spans="2:24" hidden="1">
      <c r="B107" s="18"/>
      <c r="C107" s="182"/>
      <c r="D107" s="183"/>
      <c r="E107" s="37">
        <v>517199</v>
      </c>
      <c r="F107" s="40" t="s">
        <v>21</v>
      </c>
      <c r="G107" s="173"/>
      <c r="H107" s="39">
        <v>50</v>
      </c>
      <c r="I107" s="39">
        <v>100</v>
      </c>
      <c r="J107" s="39">
        <v>100</v>
      </c>
      <c r="K107" s="39">
        <v>100</v>
      </c>
      <c r="L107" s="39">
        <v>50</v>
      </c>
      <c r="M107" s="39"/>
      <c r="N107" s="39"/>
      <c r="O107" s="39"/>
      <c r="P107" s="39"/>
      <c r="Q107" s="39"/>
      <c r="R107" s="39">
        <f t="shared" si="28"/>
        <v>400</v>
      </c>
      <c r="T107" s="27"/>
      <c r="U107" s="35"/>
    </row>
    <row r="108" spans="2:24" s="12" customFormat="1" hidden="1">
      <c r="B108" s="18"/>
      <c r="C108" s="41"/>
      <c r="D108" s="41"/>
      <c r="E108" s="42"/>
      <c r="F108" s="40"/>
      <c r="G108" s="43" t="s">
        <v>10</v>
      </c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2"/>
      <c r="T108" s="2"/>
      <c r="U108" s="2"/>
      <c r="V108" s="2"/>
      <c r="W108" s="2"/>
      <c r="X108" s="2"/>
    </row>
    <row r="109" spans="2:24" hidden="1">
      <c r="B109" s="21"/>
      <c r="C109" s="44" t="s">
        <v>11</v>
      </c>
      <c r="D109" s="44"/>
      <c r="E109" s="40" t="s">
        <v>9</v>
      </c>
      <c r="F109" s="40"/>
      <c r="G109" s="43" t="s">
        <v>12</v>
      </c>
      <c r="H109" s="39">
        <f t="shared" ref="H109:R109" si="29">SUM(H104:H108)</f>
        <v>200</v>
      </c>
      <c r="I109" s="39">
        <f t="shared" si="29"/>
        <v>400</v>
      </c>
      <c r="J109" s="39">
        <f t="shared" si="29"/>
        <v>400</v>
      </c>
      <c r="K109" s="39">
        <f t="shared" si="29"/>
        <v>400</v>
      </c>
      <c r="L109" s="39">
        <f t="shared" si="29"/>
        <v>200</v>
      </c>
      <c r="M109" s="39">
        <f t="shared" si="29"/>
        <v>0</v>
      </c>
      <c r="N109" s="39">
        <f t="shared" ref="N109:O109" si="30">SUM(N104:N108)</f>
        <v>0</v>
      </c>
      <c r="O109" s="39">
        <f t="shared" si="30"/>
        <v>0</v>
      </c>
      <c r="P109" s="39">
        <f t="shared" si="29"/>
        <v>0</v>
      </c>
      <c r="Q109" s="39">
        <f t="shared" si="29"/>
        <v>0</v>
      </c>
      <c r="R109" s="39">
        <f t="shared" si="29"/>
        <v>1600</v>
      </c>
    </row>
    <row r="110" spans="2:24" hidden="1">
      <c r="B110" s="18"/>
      <c r="C110" s="181">
        <v>66726</v>
      </c>
      <c r="D110" s="183" t="s">
        <v>32</v>
      </c>
      <c r="E110" s="37">
        <v>517199</v>
      </c>
      <c r="F110" s="38" t="s">
        <v>16</v>
      </c>
      <c r="G110" s="172">
        <v>44175</v>
      </c>
      <c r="H110" s="39">
        <v>12</v>
      </c>
      <c r="I110" s="39">
        <v>36</v>
      </c>
      <c r="J110" s="39">
        <v>60</v>
      </c>
      <c r="K110" s="39">
        <v>30</v>
      </c>
      <c r="L110" s="39">
        <v>18</v>
      </c>
      <c r="M110" s="39"/>
      <c r="N110" s="39"/>
      <c r="O110" s="39"/>
      <c r="P110" s="39"/>
      <c r="Q110" s="39"/>
      <c r="R110" s="39">
        <f>SUM(H110:Q110)</f>
        <v>156</v>
      </c>
      <c r="T110" s="27"/>
    </row>
    <row r="111" spans="2:24" hidden="1">
      <c r="B111" s="18"/>
      <c r="C111" s="182"/>
      <c r="D111" s="183"/>
      <c r="E111" s="37">
        <v>517199</v>
      </c>
      <c r="F111" s="38" t="s">
        <v>22</v>
      </c>
      <c r="G111" s="173"/>
      <c r="H111" s="39">
        <v>6</v>
      </c>
      <c r="I111" s="39">
        <v>36</v>
      </c>
      <c r="J111" s="39">
        <v>48</v>
      </c>
      <c r="K111" s="39">
        <v>30</v>
      </c>
      <c r="L111" s="39">
        <v>18</v>
      </c>
      <c r="M111" s="39"/>
      <c r="N111" s="39"/>
      <c r="O111" s="39"/>
      <c r="P111" s="39"/>
      <c r="Q111" s="39"/>
      <c r="R111" s="39">
        <f t="shared" ref="R111:R113" si="31">SUM(H111:Q111)</f>
        <v>138</v>
      </c>
      <c r="T111" s="27"/>
    </row>
    <row r="112" spans="2:24" hidden="1">
      <c r="B112" s="18"/>
      <c r="C112" s="182"/>
      <c r="D112" s="183"/>
      <c r="E112" s="37">
        <v>517199</v>
      </c>
      <c r="F112" s="40" t="s">
        <v>17</v>
      </c>
      <c r="G112" s="173"/>
      <c r="H112" s="39">
        <v>18</v>
      </c>
      <c r="I112" s="39">
        <v>66</v>
      </c>
      <c r="J112" s="39">
        <v>102</v>
      </c>
      <c r="K112" s="39">
        <v>60</v>
      </c>
      <c r="L112" s="39">
        <v>36</v>
      </c>
      <c r="M112" s="39"/>
      <c r="N112" s="39"/>
      <c r="O112" s="39"/>
      <c r="P112" s="39"/>
      <c r="Q112" s="39"/>
      <c r="R112" s="39">
        <f t="shared" si="31"/>
        <v>282</v>
      </c>
      <c r="T112" s="27"/>
    </row>
    <row r="113" spans="2:24" hidden="1">
      <c r="B113" s="18"/>
      <c r="C113" s="182"/>
      <c r="D113" s="183"/>
      <c r="E113" s="37">
        <v>517199</v>
      </c>
      <c r="F113" s="40" t="s">
        <v>21</v>
      </c>
      <c r="G113" s="173"/>
      <c r="H113" s="39">
        <v>6</v>
      </c>
      <c r="I113" s="39">
        <v>30</v>
      </c>
      <c r="J113" s="39">
        <v>42</v>
      </c>
      <c r="K113" s="39">
        <v>18</v>
      </c>
      <c r="L113" s="39">
        <v>24</v>
      </c>
      <c r="M113" s="39"/>
      <c r="N113" s="39"/>
      <c r="O113" s="39"/>
      <c r="P113" s="39"/>
      <c r="Q113" s="39"/>
      <c r="R113" s="39">
        <f t="shared" si="31"/>
        <v>120</v>
      </c>
      <c r="T113" s="27"/>
      <c r="U113" s="35"/>
    </row>
    <row r="114" spans="2:24" s="12" customFormat="1" hidden="1">
      <c r="B114" s="18"/>
      <c r="C114" s="41"/>
      <c r="D114" s="41"/>
      <c r="E114" s="42"/>
      <c r="F114" s="40"/>
      <c r="G114" s="43" t="s">
        <v>10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2"/>
      <c r="T114" s="2"/>
      <c r="U114" s="2"/>
      <c r="V114" s="2"/>
      <c r="W114" s="2"/>
      <c r="X114" s="2"/>
    </row>
    <row r="115" spans="2:24" hidden="1">
      <c r="B115" s="21"/>
      <c r="C115" s="44" t="s">
        <v>11</v>
      </c>
      <c r="D115" s="44"/>
      <c r="E115" s="40" t="s">
        <v>9</v>
      </c>
      <c r="F115" s="40"/>
      <c r="G115" s="43" t="s">
        <v>12</v>
      </c>
      <c r="H115" s="39">
        <f t="shared" ref="H115" si="32">SUM(H110:H114)</f>
        <v>42</v>
      </c>
      <c r="I115" s="39">
        <f t="shared" ref="I115" si="33">SUM(I110:I114)</f>
        <v>168</v>
      </c>
      <c r="J115" s="39">
        <f t="shared" ref="J115" si="34">SUM(J110:J114)</f>
        <v>252</v>
      </c>
      <c r="K115" s="39">
        <f t="shared" ref="K115" si="35">SUM(K110:K114)</f>
        <v>138</v>
      </c>
      <c r="L115" s="39">
        <f t="shared" ref="L115" si="36">SUM(L110:L114)</f>
        <v>96</v>
      </c>
      <c r="M115" s="39">
        <f t="shared" ref="M115" si="37">SUM(M110:M114)</f>
        <v>0</v>
      </c>
      <c r="N115" s="39">
        <f t="shared" ref="N115:P115" si="38">SUM(N110:N114)</f>
        <v>0</v>
      </c>
      <c r="O115" s="39">
        <f t="shared" ref="O115:Q115" si="39">SUM(O110:O114)</f>
        <v>0</v>
      </c>
      <c r="P115" s="39">
        <f t="shared" si="38"/>
        <v>0</v>
      </c>
      <c r="Q115" s="39">
        <f t="shared" si="39"/>
        <v>0</v>
      </c>
      <c r="R115" s="39">
        <f t="shared" ref="R115" si="40">SUM(R110:R114)</f>
        <v>696</v>
      </c>
    </row>
    <row r="116" spans="2:24" ht="13.9" hidden="1" customHeight="1">
      <c r="B116" s="21"/>
      <c r="C116" s="181">
        <v>66724</v>
      </c>
      <c r="D116" s="183" t="s">
        <v>32</v>
      </c>
      <c r="E116" s="37">
        <v>517199</v>
      </c>
      <c r="F116" s="38" t="s">
        <v>16</v>
      </c>
      <c r="G116" s="172">
        <v>44175</v>
      </c>
      <c r="H116" s="39">
        <v>18</v>
      </c>
      <c r="I116" s="39">
        <v>66</v>
      </c>
      <c r="J116" s="39">
        <v>102</v>
      </c>
      <c r="K116" s="39">
        <v>54</v>
      </c>
      <c r="L116" s="39">
        <v>30</v>
      </c>
      <c r="M116" s="39"/>
      <c r="N116" s="39"/>
      <c r="O116" s="39"/>
      <c r="P116" s="39"/>
      <c r="Q116" s="39"/>
      <c r="R116" s="39">
        <f>SUM(H116:Q116)</f>
        <v>270</v>
      </c>
    </row>
    <row r="117" spans="2:24" hidden="1">
      <c r="B117" s="18"/>
      <c r="C117" s="182"/>
      <c r="D117" s="183"/>
      <c r="E117" s="37">
        <v>517199</v>
      </c>
      <c r="F117" s="38" t="s">
        <v>22</v>
      </c>
      <c r="G117" s="173"/>
      <c r="H117" s="39">
        <v>18</v>
      </c>
      <c r="I117" s="39">
        <v>54</v>
      </c>
      <c r="J117" s="39">
        <v>84</v>
      </c>
      <c r="K117" s="39">
        <v>48</v>
      </c>
      <c r="L117" s="39">
        <v>30</v>
      </c>
      <c r="M117" s="39"/>
      <c r="N117" s="39"/>
      <c r="O117" s="39"/>
      <c r="P117" s="39"/>
      <c r="Q117" s="39"/>
      <c r="R117" s="39">
        <f t="shared" ref="R117:R119" si="41">SUM(H117:Q117)</f>
        <v>234</v>
      </c>
      <c r="T117" s="27"/>
    </row>
    <row r="118" spans="2:24" hidden="1">
      <c r="B118" s="18"/>
      <c r="C118" s="182"/>
      <c r="D118" s="183"/>
      <c r="E118" s="37">
        <v>517199</v>
      </c>
      <c r="F118" s="40" t="s">
        <v>17</v>
      </c>
      <c r="G118" s="173"/>
      <c r="H118" s="39">
        <v>30</v>
      </c>
      <c r="I118" s="39">
        <v>114</v>
      </c>
      <c r="J118" s="39">
        <v>180</v>
      </c>
      <c r="K118" s="39">
        <v>102</v>
      </c>
      <c r="L118" s="39">
        <v>60</v>
      </c>
      <c r="M118" s="39"/>
      <c r="N118" s="39"/>
      <c r="O118" s="39"/>
      <c r="P118" s="39"/>
      <c r="Q118" s="39"/>
      <c r="R118" s="39">
        <f t="shared" si="41"/>
        <v>486</v>
      </c>
      <c r="T118" s="27"/>
    </row>
    <row r="119" spans="2:24" hidden="1">
      <c r="B119" s="18"/>
      <c r="C119" s="182"/>
      <c r="D119" s="183"/>
      <c r="E119" s="37">
        <v>517199</v>
      </c>
      <c r="F119" s="40" t="s">
        <v>21</v>
      </c>
      <c r="G119" s="173"/>
      <c r="H119" s="39">
        <v>12</v>
      </c>
      <c r="I119" s="39">
        <v>48</v>
      </c>
      <c r="J119" s="39">
        <v>78</v>
      </c>
      <c r="K119" s="39">
        <v>42</v>
      </c>
      <c r="L119" s="39">
        <v>30</v>
      </c>
      <c r="M119" s="39"/>
      <c r="N119" s="39"/>
      <c r="O119" s="39"/>
      <c r="P119" s="39"/>
      <c r="Q119" s="39"/>
      <c r="R119" s="39">
        <f t="shared" si="41"/>
        <v>210</v>
      </c>
      <c r="T119" s="27"/>
    </row>
    <row r="120" spans="2:24" hidden="1">
      <c r="B120" s="18"/>
      <c r="C120" s="41"/>
      <c r="D120" s="41"/>
      <c r="E120" s="42"/>
      <c r="F120" s="40"/>
      <c r="G120" s="43" t="s">
        <v>10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T120" s="27"/>
      <c r="U120" s="35"/>
    </row>
    <row r="121" spans="2:24" s="12" customFormat="1" hidden="1">
      <c r="B121" s="18"/>
      <c r="C121" s="44" t="s">
        <v>11</v>
      </c>
      <c r="D121" s="44"/>
      <c r="E121" s="40" t="s">
        <v>9</v>
      </c>
      <c r="F121" s="40"/>
      <c r="G121" s="43" t="s">
        <v>12</v>
      </c>
      <c r="H121" s="39">
        <f t="shared" ref="H121:R121" si="42">SUM(H116:H120)</f>
        <v>78</v>
      </c>
      <c r="I121" s="39">
        <f t="shared" si="42"/>
        <v>282</v>
      </c>
      <c r="J121" s="39">
        <f t="shared" si="42"/>
        <v>444</v>
      </c>
      <c r="K121" s="39">
        <f t="shared" si="42"/>
        <v>246</v>
      </c>
      <c r="L121" s="39">
        <f t="shared" si="42"/>
        <v>150</v>
      </c>
      <c r="M121" s="39">
        <f t="shared" si="42"/>
        <v>0</v>
      </c>
      <c r="N121" s="39">
        <f t="shared" ref="N121:O121" si="43">SUM(N116:N120)</f>
        <v>0</v>
      </c>
      <c r="O121" s="39">
        <f t="shared" si="43"/>
        <v>0</v>
      </c>
      <c r="P121" s="39">
        <f t="shared" si="42"/>
        <v>0</v>
      </c>
      <c r="Q121" s="39">
        <f t="shared" si="42"/>
        <v>0</v>
      </c>
      <c r="R121" s="39">
        <f t="shared" si="42"/>
        <v>1200</v>
      </c>
      <c r="S121" s="2"/>
      <c r="T121" s="2"/>
      <c r="U121" s="2"/>
      <c r="V121" s="2"/>
      <c r="W121" s="2"/>
      <c r="X121" s="2"/>
    </row>
    <row r="122" spans="2:24" hidden="1">
      <c r="B122" s="21"/>
      <c r="C122" s="22" t="s">
        <v>33</v>
      </c>
      <c r="D122" s="44"/>
      <c r="E122" s="40"/>
      <c r="F122" s="40"/>
      <c r="G122" s="45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</row>
    <row r="123" spans="2:24" hidden="1">
      <c r="C123" s="181"/>
      <c r="D123" s="183"/>
      <c r="E123" s="37">
        <v>517199</v>
      </c>
      <c r="F123" s="38" t="s">
        <v>16</v>
      </c>
      <c r="G123" s="172">
        <v>44175</v>
      </c>
      <c r="H123" s="39">
        <f>H104+H98+H92+H86+H80+H110+H116</f>
        <v>180</v>
      </c>
      <c r="I123" s="39">
        <f t="shared" ref="I123:L123" si="44">I104+I98+I92+I86+I80+I110+I116</f>
        <v>626</v>
      </c>
      <c r="J123" s="39">
        <f t="shared" si="44"/>
        <v>686</v>
      </c>
      <c r="K123" s="39">
        <f t="shared" si="44"/>
        <v>496</v>
      </c>
      <c r="L123" s="39">
        <f t="shared" si="44"/>
        <v>310</v>
      </c>
      <c r="M123" s="39"/>
      <c r="N123" s="39"/>
      <c r="O123" s="39"/>
      <c r="P123" s="39"/>
      <c r="Q123" s="39"/>
      <c r="R123" s="39">
        <f>SUM(H123:Q123)</f>
        <v>2298</v>
      </c>
    </row>
    <row r="124" spans="2:24" hidden="1">
      <c r="C124" s="182"/>
      <c r="D124" s="183"/>
      <c r="E124" s="37">
        <v>517199</v>
      </c>
      <c r="F124" s="38" t="s">
        <v>22</v>
      </c>
      <c r="G124" s="173"/>
      <c r="H124" s="39">
        <f t="shared" ref="H124:L126" si="45">H105+H99+H93+H87+H81+H111+H117</f>
        <v>174</v>
      </c>
      <c r="I124" s="39">
        <f t="shared" si="45"/>
        <v>586</v>
      </c>
      <c r="J124" s="39">
        <f t="shared" si="45"/>
        <v>628</v>
      </c>
      <c r="K124" s="39">
        <f t="shared" si="45"/>
        <v>476</v>
      </c>
      <c r="L124" s="39">
        <f t="shared" si="45"/>
        <v>296</v>
      </c>
      <c r="M124" s="39"/>
      <c r="N124" s="39"/>
      <c r="O124" s="39"/>
      <c r="P124" s="39"/>
      <c r="Q124" s="39"/>
      <c r="R124" s="39">
        <f>SUM(H124:Q124)</f>
        <v>2160</v>
      </c>
    </row>
    <row r="125" spans="2:24" hidden="1">
      <c r="C125" s="182"/>
      <c r="D125" s="183"/>
      <c r="E125" s="37">
        <v>517199</v>
      </c>
      <c r="F125" s="40" t="s">
        <v>17</v>
      </c>
      <c r="G125" s="173"/>
      <c r="H125" s="39">
        <f t="shared" si="45"/>
        <v>198</v>
      </c>
      <c r="I125" s="39">
        <f t="shared" si="45"/>
        <v>884</v>
      </c>
      <c r="J125" s="39">
        <f t="shared" si="45"/>
        <v>986</v>
      </c>
      <c r="K125" s="39">
        <f t="shared" si="45"/>
        <v>664</v>
      </c>
      <c r="L125" s="39">
        <f t="shared" si="45"/>
        <v>448</v>
      </c>
      <c r="M125" s="39"/>
      <c r="N125" s="39"/>
      <c r="O125" s="39"/>
      <c r="P125" s="39"/>
      <c r="Q125" s="39"/>
      <c r="R125" s="39">
        <f>SUM(H125:Q125)</f>
        <v>3180</v>
      </c>
    </row>
    <row r="126" spans="2:24" hidden="1">
      <c r="C126" s="182"/>
      <c r="D126" s="183"/>
      <c r="E126" s="37">
        <v>517199</v>
      </c>
      <c r="F126" s="40" t="s">
        <v>21</v>
      </c>
      <c r="G126" s="173"/>
      <c r="H126" s="39">
        <f t="shared" si="45"/>
        <v>168</v>
      </c>
      <c r="I126" s="39">
        <f t="shared" si="45"/>
        <v>550</v>
      </c>
      <c r="J126" s="39">
        <f t="shared" si="45"/>
        <v>592</v>
      </c>
      <c r="K126" s="39">
        <f t="shared" si="45"/>
        <v>446</v>
      </c>
      <c r="L126" s="39">
        <f t="shared" si="45"/>
        <v>290</v>
      </c>
      <c r="M126" s="39"/>
      <c r="N126" s="39"/>
      <c r="O126" s="39"/>
      <c r="P126" s="39"/>
      <c r="Q126" s="39"/>
      <c r="R126" s="39">
        <f>SUM(H126:Q126)</f>
        <v>2046</v>
      </c>
    </row>
    <row r="127" spans="2:24" hidden="1">
      <c r="C127" s="41"/>
      <c r="D127" s="41"/>
      <c r="E127" s="42"/>
      <c r="F127" s="40"/>
      <c r="G127" s="43" t="s">
        <v>10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T127" s="22"/>
      <c r="U127" s="22"/>
      <c r="V127" s="22"/>
      <c r="W127" s="22"/>
      <c r="X127" s="22"/>
    </row>
    <row r="128" spans="2:24" hidden="1">
      <c r="C128" s="44" t="s">
        <v>11</v>
      </c>
      <c r="D128" s="44"/>
      <c r="E128" s="40" t="s">
        <v>9</v>
      </c>
      <c r="F128" s="40"/>
      <c r="G128" s="43" t="s">
        <v>12</v>
      </c>
      <c r="H128" s="39">
        <f t="shared" ref="H128:R128" si="46">SUM(H123:H127)</f>
        <v>720</v>
      </c>
      <c r="I128" s="39">
        <f t="shared" si="46"/>
        <v>2646</v>
      </c>
      <c r="J128" s="39">
        <f t="shared" si="46"/>
        <v>2892</v>
      </c>
      <c r="K128" s="39">
        <f t="shared" si="46"/>
        <v>2082</v>
      </c>
      <c r="L128" s="39">
        <f t="shared" si="46"/>
        <v>1344</v>
      </c>
      <c r="M128" s="39">
        <f t="shared" si="46"/>
        <v>0</v>
      </c>
      <c r="N128" s="39">
        <f t="shared" ref="N128:O128" si="47">SUM(N123:N127)</f>
        <v>0</v>
      </c>
      <c r="O128" s="39">
        <f t="shared" si="47"/>
        <v>0</v>
      </c>
      <c r="P128" s="39">
        <f t="shared" si="46"/>
        <v>0</v>
      </c>
      <c r="Q128" s="39">
        <f t="shared" si="46"/>
        <v>0</v>
      </c>
      <c r="R128" s="39">
        <f t="shared" si="46"/>
        <v>9684</v>
      </c>
      <c r="S128" s="24" t="s">
        <v>23</v>
      </c>
      <c r="T128" s="23"/>
      <c r="U128" s="23"/>
      <c r="V128" s="23"/>
      <c r="W128" s="23"/>
      <c r="X128" s="23"/>
    </row>
    <row r="129" spans="3:24">
      <c r="C129" s="210"/>
      <c r="D129" s="210"/>
      <c r="E129" s="211"/>
      <c r="F129" s="211"/>
      <c r="G129" s="212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4"/>
      <c r="T129" s="214"/>
      <c r="U129" s="214"/>
      <c r="V129" s="214"/>
      <c r="W129" s="214"/>
      <c r="X129" s="214"/>
    </row>
    <row r="130" spans="3:24">
      <c r="C130" s="210"/>
      <c r="D130" s="210"/>
      <c r="E130" s="211"/>
      <c r="F130" s="211"/>
      <c r="G130" s="212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4"/>
      <c r="T130" s="214"/>
      <c r="U130" s="214"/>
      <c r="V130" s="214"/>
      <c r="W130" s="214"/>
      <c r="X130" s="214"/>
    </row>
    <row r="131" spans="3:24">
      <c r="M131" s="2">
        <v>1196</v>
      </c>
      <c r="N131" s="2">
        <v>4739</v>
      </c>
      <c r="O131" s="2">
        <v>6663</v>
      </c>
      <c r="P131" s="2">
        <v>2221</v>
      </c>
      <c r="Q131" s="2">
        <v>455</v>
      </c>
      <c r="T131" s="25">
        <f>SUM(L131:S131)</f>
        <v>15274</v>
      </c>
      <c r="U131" s="25"/>
      <c r="V131" s="25"/>
      <c r="W131" s="25"/>
      <c r="X131" s="25"/>
    </row>
    <row r="132" spans="3:24" ht="16.5">
      <c r="C132" s="77" t="s">
        <v>34</v>
      </c>
    </row>
    <row r="133" spans="3:24" ht="14.25" thickBot="1">
      <c r="C133" s="63"/>
      <c r="D133" s="55"/>
      <c r="E133" s="55"/>
      <c r="F133" s="55"/>
      <c r="G133" s="55"/>
      <c r="H133" s="56" t="s">
        <v>42</v>
      </c>
      <c r="I133" s="56" t="s">
        <v>47</v>
      </c>
      <c r="J133" s="56" t="s">
        <v>48</v>
      </c>
      <c r="K133" s="56" t="s">
        <v>43</v>
      </c>
      <c r="L133" s="56" t="s">
        <v>6</v>
      </c>
      <c r="M133" s="56" t="s">
        <v>7</v>
      </c>
      <c r="N133" s="56" t="s">
        <v>8</v>
      </c>
      <c r="O133" s="56" t="s">
        <v>6</v>
      </c>
      <c r="P133" s="56" t="s">
        <v>7</v>
      </c>
      <c r="Q133" s="56" t="s">
        <v>8</v>
      </c>
      <c r="R133" s="57" t="s">
        <v>9</v>
      </c>
    </row>
    <row r="134" spans="3:24">
      <c r="C134" s="196"/>
      <c r="D134" s="174" t="s">
        <v>44</v>
      </c>
      <c r="E134" s="64"/>
      <c r="F134" s="110" t="s">
        <v>40</v>
      </c>
      <c r="G134" s="68"/>
      <c r="H134" s="59">
        <f>18+71+100+34</f>
        <v>223</v>
      </c>
      <c r="I134" s="59">
        <f>54+216+303+101</f>
        <v>674</v>
      </c>
      <c r="J134" s="59">
        <f>91+364+511+171</f>
        <v>1137</v>
      </c>
      <c r="K134" s="59">
        <f>87+346+487+163</f>
        <v>1083</v>
      </c>
      <c r="L134" s="59">
        <f>151+604+850+283</f>
        <v>1888</v>
      </c>
      <c r="M134" s="59">
        <f>122+489+687+230</f>
        <v>1528</v>
      </c>
      <c r="N134" s="59">
        <f>47+189+265+88</f>
        <v>589</v>
      </c>
      <c r="O134" s="59"/>
      <c r="P134" s="59"/>
      <c r="Q134" s="59"/>
      <c r="R134" s="59">
        <f>SUM(H134:Q134)</f>
        <v>7122</v>
      </c>
    </row>
    <row r="135" spans="3:24" ht="14.25" thickBot="1">
      <c r="C135" s="197"/>
      <c r="D135" s="175"/>
      <c r="E135" s="69"/>
      <c r="F135" s="111" t="s">
        <v>41</v>
      </c>
      <c r="G135" s="70"/>
      <c r="H135" s="71">
        <f>13+53+74+25</f>
        <v>165</v>
      </c>
      <c r="I135" s="71">
        <f>29+115+162+54</f>
        <v>360</v>
      </c>
      <c r="J135" s="71">
        <f>36+144+202+67</f>
        <v>449</v>
      </c>
      <c r="K135" s="71">
        <f>37+149+210+69</f>
        <v>465</v>
      </c>
      <c r="L135" s="71">
        <f>66+263+370+123</f>
        <v>822</v>
      </c>
      <c r="M135" s="71">
        <f>59+237+334+111</f>
        <v>741</v>
      </c>
      <c r="N135" s="71">
        <f>16+65+92+31</f>
        <v>204</v>
      </c>
      <c r="O135" s="71"/>
      <c r="P135" s="71"/>
      <c r="Q135" s="71"/>
      <c r="R135" s="71">
        <f>SUM(H135:Q135)</f>
        <v>3206</v>
      </c>
    </row>
    <row r="136" spans="3:24">
      <c r="C136" s="197"/>
      <c r="D136" s="200" t="s">
        <v>46</v>
      </c>
      <c r="E136" s="65"/>
      <c r="F136" s="103" t="s">
        <v>40</v>
      </c>
      <c r="G136" s="66"/>
      <c r="H136" s="67"/>
      <c r="I136" s="67"/>
      <c r="J136" s="67"/>
      <c r="K136" s="67"/>
      <c r="L136" s="67"/>
      <c r="M136" s="67"/>
      <c r="N136" s="67"/>
      <c r="O136" s="67">
        <f>40+159+224+74</f>
        <v>497</v>
      </c>
      <c r="P136" s="67">
        <f>72+287+403+134</f>
        <v>896</v>
      </c>
      <c r="Q136" s="67">
        <f>48+191+269+90</f>
        <v>598</v>
      </c>
      <c r="R136" s="67">
        <f t="shared" ref="R136:R139" si="48">SUM(H136:Q136)</f>
        <v>1991</v>
      </c>
    </row>
    <row r="137" spans="3:24" ht="14.25" thickBot="1">
      <c r="C137" s="197"/>
      <c r="D137" s="201"/>
      <c r="E137" s="61"/>
      <c r="F137" s="89" t="s">
        <v>41</v>
      </c>
      <c r="G137" s="62"/>
      <c r="H137" s="58"/>
      <c r="I137" s="58"/>
      <c r="J137" s="58"/>
      <c r="K137" s="58"/>
      <c r="L137" s="58"/>
      <c r="M137" s="58"/>
      <c r="N137" s="58"/>
      <c r="O137" s="58">
        <f>18+71+99+33</f>
        <v>221</v>
      </c>
      <c r="P137" s="58">
        <f>28+111+156+52</f>
        <v>347</v>
      </c>
      <c r="Q137" s="58">
        <f>14+54+76+25</f>
        <v>169</v>
      </c>
      <c r="R137" s="58">
        <f t="shared" si="48"/>
        <v>737</v>
      </c>
    </row>
    <row r="138" spans="3:24" ht="14.25" customHeight="1">
      <c r="C138" s="197"/>
      <c r="D138" s="174" t="s">
        <v>45</v>
      </c>
      <c r="E138" s="64"/>
      <c r="F138" s="110" t="s">
        <v>40</v>
      </c>
      <c r="G138" s="68"/>
      <c r="H138" s="59"/>
      <c r="I138" s="59"/>
      <c r="J138" s="59">
        <f>13+52+74+24</f>
        <v>163</v>
      </c>
      <c r="K138" s="59">
        <f>20+78+110+37</f>
        <v>245</v>
      </c>
      <c r="L138" s="59">
        <f>44+174+245+82</f>
        <v>545</v>
      </c>
      <c r="M138" s="59">
        <f>33+131+184+62</f>
        <v>410</v>
      </c>
      <c r="N138" s="59"/>
      <c r="O138" s="59"/>
      <c r="P138" s="59"/>
      <c r="Q138" s="59"/>
      <c r="R138" s="59">
        <f t="shared" si="48"/>
        <v>1363</v>
      </c>
    </row>
    <row r="139" spans="3:24" ht="17.25" thickBot="1">
      <c r="C139" s="197"/>
      <c r="D139" s="175"/>
      <c r="E139" s="69"/>
      <c r="F139" s="111" t="s">
        <v>41</v>
      </c>
      <c r="G139" s="70"/>
      <c r="H139" s="71"/>
      <c r="I139" s="71"/>
      <c r="J139" s="71">
        <f>10+24+33+11</f>
        <v>78</v>
      </c>
      <c r="K139" s="71">
        <f>10+30+42+14</f>
        <v>96</v>
      </c>
      <c r="L139" s="71">
        <f>10+42+59+19</f>
        <v>130</v>
      </c>
      <c r="M139" s="71">
        <f>10+30+42+14</f>
        <v>96</v>
      </c>
      <c r="N139" s="71"/>
      <c r="O139" s="71"/>
      <c r="P139" s="71"/>
      <c r="Q139" s="71"/>
      <c r="R139" s="71">
        <f t="shared" si="48"/>
        <v>400</v>
      </c>
      <c r="S139" s="28"/>
      <c r="T139" s="28"/>
      <c r="V139" s="34"/>
    </row>
    <row r="140" spans="3:24" ht="13.5" customHeight="1">
      <c r="C140" s="197"/>
      <c r="D140" s="200" t="s">
        <v>49</v>
      </c>
      <c r="E140" s="65"/>
      <c r="F140" s="103" t="s">
        <v>40</v>
      </c>
      <c r="G140" s="66"/>
      <c r="H140" s="67"/>
      <c r="I140" s="67">
        <f>29+36</f>
        <v>65</v>
      </c>
      <c r="J140" s="67">
        <f>29+48</f>
        <v>77</v>
      </c>
      <c r="K140" s="67">
        <f>58+60</f>
        <v>118</v>
      </c>
      <c r="L140" s="67">
        <f>58+72</f>
        <v>130</v>
      </c>
      <c r="M140" s="67">
        <f>29+36</f>
        <v>65</v>
      </c>
      <c r="N140" s="67"/>
      <c r="O140" s="67"/>
      <c r="P140" s="67"/>
      <c r="Q140" s="67"/>
      <c r="R140" s="67">
        <f>SUM(H140:Q140)</f>
        <v>455</v>
      </c>
      <c r="T140" s="2" t="s">
        <v>53</v>
      </c>
    </row>
    <row r="141" spans="3:24" ht="14.25" thickBot="1">
      <c r="C141" s="197"/>
      <c r="D141" s="201"/>
      <c r="E141" s="61"/>
      <c r="F141" s="89" t="s">
        <v>41</v>
      </c>
      <c r="G141" s="62"/>
      <c r="H141" s="58"/>
      <c r="I141" s="67">
        <f>29+72</f>
        <v>101</v>
      </c>
      <c r="J141" s="67">
        <f>29+120</f>
        <v>149</v>
      </c>
      <c r="K141" s="67">
        <f>58+108</f>
        <v>166</v>
      </c>
      <c r="L141" s="67">
        <f>58+144</f>
        <v>202</v>
      </c>
      <c r="M141" s="67">
        <f>29+84</f>
        <v>113</v>
      </c>
      <c r="N141" s="58"/>
      <c r="O141" s="58"/>
      <c r="P141" s="58"/>
      <c r="Q141" s="58"/>
      <c r="R141" s="58">
        <f>SUM(H141:Q141)</f>
        <v>731</v>
      </c>
      <c r="T141" s="2" t="s">
        <v>53</v>
      </c>
    </row>
    <row r="142" spans="3:24">
      <c r="C142" s="197"/>
      <c r="D142" s="202" t="s">
        <v>50</v>
      </c>
      <c r="E142" s="90"/>
      <c r="F142" s="112" t="s">
        <v>40</v>
      </c>
      <c r="G142" s="91"/>
      <c r="H142" s="92">
        <f>H134+H140</f>
        <v>223</v>
      </c>
      <c r="I142" s="92">
        <f t="shared" ref="I142:N142" si="49">I134+I140</f>
        <v>739</v>
      </c>
      <c r="J142" s="92">
        <f t="shared" si="49"/>
        <v>1214</v>
      </c>
      <c r="K142" s="92">
        <f t="shared" si="49"/>
        <v>1201</v>
      </c>
      <c r="L142" s="92">
        <f t="shared" si="49"/>
        <v>2018</v>
      </c>
      <c r="M142" s="92">
        <f t="shared" si="49"/>
        <v>1593</v>
      </c>
      <c r="N142" s="92">
        <f t="shared" si="49"/>
        <v>589</v>
      </c>
      <c r="O142" s="92"/>
      <c r="P142" s="92"/>
      <c r="Q142" s="92"/>
      <c r="R142" s="92">
        <f>SUM(H142:Q142)</f>
        <v>7577</v>
      </c>
    </row>
    <row r="143" spans="3:24" ht="17.25" thickBot="1">
      <c r="C143" s="197"/>
      <c r="D143" s="203"/>
      <c r="E143" s="97"/>
      <c r="F143" s="113" t="s">
        <v>41</v>
      </c>
      <c r="G143" s="98"/>
      <c r="H143" s="99">
        <f t="shared" ref="H143:N143" si="50">H135+H141</f>
        <v>165</v>
      </c>
      <c r="I143" s="99">
        <f t="shared" si="50"/>
        <v>461</v>
      </c>
      <c r="J143" s="99">
        <f t="shared" si="50"/>
        <v>598</v>
      </c>
      <c r="K143" s="99">
        <f t="shared" si="50"/>
        <v>631</v>
      </c>
      <c r="L143" s="99">
        <f t="shared" si="50"/>
        <v>1024</v>
      </c>
      <c r="M143" s="99">
        <f t="shared" si="50"/>
        <v>854</v>
      </c>
      <c r="N143" s="99">
        <f t="shared" si="50"/>
        <v>204</v>
      </c>
      <c r="O143" s="99"/>
      <c r="P143" s="99"/>
      <c r="Q143" s="99"/>
      <c r="R143" s="99">
        <f>SUM(H143:Q143)</f>
        <v>3937</v>
      </c>
      <c r="V143" s="34"/>
    </row>
    <row r="144" spans="3:24" ht="16.5">
      <c r="C144" s="197"/>
      <c r="D144" s="206" t="s">
        <v>51</v>
      </c>
      <c r="E144" s="100"/>
      <c r="F144" s="104" t="s">
        <v>40</v>
      </c>
      <c r="G144" s="101"/>
      <c r="H144" s="102"/>
      <c r="I144" s="102"/>
      <c r="J144" s="102"/>
      <c r="K144" s="102"/>
      <c r="L144" s="102"/>
      <c r="M144" s="102"/>
      <c r="N144" s="102"/>
      <c r="O144" s="102">
        <f>O136</f>
        <v>497</v>
      </c>
      <c r="P144" s="102">
        <f t="shared" ref="P144:Q144" si="51">P136</f>
        <v>896</v>
      </c>
      <c r="Q144" s="102">
        <f t="shared" si="51"/>
        <v>598</v>
      </c>
      <c r="R144" s="102">
        <f t="shared" ref="R144:R147" si="52">SUM(H144:Q144)</f>
        <v>1991</v>
      </c>
      <c r="V144" s="34"/>
    </row>
    <row r="145" spans="3:22" ht="17.25" thickBot="1">
      <c r="C145" s="197"/>
      <c r="D145" s="207"/>
      <c r="E145" s="94"/>
      <c r="F145" s="95" t="s">
        <v>41</v>
      </c>
      <c r="G145" s="96"/>
      <c r="H145" s="93"/>
      <c r="I145" s="93"/>
      <c r="J145" s="93"/>
      <c r="K145" s="93"/>
      <c r="L145" s="93"/>
      <c r="M145" s="93"/>
      <c r="N145" s="93"/>
      <c r="O145" s="102">
        <f t="shared" ref="O145:Q145" si="53">O137</f>
        <v>221</v>
      </c>
      <c r="P145" s="102">
        <f t="shared" si="53"/>
        <v>347</v>
      </c>
      <c r="Q145" s="102">
        <f t="shared" si="53"/>
        <v>169</v>
      </c>
      <c r="R145" s="93">
        <f t="shared" si="52"/>
        <v>737</v>
      </c>
      <c r="V145" s="34"/>
    </row>
    <row r="146" spans="3:22" ht="16.5">
      <c r="C146" s="197"/>
      <c r="D146" s="202" t="s">
        <v>52</v>
      </c>
      <c r="E146" s="90"/>
      <c r="F146" s="112" t="s">
        <v>40</v>
      </c>
      <c r="G146" s="91"/>
      <c r="H146" s="92"/>
      <c r="I146" s="92"/>
      <c r="J146" s="92">
        <f>J138</f>
        <v>163</v>
      </c>
      <c r="K146" s="92">
        <f t="shared" ref="K146:M146" si="54">K138</f>
        <v>245</v>
      </c>
      <c r="L146" s="92">
        <f t="shared" si="54"/>
        <v>545</v>
      </c>
      <c r="M146" s="92">
        <f t="shared" si="54"/>
        <v>410</v>
      </c>
      <c r="N146" s="92"/>
      <c r="O146" s="92"/>
      <c r="P146" s="92"/>
      <c r="Q146" s="92"/>
      <c r="R146" s="92">
        <f t="shared" si="52"/>
        <v>1363</v>
      </c>
      <c r="V146" s="34"/>
    </row>
    <row r="147" spans="3:22" ht="14.25" thickBot="1">
      <c r="C147" s="197"/>
      <c r="D147" s="203"/>
      <c r="E147" s="97"/>
      <c r="F147" s="113" t="s">
        <v>41</v>
      </c>
      <c r="G147" s="98"/>
      <c r="H147" s="99"/>
      <c r="I147" s="99"/>
      <c r="J147" s="99">
        <f t="shared" ref="J147:M147" si="55">J139</f>
        <v>78</v>
      </c>
      <c r="K147" s="99">
        <f t="shared" si="55"/>
        <v>96</v>
      </c>
      <c r="L147" s="99">
        <f t="shared" si="55"/>
        <v>130</v>
      </c>
      <c r="M147" s="99">
        <f t="shared" si="55"/>
        <v>96</v>
      </c>
      <c r="N147" s="99"/>
      <c r="O147" s="99"/>
      <c r="P147" s="99"/>
      <c r="Q147" s="99"/>
      <c r="R147" s="99">
        <f t="shared" si="52"/>
        <v>400</v>
      </c>
    </row>
    <row r="148" spans="3:22" ht="14.25" thickBot="1">
      <c r="C148" s="197"/>
      <c r="D148" s="105"/>
      <c r="E148" s="106"/>
      <c r="F148" s="107" t="s">
        <v>56</v>
      </c>
      <c r="G148" s="108"/>
      <c r="H148" s="109">
        <f>SUM(H142:H147)</f>
        <v>388</v>
      </c>
      <c r="I148" s="109">
        <f t="shared" ref="I148:Q148" si="56">SUM(I142:I147)</f>
        <v>1200</v>
      </c>
      <c r="J148" s="109">
        <f t="shared" si="56"/>
        <v>2053</v>
      </c>
      <c r="K148" s="109">
        <f t="shared" si="56"/>
        <v>2173</v>
      </c>
      <c r="L148" s="109">
        <f t="shared" si="56"/>
        <v>3717</v>
      </c>
      <c r="M148" s="109">
        <f t="shared" si="56"/>
        <v>2953</v>
      </c>
      <c r="N148" s="109">
        <f t="shared" si="56"/>
        <v>793</v>
      </c>
      <c r="O148" s="109">
        <f t="shared" si="56"/>
        <v>718</v>
      </c>
      <c r="P148" s="109">
        <f t="shared" si="56"/>
        <v>1243</v>
      </c>
      <c r="Q148" s="109">
        <f t="shared" si="56"/>
        <v>767</v>
      </c>
      <c r="R148" s="109">
        <f t="shared" ref="R148" si="57">SUM(H148:Q148)</f>
        <v>16005</v>
      </c>
    </row>
    <row r="149" spans="3:22" ht="14.25" thickBot="1">
      <c r="C149" s="78" t="s">
        <v>54</v>
      </c>
      <c r="D149" s="72"/>
      <c r="E149" s="73"/>
      <c r="F149" s="72"/>
      <c r="G149" s="74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54"/>
      <c r="V149" s="26"/>
    </row>
    <row r="150" spans="3:22">
      <c r="C150" s="78"/>
      <c r="D150" s="174" t="s">
        <v>50</v>
      </c>
      <c r="E150" s="86"/>
      <c r="F150" s="110" t="s">
        <v>40</v>
      </c>
      <c r="G150" s="114"/>
      <c r="H150" s="131">
        <v>223</v>
      </c>
      <c r="I150" s="132">
        <v>739</v>
      </c>
      <c r="J150" s="132">
        <v>1214</v>
      </c>
      <c r="K150" s="132">
        <v>1201</v>
      </c>
      <c r="L150" s="132">
        <v>2018</v>
      </c>
      <c r="M150" s="132">
        <v>1593</v>
      </c>
      <c r="N150" s="131">
        <v>589</v>
      </c>
      <c r="O150" s="131"/>
      <c r="P150" s="131"/>
      <c r="Q150" s="131"/>
      <c r="R150" s="115">
        <f>SUM(H150:Q150)</f>
        <v>7577</v>
      </c>
    </row>
    <row r="151" spans="3:22" ht="17.25" thickBot="1">
      <c r="C151" s="78"/>
      <c r="D151" s="175"/>
      <c r="E151" s="85"/>
      <c r="F151" s="111" t="s">
        <v>41</v>
      </c>
      <c r="G151" s="116"/>
      <c r="H151" s="111">
        <v>165</v>
      </c>
      <c r="I151" s="133">
        <v>461</v>
      </c>
      <c r="J151" s="133">
        <v>598</v>
      </c>
      <c r="K151" s="133">
        <v>631</v>
      </c>
      <c r="L151" s="133">
        <v>1024</v>
      </c>
      <c r="M151" s="133">
        <v>854</v>
      </c>
      <c r="N151" s="111">
        <v>204</v>
      </c>
      <c r="O151" s="111"/>
      <c r="P151" s="111"/>
      <c r="Q151" s="111"/>
      <c r="R151" s="117">
        <f>SUM(H151:Q151)</f>
        <v>3937</v>
      </c>
      <c r="V151" s="34"/>
    </row>
    <row r="152" spans="3:22" ht="16.5">
      <c r="C152" s="78"/>
      <c r="D152" s="200" t="s">
        <v>51</v>
      </c>
      <c r="E152" s="82"/>
      <c r="F152" s="103" t="s">
        <v>40</v>
      </c>
      <c r="G152" s="118"/>
      <c r="H152" s="119"/>
      <c r="I152" s="119"/>
      <c r="J152" s="119"/>
      <c r="K152" s="119"/>
      <c r="L152" s="119"/>
      <c r="M152" s="119"/>
      <c r="N152" s="119"/>
      <c r="O152" s="129">
        <v>497</v>
      </c>
      <c r="P152" s="134">
        <v>896</v>
      </c>
      <c r="Q152" s="134">
        <v>598</v>
      </c>
      <c r="R152" s="119">
        <f t="shared" ref="R152:R155" si="58">SUM(H152:Q152)</f>
        <v>1991</v>
      </c>
      <c r="V152" s="34"/>
    </row>
    <row r="153" spans="3:22" ht="17.25" thickBot="1">
      <c r="C153" s="78"/>
      <c r="D153" s="201"/>
      <c r="E153" s="84"/>
      <c r="F153" s="89" t="s">
        <v>41</v>
      </c>
      <c r="G153" s="120"/>
      <c r="H153" s="121"/>
      <c r="I153" s="121"/>
      <c r="J153" s="121"/>
      <c r="K153" s="121"/>
      <c r="L153" s="121"/>
      <c r="M153" s="121"/>
      <c r="N153" s="121"/>
      <c r="O153" s="89">
        <v>221</v>
      </c>
      <c r="P153" s="135">
        <v>347</v>
      </c>
      <c r="Q153" s="135">
        <v>169</v>
      </c>
      <c r="R153" s="121">
        <f t="shared" si="58"/>
        <v>737</v>
      </c>
      <c r="V153" s="34"/>
    </row>
    <row r="154" spans="3:22" ht="16.5">
      <c r="C154" s="78"/>
      <c r="D154" s="174" t="s">
        <v>52</v>
      </c>
      <c r="E154" s="86"/>
      <c r="F154" s="110" t="s">
        <v>40</v>
      </c>
      <c r="G154" s="114"/>
      <c r="H154" s="115"/>
      <c r="I154" s="115"/>
      <c r="J154" s="127">
        <v>163</v>
      </c>
      <c r="K154" s="127">
        <v>245</v>
      </c>
      <c r="L154" s="127">
        <v>545</v>
      </c>
      <c r="M154" s="128">
        <v>410</v>
      </c>
      <c r="N154" s="128"/>
      <c r="O154" s="136"/>
      <c r="P154" s="115"/>
      <c r="Q154" s="115"/>
      <c r="R154" s="115">
        <f t="shared" si="58"/>
        <v>1363</v>
      </c>
      <c r="V154" s="34"/>
    </row>
    <row r="155" spans="3:22" ht="14.25" thickBot="1">
      <c r="C155" s="78"/>
      <c r="D155" s="175"/>
      <c r="E155" s="85"/>
      <c r="F155" s="111" t="s">
        <v>41</v>
      </c>
      <c r="G155" s="116"/>
      <c r="H155" s="117"/>
      <c r="I155" s="117"/>
      <c r="J155" s="130">
        <v>78</v>
      </c>
      <c r="K155" s="130">
        <v>96</v>
      </c>
      <c r="L155" s="130">
        <v>130</v>
      </c>
      <c r="M155" s="130">
        <v>96</v>
      </c>
      <c r="N155" s="130"/>
      <c r="O155" s="133"/>
      <c r="P155" s="117"/>
      <c r="Q155" s="117"/>
      <c r="R155" s="117">
        <f t="shared" si="58"/>
        <v>400</v>
      </c>
    </row>
    <row r="156" spans="3:22" ht="14.25" thickBot="1">
      <c r="C156" s="78"/>
      <c r="D156" s="122"/>
      <c r="E156" s="123"/>
      <c r="F156" s="124" t="s">
        <v>56</v>
      </c>
      <c r="G156" s="125"/>
      <c r="H156" s="126">
        <f>SUM(H150:H155)</f>
        <v>388</v>
      </c>
      <c r="I156" s="126">
        <f t="shared" ref="I156" si="59">SUM(I150:I155)</f>
        <v>1200</v>
      </c>
      <c r="J156" s="126">
        <f t="shared" ref="J156" si="60">SUM(J150:J155)</f>
        <v>2053</v>
      </c>
      <c r="K156" s="126">
        <f t="shared" ref="K156" si="61">SUM(K150:K155)</f>
        <v>2173</v>
      </c>
      <c r="L156" s="126">
        <f t="shared" ref="L156" si="62">SUM(L150:L155)</f>
        <v>3717</v>
      </c>
      <c r="M156" s="126">
        <f t="shared" ref="M156" si="63">SUM(M150:M155)</f>
        <v>2953</v>
      </c>
      <c r="N156" s="126">
        <f t="shared" ref="N156" si="64">SUM(N150:N155)</f>
        <v>793</v>
      </c>
      <c r="O156" s="126">
        <f t="shared" ref="O156" si="65">SUM(O150:O155)</f>
        <v>718</v>
      </c>
      <c r="P156" s="126">
        <f t="shared" ref="P156" si="66">SUM(P150:P155)</f>
        <v>1243</v>
      </c>
      <c r="Q156" s="126">
        <f t="shared" ref="Q156" si="67">SUM(Q150:Q155)</f>
        <v>767</v>
      </c>
      <c r="R156" s="126">
        <f t="shared" ref="R156" si="68">SUM(H156:Q156)</f>
        <v>16005</v>
      </c>
    </row>
    <row r="157" spans="3:22">
      <c r="C157" s="78" t="s">
        <v>55</v>
      </c>
      <c r="D157" s="72"/>
      <c r="E157" s="73"/>
      <c r="F157" s="72"/>
      <c r="G157" s="74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54"/>
      <c r="V157" s="26"/>
    </row>
    <row r="158" spans="3:22" ht="14.25" thickBot="1">
      <c r="C158" s="78" t="s">
        <v>54</v>
      </c>
      <c r="D158" s="80"/>
      <c r="E158" s="73"/>
      <c r="F158" s="80"/>
      <c r="G158" s="74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54"/>
      <c r="V158" s="26"/>
    </row>
    <row r="159" spans="3:22">
      <c r="C159" s="78"/>
      <c r="D159" s="194" t="s">
        <v>50</v>
      </c>
      <c r="E159" s="86"/>
      <c r="F159" s="110" t="s">
        <v>40</v>
      </c>
      <c r="G159" s="114"/>
      <c r="H159" s="137">
        <f t="shared" ref="H159:Q159" si="69">H150-H142</f>
        <v>0</v>
      </c>
      <c r="I159" s="137">
        <f t="shared" si="69"/>
        <v>0</v>
      </c>
      <c r="J159" s="137">
        <f t="shared" si="69"/>
        <v>0</v>
      </c>
      <c r="K159" s="137">
        <f t="shared" si="69"/>
        <v>0</v>
      </c>
      <c r="L159" s="137">
        <f t="shared" si="69"/>
        <v>0</v>
      </c>
      <c r="M159" s="137">
        <f t="shared" si="69"/>
        <v>0</v>
      </c>
      <c r="N159" s="137">
        <f t="shared" si="69"/>
        <v>0</v>
      </c>
      <c r="O159" s="137">
        <f t="shared" si="69"/>
        <v>0</v>
      </c>
      <c r="P159" s="137">
        <f t="shared" si="69"/>
        <v>0</v>
      </c>
      <c r="Q159" s="137">
        <f t="shared" si="69"/>
        <v>0</v>
      </c>
      <c r="R159" s="138">
        <f>SUM(H159:Q159)</f>
        <v>0</v>
      </c>
    </row>
    <row r="160" spans="3:22" ht="17.25" thickBot="1">
      <c r="C160" s="78"/>
      <c r="D160" s="204"/>
      <c r="E160" s="80"/>
      <c r="F160" s="140" t="s">
        <v>41</v>
      </c>
      <c r="G160" s="74"/>
      <c r="H160" s="141">
        <f t="shared" ref="H160:Q160" si="70">H151-H143</f>
        <v>0</v>
      </c>
      <c r="I160" s="141">
        <f t="shared" si="70"/>
        <v>0</v>
      </c>
      <c r="J160" s="141">
        <f t="shared" si="70"/>
        <v>0</v>
      </c>
      <c r="K160" s="141">
        <f t="shared" si="70"/>
        <v>0</v>
      </c>
      <c r="L160" s="141">
        <f t="shared" si="70"/>
        <v>0</v>
      </c>
      <c r="M160" s="141">
        <f t="shared" si="70"/>
        <v>0</v>
      </c>
      <c r="N160" s="141">
        <f t="shared" si="70"/>
        <v>0</v>
      </c>
      <c r="O160" s="141">
        <f t="shared" si="70"/>
        <v>0</v>
      </c>
      <c r="P160" s="141">
        <f t="shared" si="70"/>
        <v>0</v>
      </c>
      <c r="Q160" s="141">
        <f t="shared" si="70"/>
        <v>0</v>
      </c>
      <c r="R160" s="142">
        <f>SUM(H160:Q160)</f>
        <v>0</v>
      </c>
      <c r="V160" s="34"/>
    </row>
    <row r="161" spans="3:22" ht="16.5">
      <c r="C161" s="78"/>
      <c r="D161" s="194" t="s">
        <v>51</v>
      </c>
      <c r="E161" s="86"/>
      <c r="F161" s="110" t="s">
        <v>40</v>
      </c>
      <c r="G161" s="114"/>
      <c r="H161" s="137">
        <f t="shared" ref="H161:Q161" si="71">H152-H144</f>
        <v>0</v>
      </c>
      <c r="I161" s="137">
        <f t="shared" si="71"/>
        <v>0</v>
      </c>
      <c r="J161" s="137">
        <f t="shared" si="71"/>
        <v>0</v>
      </c>
      <c r="K161" s="137">
        <f t="shared" si="71"/>
        <v>0</v>
      </c>
      <c r="L161" s="137">
        <f t="shared" si="71"/>
        <v>0</v>
      </c>
      <c r="M161" s="137">
        <f t="shared" si="71"/>
        <v>0</v>
      </c>
      <c r="N161" s="137">
        <f t="shared" si="71"/>
        <v>0</v>
      </c>
      <c r="O161" s="137">
        <f t="shared" si="71"/>
        <v>0</v>
      </c>
      <c r="P161" s="137">
        <f t="shared" si="71"/>
        <v>0</v>
      </c>
      <c r="Q161" s="137">
        <f t="shared" si="71"/>
        <v>0</v>
      </c>
      <c r="R161" s="138">
        <f t="shared" ref="R161:R164" si="72">SUM(H161:Q161)</f>
        <v>0</v>
      </c>
      <c r="V161" s="34"/>
    </row>
    <row r="162" spans="3:22" ht="17.25" thickBot="1">
      <c r="C162" s="78"/>
      <c r="D162" s="195"/>
      <c r="E162" s="85"/>
      <c r="F162" s="111" t="s">
        <v>41</v>
      </c>
      <c r="G162" s="116"/>
      <c r="H162" s="145">
        <f t="shared" ref="H162:Q162" si="73">H153-H145</f>
        <v>0</v>
      </c>
      <c r="I162" s="145">
        <f t="shared" si="73"/>
        <v>0</v>
      </c>
      <c r="J162" s="145">
        <f t="shared" si="73"/>
        <v>0</v>
      </c>
      <c r="K162" s="145">
        <f t="shared" si="73"/>
        <v>0</v>
      </c>
      <c r="L162" s="145">
        <f t="shared" si="73"/>
        <v>0</v>
      </c>
      <c r="M162" s="145">
        <f t="shared" si="73"/>
        <v>0</v>
      </c>
      <c r="N162" s="145">
        <f t="shared" si="73"/>
        <v>0</v>
      </c>
      <c r="O162" s="145">
        <f t="shared" si="73"/>
        <v>0</v>
      </c>
      <c r="P162" s="145">
        <f t="shared" si="73"/>
        <v>0</v>
      </c>
      <c r="Q162" s="145">
        <f t="shared" si="73"/>
        <v>0</v>
      </c>
      <c r="R162" s="139">
        <f t="shared" si="72"/>
        <v>0</v>
      </c>
      <c r="V162" s="34"/>
    </row>
    <row r="163" spans="3:22" ht="16.5">
      <c r="C163" s="78"/>
      <c r="D163" s="205" t="s">
        <v>52</v>
      </c>
      <c r="E163" s="82"/>
      <c r="F163" s="103" t="s">
        <v>40</v>
      </c>
      <c r="G163" s="118"/>
      <c r="H163" s="143">
        <f t="shared" ref="H163:Q163" si="74">H154-H146</f>
        <v>0</v>
      </c>
      <c r="I163" s="143">
        <f t="shared" si="74"/>
        <v>0</v>
      </c>
      <c r="J163" s="143">
        <f t="shared" si="74"/>
        <v>0</v>
      </c>
      <c r="K163" s="143">
        <f t="shared" si="74"/>
        <v>0</v>
      </c>
      <c r="L163" s="143">
        <f t="shared" si="74"/>
        <v>0</v>
      </c>
      <c r="M163" s="143">
        <f t="shared" si="74"/>
        <v>0</v>
      </c>
      <c r="N163" s="143">
        <f t="shared" si="74"/>
        <v>0</v>
      </c>
      <c r="O163" s="143">
        <f t="shared" si="74"/>
        <v>0</v>
      </c>
      <c r="P163" s="143">
        <f t="shared" si="74"/>
        <v>0</v>
      </c>
      <c r="Q163" s="143">
        <f t="shared" si="74"/>
        <v>0</v>
      </c>
      <c r="R163" s="144">
        <f t="shared" si="72"/>
        <v>0</v>
      </c>
      <c r="V163" s="34"/>
    </row>
    <row r="164" spans="3:22" ht="14.25" thickBot="1">
      <c r="C164" s="78"/>
      <c r="D164" s="204"/>
      <c r="E164" s="80"/>
      <c r="F164" s="140" t="s">
        <v>41</v>
      </c>
      <c r="G164" s="74"/>
      <c r="H164" s="141">
        <f t="shared" ref="H164:Q164" si="75">H155-H147</f>
        <v>0</v>
      </c>
      <c r="I164" s="141">
        <f t="shared" si="75"/>
        <v>0</v>
      </c>
      <c r="J164" s="141">
        <f t="shared" si="75"/>
        <v>0</v>
      </c>
      <c r="K164" s="141">
        <f t="shared" si="75"/>
        <v>0</v>
      </c>
      <c r="L164" s="141">
        <f t="shared" si="75"/>
        <v>0</v>
      </c>
      <c r="M164" s="141">
        <f t="shared" si="75"/>
        <v>0</v>
      </c>
      <c r="N164" s="141">
        <f t="shared" si="75"/>
        <v>0</v>
      </c>
      <c r="O164" s="141">
        <f t="shared" si="75"/>
        <v>0</v>
      </c>
      <c r="P164" s="141">
        <f t="shared" si="75"/>
        <v>0</v>
      </c>
      <c r="Q164" s="141">
        <f t="shared" si="75"/>
        <v>0</v>
      </c>
      <c r="R164" s="142">
        <f t="shared" si="72"/>
        <v>0</v>
      </c>
    </row>
    <row r="165" spans="3:22" ht="14.25" thickBot="1">
      <c r="C165" s="78"/>
      <c r="D165" s="146"/>
      <c r="E165" s="147"/>
      <c r="F165" s="148" t="s">
        <v>56</v>
      </c>
      <c r="G165" s="149"/>
      <c r="H165" s="150">
        <f>SUM(H159:H164)</f>
        <v>0</v>
      </c>
      <c r="I165" s="150">
        <f t="shared" ref="I165" si="76">SUM(I159:I164)</f>
        <v>0</v>
      </c>
      <c r="J165" s="150">
        <f t="shared" ref="J165" si="77">SUM(J159:J164)</f>
        <v>0</v>
      </c>
      <c r="K165" s="150">
        <f t="shared" ref="K165" si="78">SUM(K159:K164)</f>
        <v>0</v>
      </c>
      <c r="L165" s="150">
        <f t="shared" ref="L165" si="79">SUM(L159:L164)</f>
        <v>0</v>
      </c>
      <c r="M165" s="150">
        <f t="shared" ref="M165" si="80">SUM(M159:M164)</f>
        <v>0</v>
      </c>
      <c r="N165" s="150">
        <f t="shared" ref="N165" si="81">SUM(N159:N164)</f>
        <v>0</v>
      </c>
      <c r="O165" s="150">
        <f t="shared" ref="O165" si="82">SUM(O159:O164)</f>
        <v>0</v>
      </c>
      <c r="P165" s="150">
        <f t="shared" ref="P165" si="83">SUM(P159:P164)</f>
        <v>0</v>
      </c>
      <c r="Q165" s="150">
        <f t="shared" ref="Q165" si="84">SUM(Q159:Q164)</f>
        <v>0</v>
      </c>
      <c r="R165" s="151">
        <f t="shared" ref="R165" si="85">SUM(H165:Q165)</f>
        <v>0</v>
      </c>
    </row>
    <row r="166" spans="3:22" ht="14.25" thickBot="1">
      <c r="C166" s="198" t="s">
        <v>36</v>
      </c>
      <c r="D166" s="198"/>
      <c r="E166" s="199"/>
      <c r="F166" s="81"/>
      <c r="G166" s="87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54"/>
      <c r="V166" s="26"/>
    </row>
    <row r="167" spans="3:22">
      <c r="C167" s="78"/>
      <c r="D167" s="174" t="s">
        <v>50</v>
      </c>
      <c r="E167" s="86"/>
      <c r="F167" s="110" t="s">
        <v>40</v>
      </c>
      <c r="G167" s="114"/>
      <c r="H167" s="152">
        <f>H150*1.05</f>
        <v>234.15</v>
      </c>
      <c r="I167" s="152">
        <f t="shared" ref="I167:Q167" si="86">I150*1.05</f>
        <v>775.95</v>
      </c>
      <c r="J167" s="152">
        <f t="shared" si="86"/>
        <v>1274.7</v>
      </c>
      <c r="K167" s="152">
        <f t="shared" si="86"/>
        <v>1261.05</v>
      </c>
      <c r="L167" s="152">
        <f t="shared" si="86"/>
        <v>2118.9</v>
      </c>
      <c r="M167" s="152">
        <f t="shared" si="86"/>
        <v>1672.65</v>
      </c>
      <c r="N167" s="152">
        <f t="shared" si="86"/>
        <v>618.45000000000005</v>
      </c>
      <c r="O167" s="152">
        <f t="shared" si="86"/>
        <v>0</v>
      </c>
      <c r="P167" s="152">
        <f t="shared" si="86"/>
        <v>0</v>
      </c>
      <c r="Q167" s="152">
        <f t="shared" si="86"/>
        <v>0</v>
      </c>
      <c r="R167" s="153">
        <f>SUM(H167:Q167)</f>
        <v>7955.8499999999995</v>
      </c>
    </row>
    <row r="168" spans="3:22" ht="17.25" thickBot="1">
      <c r="C168" s="78"/>
      <c r="D168" s="175"/>
      <c r="E168" s="85"/>
      <c r="F168" s="111" t="s">
        <v>41</v>
      </c>
      <c r="G168" s="116"/>
      <c r="H168" s="154">
        <f t="shared" ref="H168:Q168" si="87">H151*1.05</f>
        <v>173.25</v>
      </c>
      <c r="I168" s="154">
        <f t="shared" si="87"/>
        <v>484.05</v>
      </c>
      <c r="J168" s="154">
        <f t="shared" si="87"/>
        <v>627.9</v>
      </c>
      <c r="K168" s="154">
        <f t="shared" si="87"/>
        <v>662.55000000000007</v>
      </c>
      <c r="L168" s="154">
        <f t="shared" si="87"/>
        <v>1075.2</v>
      </c>
      <c r="M168" s="154">
        <f t="shared" si="87"/>
        <v>896.7</v>
      </c>
      <c r="N168" s="154">
        <f t="shared" si="87"/>
        <v>214.20000000000002</v>
      </c>
      <c r="O168" s="154">
        <f t="shared" si="87"/>
        <v>0</v>
      </c>
      <c r="P168" s="154">
        <f t="shared" si="87"/>
        <v>0</v>
      </c>
      <c r="Q168" s="154">
        <f t="shared" si="87"/>
        <v>0</v>
      </c>
      <c r="R168" s="155">
        <f>SUM(H168:Q168)</f>
        <v>4133.8499999999995</v>
      </c>
      <c r="V168" s="34"/>
    </row>
    <row r="169" spans="3:22" ht="16.5">
      <c r="C169" s="78"/>
      <c r="D169" s="200" t="s">
        <v>51</v>
      </c>
      <c r="E169" s="82"/>
      <c r="F169" s="103" t="s">
        <v>40</v>
      </c>
      <c r="G169" s="118"/>
      <c r="H169" s="152">
        <f t="shared" ref="H169:Q169" si="88">H152*1.05</f>
        <v>0</v>
      </c>
      <c r="I169" s="152">
        <f t="shared" si="88"/>
        <v>0</v>
      </c>
      <c r="J169" s="152">
        <f t="shared" si="88"/>
        <v>0</v>
      </c>
      <c r="K169" s="152">
        <f t="shared" si="88"/>
        <v>0</v>
      </c>
      <c r="L169" s="152">
        <f t="shared" si="88"/>
        <v>0</v>
      </c>
      <c r="M169" s="152">
        <f t="shared" si="88"/>
        <v>0</v>
      </c>
      <c r="N169" s="152">
        <f t="shared" si="88"/>
        <v>0</v>
      </c>
      <c r="O169" s="152">
        <f t="shared" si="88"/>
        <v>521.85</v>
      </c>
      <c r="P169" s="152">
        <f t="shared" si="88"/>
        <v>940.80000000000007</v>
      </c>
      <c r="Q169" s="152">
        <f t="shared" si="88"/>
        <v>627.9</v>
      </c>
      <c r="R169" s="153">
        <f t="shared" ref="R169:R172" si="89">SUM(H169:Q169)</f>
        <v>2090.5500000000002</v>
      </c>
      <c r="V169" s="34"/>
    </row>
    <row r="170" spans="3:22" ht="17.25" thickBot="1">
      <c r="C170" s="78"/>
      <c r="D170" s="201"/>
      <c r="E170" s="84"/>
      <c r="F170" s="89" t="s">
        <v>41</v>
      </c>
      <c r="G170" s="120"/>
      <c r="H170" s="156">
        <f t="shared" ref="H170:Q170" si="90">H153*1.05</f>
        <v>0</v>
      </c>
      <c r="I170" s="156">
        <f t="shared" si="90"/>
        <v>0</v>
      </c>
      <c r="J170" s="156">
        <f t="shared" si="90"/>
        <v>0</v>
      </c>
      <c r="K170" s="156">
        <f t="shared" si="90"/>
        <v>0</v>
      </c>
      <c r="L170" s="156">
        <f t="shared" si="90"/>
        <v>0</v>
      </c>
      <c r="M170" s="156">
        <f t="shared" si="90"/>
        <v>0</v>
      </c>
      <c r="N170" s="156">
        <f t="shared" si="90"/>
        <v>0</v>
      </c>
      <c r="O170" s="156">
        <f t="shared" si="90"/>
        <v>232.05</v>
      </c>
      <c r="P170" s="156">
        <f t="shared" si="90"/>
        <v>364.35</v>
      </c>
      <c r="Q170" s="156">
        <f t="shared" si="90"/>
        <v>177.45000000000002</v>
      </c>
      <c r="R170" s="157">
        <f t="shared" si="89"/>
        <v>773.85000000000014</v>
      </c>
      <c r="V170" s="34"/>
    </row>
    <row r="171" spans="3:22" ht="16.5">
      <c r="C171" s="78"/>
      <c r="D171" s="174" t="s">
        <v>52</v>
      </c>
      <c r="E171" s="86"/>
      <c r="F171" s="110" t="s">
        <v>40</v>
      </c>
      <c r="G171" s="114"/>
      <c r="H171" s="158">
        <f t="shared" ref="H171:Q171" si="91">H154*1.05</f>
        <v>0</v>
      </c>
      <c r="I171" s="158">
        <f t="shared" si="91"/>
        <v>0</v>
      </c>
      <c r="J171" s="158">
        <f t="shared" si="91"/>
        <v>171.15</v>
      </c>
      <c r="K171" s="158">
        <f t="shared" si="91"/>
        <v>257.25</v>
      </c>
      <c r="L171" s="158">
        <f t="shared" si="91"/>
        <v>572.25</v>
      </c>
      <c r="M171" s="158">
        <f t="shared" si="91"/>
        <v>430.5</v>
      </c>
      <c r="N171" s="158">
        <f t="shared" si="91"/>
        <v>0</v>
      </c>
      <c r="O171" s="158">
        <f t="shared" si="91"/>
        <v>0</v>
      </c>
      <c r="P171" s="158">
        <f t="shared" si="91"/>
        <v>0</v>
      </c>
      <c r="Q171" s="158">
        <f t="shared" si="91"/>
        <v>0</v>
      </c>
      <c r="R171" s="159">
        <f t="shared" si="89"/>
        <v>1431.15</v>
      </c>
      <c r="V171" s="34"/>
    </row>
    <row r="172" spans="3:22" ht="14.25" thickBot="1">
      <c r="C172" s="78"/>
      <c r="D172" s="175"/>
      <c r="E172" s="85"/>
      <c r="F172" s="111" t="s">
        <v>41</v>
      </c>
      <c r="G172" s="116"/>
      <c r="H172" s="154">
        <f t="shared" ref="H172:Q172" si="92">H155*1.05</f>
        <v>0</v>
      </c>
      <c r="I172" s="154">
        <f t="shared" si="92"/>
        <v>0</v>
      </c>
      <c r="J172" s="154">
        <f t="shared" si="92"/>
        <v>81.900000000000006</v>
      </c>
      <c r="K172" s="154">
        <f t="shared" si="92"/>
        <v>100.80000000000001</v>
      </c>
      <c r="L172" s="154">
        <f t="shared" si="92"/>
        <v>136.5</v>
      </c>
      <c r="M172" s="154">
        <f t="shared" si="92"/>
        <v>100.80000000000001</v>
      </c>
      <c r="N172" s="154">
        <f t="shared" si="92"/>
        <v>0</v>
      </c>
      <c r="O172" s="154">
        <f t="shared" si="92"/>
        <v>0</v>
      </c>
      <c r="P172" s="154">
        <f t="shared" si="92"/>
        <v>0</v>
      </c>
      <c r="Q172" s="154">
        <f t="shared" si="92"/>
        <v>0</v>
      </c>
      <c r="R172" s="155">
        <f t="shared" si="89"/>
        <v>420.00000000000006</v>
      </c>
    </row>
    <row r="173" spans="3:22" ht="14.25" thickBot="1">
      <c r="C173" s="78"/>
      <c r="D173" s="122"/>
      <c r="E173" s="123"/>
      <c r="F173" s="124" t="s">
        <v>56</v>
      </c>
      <c r="G173" s="125"/>
      <c r="H173" s="160">
        <f>SUM(H167:H172)</f>
        <v>407.4</v>
      </c>
      <c r="I173" s="160">
        <f t="shared" ref="I173" si="93">SUM(I167:I172)</f>
        <v>1260</v>
      </c>
      <c r="J173" s="160">
        <f t="shared" ref="J173" si="94">SUM(J167:J172)</f>
        <v>2155.65</v>
      </c>
      <c r="K173" s="160">
        <f t="shared" ref="K173" si="95">SUM(K167:K172)</f>
        <v>2281.65</v>
      </c>
      <c r="L173" s="160">
        <f t="shared" ref="L173" si="96">SUM(L167:L172)</f>
        <v>3902.8500000000004</v>
      </c>
      <c r="M173" s="160">
        <f t="shared" ref="M173" si="97">SUM(M167:M172)</f>
        <v>3100.6500000000005</v>
      </c>
      <c r="N173" s="160">
        <f t="shared" ref="N173" si="98">SUM(N167:N172)</f>
        <v>832.65000000000009</v>
      </c>
      <c r="O173" s="160">
        <f t="shared" ref="O173" si="99">SUM(O167:O172)</f>
        <v>753.90000000000009</v>
      </c>
      <c r="P173" s="160">
        <f t="shared" ref="P173" si="100">SUM(P167:P172)</f>
        <v>1305.1500000000001</v>
      </c>
      <c r="Q173" s="160">
        <f t="shared" ref="Q173" si="101">SUM(Q167:Q172)</f>
        <v>805.35</v>
      </c>
      <c r="R173" s="160">
        <f t="shared" ref="R173" si="102">SUM(H173:Q173)</f>
        <v>16805.25</v>
      </c>
    </row>
    <row r="174" spans="3:22">
      <c r="C174" s="82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V174" s="26"/>
    </row>
    <row r="175" spans="3:22" ht="14.25" thickBot="1">
      <c r="C175" s="198" t="s">
        <v>57</v>
      </c>
      <c r="D175" s="198"/>
      <c r="E175" s="198"/>
      <c r="F175" s="199"/>
      <c r="G175" s="87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V175" s="26"/>
    </row>
    <row r="176" spans="3:22" ht="13.5" customHeight="1">
      <c r="C176" s="83"/>
      <c r="D176" s="194" t="s">
        <v>49</v>
      </c>
      <c r="E176" s="64"/>
      <c r="F176" s="110" t="s">
        <v>40</v>
      </c>
      <c r="G176" s="68"/>
      <c r="H176" s="59"/>
      <c r="I176" s="59">
        <f>I140*1.05</f>
        <v>68.25</v>
      </c>
      <c r="J176" s="59">
        <f t="shared" ref="J176:M176" si="103">J140*1.05</f>
        <v>80.850000000000009</v>
      </c>
      <c r="K176" s="59">
        <f t="shared" si="103"/>
        <v>123.9</v>
      </c>
      <c r="L176" s="59">
        <f t="shared" si="103"/>
        <v>136.5</v>
      </c>
      <c r="M176" s="59">
        <f t="shared" si="103"/>
        <v>68.25</v>
      </c>
      <c r="N176" s="59"/>
      <c r="O176" s="59"/>
      <c r="P176" s="59"/>
      <c r="Q176" s="59"/>
      <c r="R176" s="60">
        <f>SUM(H176:Q176)</f>
        <v>477.75</v>
      </c>
    </row>
    <row r="177" spans="3:22" ht="14.25" thickBot="1">
      <c r="C177" s="83"/>
      <c r="D177" s="195"/>
      <c r="E177" s="69"/>
      <c r="F177" s="111" t="s">
        <v>41</v>
      </c>
      <c r="G177" s="70"/>
      <c r="H177" s="71"/>
      <c r="I177" s="161">
        <f t="shared" ref="I177:M177" si="104">I141*1.05</f>
        <v>106.05000000000001</v>
      </c>
      <c r="J177" s="161">
        <f t="shared" si="104"/>
        <v>156.45000000000002</v>
      </c>
      <c r="K177" s="161">
        <f t="shared" si="104"/>
        <v>174.3</v>
      </c>
      <c r="L177" s="161">
        <f t="shared" si="104"/>
        <v>212.10000000000002</v>
      </c>
      <c r="M177" s="161">
        <f t="shared" si="104"/>
        <v>118.65</v>
      </c>
      <c r="N177" s="71"/>
      <c r="O177" s="71"/>
      <c r="P177" s="71"/>
      <c r="Q177" s="71"/>
      <c r="R177" s="76">
        <f>SUM(H177:Q177)</f>
        <v>767.55000000000007</v>
      </c>
    </row>
    <row r="178" spans="3:22">
      <c r="V178" s="26"/>
    </row>
    <row r="179" spans="3:22">
      <c r="V179" s="26"/>
    </row>
  </sheetData>
  <mergeCells count="91">
    <mergeCell ref="D34:D35"/>
    <mergeCell ref="G34:G39"/>
    <mergeCell ref="D36:D37"/>
    <mergeCell ref="D38:D39"/>
    <mergeCell ref="C40:C45"/>
    <mergeCell ref="D40:D41"/>
    <mergeCell ref="G40:G45"/>
    <mergeCell ref="D42:D43"/>
    <mergeCell ref="D44:D45"/>
    <mergeCell ref="D144:D145"/>
    <mergeCell ref="D146:D147"/>
    <mergeCell ref="D150:D151"/>
    <mergeCell ref="C4:C9"/>
    <mergeCell ref="G4:G9"/>
    <mergeCell ref="C10:C15"/>
    <mergeCell ref="G10:G15"/>
    <mergeCell ref="D12:D13"/>
    <mergeCell ref="D14:D15"/>
    <mergeCell ref="C16:C21"/>
    <mergeCell ref="D16:D17"/>
    <mergeCell ref="G16:G21"/>
    <mergeCell ref="D18:D19"/>
    <mergeCell ref="D20:D21"/>
    <mergeCell ref="C28:C33"/>
    <mergeCell ref="D28:D29"/>
    <mergeCell ref="D4:D5"/>
    <mergeCell ref="D6:D7"/>
    <mergeCell ref="D8:D9"/>
    <mergeCell ref="D10:D11"/>
    <mergeCell ref="D22:D23"/>
    <mergeCell ref="D167:D168"/>
    <mergeCell ref="D169:D170"/>
    <mergeCell ref="C175:F175"/>
    <mergeCell ref="D159:D160"/>
    <mergeCell ref="D161:D162"/>
    <mergeCell ref="D163:D164"/>
    <mergeCell ref="D176:D177"/>
    <mergeCell ref="C22:C27"/>
    <mergeCell ref="C80:C83"/>
    <mergeCell ref="D80:D83"/>
    <mergeCell ref="C98:C101"/>
    <mergeCell ref="D98:D101"/>
    <mergeCell ref="C134:C148"/>
    <mergeCell ref="C166:E166"/>
    <mergeCell ref="D134:D135"/>
    <mergeCell ref="D138:D139"/>
    <mergeCell ref="D136:D137"/>
    <mergeCell ref="D140:D141"/>
    <mergeCell ref="D142:D143"/>
    <mergeCell ref="D116:D119"/>
    <mergeCell ref="D152:D153"/>
    <mergeCell ref="D154:D155"/>
    <mergeCell ref="G22:G27"/>
    <mergeCell ref="C54:C71"/>
    <mergeCell ref="D54:D62"/>
    <mergeCell ref="G54:G71"/>
    <mergeCell ref="D63:D71"/>
    <mergeCell ref="C46:C51"/>
    <mergeCell ref="G46:G51"/>
    <mergeCell ref="D24:D25"/>
    <mergeCell ref="D26:D27"/>
    <mergeCell ref="D46:D47"/>
    <mergeCell ref="D48:D49"/>
    <mergeCell ref="D50:D51"/>
    <mergeCell ref="G28:G33"/>
    <mergeCell ref="D30:D31"/>
    <mergeCell ref="D32:D33"/>
    <mergeCell ref="C34:C39"/>
    <mergeCell ref="G80:G83"/>
    <mergeCell ref="C86:C89"/>
    <mergeCell ref="D86:D89"/>
    <mergeCell ref="G86:G89"/>
    <mergeCell ref="C92:C95"/>
    <mergeCell ref="D92:D95"/>
    <mergeCell ref="G92:G95"/>
    <mergeCell ref="G116:G119"/>
    <mergeCell ref="G98:G101"/>
    <mergeCell ref="D171:D172"/>
    <mergeCell ref="C74:C77"/>
    <mergeCell ref="D74:D77"/>
    <mergeCell ref="G74:G77"/>
    <mergeCell ref="C104:C107"/>
    <mergeCell ref="D104:D107"/>
    <mergeCell ref="G104:G107"/>
    <mergeCell ref="C123:C126"/>
    <mergeCell ref="D123:D126"/>
    <mergeCell ref="G123:G126"/>
    <mergeCell ref="C110:C113"/>
    <mergeCell ref="D110:D113"/>
    <mergeCell ref="G110:G113"/>
    <mergeCell ref="C116:C119"/>
  </mergeCells>
  <phoneticPr fontId="2" type="noConversion"/>
  <pageMargins left="0.25" right="0.25" top="0.75" bottom="0.75" header="0.3" footer="0.3"/>
  <pageSetup paperSize="9" scale="32" fitToHeight="0" orientation="portrait" r:id="rId1"/>
  <headerFooter alignWithMargins="0"/>
  <rowBreaks count="1" manualBreakCount="1">
    <brk id="165" max="2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311B-880D-42E6-B24F-19961233AFD1}">
  <sheetPr>
    <tabColor theme="0"/>
    <pageSetUpPr fitToPage="1"/>
  </sheetPr>
  <dimension ref="B1:X135"/>
  <sheetViews>
    <sheetView view="pageBreakPreview" topLeftCell="A16" zoomScaleNormal="100" zoomScaleSheetLayoutView="100" workbookViewId="0">
      <selection activeCell="B27" sqref="B27"/>
    </sheetView>
  </sheetViews>
  <sheetFormatPr defaultColWidth="8.88671875" defaultRowHeight="13.5"/>
  <cols>
    <col min="1" max="1" width="3" style="2" customWidth="1"/>
    <col min="2" max="2" width="36.77734375" style="2" customWidth="1"/>
    <col min="3" max="3" width="20" style="2" customWidth="1"/>
    <col min="4" max="4" width="16.5546875" style="2" customWidth="1"/>
    <col min="5" max="5" width="11.109375" style="2" customWidth="1"/>
    <col min="6" max="6" width="31.88671875" style="2" customWidth="1"/>
    <col min="7" max="7" width="6.109375" style="2" customWidth="1"/>
    <col min="8" max="8" width="7.109375" style="2" bestFit="1" customWidth="1"/>
    <col min="9" max="17" width="7" style="2" customWidth="1"/>
    <col min="18" max="18" width="9" style="2" bestFit="1" customWidth="1"/>
    <col min="19" max="19" width="4" style="2" customWidth="1"/>
    <col min="20" max="20" width="9" style="2" bestFit="1" customWidth="1"/>
    <col min="21" max="21" width="15.21875" style="2" customWidth="1"/>
    <col min="22" max="23" width="11.5546875" style="2" bestFit="1" customWidth="1"/>
    <col min="24" max="24" width="11" style="2" customWidth="1"/>
    <col min="25" max="16384" width="8.88671875" style="2"/>
  </cols>
  <sheetData>
    <row r="1" spans="2:23">
      <c r="B1" s="1" t="s">
        <v>14</v>
      </c>
      <c r="E1" s="1"/>
    </row>
    <row r="2" spans="2:23" ht="13.5" customHeight="1">
      <c r="B2" s="3" t="s">
        <v>38</v>
      </c>
      <c r="E2" s="3" t="s">
        <v>38</v>
      </c>
    </row>
    <row r="3" spans="2:23">
      <c r="B3" s="4" t="s">
        <v>13</v>
      </c>
      <c r="C3" s="5" t="s">
        <v>2</v>
      </c>
      <c r="D3" s="5" t="s">
        <v>15</v>
      </c>
      <c r="E3" s="4" t="s">
        <v>0</v>
      </c>
      <c r="F3" s="4" t="s">
        <v>1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18</v>
      </c>
      <c r="N3" s="5" t="s">
        <v>19</v>
      </c>
      <c r="O3" s="5" t="s">
        <v>20</v>
      </c>
      <c r="P3" s="5" t="s">
        <v>19</v>
      </c>
      <c r="Q3" s="5" t="s">
        <v>20</v>
      </c>
      <c r="R3" s="6" t="s">
        <v>9</v>
      </c>
      <c r="T3" s="27"/>
      <c r="U3" s="2" t="s">
        <v>58</v>
      </c>
    </row>
    <row r="4" spans="2:23">
      <c r="B4" s="7" t="s">
        <v>39</v>
      </c>
      <c r="C4" s="187">
        <v>4500458425</v>
      </c>
      <c r="D4" s="189"/>
      <c r="E4" s="11">
        <v>522196</v>
      </c>
      <c r="F4" s="19"/>
      <c r="G4" s="19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T4" s="27"/>
      <c r="U4" s="28"/>
      <c r="V4" s="28"/>
      <c r="W4" s="33"/>
    </row>
    <row r="5" spans="2:23">
      <c r="B5" s="17"/>
      <c r="C5" s="188"/>
      <c r="D5" s="189"/>
      <c r="E5" s="11"/>
      <c r="F5" s="4"/>
      <c r="G5" s="19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T5" s="27"/>
      <c r="U5" s="2" t="s">
        <v>59</v>
      </c>
      <c r="V5" s="28">
        <f>SUM(R90:R97)</f>
        <v>16005</v>
      </c>
      <c r="W5" s="33">
        <f>V5*1.03</f>
        <v>16485.150000000001</v>
      </c>
    </row>
    <row r="6" spans="2:23">
      <c r="B6" s="10"/>
      <c r="C6" s="188"/>
      <c r="D6" s="189"/>
      <c r="E6" s="11"/>
      <c r="F6" s="4"/>
      <c r="G6" s="19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27"/>
    </row>
    <row r="7" spans="2:23" ht="14.25" thickBot="1">
      <c r="B7" s="20"/>
      <c r="C7" s="188"/>
      <c r="D7" s="189"/>
      <c r="E7" s="11"/>
      <c r="F7" s="19"/>
      <c r="G7" s="19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T7" s="27"/>
      <c r="U7" s="2" t="s">
        <v>60</v>
      </c>
    </row>
    <row r="8" spans="2:23" ht="15.75" thickBot="1">
      <c r="B8" s="20"/>
      <c r="C8" s="188"/>
      <c r="D8" s="189"/>
      <c r="E8" s="11"/>
      <c r="F8" s="4"/>
      <c r="G8" s="19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T8" s="27"/>
      <c r="U8" s="29" t="s">
        <v>24</v>
      </c>
      <c r="V8" s="30" t="s">
        <v>25</v>
      </c>
    </row>
    <row r="9" spans="2:23" ht="15.75" thickBot="1">
      <c r="B9" s="20"/>
      <c r="C9" s="188"/>
      <c r="D9" s="189"/>
      <c r="E9" s="11"/>
      <c r="F9" s="4"/>
      <c r="G9" s="19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T9" s="27"/>
      <c r="U9" s="31" t="s">
        <v>26</v>
      </c>
      <c r="V9" s="32" t="s">
        <v>27</v>
      </c>
    </row>
    <row r="10" spans="2:23" ht="15.75" thickBot="1">
      <c r="B10" s="18"/>
      <c r="C10" s="8"/>
      <c r="D10" s="8"/>
      <c r="E10" s="10"/>
      <c r="F10" s="4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T10" s="27"/>
      <c r="U10" s="31" t="s">
        <v>28</v>
      </c>
      <c r="V10" s="32" t="s">
        <v>29</v>
      </c>
    </row>
    <row r="11" spans="2:23" ht="15.75" thickBot="1">
      <c r="B11" s="18"/>
      <c r="C11" s="14"/>
      <c r="D11" s="14"/>
      <c r="E11" s="13"/>
      <c r="F11" s="13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T11" s="27"/>
      <c r="U11" s="31" t="s">
        <v>30</v>
      </c>
      <c r="V11" s="32" t="s">
        <v>31</v>
      </c>
    </row>
    <row r="12" spans="2:23">
      <c r="B12" s="18"/>
      <c r="C12" s="187"/>
      <c r="D12" s="189"/>
      <c r="E12" s="11"/>
      <c r="F12" s="19"/>
      <c r="G12" s="190"/>
      <c r="H12" s="36"/>
      <c r="I12" s="36"/>
      <c r="J12" s="36"/>
      <c r="K12" s="36"/>
      <c r="L12" s="36"/>
      <c r="M12" s="6"/>
      <c r="N12" s="6"/>
      <c r="O12" s="6"/>
      <c r="P12" s="6"/>
      <c r="Q12" s="6"/>
      <c r="R12" s="6"/>
      <c r="T12" s="27"/>
    </row>
    <row r="13" spans="2:23">
      <c r="B13" s="18"/>
      <c r="C13" s="188"/>
      <c r="D13" s="189"/>
      <c r="E13" s="11"/>
      <c r="F13" s="19"/>
      <c r="G13" s="191"/>
      <c r="H13" s="36"/>
      <c r="I13" s="36"/>
      <c r="J13" s="36"/>
      <c r="K13" s="36"/>
      <c r="L13" s="36"/>
      <c r="M13" s="6"/>
      <c r="N13" s="6"/>
      <c r="O13" s="6"/>
      <c r="P13" s="6"/>
      <c r="Q13" s="6"/>
      <c r="R13" s="6"/>
      <c r="T13" s="27"/>
    </row>
    <row r="14" spans="2:23">
      <c r="B14" s="18"/>
      <c r="C14" s="188"/>
      <c r="D14" s="189"/>
      <c r="E14" s="11"/>
      <c r="F14" s="4"/>
      <c r="G14" s="191"/>
      <c r="H14" s="36"/>
      <c r="I14" s="36"/>
      <c r="J14" s="36"/>
      <c r="K14" s="36"/>
      <c r="L14" s="36"/>
      <c r="M14" s="6"/>
      <c r="N14" s="6"/>
      <c r="O14" s="6"/>
      <c r="P14" s="6"/>
      <c r="Q14" s="6"/>
      <c r="R14" s="6"/>
      <c r="T14" s="27"/>
      <c r="U14" s="2" t="s">
        <v>35</v>
      </c>
    </row>
    <row r="15" spans="2:23">
      <c r="B15" s="18"/>
      <c r="C15" s="188"/>
      <c r="D15" s="189"/>
      <c r="E15" s="11"/>
      <c r="F15" s="4"/>
      <c r="G15" s="191"/>
      <c r="H15" s="36"/>
      <c r="I15" s="36"/>
      <c r="J15" s="36"/>
      <c r="K15" s="36"/>
      <c r="L15" s="36"/>
      <c r="M15" s="6"/>
      <c r="N15" s="6"/>
      <c r="O15" s="6"/>
      <c r="P15" s="6"/>
      <c r="Q15" s="6"/>
      <c r="R15" s="6"/>
      <c r="T15" s="27"/>
      <c r="U15" s="35" t="s">
        <v>61</v>
      </c>
    </row>
    <row r="16" spans="2:23">
      <c r="B16" s="18"/>
      <c r="C16" s="188"/>
      <c r="D16" s="189"/>
      <c r="E16" s="11"/>
      <c r="F16" s="4"/>
      <c r="G16" s="191"/>
      <c r="H16" s="36"/>
      <c r="I16" s="36"/>
      <c r="J16" s="36"/>
      <c r="K16" s="36"/>
      <c r="L16" s="36"/>
      <c r="M16" s="6"/>
      <c r="N16" s="6"/>
      <c r="O16" s="6"/>
      <c r="P16" s="6"/>
      <c r="Q16" s="6"/>
      <c r="R16" s="6"/>
      <c r="T16" s="27"/>
    </row>
    <row r="17" spans="2:24">
      <c r="B17" s="18"/>
      <c r="C17" s="188"/>
      <c r="D17" s="189"/>
      <c r="E17" s="11"/>
      <c r="F17" s="4"/>
      <c r="G17" s="191"/>
      <c r="H17" s="36"/>
      <c r="I17" s="36"/>
      <c r="J17" s="36"/>
      <c r="K17" s="36"/>
      <c r="L17" s="36"/>
      <c r="M17" s="6"/>
      <c r="N17" s="6"/>
      <c r="O17" s="6"/>
      <c r="P17" s="6"/>
      <c r="Q17" s="6"/>
      <c r="R17" s="6"/>
      <c r="T17" s="27"/>
    </row>
    <row r="18" spans="2:24">
      <c r="B18" s="18"/>
      <c r="C18" s="188"/>
      <c r="D18" s="189"/>
      <c r="E18" s="11"/>
      <c r="F18" s="4"/>
      <c r="G18" s="191"/>
      <c r="H18" s="36"/>
      <c r="I18" s="36"/>
      <c r="J18" s="36"/>
      <c r="K18" s="36"/>
      <c r="L18" s="36"/>
      <c r="M18" s="6"/>
      <c r="N18" s="6"/>
      <c r="O18" s="6"/>
      <c r="P18" s="6"/>
      <c r="Q18" s="6"/>
      <c r="R18" s="6"/>
    </row>
    <row r="19" spans="2:24">
      <c r="B19" s="18"/>
      <c r="C19" s="188"/>
      <c r="D19" s="189"/>
      <c r="E19" s="11"/>
      <c r="F19" s="4"/>
      <c r="G19" s="191"/>
      <c r="H19" s="36"/>
      <c r="I19" s="36"/>
      <c r="J19" s="36"/>
      <c r="K19" s="36"/>
      <c r="L19" s="36"/>
      <c r="M19" s="6"/>
      <c r="N19" s="6"/>
      <c r="O19" s="6"/>
      <c r="P19" s="6"/>
      <c r="Q19" s="6"/>
      <c r="R19" s="6"/>
    </row>
    <row r="20" spans="2:24">
      <c r="B20" s="18"/>
      <c r="C20" s="188"/>
      <c r="D20" s="189"/>
      <c r="E20" s="11"/>
      <c r="F20" s="4"/>
      <c r="G20" s="191"/>
      <c r="H20" s="36"/>
      <c r="I20" s="36"/>
      <c r="J20" s="36"/>
      <c r="K20" s="36"/>
      <c r="L20" s="36"/>
      <c r="M20" s="6"/>
      <c r="N20" s="6"/>
      <c r="O20" s="6"/>
      <c r="P20" s="6"/>
      <c r="Q20" s="6"/>
      <c r="R20" s="6"/>
    </row>
    <row r="21" spans="2:24">
      <c r="B21" s="18"/>
      <c r="C21" s="188"/>
      <c r="D21" s="189"/>
      <c r="E21" s="11"/>
      <c r="F21" s="19"/>
      <c r="G21" s="19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2:24">
      <c r="B22" s="18"/>
      <c r="C22" s="188"/>
      <c r="D22" s="189"/>
      <c r="E22" s="11"/>
      <c r="F22" s="19"/>
      <c r="G22" s="19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2:24">
      <c r="B23" s="18"/>
      <c r="C23" s="188"/>
      <c r="D23" s="189"/>
      <c r="E23" s="11"/>
      <c r="F23" s="4"/>
      <c r="G23" s="19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2:24">
      <c r="B24" s="18"/>
      <c r="C24" s="188"/>
      <c r="D24" s="189"/>
      <c r="E24" s="11"/>
      <c r="F24" s="4"/>
      <c r="G24" s="19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2:24">
      <c r="B25" s="18"/>
      <c r="C25" s="188"/>
      <c r="D25" s="189"/>
      <c r="E25" s="11"/>
      <c r="F25" s="4"/>
      <c r="G25" s="19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2:24">
      <c r="B26" s="18"/>
      <c r="C26" s="188"/>
      <c r="D26" s="189"/>
      <c r="E26" s="11"/>
      <c r="F26" s="4"/>
      <c r="G26" s="19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U26" s="2" t="s">
        <v>37</v>
      </c>
    </row>
    <row r="27" spans="2:24" s="12" customFormat="1">
      <c r="B27" s="18"/>
      <c r="C27" s="188"/>
      <c r="D27" s="189"/>
      <c r="E27" s="11"/>
      <c r="F27" s="4"/>
      <c r="G27" s="19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  <c r="T27" s="2"/>
      <c r="U27" s="2" t="s">
        <v>62</v>
      </c>
      <c r="V27" s="28">
        <f>SUM(R90:R97)</f>
        <v>16005</v>
      </c>
      <c r="W27" s="79">
        <f>V27*1.03</f>
        <v>16485.150000000001</v>
      </c>
      <c r="X27" s="2"/>
    </row>
    <row r="28" spans="2:24" s="12" customFormat="1">
      <c r="B28" s="18"/>
      <c r="C28" s="188"/>
      <c r="D28" s="189"/>
      <c r="E28" s="11"/>
      <c r="F28" s="4"/>
      <c r="G28" s="19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  <c r="T28" s="2"/>
      <c r="U28" s="2"/>
      <c r="V28" s="28"/>
      <c r="W28" s="79"/>
      <c r="X28" s="2"/>
    </row>
    <row r="29" spans="2:24" s="12" customFormat="1">
      <c r="B29" s="18"/>
      <c r="C29" s="188"/>
      <c r="D29" s="189"/>
      <c r="E29" s="11"/>
      <c r="F29" s="4"/>
      <c r="G29" s="19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  <c r="T29" s="2"/>
      <c r="U29" s="2"/>
      <c r="V29" s="28"/>
      <c r="W29" s="79"/>
      <c r="X29" s="2"/>
    </row>
    <row r="30" spans="2:24" s="12" customFormat="1">
      <c r="B30" s="18"/>
      <c r="C30" s="8"/>
      <c r="D30" s="8"/>
      <c r="E30" s="10"/>
      <c r="F30" s="4"/>
      <c r="G30" s="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  <c r="T30" s="2"/>
      <c r="U30" s="2"/>
      <c r="V30" s="28"/>
      <c r="W30" s="79"/>
      <c r="X30" s="2"/>
    </row>
    <row r="31" spans="2:24">
      <c r="B31" s="21"/>
      <c r="C31" s="14"/>
      <c r="D31" s="14"/>
      <c r="E31" s="13"/>
      <c r="F31" s="13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24">
      <c r="B32" s="18"/>
      <c r="C32" s="176"/>
      <c r="D32" s="178"/>
      <c r="E32" s="46"/>
      <c r="F32" s="47"/>
      <c r="G32" s="179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T32" s="27"/>
    </row>
    <row r="33" spans="2:24">
      <c r="B33" s="18"/>
      <c r="C33" s="177"/>
      <c r="D33" s="178"/>
      <c r="E33" s="46"/>
      <c r="F33" s="47"/>
      <c r="G33" s="180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T33" s="27"/>
    </row>
    <row r="34" spans="2:24">
      <c r="B34" s="18"/>
      <c r="C34" s="177"/>
      <c r="D34" s="178"/>
      <c r="E34" s="46"/>
      <c r="F34" s="49"/>
      <c r="G34" s="180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T34" s="27"/>
    </row>
    <row r="35" spans="2:24">
      <c r="B35" s="18"/>
      <c r="C35" s="177"/>
      <c r="D35" s="178"/>
      <c r="E35" s="46"/>
      <c r="F35" s="49"/>
      <c r="G35" s="180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T35" s="27"/>
      <c r="U35" s="35"/>
    </row>
    <row r="36" spans="2:24" s="12" customFormat="1">
      <c r="B36" s="18"/>
      <c r="C36" s="50"/>
      <c r="D36" s="50"/>
      <c r="E36" s="51"/>
      <c r="F36" s="49"/>
      <c r="G36" s="52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2"/>
      <c r="T36" s="2"/>
      <c r="U36" s="2"/>
      <c r="V36" s="2"/>
      <c r="W36" s="2"/>
      <c r="X36" s="2"/>
    </row>
    <row r="37" spans="2:24">
      <c r="B37" s="21"/>
      <c r="C37" s="53"/>
      <c r="D37" s="53"/>
      <c r="E37" s="49"/>
      <c r="F37" s="49"/>
      <c r="G37" s="5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2:24" hidden="1">
      <c r="B38" s="18"/>
      <c r="C38" s="181">
        <v>66801</v>
      </c>
      <c r="D38" s="183" t="s">
        <v>32</v>
      </c>
      <c r="E38" s="37">
        <v>517199</v>
      </c>
      <c r="F38" s="38" t="s">
        <v>16</v>
      </c>
      <c r="G38" s="172">
        <v>44175</v>
      </c>
      <c r="H38" s="39"/>
      <c r="I38" s="39">
        <v>120</v>
      </c>
      <c r="J38" s="39">
        <v>120</v>
      </c>
      <c r="K38" s="39">
        <v>60</v>
      </c>
      <c r="L38" s="39">
        <v>60</v>
      </c>
      <c r="M38" s="39"/>
      <c r="N38" s="39"/>
      <c r="O38" s="39"/>
      <c r="P38" s="39"/>
      <c r="Q38" s="39"/>
      <c r="R38" s="39">
        <f>SUM(H38:Q38)</f>
        <v>360</v>
      </c>
      <c r="T38" s="27"/>
    </row>
    <row r="39" spans="2:24" hidden="1">
      <c r="B39" s="18"/>
      <c r="C39" s="182"/>
      <c r="D39" s="183"/>
      <c r="E39" s="37">
        <v>517199</v>
      </c>
      <c r="F39" s="38" t="s">
        <v>22</v>
      </c>
      <c r="G39" s="173"/>
      <c r="H39" s="39"/>
      <c r="I39" s="39">
        <v>104</v>
      </c>
      <c r="J39" s="39">
        <v>104</v>
      </c>
      <c r="K39" s="39">
        <v>52</v>
      </c>
      <c r="L39" s="39">
        <v>52</v>
      </c>
      <c r="M39" s="39"/>
      <c r="N39" s="39"/>
      <c r="O39" s="39"/>
      <c r="P39" s="39"/>
      <c r="Q39" s="39"/>
      <c r="R39" s="39">
        <f t="shared" ref="R39:R41" si="0">SUM(H39:Q39)</f>
        <v>312</v>
      </c>
      <c r="T39" s="27"/>
    </row>
    <row r="40" spans="2:24" hidden="1">
      <c r="B40" s="18"/>
      <c r="C40" s="182"/>
      <c r="D40" s="183"/>
      <c r="E40" s="37">
        <v>517199</v>
      </c>
      <c r="F40" s="40" t="s">
        <v>17</v>
      </c>
      <c r="G40" s="173"/>
      <c r="H40" s="39"/>
      <c r="I40" s="39">
        <v>216</v>
      </c>
      <c r="J40" s="39">
        <v>216</v>
      </c>
      <c r="K40" s="39">
        <v>108</v>
      </c>
      <c r="L40" s="39">
        <v>108</v>
      </c>
      <c r="M40" s="39"/>
      <c r="N40" s="39"/>
      <c r="O40" s="39"/>
      <c r="P40" s="39"/>
      <c r="Q40" s="39"/>
      <c r="R40" s="39">
        <f t="shared" si="0"/>
        <v>648</v>
      </c>
      <c r="T40" s="27"/>
    </row>
    <row r="41" spans="2:24" hidden="1">
      <c r="B41" s="18"/>
      <c r="C41" s="182"/>
      <c r="D41" s="183"/>
      <c r="E41" s="37">
        <v>517199</v>
      </c>
      <c r="F41" s="40" t="s">
        <v>21</v>
      </c>
      <c r="G41" s="173"/>
      <c r="H41" s="39"/>
      <c r="I41" s="39">
        <v>92</v>
      </c>
      <c r="J41" s="39">
        <v>92</v>
      </c>
      <c r="K41" s="39">
        <v>46</v>
      </c>
      <c r="L41" s="39">
        <v>46</v>
      </c>
      <c r="M41" s="39"/>
      <c r="N41" s="39"/>
      <c r="O41" s="39"/>
      <c r="P41" s="39"/>
      <c r="Q41" s="39"/>
      <c r="R41" s="39">
        <f t="shared" si="0"/>
        <v>276</v>
      </c>
      <c r="T41" s="27"/>
      <c r="U41" s="35"/>
    </row>
    <row r="42" spans="2:24" s="12" customFormat="1" hidden="1">
      <c r="B42" s="18"/>
      <c r="C42" s="41"/>
      <c r="D42" s="41"/>
      <c r="E42" s="42"/>
      <c r="F42" s="40"/>
      <c r="G42" s="43" t="s">
        <v>10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2"/>
      <c r="T42" s="2"/>
      <c r="U42" s="2"/>
      <c r="V42" s="2"/>
      <c r="W42" s="2"/>
      <c r="X42" s="2"/>
    </row>
    <row r="43" spans="2:24" hidden="1">
      <c r="B43" s="21"/>
      <c r="C43" s="44" t="s">
        <v>11</v>
      </c>
      <c r="D43" s="44"/>
      <c r="E43" s="40" t="s">
        <v>9</v>
      </c>
      <c r="F43" s="40"/>
      <c r="G43" s="43" t="s">
        <v>12</v>
      </c>
      <c r="H43" s="39">
        <f t="shared" ref="H43:R43" si="1">SUM(H38:H42)</f>
        <v>0</v>
      </c>
      <c r="I43" s="39">
        <f t="shared" si="1"/>
        <v>532</v>
      </c>
      <c r="J43" s="39">
        <f t="shared" si="1"/>
        <v>532</v>
      </c>
      <c r="K43" s="39">
        <f t="shared" si="1"/>
        <v>266</v>
      </c>
      <c r="L43" s="39">
        <f t="shared" si="1"/>
        <v>266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0</v>
      </c>
      <c r="Q43" s="39">
        <f t="shared" si="1"/>
        <v>0</v>
      </c>
      <c r="R43" s="39">
        <f t="shared" si="1"/>
        <v>1596</v>
      </c>
    </row>
    <row r="44" spans="2:24" hidden="1">
      <c r="B44" s="18"/>
      <c r="C44" s="181">
        <v>66806</v>
      </c>
      <c r="D44" s="183" t="s">
        <v>32</v>
      </c>
      <c r="E44" s="37">
        <v>517199</v>
      </c>
      <c r="F44" s="38" t="s">
        <v>16</v>
      </c>
      <c r="G44" s="172">
        <v>44175</v>
      </c>
      <c r="H44" s="39"/>
      <c r="I44" s="39">
        <v>52</v>
      </c>
      <c r="J44" s="39">
        <v>52</v>
      </c>
      <c r="K44" s="39">
        <v>26</v>
      </c>
      <c r="L44" s="39">
        <v>26</v>
      </c>
      <c r="M44" s="39"/>
      <c r="N44" s="39"/>
      <c r="O44" s="39"/>
      <c r="P44" s="39"/>
      <c r="Q44" s="39"/>
      <c r="R44" s="39">
        <f>SUM(H44:Q44)</f>
        <v>156</v>
      </c>
      <c r="T44" s="27"/>
    </row>
    <row r="45" spans="2:24" hidden="1">
      <c r="B45" s="18"/>
      <c r="C45" s="182"/>
      <c r="D45" s="183"/>
      <c r="E45" s="37">
        <v>517199</v>
      </c>
      <c r="F45" s="38" t="s">
        <v>22</v>
      </c>
      <c r="G45" s="173"/>
      <c r="H45" s="39"/>
      <c r="I45" s="39">
        <v>46</v>
      </c>
      <c r="J45" s="39">
        <v>46</v>
      </c>
      <c r="K45" s="39">
        <v>23</v>
      </c>
      <c r="L45" s="39">
        <v>23</v>
      </c>
      <c r="M45" s="39"/>
      <c r="N45" s="39"/>
      <c r="O45" s="39"/>
      <c r="P45" s="39"/>
      <c r="Q45" s="39"/>
      <c r="R45" s="39">
        <f t="shared" ref="R45:R47" si="2">SUM(H45:Q45)</f>
        <v>138</v>
      </c>
      <c r="T45" s="27"/>
    </row>
    <row r="46" spans="2:24" hidden="1">
      <c r="B46" s="18"/>
      <c r="C46" s="182"/>
      <c r="D46" s="183"/>
      <c r="E46" s="37">
        <v>517199</v>
      </c>
      <c r="F46" s="40" t="s">
        <v>17</v>
      </c>
      <c r="G46" s="173"/>
      <c r="H46" s="39"/>
      <c r="I46" s="39">
        <v>94</v>
      </c>
      <c r="J46" s="39">
        <v>94</v>
      </c>
      <c r="K46" s="39">
        <v>47</v>
      </c>
      <c r="L46" s="39">
        <v>47</v>
      </c>
      <c r="M46" s="39"/>
      <c r="N46" s="39"/>
      <c r="O46" s="39"/>
      <c r="P46" s="39"/>
      <c r="Q46" s="39"/>
      <c r="R46" s="39">
        <f t="shared" si="2"/>
        <v>282</v>
      </c>
      <c r="T46" s="27"/>
    </row>
    <row r="47" spans="2:24" hidden="1">
      <c r="B47" s="18"/>
      <c r="C47" s="182"/>
      <c r="D47" s="183"/>
      <c r="E47" s="37">
        <v>517199</v>
      </c>
      <c r="F47" s="40" t="s">
        <v>21</v>
      </c>
      <c r="G47" s="173"/>
      <c r="H47" s="39"/>
      <c r="I47" s="39">
        <v>40</v>
      </c>
      <c r="J47" s="39">
        <v>40</v>
      </c>
      <c r="K47" s="39">
        <v>20</v>
      </c>
      <c r="L47" s="39">
        <v>20</v>
      </c>
      <c r="M47" s="39"/>
      <c r="N47" s="39"/>
      <c r="O47" s="39"/>
      <c r="P47" s="39"/>
      <c r="Q47" s="39"/>
      <c r="R47" s="39">
        <f t="shared" si="2"/>
        <v>120</v>
      </c>
      <c r="T47" s="27"/>
      <c r="U47" s="35"/>
    </row>
    <row r="48" spans="2:24" s="12" customFormat="1" hidden="1">
      <c r="B48" s="18"/>
      <c r="C48" s="41"/>
      <c r="D48" s="41"/>
      <c r="E48" s="42"/>
      <c r="F48" s="40"/>
      <c r="G48" s="43" t="s">
        <v>10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"/>
      <c r="T48" s="2"/>
      <c r="U48" s="2"/>
      <c r="V48" s="2"/>
      <c r="W48" s="2"/>
      <c r="X48" s="2"/>
    </row>
    <row r="49" spans="2:24" hidden="1">
      <c r="B49" s="21"/>
      <c r="C49" s="44" t="s">
        <v>11</v>
      </c>
      <c r="D49" s="44"/>
      <c r="E49" s="40" t="s">
        <v>9</v>
      </c>
      <c r="F49" s="40"/>
      <c r="G49" s="43" t="s">
        <v>12</v>
      </c>
      <c r="H49" s="39">
        <f t="shared" ref="H49:R49" si="3">SUM(H44:H48)</f>
        <v>0</v>
      </c>
      <c r="I49" s="39">
        <f t="shared" si="3"/>
        <v>232</v>
      </c>
      <c r="J49" s="39">
        <f t="shared" si="3"/>
        <v>232</v>
      </c>
      <c r="K49" s="39">
        <f t="shared" si="3"/>
        <v>116</v>
      </c>
      <c r="L49" s="39">
        <f t="shared" si="3"/>
        <v>116</v>
      </c>
      <c r="M49" s="39">
        <f t="shared" si="3"/>
        <v>0</v>
      </c>
      <c r="N49" s="39">
        <f t="shared" si="3"/>
        <v>0</v>
      </c>
      <c r="O49" s="39">
        <f t="shared" si="3"/>
        <v>0</v>
      </c>
      <c r="P49" s="39">
        <f t="shared" si="3"/>
        <v>0</v>
      </c>
      <c r="Q49" s="39">
        <f t="shared" si="3"/>
        <v>0</v>
      </c>
      <c r="R49" s="39">
        <f t="shared" si="3"/>
        <v>696</v>
      </c>
    </row>
    <row r="50" spans="2:24" hidden="1">
      <c r="B50" s="18"/>
      <c r="C50" s="181">
        <v>66807</v>
      </c>
      <c r="D50" s="183" t="s">
        <v>32</v>
      </c>
      <c r="E50" s="37">
        <v>517199</v>
      </c>
      <c r="F50" s="38" t="s">
        <v>16</v>
      </c>
      <c r="G50" s="172">
        <v>44175</v>
      </c>
      <c r="H50" s="39"/>
      <c r="I50" s="39">
        <v>52</v>
      </c>
      <c r="J50" s="39">
        <v>52</v>
      </c>
      <c r="K50" s="39">
        <v>26</v>
      </c>
      <c r="L50" s="39">
        <v>26</v>
      </c>
      <c r="M50" s="39"/>
      <c r="N50" s="39"/>
      <c r="O50" s="39"/>
      <c r="P50" s="39"/>
      <c r="Q50" s="39"/>
      <c r="R50" s="39">
        <f>SUM(H50:Q50)</f>
        <v>156</v>
      </c>
      <c r="T50" s="27"/>
    </row>
    <row r="51" spans="2:24" hidden="1">
      <c r="B51" s="18"/>
      <c r="C51" s="182"/>
      <c r="D51" s="183"/>
      <c r="E51" s="37">
        <v>517199</v>
      </c>
      <c r="F51" s="38" t="s">
        <v>22</v>
      </c>
      <c r="G51" s="173"/>
      <c r="H51" s="39"/>
      <c r="I51" s="39">
        <v>46</v>
      </c>
      <c r="J51" s="39">
        <v>46</v>
      </c>
      <c r="K51" s="39">
        <v>23</v>
      </c>
      <c r="L51" s="39">
        <v>23</v>
      </c>
      <c r="M51" s="39"/>
      <c r="N51" s="39"/>
      <c r="O51" s="39"/>
      <c r="P51" s="39"/>
      <c r="Q51" s="39"/>
      <c r="R51" s="39">
        <f t="shared" ref="R51:R53" si="4">SUM(H51:Q51)</f>
        <v>138</v>
      </c>
      <c r="T51" s="27"/>
    </row>
    <row r="52" spans="2:24" hidden="1">
      <c r="B52" s="18"/>
      <c r="C52" s="182"/>
      <c r="D52" s="183"/>
      <c r="E52" s="37">
        <v>517199</v>
      </c>
      <c r="F52" s="40" t="s">
        <v>17</v>
      </c>
      <c r="G52" s="173"/>
      <c r="H52" s="39"/>
      <c r="I52" s="39">
        <v>94</v>
      </c>
      <c r="J52" s="39">
        <v>94</v>
      </c>
      <c r="K52" s="39">
        <v>47</v>
      </c>
      <c r="L52" s="39">
        <v>47</v>
      </c>
      <c r="M52" s="39"/>
      <c r="N52" s="39"/>
      <c r="O52" s="39"/>
      <c r="P52" s="39"/>
      <c r="Q52" s="39"/>
      <c r="R52" s="39">
        <f t="shared" si="4"/>
        <v>282</v>
      </c>
      <c r="T52" s="27"/>
    </row>
    <row r="53" spans="2:24" hidden="1">
      <c r="B53" s="18"/>
      <c r="C53" s="182"/>
      <c r="D53" s="183"/>
      <c r="E53" s="37">
        <v>517199</v>
      </c>
      <c r="F53" s="40" t="s">
        <v>21</v>
      </c>
      <c r="G53" s="173"/>
      <c r="H53" s="39"/>
      <c r="I53" s="39">
        <v>40</v>
      </c>
      <c r="J53" s="39">
        <v>40</v>
      </c>
      <c r="K53" s="39">
        <v>20</v>
      </c>
      <c r="L53" s="39">
        <v>20</v>
      </c>
      <c r="M53" s="39"/>
      <c r="N53" s="39"/>
      <c r="O53" s="39"/>
      <c r="P53" s="39"/>
      <c r="Q53" s="39"/>
      <c r="R53" s="39">
        <f t="shared" si="4"/>
        <v>120</v>
      </c>
      <c r="T53" s="27"/>
      <c r="U53" s="35"/>
    </row>
    <row r="54" spans="2:24" s="12" customFormat="1" hidden="1">
      <c r="B54" s="18"/>
      <c r="C54" s="41"/>
      <c r="D54" s="41"/>
      <c r="E54" s="42"/>
      <c r="F54" s="40"/>
      <c r="G54" s="43" t="s">
        <v>10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"/>
      <c r="T54" s="2"/>
      <c r="U54" s="2"/>
      <c r="V54" s="2"/>
      <c r="W54" s="2"/>
      <c r="X54" s="2"/>
    </row>
    <row r="55" spans="2:24" hidden="1">
      <c r="B55" s="21"/>
      <c r="C55" s="44" t="s">
        <v>11</v>
      </c>
      <c r="D55" s="44"/>
      <c r="E55" s="40" t="s">
        <v>9</v>
      </c>
      <c r="F55" s="40"/>
      <c r="G55" s="43" t="s">
        <v>12</v>
      </c>
      <c r="H55" s="39">
        <f t="shared" ref="H55:R55" si="5">SUM(H50:H54)</f>
        <v>0</v>
      </c>
      <c r="I55" s="39">
        <f t="shared" si="5"/>
        <v>232</v>
      </c>
      <c r="J55" s="39">
        <f t="shared" si="5"/>
        <v>232</v>
      </c>
      <c r="K55" s="39">
        <f t="shared" si="5"/>
        <v>116</v>
      </c>
      <c r="L55" s="39">
        <f t="shared" si="5"/>
        <v>116</v>
      </c>
      <c r="M55" s="39">
        <f t="shared" si="5"/>
        <v>0</v>
      </c>
      <c r="N55" s="39">
        <f t="shared" si="5"/>
        <v>0</v>
      </c>
      <c r="O55" s="39">
        <f t="shared" si="5"/>
        <v>0</v>
      </c>
      <c r="P55" s="39">
        <f t="shared" si="5"/>
        <v>0</v>
      </c>
      <c r="Q55" s="39">
        <f t="shared" si="5"/>
        <v>0</v>
      </c>
      <c r="R55" s="39">
        <f t="shared" si="5"/>
        <v>696</v>
      </c>
    </row>
    <row r="56" spans="2:24" hidden="1">
      <c r="B56" s="18"/>
      <c r="C56" s="181">
        <v>66847</v>
      </c>
      <c r="D56" s="183" t="s">
        <v>32</v>
      </c>
      <c r="E56" s="37">
        <v>517199</v>
      </c>
      <c r="F56" s="38" t="s">
        <v>16</v>
      </c>
      <c r="G56" s="172">
        <v>44175</v>
      </c>
      <c r="H56" s="39">
        <v>100</v>
      </c>
      <c r="I56" s="39">
        <v>200</v>
      </c>
      <c r="J56" s="39">
        <v>200</v>
      </c>
      <c r="K56" s="39">
        <v>200</v>
      </c>
      <c r="L56" s="39">
        <v>100</v>
      </c>
      <c r="M56" s="39"/>
      <c r="N56" s="39"/>
      <c r="O56" s="39"/>
      <c r="P56" s="39"/>
      <c r="Q56" s="39"/>
      <c r="R56" s="39">
        <f>SUM(H56:Q56)</f>
        <v>800</v>
      </c>
      <c r="T56" s="27"/>
    </row>
    <row r="57" spans="2:24" hidden="1">
      <c r="B57" s="18"/>
      <c r="C57" s="182"/>
      <c r="D57" s="183"/>
      <c r="E57" s="37">
        <v>517199</v>
      </c>
      <c r="F57" s="38" t="s">
        <v>22</v>
      </c>
      <c r="G57" s="173"/>
      <c r="H57" s="39">
        <v>100</v>
      </c>
      <c r="I57" s="39">
        <v>200</v>
      </c>
      <c r="J57" s="39">
        <v>200</v>
      </c>
      <c r="K57" s="39">
        <v>200</v>
      </c>
      <c r="L57" s="39">
        <v>100</v>
      </c>
      <c r="M57" s="39"/>
      <c r="N57" s="39"/>
      <c r="O57" s="39"/>
      <c r="P57" s="39"/>
      <c r="Q57" s="39"/>
      <c r="R57" s="39">
        <f t="shared" ref="R57:R59" si="6">SUM(H57:Q57)</f>
        <v>800</v>
      </c>
      <c r="T57" s="27"/>
    </row>
    <row r="58" spans="2:24" hidden="1">
      <c r="B58" s="18"/>
      <c r="C58" s="182"/>
      <c r="D58" s="183"/>
      <c r="E58" s="37">
        <v>517199</v>
      </c>
      <c r="F58" s="40" t="s">
        <v>17</v>
      </c>
      <c r="G58" s="173"/>
      <c r="H58" s="39">
        <v>100</v>
      </c>
      <c r="I58" s="39">
        <v>200</v>
      </c>
      <c r="J58" s="39">
        <v>200</v>
      </c>
      <c r="K58" s="39">
        <v>200</v>
      </c>
      <c r="L58" s="39">
        <v>100</v>
      </c>
      <c r="M58" s="39"/>
      <c r="N58" s="39"/>
      <c r="O58" s="39"/>
      <c r="P58" s="39"/>
      <c r="Q58" s="39"/>
      <c r="R58" s="39">
        <f t="shared" si="6"/>
        <v>800</v>
      </c>
      <c r="T58" s="27"/>
    </row>
    <row r="59" spans="2:24" hidden="1">
      <c r="B59" s="18"/>
      <c r="C59" s="182"/>
      <c r="D59" s="183"/>
      <c r="E59" s="37">
        <v>517199</v>
      </c>
      <c r="F59" s="40" t="s">
        <v>21</v>
      </c>
      <c r="G59" s="173"/>
      <c r="H59" s="39">
        <v>100</v>
      </c>
      <c r="I59" s="39">
        <v>200</v>
      </c>
      <c r="J59" s="39">
        <v>200</v>
      </c>
      <c r="K59" s="39">
        <v>200</v>
      </c>
      <c r="L59" s="39">
        <v>100</v>
      </c>
      <c r="M59" s="39"/>
      <c r="N59" s="39"/>
      <c r="O59" s="39"/>
      <c r="P59" s="39"/>
      <c r="Q59" s="39"/>
      <c r="R59" s="39">
        <f t="shared" si="6"/>
        <v>800</v>
      </c>
      <c r="T59" s="27"/>
      <c r="U59" s="35"/>
    </row>
    <row r="60" spans="2:24" s="12" customFormat="1" hidden="1">
      <c r="B60" s="18"/>
      <c r="C60" s="41"/>
      <c r="D60" s="41"/>
      <c r="E60" s="42"/>
      <c r="F60" s="40"/>
      <c r="G60" s="43" t="s">
        <v>10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2"/>
      <c r="T60" s="2"/>
      <c r="U60" s="2"/>
      <c r="V60" s="2"/>
      <c r="W60" s="2"/>
      <c r="X60" s="2"/>
    </row>
    <row r="61" spans="2:24" hidden="1">
      <c r="B61" s="21"/>
      <c r="C61" s="44" t="s">
        <v>11</v>
      </c>
      <c r="D61" s="44"/>
      <c r="E61" s="40" t="s">
        <v>9</v>
      </c>
      <c r="F61" s="40"/>
      <c r="G61" s="43" t="s">
        <v>12</v>
      </c>
      <c r="H61" s="39">
        <f t="shared" ref="H61:R61" si="7">SUM(H56:H60)</f>
        <v>400</v>
      </c>
      <c r="I61" s="39">
        <f t="shared" si="7"/>
        <v>800</v>
      </c>
      <c r="J61" s="39">
        <f t="shared" si="7"/>
        <v>800</v>
      </c>
      <c r="K61" s="39">
        <f t="shared" si="7"/>
        <v>800</v>
      </c>
      <c r="L61" s="39">
        <f t="shared" si="7"/>
        <v>400</v>
      </c>
      <c r="M61" s="39">
        <f t="shared" si="7"/>
        <v>0</v>
      </c>
      <c r="N61" s="39">
        <f t="shared" si="7"/>
        <v>0</v>
      </c>
      <c r="O61" s="39">
        <f t="shared" si="7"/>
        <v>0</v>
      </c>
      <c r="P61" s="39">
        <f t="shared" si="7"/>
        <v>0</v>
      </c>
      <c r="Q61" s="39">
        <f t="shared" si="7"/>
        <v>0</v>
      </c>
      <c r="R61" s="39">
        <f t="shared" si="7"/>
        <v>3200</v>
      </c>
    </row>
    <row r="62" spans="2:24" hidden="1">
      <c r="B62" s="18"/>
      <c r="C62" s="181">
        <v>66844</v>
      </c>
      <c r="D62" s="183" t="s">
        <v>32</v>
      </c>
      <c r="E62" s="37">
        <v>517199</v>
      </c>
      <c r="F62" s="38" t="s">
        <v>16</v>
      </c>
      <c r="G62" s="172">
        <v>44175</v>
      </c>
      <c r="H62" s="39">
        <v>50</v>
      </c>
      <c r="I62" s="39">
        <v>100</v>
      </c>
      <c r="J62" s="39">
        <v>100</v>
      </c>
      <c r="K62" s="39">
        <v>100</v>
      </c>
      <c r="L62" s="39">
        <v>50</v>
      </c>
      <c r="M62" s="39"/>
      <c r="N62" s="39"/>
      <c r="O62" s="39"/>
      <c r="P62" s="39"/>
      <c r="Q62" s="39"/>
      <c r="R62" s="39">
        <f>SUM(H62:Q62)</f>
        <v>400</v>
      </c>
      <c r="T62" s="27"/>
    </row>
    <row r="63" spans="2:24" hidden="1">
      <c r="B63" s="18"/>
      <c r="C63" s="182"/>
      <c r="D63" s="183"/>
      <c r="E63" s="37">
        <v>517199</v>
      </c>
      <c r="F63" s="38" t="s">
        <v>22</v>
      </c>
      <c r="G63" s="173"/>
      <c r="H63" s="39">
        <v>50</v>
      </c>
      <c r="I63" s="39">
        <v>100</v>
      </c>
      <c r="J63" s="39">
        <v>100</v>
      </c>
      <c r="K63" s="39">
        <v>100</v>
      </c>
      <c r="L63" s="39">
        <v>50</v>
      </c>
      <c r="M63" s="39"/>
      <c r="N63" s="39"/>
      <c r="O63" s="39"/>
      <c r="P63" s="39"/>
      <c r="Q63" s="39"/>
      <c r="R63" s="39">
        <f t="shared" ref="R63:R65" si="8">SUM(H63:Q63)</f>
        <v>400</v>
      </c>
      <c r="T63" s="27"/>
    </row>
    <row r="64" spans="2:24" hidden="1">
      <c r="B64" s="18"/>
      <c r="C64" s="182"/>
      <c r="D64" s="183"/>
      <c r="E64" s="37">
        <v>517199</v>
      </c>
      <c r="F64" s="40" t="s">
        <v>17</v>
      </c>
      <c r="G64" s="173"/>
      <c r="H64" s="39">
        <v>50</v>
      </c>
      <c r="I64" s="39">
        <v>100</v>
      </c>
      <c r="J64" s="39">
        <v>100</v>
      </c>
      <c r="K64" s="39">
        <v>100</v>
      </c>
      <c r="L64" s="39">
        <v>50</v>
      </c>
      <c r="M64" s="39"/>
      <c r="N64" s="39"/>
      <c r="O64" s="39"/>
      <c r="P64" s="39"/>
      <c r="Q64" s="39"/>
      <c r="R64" s="39">
        <f t="shared" si="8"/>
        <v>400</v>
      </c>
      <c r="T64" s="27"/>
    </row>
    <row r="65" spans="2:24" hidden="1">
      <c r="B65" s="18"/>
      <c r="C65" s="182"/>
      <c r="D65" s="183"/>
      <c r="E65" s="37">
        <v>517199</v>
      </c>
      <c r="F65" s="40" t="s">
        <v>21</v>
      </c>
      <c r="G65" s="173"/>
      <c r="H65" s="39">
        <v>50</v>
      </c>
      <c r="I65" s="39">
        <v>100</v>
      </c>
      <c r="J65" s="39">
        <v>100</v>
      </c>
      <c r="K65" s="39">
        <v>100</v>
      </c>
      <c r="L65" s="39">
        <v>50</v>
      </c>
      <c r="M65" s="39"/>
      <c r="N65" s="39"/>
      <c r="O65" s="39"/>
      <c r="P65" s="39"/>
      <c r="Q65" s="39"/>
      <c r="R65" s="39">
        <f t="shared" si="8"/>
        <v>400</v>
      </c>
      <c r="T65" s="27"/>
      <c r="U65" s="35"/>
    </row>
    <row r="66" spans="2:24" s="12" customFormat="1" hidden="1">
      <c r="B66" s="18"/>
      <c r="C66" s="41"/>
      <c r="D66" s="41"/>
      <c r="E66" s="42"/>
      <c r="F66" s="40"/>
      <c r="G66" s="43" t="s">
        <v>10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2"/>
      <c r="T66" s="2"/>
      <c r="U66" s="2"/>
      <c r="V66" s="2"/>
      <c r="W66" s="2"/>
      <c r="X66" s="2"/>
    </row>
    <row r="67" spans="2:24" hidden="1">
      <c r="B67" s="21"/>
      <c r="C67" s="44" t="s">
        <v>11</v>
      </c>
      <c r="D67" s="44"/>
      <c r="E67" s="40" t="s">
        <v>9</v>
      </c>
      <c r="F67" s="40"/>
      <c r="G67" s="43" t="s">
        <v>12</v>
      </c>
      <c r="H67" s="39">
        <f t="shared" ref="H67:R67" si="9">SUM(H62:H66)</f>
        <v>200</v>
      </c>
      <c r="I67" s="39">
        <f t="shared" si="9"/>
        <v>400</v>
      </c>
      <c r="J67" s="39">
        <f t="shared" si="9"/>
        <v>400</v>
      </c>
      <c r="K67" s="39">
        <f t="shared" si="9"/>
        <v>400</v>
      </c>
      <c r="L67" s="39">
        <f t="shared" si="9"/>
        <v>200</v>
      </c>
      <c r="M67" s="39">
        <f t="shared" si="9"/>
        <v>0</v>
      </c>
      <c r="N67" s="39">
        <f t="shared" si="9"/>
        <v>0</v>
      </c>
      <c r="O67" s="39">
        <f t="shared" si="9"/>
        <v>0</v>
      </c>
      <c r="P67" s="39">
        <f t="shared" si="9"/>
        <v>0</v>
      </c>
      <c r="Q67" s="39">
        <f t="shared" si="9"/>
        <v>0</v>
      </c>
      <c r="R67" s="39">
        <f t="shared" si="9"/>
        <v>1600</v>
      </c>
    </row>
    <row r="68" spans="2:24" hidden="1">
      <c r="B68" s="18"/>
      <c r="C68" s="181">
        <v>66726</v>
      </c>
      <c r="D68" s="183" t="s">
        <v>32</v>
      </c>
      <c r="E68" s="37">
        <v>517199</v>
      </c>
      <c r="F68" s="38" t="s">
        <v>16</v>
      </c>
      <c r="G68" s="172">
        <v>44175</v>
      </c>
      <c r="H68" s="39">
        <v>12</v>
      </c>
      <c r="I68" s="39">
        <v>36</v>
      </c>
      <c r="J68" s="39">
        <v>60</v>
      </c>
      <c r="K68" s="39">
        <v>30</v>
      </c>
      <c r="L68" s="39">
        <v>18</v>
      </c>
      <c r="M68" s="39"/>
      <c r="N68" s="39"/>
      <c r="O68" s="39"/>
      <c r="P68" s="39"/>
      <c r="Q68" s="39"/>
      <c r="R68" s="39">
        <f>SUM(H68:Q68)</f>
        <v>156</v>
      </c>
      <c r="T68" s="27"/>
    </row>
    <row r="69" spans="2:24" hidden="1">
      <c r="B69" s="18"/>
      <c r="C69" s="182"/>
      <c r="D69" s="183"/>
      <c r="E69" s="37">
        <v>517199</v>
      </c>
      <c r="F69" s="38" t="s">
        <v>22</v>
      </c>
      <c r="G69" s="173"/>
      <c r="H69" s="39">
        <v>6</v>
      </c>
      <c r="I69" s="39">
        <v>36</v>
      </c>
      <c r="J69" s="39">
        <v>48</v>
      </c>
      <c r="K69" s="39">
        <v>30</v>
      </c>
      <c r="L69" s="39">
        <v>18</v>
      </c>
      <c r="M69" s="39"/>
      <c r="N69" s="39"/>
      <c r="O69" s="39"/>
      <c r="P69" s="39"/>
      <c r="Q69" s="39"/>
      <c r="R69" s="39">
        <f t="shared" ref="R69:R71" si="10">SUM(H69:Q69)</f>
        <v>138</v>
      </c>
      <c r="T69" s="27"/>
    </row>
    <row r="70" spans="2:24" hidden="1">
      <c r="B70" s="18"/>
      <c r="C70" s="182"/>
      <c r="D70" s="183"/>
      <c r="E70" s="37">
        <v>517199</v>
      </c>
      <c r="F70" s="40" t="s">
        <v>17</v>
      </c>
      <c r="G70" s="173"/>
      <c r="H70" s="39">
        <v>18</v>
      </c>
      <c r="I70" s="39">
        <v>66</v>
      </c>
      <c r="J70" s="39">
        <v>102</v>
      </c>
      <c r="K70" s="39">
        <v>60</v>
      </c>
      <c r="L70" s="39">
        <v>36</v>
      </c>
      <c r="M70" s="39"/>
      <c r="N70" s="39"/>
      <c r="O70" s="39"/>
      <c r="P70" s="39"/>
      <c r="Q70" s="39"/>
      <c r="R70" s="39">
        <f t="shared" si="10"/>
        <v>282</v>
      </c>
      <c r="T70" s="27"/>
    </row>
    <row r="71" spans="2:24" hidden="1">
      <c r="B71" s="18"/>
      <c r="C71" s="182"/>
      <c r="D71" s="183"/>
      <c r="E71" s="37">
        <v>517199</v>
      </c>
      <c r="F71" s="40" t="s">
        <v>21</v>
      </c>
      <c r="G71" s="173"/>
      <c r="H71" s="39">
        <v>6</v>
      </c>
      <c r="I71" s="39">
        <v>30</v>
      </c>
      <c r="J71" s="39">
        <v>42</v>
      </c>
      <c r="K71" s="39">
        <v>18</v>
      </c>
      <c r="L71" s="39">
        <v>24</v>
      </c>
      <c r="M71" s="39"/>
      <c r="N71" s="39"/>
      <c r="O71" s="39"/>
      <c r="P71" s="39"/>
      <c r="Q71" s="39"/>
      <c r="R71" s="39">
        <f t="shared" si="10"/>
        <v>120</v>
      </c>
      <c r="T71" s="27"/>
      <c r="U71" s="35"/>
    </row>
    <row r="72" spans="2:24" s="12" customFormat="1" hidden="1">
      <c r="B72" s="18"/>
      <c r="C72" s="41"/>
      <c r="D72" s="41"/>
      <c r="E72" s="42"/>
      <c r="F72" s="40"/>
      <c r="G72" s="43" t="s">
        <v>10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2"/>
      <c r="T72" s="2"/>
      <c r="U72" s="2"/>
      <c r="V72" s="2"/>
      <c r="W72" s="2"/>
      <c r="X72" s="2"/>
    </row>
    <row r="73" spans="2:24" hidden="1">
      <c r="B73" s="21"/>
      <c r="C73" s="44" t="s">
        <v>11</v>
      </c>
      <c r="D73" s="44"/>
      <c r="E73" s="40" t="s">
        <v>9</v>
      </c>
      <c r="F73" s="40"/>
      <c r="G73" s="43" t="s">
        <v>12</v>
      </c>
      <c r="H73" s="39">
        <f t="shared" ref="H73:R73" si="11">SUM(H68:H72)</f>
        <v>42</v>
      </c>
      <c r="I73" s="39">
        <f t="shared" si="11"/>
        <v>168</v>
      </c>
      <c r="J73" s="39">
        <f t="shared" si="11"/>
        <v>252</v>
      </c>
      <c r="K73" s="39">
        <f t="shared" si="11"/>
        <v>138</v>
      </c>
      <c r="L73" s="39">
        <f t="shared" si="11"/>
        <v>96</v>
      </c>
      <c r="M73" s="39">
        <f t="shared" si="11"/>
        <v>0</v>
      </c>
      <c r="N73" s="39">
        <f t="shared" si="11"/>
        <v>0</v>
      </c>
      <c r="O73" s="39">
        <f t="shared" si="11"/>
        <v>0</v>
      </c>
      <c r="P73" s="39">
        <f t="shared" si="11"/>
        <v>0</v>
      </c>
      <c r="Q73" s="39">
        <f t="shared" si="11"/>
        <v>0</v>
      </c>
      <c r="R73" s="39">
        <f t="shared" si="11"/>
        <v>696</v>
      </c>
    </row>
    <row r="74" spans="2:24" ht="13.9" hidden="1" customHeight="1">
      <c r="B74" s="21"/>
      <c r="C74" s="181">
        <v>66724</v>
      </c>
      <c r="D74" s="183" t="s">
        <v>32</v>
      </c>
      <c r="E74" s="37">
        <v>517199</v>
      </c>
      <c r="F74" s="38" t="s">
        <v>16</v>
      </c>
      <c r="G74" s="172">
        <v>44175</v>
      </c>
      <c r="H74" s="39">
        <v>18</v>
      </c>
      <c r="I74" s="39">
        <v>66</v>
      </c>
      <c r="J74" s="39">
        <v>102</v>
      </c>
      <c r="K74" s="39">
        <v>54</v>
      </c>
      <c r="L74" s="39">
        <v>30</v>
      </c>
      <c r="M74" s="39"/>
      <c r="N74" s="39"/>
      <c r="O74" s="39"/>
      <c r="P74" s="39"/>
      <c r="Q74" s="39"/>
      <c r="R74" s="39">
        <f>SUM(H74:Q74)</f>
        <v>270</v>
      </c>
    </row>
    <row r="75" spans="2:24" hidden="1">
      <c r="B75" s="18"/>
      <c r="C75" s="182"/>
      <c r="D75" s="183"/>
      <c r="E75" s="37">
        <v>517199</v>
      </c>
      <c r="F75" s="38" t="s">
        <v>22</v>
      </c>
      <c r="G75" s="173"/>
      <c r="H75" s="39">
        <v>18</v>
      </c>
      <c r="I75" s="39">
        <v>54</v>
      </c>
      <c r="J75" s="39">
        <v>84</v>
      </c>
      <c r="K75" s="39">
        <v>48</v>
      </c>
      <c r="L75" s="39">
        <v>30</v>
      </c>
      <c r="M75" s="39"/>
      <c r="N75" s="39"/>
      <c r="O75" s="39"/>
      <c r="P75" s="39"/>
      <c r="Q75" s="39"/>
      <c r="R75" s="39">
        <f t="shared" ref="R75:R77" si="12">SUM(H75:Q75)</f>
        <v>234</v>
      </c>
      <c r="T75" s="27"/>
    </row>
    <row r="76" spans="2:24" hidden="1">
      <c r="B76" s="18"/>
      <c r="C76" s="182"/>
      <c r="D76" s="183"/>
      <c r="E76" s="37">
        <v>517199</v>
      </c>
      <c r="F76" s="40" t="s">
        <v>17</v>
      </c>
      <c r="G76" s="173"/>
      <c r="H76" s="39">
        <v>30</v>
      </c>
      <c r="I76" s="39">
        <v>114</v>
      </c>
      <c r="J76" s="39">
        <v>180</v>
      </c>
      <c r="K76" s="39">
        <v>102</v>
      </c>
      <c r="L76" s="39">
        <v>60</v>
      </c>
      <c r="M76" s="39"/>
      <c r="N76" s="39"/>
      <c r="O76" s="39"/>
      <c r="P76" s="39"/>
      <c r="Q76" s="39"/>
      <c r="R76" s="39">
        <f t="shared" si="12"/>
        <v>486</v>
      </c>
      <c r="T76" s="27"/>
    </row>
    <row r="77" spans="2:24" hidden="1">
      <c r="B77" s="18"/>
      <c r="C77" s="182"/>
      <c r="D77" s="183"/>
      <c r="E77" s="37">
        <v>517199</v>
      </c>
      <c r="F77" s="40" t="s">
        <v>21</v>
      </c>
      <c r="G77" s="173"/>
      <c r="H77" s="39">
        <v>12</v>
      </c>
      <c r="I77" s="39">
        <v>48</v>
      </c>
      <c r="J77" s="39">
        <v>78</v>
      </c>
      <c r="K77" s="39">
        <v>42</v>
      </c>
      <c r="L77" s="39">
        <v>30</v>
      </c>
      <c r="M77" s="39"/>
      <c r="N77" s="39"/>
      <c r="O77" s="39"/>
      <c r="P77" s="39"/>
      <c r="Q77" s="39"/>
      <c r="R77" s="39">
        <f t="shared" si="12"/>
        <v>210</v>
      </c>
      <c r="T77" s="27"/>
    </row>
    <row r="78" spans="2:24" hidden="1">
      <c r="B78" s="18"/>
      <c r="C78" s="41"/>
      <c r="D78" s="41"/>
      <c r="E78" s="42"/>
      <c r="F78" s="40"/>
      <c r="G78" s="43" t="s">
        <v>10</v>
      </c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T78" s="27"/>
      <c r="U78" s="35"/>
    </row>
    <row r="79" spans="2:24" s="12" customFormat="1" hidden="1">
      <c r="B79" s="18"/>
      <c r="C79" s="44" t="s">
        <v>11</v>
      </c>
      <c r="D79" s="44"/>
      <c r="E79" s="40" t="s">
        <v>9</v>
      </c>
      <c r="F79" s="40"/>
      <c r="G79" s="43" t="s">
        <v>12</v>
      </c>
      <c r="H79" s="39">
        <f t="shared" ref="H79:R79" si="13">SUM(H74:H78)</f>
        <v>78</v>
      </c>
      <c r="I79" s="39">
        <f t="shared" si="13"/>
        <v>282</v>
      </c>
      <c r="J79" s="39">
        <f t="shared" si="13"/>
        <v>444</v>
      </c>
      <c r="K79" s="39">
        <f t="shared" si="13"/>
        <v>246</v>
      </c>
      <c r="L79" s="39">
        <f t="shared" si="13"/>
        <v>150</v>
      </c>
      <c r="M79" s="39">
        <f t="shared" si="13"/>
        <v>0</v>
      </c>
      <c r="N79" s="39">
        <f t="shared" si="13"/>
        <v>0</v>
      </c>
      <c r="O79" s="39">
        <f t="shared" si="13"/>
        <v>0</v>
      </c>
      <c r="P79" s="39">
        <f t="shared" si="13"/>
        <v>0</v>
      </c>
      <c r="Q79" s="39">
        <f t="shared" si="13"/>
        <v>0</v>
      </c>
      <c r="R79" s="39">
        <f t="shared" si="13"/>
        <v>1200</v>
      </c>
      <c r="S79" s="2"/>
      <c r="T79" s="2"/>
      <c r="U79" s="2"/>
      <c r="V79" s="2"/>
      <c r="W79" s="2"/>
      <c r="X79" s="2"/>
    </row>
    <row r="80" spans="2:24" hidden="1">
      <c r="B80" s="21"/>
      <c r="C80" s="22" t="s">
        <v>33</v>
      </c>
      <c r="D80" s="44"/>
      <c r="E80" s="40"/>
      <c r="F80" s="40"/>
      <c r="G80" s="16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 spans="3:24" hidden="1">
      <c r="C81" s="181"/>
      <c r="D81" s="183"/>
      <c r="E81" s="37">
        <v>517199</v>
      </c>
      <c r="F81" s="38" t="s">
        <v>16</v>
      </c>
      <c r="G81" s="172">
        <v>44175</v>
      </c>
      <c r="H81" s="39">
        <f>H62+H56+H50+H44+H38+H68+H74</f>
        <v>180</v>
      </c>
      <c r="I81" s="39">
        <f t="shared" ref="I81:L81" si="14">I62+I56+I50+I44+I38+I68+I74</f>
        <v>626</v>
      </c>
      <c r="J81" s="39">
        <f t="shared" si="14"/>
        <v>686</v>
      </c>
      <c r="K81" s="39">
        <f t="shared" si="14"/>
        <v>496</v>
      </c>
      <c r="L81" s="39">
        <f t="shared" si="14"/>
        <v>310</v>
      </c>
      <c r="M81" s="39"/>
      <c r="N81" s="39"/>
      <c r="O81" s="39"/>
      <c r="P81" s="39"/>
      <c r="Q81" s="39"/>
      <c r="R81" s="39">
        <f>SUM(H81:Q81)</f>
        <v>2298</v>
      </c>
    </row>
    <row r="82" spans="3:24" hidden="1">
      <c r="C82" s="182"/>
      <c r="D82" s="183"/>
      <c r="E82" s="37">
        <v>517199</v>
      </c>
      <c r="F82" s="38" t="s">
        <v>22</v>
      </c>
      <c r="G82" s="173"/>
      <c r="H82" s="39">
        <f t="shared" ref="H82:L84" si="15">H63+H57+H51+H45+H39+H69+H75</f>
        <v>174</v>
      </c>
      <c r="I82" s="39">
        <f t="shared" si="15"/>
        <v>586</v>
      </c>
      <c r="J82" s="39">
        <f t="shared" si="15"/>
        <v>628</v>
      </c>
      <c r="K82" s="39">
        <f t="shared" si="15"/>
        <v>476</v>
      </c>
      <c r="L82" s="39">
        <f t="shared" si="15"/>
        <v>296</v>
      </c>
      <c r="M82" s="39"/>
      <c r="N82" s="39"/>
      <c r="O82" s="39"/>
      <c r="P82" s="39"/>
      <c r="Q82" s="39"/>
      <c r="R82" s="39">
        <f>SUM(H82:Q82)</f>
        <v>2160</v>
      </c>
    </row>
    <row r="83" spans="3:24" hidden="1">
      <c r="C83" s="182"/>
      <c r="D83" s="183"/>
      <c r="E83" s="37">
        <v>517199</v>
      </c>
      <c r="F83" s="40" t="s">
        <v>17</v>
      </c>
      <c r="G83" s="173"/>
      <c r="H83" s="39">
        <f t="shared" si="15"/>
        <v>198</v>
      </c>
      <c r="I83" s="39">
        <f t="shared" si="15"/>
        <v>884</v>
      </c>
      <c r="J83" s="39">
        <f t="shared" si="15"/>
        <v>986</v>
      </c>
      <c r="K83" s="39">
        <f t="shared" si="15"/>
        <v>664</v>
      </c>
      <c r="L83" s="39">
        <f t="shared" si="15"/>
        <v>448</v>
      </c>
      <c r="M83" s="39"/>
      <c r="N83" s="39"/>
      <c r="O83" s="39"/>
      <c r="P83" s="39"/>
      <c r="Q83" s="39"/>
      <c r="R83" s="39">
        <f>SUM(H83:Q83)</f>
        <v>3180</v>
      </c>
    </row>
    <row r="84" spans="3:24" hidden="1">
      <c r="C84" s="182"/>
      <c r="D84" s="183"/>
      <c r="E84" s="37">
        <v>517199</v>
      </c>
      <c r="F84" s="40" t="s">
        <v>21</v>
      </c>
      <c r="G84" s="173"/>
      <c r="H84" s="39">
        <f t="shared" si="15"/>
        <v>168</v>
      </c>
      <c r="I84" s="39">
        <f t="shared" si="15"/>
        <v>550</v>
      </c>
      <c r="J84" s="39">
        <f t="shared" si="15"/>
        <v>592</v>
      </c>
      <c r="K84" s="39">
        <f t="shared" si="15"/>
        <v>446</v>
      </c>
      <c r="L84" s="39">
        <f t="shared" si="15"/>
        <v>290</v>
      </c>
      <c r="M84" s="39"/>
      <c r="N84" s="39"/>
      <c r="O84" s="39"/>
      <c r="P84" s="39"/>
      <c r="Q84" s="39"/>
      <c r="R84" s="39">
        <f>SUM(H84:Q84)</f>
        <v>2046</v>
      </c>
    </row>
    <row r="85" spans="3:24" hidden="1">
      <c r="C85" s="41"/>
      <c r="D85" s="41"/>
      <c r="E85" s="42"/>
      <c r="F85" s="40"/>
      <c r="G85" s="43" t="s">
        <v>10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T85" s="22"/>
      <c r="U85" s="22"/>
      <c r="V85" s="22"/>
      <c r="W85" s="22"/>
      <c r="X85" s="22"/>
    </row>
    <row r="86" spans="3:24" hidden="1">
      <c r="C86" s="44" t="s">
        <v>11</v>
      </c>
      <c r="D86" s="44"/>
      <c r="E86" s="40" t="s">
        <v>9</v>
      </c>
      <c r="F86" s="40"/>
      <c r="G86" s="43" t="s">
        <v>12</v>
      </c>
      <c r="H86" s="39">
        <f t="shared" ref="H86:R86" si="16">SUM(H81:H85)</f>
        <v>720</v>
      </c>
      <c r="I86" s="39">
        <f t="shared" si="16"/>
        <v>2646</v>
      </c>
      <c r="J86" s="39">
        <f t="shared" si="16"/>
        <v>2892</v>
      </c>
      <c r="K86" s="39">
        <f t="shared" si="16"/>
        <v>2082</v>
      </c>
      <c r="L86" s="39">
        <f t="shared" si="16"/>
        <v>1344</v>
      </c>
      <c r="M86" s="39">
        <f t="shared" si="16"/>
        <v>0</v>
      </c>
      <c r="N86" s="39">
        <f t="shared" si="16"/>
        <v>0</v>
      </c>
      <c r="O86" s="39">
        <f t="shared" si="16"/>
        <v>0</v>
      </c>
      <c r="P86" s="39">
        <f t="shared" si="16"/>
        <v>0</v>
      </c>
      <c r="Q86" s="39">
        <f t="shared" si="16"/>
        <v>0</v>
      </c>
      <c r="R86" s="39">
        <f t="shared" si="16"/>
        <v>9684</v>
      </c>
      <c r="S86" s="24" t="s">
        <v>23</v>
      </c>
      <c r="T86" s="23"/>
      <c r="U86" s="23"/>
      <c r="V86" s="23"/>
      <c r="W86" s="23"/>
      <c r="X86" s="23"/>
    </row>
    <row r="87" spans="3:24">
      <c r="M87" s="2">
        <v>1196</v>
      </c>
      <c r="N87" s="2">
        <v>4739</v>
      </c>
      <c r="O87" s="2">
        <v>6663</v>
      </c>
      <c r="P87" s="2">
        <v>2221</v>
      </c>
      <c r="Q87" s="2">
        <v>455</v>
      </c>
      <c r="T87" s="25">
        <f>SUM(L87:S87)</f>
        <v>15274</v>
      </c>
      <c r="U87" s="25"/>
      <c r="V87" s="25"/>
      <c r="W87" s="25"/>
      <c r="X87" s="25"/>
    </row>
    <row r="88" spans="3:24" ht="16.5">
      <c r="C88" s="77" t="s">
        <v>34</v>
      </c>
    </row>
    <row r="89" spans="3:24" ht="14.25" thickBot="1">
      <c r="C89" s="63"/>
      <c r="D89" s="55"/>
      <c r="E89" s="55"/>
      <c r="F89" s="55"/>
      <c r="G89" s="55"/>
      <c r="H89" s="56" t="s">
        <v>42</v>
      </c>
      <c r="I89" s="56" t="s">
        <v>47</v>
      </c>
      <c r="J89" s="56" t="s">
        <v>48</v>
      </c>
      <c r="K89" s="56" t="s">
        <v>43</v>
      </c>
      <c r="L89" s="56" t="s">
        <v>6</v>
      </c>
      <c r="M89" s="56" t="s">
        <v>7</v>
      </c>
      <c r="N89" s="56" t="s">
        <v>8</v>
      </c>
      <c r="O89" s="56" t="s">
        <v>6</v>
      </c>
      <c r="P89" s="56" t="s">
        <v>7</v>
      </c>
      <c r="Q89" s="56" t="s">
        <v>8</v>
      </c>
      <c r="R89" s="57" t="s">
        <v>9</v>
      </c>
    </row>
    <row r="90" spans="3:24">
      <c r="C90" s="196"/>
      <c r="D90" s="174" t="s">
        <v>44</v>
      </c>
      <c r="E90" s="64"/>
      <c r="F90" s="110" t="s">
        <v>40</v>
      </c>
      <c r="G90" s="68"/>
      <c r="H90" s="59">
        <f>18+71+100+34</f>
        <v>223</v>
      </c>
      <c r="I90" s="59">
        <f>54+216+303+101</f>
        <v>674</v>
      </c>
      <c r="J90" s="59">
        <f>91+364+511+171</f>
        <v>1137</v>
      </c>
      <c r="K90" s="59">
        <f>87+346+487+163</f>
        <v>1083</v>
      </c>
      <c r="L90" s="59">
        <f>151+604+850+283</f>
        <v>1888</v>
      </c>
      <c r="M90" s="59">
        <f>122+489+687+230</f>
        <v>1528</v>
      </c>
      <c r="N90" s="59">
        <f>47+189+265+88</f>
        <v>589</v>
      </c>
      <c r="O90" s="59"/>
      <c r="P90" s="59"/>
      <c r="Q90" s="59"/>
      <c r="R90" s="59">
        <f>SUM(H90:Q90)</f>
        <v>7122</v>
      </c>
    </row>
    <row r="91" spans="3:24" ht="14.25" thickBot="1">
      <c r="C91" s="197"/>
      <c r="D91" s="175"/>
      <c r="E91" s="69"/>
      <c r="F91" s="111" t="s">
        <v>41</v>
      </c>
      <c r="G91" s="70"/>
      <c r="H91" s="71">
        <f>13+53+74+25</f>
        <v>165</v>
      </c>
      <c r="I91" s="71">
        <f>29+115+162+54</f>
        <v>360</v>
      </c>
      <c r="J91" s="71">
        <f>36+144+202+67</f>
        <v>449</v>
      </c>
      <c r="K91" s="71">
        <f>37+149+210+69</f>
        <v>465</v>
      </c>
      <c r="L91" s="71">
        <f>66+263+370+123</f>
        <v>822</v>
      </c>
      <c r="M91" s="71">
        <f>59+237+334+111</f>
        <v>741</v>
      </c>
      <c r="N91" s="71">
        <f>16+65+92+31</f>
        <v>204</v>
      </c>
      <c r="O91" s="71"/>
      <c r="P91" s="71"/>
      <c r="Q91" s="71"/>
      <c r="R91" s="71">
        <f>SUM(H91:Q91)</f>
        <v>3206</v>
      </c>
    </row>
    <row r="92" spans="3:24">
      <c r="C92" s="197"/>
      <c r="D92" s="200" t="s">
        <v>46</v>
      </c>
      <c r="E92" s="65"/>
      <c r="F92" s="103" t="s">
        <v>40</v>
      </c>
      <c r="G92" s="66"/>
      <c r="H92" s="67"/>
      <c r="I92" s="67"/>
      <c r="J92" s="67"/>
      <c r="K92" s="67"/>
      <c r="L92" s="67"/>
      <c r="M92" s="67"/>
      <c r="N92" s="67"/>
      <c r="O92" s="67">
        <f>40+159+224+74</f>
        <v>497</v>
      </c>
      <c r="P92" s="67">
        <f>72+287+403+134</f>
        <v>896</v>
      </c>
      <c r="Q92" s="67">
        <f>48+191+269+90</f>
        <v>598</v>
      </c>
      <c r="R92" s="67">
        <f t="shared" ref="R92:R95" si="17">SUM(H92:Q92)</f>
        <v>1991</v>
      </c>
    </row>
    <row r="93" spans="3:24" ht="14.25" thickBot="1">
      <c r="C93" s="197"/>
      <c r="D93" s="201"/>
      <c r="E93" s="61"/>
      <c r="F93" s="89" t="s">
        <v>41</v>
      </c>
      <c r="G93" s="62"/>
      <c r="H93" s="58"/>
      <c r="I93" s="58"/>
      <c r="J93" s="58"/>
      <c r="K93" s="58"/>
      <c r="L93" s="58"/>
      <c r="M93" s="58"/>
      <c r="N93" s="58"/>
      <c r="O93" s="58">
        <f>18+71+99+33</f>
        <v>221</v>
      </c>
      <c r="P93" s="58">
        <f>28+111+156+52</f>
        <v>347</v>
      </c>
      <c r="Q93" s="58">
        <f>14+54+76+25</f>
        <v>169</v>
      </c>
      <c r="R93" s="58">
        <f t="shared" si="17"/>
        <v>737</v>
      </c>
    </row>
    <row r="94" spans="3:24" ht="14.25" customHeight="1">
      <c r="C94" s="197"/>
      <c r="D94" s="174" t="s">
        <v>45</v>
      </c>
      <c r="E94" s="64"/>
      <c r="F94" s="110" t="s">
        <v>40</v>
      </c>
      <c r="G94" s="68"/>
      <c r="H94" s="59"/>
      <c r="I94" s="59"/>
      <c r="J94" s="59">
        <f>13+52+74+24</f>
        <v>163</v>
      </c>
      <c r="K94" s="59">
        <f>20+78+110+37</f>
        <v>245</v>
      </c>
      <c r="L94" s="59">
        <f>44+174+245+82</f>
        <v>545</v>
      </c>
      <c r="M94" s="59">
        <f>33+131+184+62</f>
        <v>410</v>
      </c>
      <c r="N94" s="59"/>
      <c r="O94" s="59"/>
      <c r="P94" s="59"/>
      <c r="Q94" s="59"/>
      <c r="R94" s="59">
        <f t="shared" si="17"/>
        <v>1363</v>
      </c>
    </row>
    <row r="95" spans="3:24" ht="17.25" thickBot="1">
      <c r="C95" s="197"/>
      <c r="D95" s="175"/>
      <c r="E95" s="69"/>
      <c r="F95" s="111" t="s">
        <v>41</v>
      </c>
      <c r="G95" s="70"/>
      <c r="H95" s="71"/>
      <c r="I95" s="71"/>
      <c r="J95" s="71">
        <f>10+24+33+11</f>
        <v>78</v>
      </c>
      <c r="K95" s="71">
        <f>10+30+42+14</f>
        <v>96</v>
      </c>
      <c r="L95" s="71">
        <f>10+42+59+19</f>
        <v>130</v>
      </c>
      <c r="M95" s="71">
        <f>10+30+42+14</f>
        <v>96</v>
      </c>
      <c r="N95" s="71"/>
      <c r="O95" s="71"/>
      <c r="P95" s="71"/>
      <c r="Q95" s="71"/>
      <c r="R95" s="71">
        <f t="shared" si="17"/>
        <v>400</v>
      </c>
      <c r="S95" s="28"/>
      <c r="T95" s="28"/>
      <c r="V95" s="34"/>
    </row>
    <row r="96" spans="3:24" ht="13.5" customHeight="1">
      <c r="C96" s="197"/>
      <c r="D96" s="200" t="s">
        <v>49</v>
      </c>
      <c r="E96" s="65"/>
      <c r="F96" s="103" t="s">
        <v>40</v>
      </c>
      <c r="G96" s="66"/>
      <c r="H96" s="67"/>
      <c r="I96" s="67">
        <f>29+36</f>
        <v>65</v>
      </c>
      <c r="J96" s="67">
        <f>29+48</f>
        <v>77</v>
      </c>
      <c r="K96" s="67">
        <f>58+60</f>
        <v>118</v>
      </c>
      <c r="L96" s="67">
        <f>58+72</f>
        <v>130</v>
      </c>
      <c r="M96" s="67">
        <f>29+36</f>
        <v>65</v>
      </c>
      <c r="N96" s="67"/>
      <c r="O96" s="67"/>
      <c r="P96" s="67"/>
      <c r="Q96" s="67"/>
      <c r="R96" s="67">
        <f>SUM(H96:Q96)</f>
        <v>455</v>
      </c>
      <c r="T96" s="2" t="s">
        <v>53</v>
      </c>
    </row>
    <row r="97" spans="3:22" ht="14.25" thickBot="1">
      <c r="C97" s="197"/>
      <c r="D97" s="201"/>
      <c r="E97" s="61"/>
      <c r="F97" s="89" t="s">
        <v>41</v>
      </c>
      <c r="G97" s="62"/>
      <c r="H97" s="58"/>
      <c r="I97" s="67">
        <f>29+72</f>
        <v>101</v>
      </c>
      <c r="J97" s="67">
        <f>29+120</f>
        <v>149</v>
      </c>
      <c r="K97" s="67">
        <f>58+108</f>
        <v>166</v>
      </c>
      <c r="L97" s="67">
        <f>58+144</f>
        <v>202</v>
      </c>
      <c r="M97" s="67">
        <f>29+84</f>
        <v>113</v>
      </c>
      <c r="N97" s="58"/>
      <c r="O97" s="58"/>
      <c r="P97" s="58"/>
      <c r="Q97" s="58"/>
      <c r="R97" s="58">
        <f>SUM(H97:Q97)</f>
        <v>731</v>
      </c>
      <c r="T97" s="2" t="s">
        <v>53</v>
      </c>
    </row>
    <row r="98" spans="3:22">
      <c r="C98" s="197"/>
      <c r="D98" s="202" t="s">
        <v>50</v>
      </c>
      <c r="E98" s="90"/>
      <c r="F98" s="112" t="s">
        <v>40</v>
      </c>
      <c r="G98" s="91"/>
      <c r="H98" s="92">
        <f>H90+H96</f>
        <v>223</v>
      </c>
      <c r="I98" s="92">
        <f t="shared" ref="I98:N98" si="18">I90+I96</f>
        <v>739</v>
      </c>
      <c r="J98" s="92">
        <f t="shared" si="18"/>
        <v>1214</v>
      </c>
      <c r="K98" s="92">
        <f t="shared" si="18"/>
        <v>1201</v>
      </c>
      <c r="L98" s="92">
        <f t="shared" si="18"/>
        <v>2018</v>
      </c>
      <c r="M98" s="92">
        <f t="shared" si="18"/>
        <v>1593</v>
      </c>
      <c r="N98" s="92">
        <f t="shared" si="18"/>
        <v>589</v>
      </c>
      <c r="O98" s="92"/>
      <c r="P98" s="92"/>
      <c r="Q98" s="92"/>
      <c r="R98" s="92">
        <f>SUM(H98:Q98)</f>
        <v>7577</v>
      </c>
    </row>
    <row r="99" spans="3:22" ht="17.25" thickBot="1">
      <c r="C99" s="197"/>
      <c r="D99" s="203"/>
      <c r="E99" s="167"/>
      <c r="F99" s="113" t="s">
        <v>41</v>
      </c>
      <c r="G99" s="98"/>
      <c r="H99" s="99">
        <f t="shared" ref="H99:N99" si="19">H91+H97</f>
        <v>165</v>
      </c>
      <c r="I99" s="99">
        <f t="shared" si="19"/>
        <v>461</v>
      </c>
      <c r="J99" s="99">
        <f t="shared" si="19"/>
        <v>598</v>
      </c>
      <c r="K99" s="99">
        <f t="shared" si="19"/>
        <v>631</v>
      </c>
      <c r="L99" s="99">
        <f t="shared" si="19"/>
        <v>1024</v>
      </c>
      <c r="M99" s="99">
        <f t="shared" si="19"/>
        <v>854</v>
      </c>
      <c r="N99" s="99">
        <f t="shared" si="19"/>
        <v>204</v>
      </c>
      <c r="O99" s="99"/>
      <c r="P99" s="99"/>
      <c r="Q99" s="99"/>
      <c r="R99" s="99">
        <f>SUM(H99:Q99)</f>
        <v>3937</v>
      </c>
      <c r="V99" s="34"/>
    </row>
    <row r="100" spans="3:22" ht="16.5">
      <c r="C100" s="197"/>
      <c r="D100" s="206" t="s">
        <v>51</v>
      </c>
      <c r="E100" s="100"/>
      <c r="F100" s="104" t="s">
        <v>40</v>
      </c>
      <c r="G100" s="101"/>
      <c r="H100" s="102"/>
      <c r="I100" s="102"/>
      <c r="J100" s="102"/>
      <c r="K100" s="102"/>
      <c r="L100" s="102"/>
      <c r="M100" s="102"/>
      <c r="N100" s="102"/>
      <c r="O100" s="102">
        <f>O92</f>
        <v>497</v>
      </c>
      <c r="P100" s="102">
        <f t="shared" ref="P100:Q100" si="20">P92</f>
        <v>896</v>
      </c>
      <c r="Q100" s="102">
        <f t="shared" si="20"/>
        <v>598</v>
      </c>
      <c r="R100" s="102">
        <f t="shared" ref="R100:R104" si="21">SUM(H100:Q100)</f>
        <v>1991</v>
      </c>
      <c r="V100" s="34"/>
    </row>
    <row r="101" spans="3:22" ht="17.25" thickBot="1">
      <c r="C101" s="197"/>
      <c r="D101" s="207"/>
      <c r="E101" s="168"/>
      <c r="F101" s="95" t="s">
        <v>41</v>
      </c>
      <c r="G101" s="96"/>
      <c r="H101" s="93"/>
      <c r="I101" s="93"/>
      <c r="J101" s="93"/>
      <c r="K101" s="93"/>
      <c r="L101" s="93"/>
      <c r="M101" s="93"/>
      <c r="N101" s="93"/>
      <c r="O101" s="102">
        <f t="shared" ref="O101:Q101" si="22">O93</f>
        <v>221</v>
      </c>
      <c r="P101" s="102">
        <f t="shared" si="22"/>
        <v>347</v>
      </c>
      <c r="Q101" s="102">
        <f t="shared" si="22"/>
        <v>169</v>
      </c>
      <c r="R101" s="93">
        <f t="shared" si="21"/>
        <v>737</v>
      </c>
      <c r="V101" s="34"/>
    </row>
    <row r="102" spans="3:22" ht="16.5">
      <c r="C102" s="197"/>
      <c r="D102" s="202" t="s">
        <v>52</v>
      </c>
      <c r="E102" s="90"/>
      <c r="F102" s="112" t="s">
        <v>40</v>
      </c>
      <c r="G102" s="91"/>
      <c r="H102" s="92"/>
      <c r="I102" s="92"/>
      <c r="J102" s="92">
        <f>J94</f>
        <v>163</v>
      </c>
      <c r="K102" s="92">
        <f t="shared" ref="K102:M102" si="23">K94</f>
        <v>245</v>
      </c>
      <c r="L102" s="92">
        <f t="shared" si="23"/>
        <v>545</v>
      </c>
      <c r="M102" s="92">
        <f t="shared" si="23"/>
        <v>410</v>
      </c>
      <c r="N102" s="92"/>
      <c r="O102" s="92"/>
      <c r="P102" s="92"/>
      <c r="Q102" s="92"/>
      <c r="R102" s="92">
        <f t="shared" si="21"/>
        <v>1363</v>
      </c>
      <c r="V102" s="34"/>
    </row>
    <row r="103" spans="3:22" ht="14.25" thickBot="1">
      <c r="C103" s="197"/>
      <c r="D103" s="203"/>
      <c r="E103" s="167"/>
      <c r="F103" s="113" t="s">
        <v>41</v>
      </c>
      <c r="G103" s="98"/>
      <c r="H103" s="99"/>
      <c r="I103" s="99"/>
      <c r="J103" s="99">
        <f t="shared" ref="J103:M103" si="24">J95</f>
        <v>78</v>
      </c>
      <c r="K103" s="99">
        <f t="shared" si="24"/>
        <v>96</v>
      </c>
      <c r="L103" s="99">
        <f t="shared" si="24"/>
        <v>130</v>
      </c>
      <c r="M103" s="99">
        <f t="shared" si="24"/>
        <v>96</v>
      </c>
      <c r="N103" s="99"/>
      <c r="O103" s="99"/>
      <c r="P103" s="99"/>
      <c r="Q103" s="99"/>
      <c r="R103" s="99">
        <f t="shared" si="21"/>
        <v>400</v>
      </c>
    </row>
    <row r="104" spans="3:22" ht="14.25" thickBot="1">
      <c r="C104" s="197"/>
      <c r="D104" s="105"/>
      <c r="E104" s="106"/>
      <c r="F104" s="107" t="s">
        <v>56</v>
      </c>
      <c r="G104" s="108"/>
      <c r="H104" s="109">
        <f>SUM(H98:H103)</f>
        <v>388</v>
      </c>
      <c r="I104" s="109">
        <f t="shared" ref="I104:Q104" si="25">SUM(I98:I103)</f>
        <v>1200</v>
      </c>
      <c r="J104" s="109">
        <f t="shared" si="25"/>
        <v>2053</v>
      </c>
      <c r="K104" s="109">
        <f t="shared" si="25"/>
        <v>2173</v>
      </c>
      <c r="L104" s="109">
        <f t="shared" si="25"/>
        <v>3717</v>
      </c>
      <c r="M104" s="109">
        <f t="shared" si="25"/>
        <v>2953</v>
      </c>
      <c r="N104" s="109">
        <f t="shared" si="25"/>
        <v>793</v>
      </c>
      <c r="O104" s="109">
        <f t="shared" si="25"/>
        <v>718</v>
      </c>
      <c r="P104" s="109">
        <f t="shared" si="25"/>
        <v>1243</v>
      </c>
      <c r="Q104" s="109">
        <f t="shared" si="25"/>
        <v>767</v>
      </c>
      <c r="R104" s="109">
        <f t="shared" si="21"/>
        <v>16005</v>
      </c>
    </row>
    <row r="105" spans="3:22" ht="14.25" thickBot="1">
      <c r="C105" s="78" t="s">
        <v>54</v>
      </c>
      <c r="D105" s="162"/>
      <c r="E105" s="73"/>
      <c r="F105" s="162"/>
      <c r="G105" s="74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54"/>
      <c r="V105" s="26"/>
    </row>
    <row r="106" spans="3:22">
      <c r="C106" s="78"/>
      <c r="D106" s="174" t="s">
        <v>50</v>
      </c>
      <c r="E106" s="86"/>
      <c r="F106" s="110" t="s">
        <v>40</v>
      </c>
      <c r="G106" s="114"/>
      <c r="H106" s="131">
        <v>223</v>
      </c>
      <c r="I106" s="132">
        <v>739</v>
      </c>
      <c r="J106" s="132">
        <v>1214</v>
      </c>
      <c r="K106" s="132">
        <v>1201</v>
      </c>
      <c r="L106" s="132">
        <v>2018</v>
      </c>
      <c r="M106" s="132">
        <v>1593</v>
      </c>
      <c r="N106" s="131">
        <v>589</v>
      </c>
      <c r="O106" s="131"/>
      <c r="P106" s="131"/>
      <c r="Q106" s="131"/>
      <c r="R106" s="115">
        <f>SUM(H106:Q106)</f>
        <v>7577</v>
      </c>
    </row>
    <row r="107" spans="3:22" ht="17.25" thickBot="1">
      <c r="C107" s="78"/>
      <c r="D107" s="175"/>
      <c r="E107" s="165"/>
      <c r="F107" s="111" t="s">
        <v>41</v>
      </c>
      <c r="G107" s="116"/>
      <c r="H107" s="111">
        <v>165</v>
      </c>
      <c r="I107" s="133">
        <v>461</v>
      </c>
      <c r="J107" s="133">
        <v>598</v>
      </c>
      <c r="K107" s="133">
        <v>631</v>
      </c>
      <c r="L107" s="133">
        <v>1024</v>
      </c>
      <c r="M107" s="133">
        <v>854</v>
      </c>
      <c r="N107" s="111">
        <v>204</v>
      </c>
      <c r="O107" s="111"/>
      <c r="P107" s="111"/>
      <c r="Q107" s="111"/>
      <c r="R107" s="117">
        <f>SUM(H107:Q107)</f>
        <v>3937</v>
      </c>
      <c r="V107" s="34"/>
    </row>
    <row r="108" spans="3:22" ht="16.5">
      <c r="C108" s="78"/>
      <c r="D108" s="200" t="s">
        <v>51</v>
      </c>
      <c r="E108" s="82"/>
      <c r="F108" s="103" t="s">
        <v>40</v>
      </c>
      <c r="G108" s="118"/>
      <c r="H108" s="119"/>
      <c r="I108" s="119"/>
      <c r="J108" s="119"/>
      <c r="K108" s="119"/>
      <c r="L108" s="119"/>
      <c r="M108" s="119"/>
      <c r="N108" s="119"/>
      <c r="O108" s="129">
        <v>497</v>
      </c>
      <c r="P108" s="134">
        <v>896</v>
      </c>
      <c r="Q108" s="134">
        <v>598</v>
      </c>
      <c r="R108" s="119">
        <f t="shared" ref="R108:R112" si="26">SUM(H108:Q108)</f>
        <v>1991</v>
      </c>
      <c r="V108" s="34"/>
    </row>
    <row r="109" spans="3:22" ht="17.25" thickBot="1">
      <c r="C109" s="78"/>
      <c r="D109" s="201"/>
      <c r="E109" s="166"/>
      <c r="F109" s="89" t="s">
        <v>41</v>
      </c>
      <c r="G109" s="120"/>
      <c r="H109" s="121"/>
      <c r="I109" s="121"/>
      <c r="J109" s="121"/>
      <c r="K109" s="121"/>
      <c r="L109" s="121"/>
      <c r="M109" s="121"/>
      <c r="N109" s="121"/>
      <c r="O109" s="89">
        <v>221</v>
      </c>
      <c r="P109" s="135">
        <v>347</v>
      </c>
      <c r="Q109" s="135">
        <v>169</v>
      </c>
      <c r="R109" s="121">
        <f t="shared" si="26"/>
        <v>737</v>
      </c>
      <c r="V109" s="34"/>
    </row>
    <row r="110" spans="3:22" ht="16.5">
      <c r="C110" s="78"/>
      <c r="D110" s="174" t="s">
        <v>52</v>
      </c>
      <c r="E110" s="86"/>
      <c r="F110" s="110" t="s">
        <v>40</v>
      </c>
      <c r="G110" s="114"/>
      <c r="H110" s="115"/>
      <c r="I110" s="115"/>
      <c r="J110" s="127">
        <v>163</v>
      </c>
      <c r="K110" s="127">
        <v>245</v>
      </c>
      <c r="L110" s="127">
        <v>545</v>
      </c>
      <c r="M110" s="128">
        <v>410</v>
      </c>
      <c r="N110" s="128"/>
      <c r="O110" s="136"/>
      <c r="P110" s="115"/>
      <c r="Q110" s="115"/>
      <c r="R110" s="115">
        <f t="shared" si="26"/>
        <v>1363</v>
      </c>
      <c r="V110" s="34"/>
    </row>
    <row r="111" spans="3:22" ht="14.25" thickBot="1">
      <c r="C111" s="78"/>
      <c r="D111" s="175"/>
      <c r="E111" s="165"/>
      <c r="F111" s="111" t="s">
        <v>41</v>
      </c>
      <c r="G111" s="116"/>
      <c r="H111" s="117"/>
      <c r="I111" s="117"/>
      <c r="J111" s="130">
        <v>78</v>
      </c>
      <c r="K111" s="130">
        <v>96</v>
      </c>
      <c r="L111" s="130">
        <v>130</v>
      </c>
      <c r="M111" s="130">
        <v>96</v>
      </c>
      <c r="N111" s="130"/>
      <c r="O111" s="133"/>
      <c r="P111" s="117"/>
      <c r="Q111" s="117"/>
      <c r="R111" s="117">
        <f t="shared" si="26"/>
        <v>400</v>
      </c>
    </row>
    <row r="112" spans="3:22" ht="14.25" thickBot="1">
      <c r="C112" s="78"/>
      <c r="D112" s="122"/>
      <c r="E112" s="123"/>
      <c r="F112" s="124" t="s">
        <v>56</v>
      </c>
      <c r="G112" s="125"/>
      <c r="H112" s="126">
        <f>SUM(H106:H111)</f>
        <v>388</v>
      </c>
      <c r="I112" s="126">
        <f t="shared" ref="I112:Q112" si="27">SUM(I106:I111)</f>
        <v>1200</v>
      </c>
      <c r="J112" s="126">
        <f t="shared" si="27"/>
        <v>2053</v>
      </c>
      <c r="K112" s="126">
        <f t="shared" si="27"/>
        <v>2173</v>
      </c>
      <c r="L112" s="126">
        <f t="shared" si="27"/>
        <v>3717</v>
      </c>
      <c r="M112" s="126">
        <f t="shared" si="27"/>
        <v>2953</v>
      </c>
      <c r="N112" s="126">
        <f t="shared" si="27"/>
        <v>793</v>
      </c>
      <c r="O112" s="126">
        <f t="shared" si="27"/>
        <v>718</v>
      </c>
      <c r="P112" s="126">
        <f t="shared" si="27"/>
        <v>1243</v>
      </c>
      <c r="Q112" s="126">
        <f t="shared" si="27"/>
        <v>767</v>
      </c>
      <c r="R112" s="126">
        <f t="shared" si="26"/>
        <v>16005</v>
      </c>
    </row>
    <row r="113" spans="3:22">
      <c r="C113" s="78" t="s">
        <v>55</v>
      </c>
      <c r="D113" s="162"/>
      <c r="E113" s="73"/>
      <c r="F113" s="162"/>
      <c r="G113" s="74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54"/>
      <c r="V113" s="26"/>
    </row>
    <row r="114" spans="3:22" ht="14.25" thickBot="1">
      <c r="C114" s="78" t="s">
        <v>54</v>
      </c>
      <c r="D114" s="162"/>
      <c r="E114" s="73"/>
      <c r="F114" s="162"/>
      <c r="G114" s="74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54"/>
      <c r="V114" s="26"/>
    </row>
    <row r="115" spans="3:22">
      <c r="C115" s="78"/>
      <c r="D115" s="194" t="s">
        <v>50</v>
      </c>
      <c r="E115" s="86"/>
      <c r="F115" s="110" t="s">
        <v>40</v>
      </c>
      <c r="G115" s="114"/>
      <c r="H115" s="137">
        <f t="shared" ref="H115:Q120" si="28">H106-H98</f>
        <v>0</v>
      </c>
      <c r="I115" s="137">
        <f t="shared" si="28"/>
        <v>0</v>
      </c>
      <c r="J115" s="137">
        <f t="shared" si="28"/>
        <v>0</v>
      </c>
      <c r="K115" s="137">
        <f t="shared" si="28"/>
        <v>0</v>
      </c>
      <c r="L115" s="137">
        <f t="shared" si="28"/>
        <v>0</v>
      </c>
      <c r="M115" s="137">
        <f t="shared" si="28"/>
        <v>0</v>
      </c>
      <c r="N115" s="137">
        <f t="shared" si="28"/>
        <v>0</v>
      </c>
      <c r="O115" s="137">
        <f t="shared" si="28"/>
        <v>0</v>
      </c>
      <c r="P115" s="137">
        <f t="shared" si="28"/>
        <v>0</v>
      </c>
      <c r="Q115" s="137">
        <f t="shared" si="28"/>
        <v>0</v>
      </c>
      <c r="R115" s="138">
        <f>SUM(H115:Q115)</f>
        <v>0</v>
      </c>
    </row>
    <row r="116" spans="3:22" ht="17.25" thickBot="1">
      <c r="C116" s="78"/>
      <c r="D116" s="204"/>
      <c r="E116" s="162"/>
      <c r="F116" s="140" t="s">
        <v>41</v>
      </c>
      <c r="G116" s="74"/>
      <c r="H116" s="141">
        <f t="shared" si="28"/>
        <v>0</v>
      </c>
      <c r="I116" s="141">
        <f t="shared" si="28"/>
        <v>0</v>
      </c>
      <c r="J116" s="141">
        <f t="shared" si="28"/>
        <v>0</v>
      </c>
      <c r="K116" s="141">
        <f t="shared" si="28"/>
        <v>0</v>
      </c>
      <c r="L116" s="141">
        <f t="shared" si="28"/>
        <v>0</v>
      </c>
      <c r="M116" s="141">
        <f t="shared" si="28"/>
        <v>0</v>
      </c>
      <c r="N116" s="141">
        <f t="shared" si="28"/>
        <v>0</v>
      </c>
      <c r="O116" s="141">
        <f t="shared" si="28"/>
        <v>0</v>
      </c>
      <c r="P116" s="141">
        <f t="shared" si="28"/>
        <v>0</v>
      </c>
      <c r="Q116" s="141">
        <f t="shared" si="28"/>
        <v>0</v>
      </c>
      <c r="R116" s="142">
        <f>SUM(H116:Q116)</f>
        <v>0</v>
      </c>
      <c r="V116" s="34"/>
    </row>
    <row r="117" spans="3:22" ht="16.5">
      <c r="C117" s="78"/>
      <c r="D117" s="194" t="s">
        <v>51</v>
      </c>
      <c r="E117" s="86"/>
      <c r="F117" s="110" t="s">
        <v>40</v>
      </c>
      <c r="G117" s="114"/>
      <c r="H117" s="137">
        <f t="shared" si="28"/>
        <v>0</v>
      </c>
      <c r="I117" s="137">
        <f t="shared" si="28"/>
        <v>0</v>
      </c>
      <c r="J117" s="137">
        <f t="shared" si="28"/>
        <v>0</v>
      </c>
      <c r="K117" s="137">
        <f t="shared" si="28"/>
        <v>0</v>
      </c>
      <c r="L117" s="137">
        <f t="shared" si="28"/>
        <v>0</v>
      </c>
      <c r="M117" s="137">
        <f t="shared" si="28"/>
        <v>0</v>
      </c>
      <c r="N117" s="137">
        <f t="shared" si="28"/>
        <v>0</v>
      </c>
      <c r="O117" s="137">
        <f t="shared" si="28"/>
        <v>0</v>
      </c>
      <c r="P117" s="137">
        <f t="shared" si="28"/>
        <v>0</v>
      </c>
      <c r="Q117" s="137">
        <f t="shared" si="28"/>
        <v>0</v>
      </c>
      <c r="R117" s="138">
        <f t="shared" ref="R117:R121" si="29">SUM(H117:Q117)</f>
        <v>0</v>
      </c>
      <c r="V117" s="34"/>
    </row>
    <row r="118" spans="3:22" ht="17.25" thickBot="1">
      <c r="C118" s="78"/>
      <c r="D118" s="195"/>
      <c r="E118" s="165"/>
      <c r="F118" s="111" t="s">
        <v>41</v>
      </c>
      <c r="G118" s="116"/>
      <c r="H118" s="145">
        <f t="shared" si="28"/>
        <v>0</v>
      </c>
      <c r="I118" s="145">
        <f t="shared" si="28"/>
        <v>0</v>
      </c>
      <c r="J118" s="145">
        <f t="shared" si="28"/>
        <v>0</v>
      </c>
      <c r="K118" s="145">
        <f t="shared" si="28"/>
        <v>0</v>
      </c>
      <c r="L118" s="145">
        <f t="shared" si="28"/>
        <v>0</v>
      </c>
      <c r="M118" s="145">
        <f t="shared" si="28"/>
        <v>0</v>
      </c>
      <c r="N118" s="145">
        <f t="shared" si="28"/>
        <v>0</v>
      </c>
      <c r="O118" s="145">
        <f t="shared" si="28"/>
        <v>0</v>
      </c>
      <c r="P118" s="145">
        <f t="shared" si="28"/>
        <v>0</v>
      </c>
      <c r="Q118" s="145">
        <f t="shared" si="28"/>
        <v>0</v>
      </c>
      <c r="R118" s="139">
        <f t="shared" si="29"/>
        <v>0</v>
      </c>
      <c r="V118" s="34"/>
    </row>
    <row r="119" spans="3:22" ht="16.5">
      <c r="C119" s="78"/>
      <c r="D119" s="205" t="s">
        <v>52</v>
      </c>
      <c r="E119" s="82"/>
      <c r="F119" s="103" t="s">
        <v>40</v>
      </c>
      <c r="G119" s="118"/>
      <c r="H119" s="143">
        <f t="shared" si="28"/>
        <v>0</v>
      </c>
      <c r="I119" s="143">
        <f t="shared" si="28"/>
        <v>0</v>
      </c>
      <c r="J119" s="143">
        <f t="shared" si="28"/>
        <v>0</v>
      </c>
      <c r="K119" s="143">
        <f t="shared" si="28"/>
        <v>0</v>
      </c>
      <c r="L119" s="143">
        <f t="shared" si="28"/>
        <v>0</v>
      </c>
      <c r="M119" s="143">
        <f t="shared" si="28"/>
        <v>0</v>
      </c>
      <c r="N119" s="143">
        <f t="shared" si="28"/>
        <v>0</v>
      </c>
      <c r="O119" s="143">
        <f t="shared" si="28"/>
        <v>0</v>
      </c>
      <c r="P119" s="143">
        <f t="shared" si="28"/>
        <v>0</v>
      </c>
      <c r="Q119" s="143">
        <f t="shared" si="28"/>
        <v>0</v>
      </c>
      <c r="R119" s="144">
        <f t="shared" si="29"/>
        <v>0</v>
      </c>
      <c r="V119" s="34"/>
    </row>
    <row r="120" spans="3:22" ht="14.25" thickBot="1">
      <c r="C120" s="78"/>
      <c r="D120" s="204"/>
      <c r="E120" s="162"/>
      <c r="F120" s="140" t="s">
        <v>41</v>
      </c>
      <c r="G120" s="74"/>
      <c r="H120" s="141">
        <f t="shared" si="28"/>
        <v>0</v>
      </c>
      <c r="I120" s="141">
        <f t="shared" si="28"/>
        <v>0</v>
      </c>
      <c r="J120" s="141">
        <f t="shared" si="28"/>
        <v>0</v>
      </c>
      <c r="K120" s="141">
        <f t="shared" si="28"/>
        <v>0</v>
      </c>
      <c r="L120" s="141">
        <f t="shared" si="28"/>
        <v>0</v>
      </c>
      <c r="M120" s="141">
        <f t="shared" si="28"/>
        <v>0</v>
      </c>
      <c r="N120" s="141">
        <f t="shared" si="28"/>
        <v>0</v>
      </c>
      <c r="O120" s="141">
        <f t="shared" si="28"/>
        <v>0</v>
      </c>
      <c r="P120" s="141">
        <f t="shared" si="28"/>
        <v>0</v>
      </c>
      <c r="Q120" s="141">
        <f t="shared" si="28"/>
        <v>0</v>
      </c>
      <c r="R120" s="142">
        <f t="shared" si="29"/>
        <v>0</v>
      </c>
    </row>
    <row r="121" spans="3:22" ht="14.25" thickBot="1">
      <c r="C121" s="78"/>
      <c r="D121" s="146"/>
      <c r="E121" s="147"/>
      <c r="F121" s="148" t="s">
        <v>56</v>
      </c>
      <c r="G121" s="149"/>
      <c r="H121" s="150">
        <f>SUM(H115:H120)</f>
        <v>0</v>
      </c>
      <c r="I121" s="150">
        <f t="shared" ref="I121:Q121" si="30">SUM(I115:I120)</f>
        <v>0</v>
      </c>
      <c r="J121" s="150">
        <f t="shared" si="30"/>
        <v>0</v>
      </c>
      <c r="K121" s="150">
        <f t="shared" si="30"/>
        <v>0</v>
      </c>
      <c r="L121" s="150">
        <f t="shared" si="30"/>
        <v>0</v>
      </c>
      <c r="M121" s="150">
        <f t="shared" si="30"/>
        <v>0</v>
      </c>
      <c r="N121" s="150">
        <f t="shared" si="30"/>
        <v>0</v>
      </c>
      <c r="O121" s="150">
        <f t="shared" si="30"/>
        <v>0</v>
      </c>
      <c r="P121" s="150">
        <f t="shared" si="30"/>
        <v>0</v>
      </c>
      <c r="Q121" s="150">
        <f t="shared" si="30"/>
        <v>0</v>
      </c>
      <c r="R121" s="151">
        <f t="shared" si="29"/>
        <v>0</v>
      </c>
    </row>
    <row r="122" spans="3:22" ht="14.25" thickBot="1">
      <c r="C122" s="198" t="s">
        <v>36</v>
      </c>
      <c r="D122" s="198"/>
      <c r="E122" s="199"/>
      <c r="F122" s="163"/>
      <c r="G122" s="87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54"/>
      <c r="V122" s="26"/>
    </row>
    <row r="123" spans="3:22">
      <c r="C123" s="78"/>
      <c r="D123" s="174" t="s">
        <v>50</v>
      </c>
      <c r="E123" s="86"/>
      <c r="F123" s="110" t="s">
        <v>40</v>
      </c>
      <c r="G123" s="114"/>
      <c r="H123" s="152">
        <f>H106*1.05</f>
        <v>234.15</v>
      </c>
      <c r="I123" s="152">
        <f t="shared" ref="I123:Q123" si="31">I106*1.05</f>
        <v>775.95</v>
      </c>
      <c r="J123" s="152">
        <f t="shared" si="31"/>
        <v>1274.7</v>
      </c>
      <c r="K123" s="152">
        <f t="shared" si="31"/>
        <v>1261.05</v>
      </c>
      <c r="L123" s="152">
        <f t="shared" si="31"/>
        <v>2118.9</v>
      </c>
      <c r="M123" s="152">
        <f t="shared" si="31"/>
        <v>1672.65</v>
      </c>
      <c r="N123" s="152">
        <f t="shared" si="31"/>
        <v>618.45000000000005</v>
      </c>
      <c r="O123" s="152">
        <f t="shared" si="31"/>
        <v>0</v>
      </c>
      <c r="P123" s="152">
        <f t="shared" si="31"/>
        <v>0</v>
      </c>
      <c r="Q123" s="152">
        <f t="shared" si="31"/>
        <v>0</v>
      </c>
      <c r="R123" s="153">
        <f>SUM(H123:Q123)</f>
        <v>7955.8499999999995</v>
      </c>
    </row>
    <row r="124" spans="3:22" ht="17.25" thickBot="1">
      <c r="C124" s="78"/>
      <c r="D124" s="175"/>
      <c r="E124" s="165"/>
      <c r="F124" s="111" t="s">
        <v>41</v>
      </c>
      <c r="G124" s="116"/>
      <c r="H124" s="154">
        <f t="shared" ref="H124:Q128" si="32">H107*1.05</f>
        <v>173.25</v>
      </c>
      <c r="I124" s="154">
        <f t="shared" si="32"/>
        <v>484.05</v>
      </c>
      <c r="J124" s="154">
        <f t="shared" si="32"/>
        <v>627.9</v>
      </c>
      <c r="K124" s="154">
        <f t="shared" si="32"/>
        <v>662.55000000000007</v>
      </c>
      <c r="L124" s="154">
        <f t="shared" si="32"/>
        <v>1075.2</v>
      </c>
      <c r="M124" s="154">
        <f t="shared" si="32"/>
        <v>896.7</v>
      </c>
      <c r="N124" s="154">
        <f t="shared" si="32"/>
        <v>214.20000000000002</v>
      </c>
      <c r="O124" s="154">
        <f t="shared" si="32"/>
        <v>0</v>
      </c>
      <c r="P124" s="154">
        <f t="shared" si="32"/>
        <v>0</v>
      </c>
      <c r="Q124" s="154">
        <f t="shared" si="32"/>
        <v>0</v>
      </c>
      <c r="R124" s="155">
        <f>SUM(H124:Q124)</f>
        <v>4133.8499999999995</v>
      </c>
      <c r="V124" s="34"/>
    </row>
    <row r="125" spans="3:22" ht="16.5">
      <c r="C125" s="78"/>
      <c r="D125" s="200" t="s">
        <v>51</v>
      </c>
      <c r="E125" s="82"/>
      <c r="F125" s="103" t="s">
        <v>40</v>
      </c>
      <c r="G125" s="118"/>
      <c r="H125" s="152">
        <f t="shared" si="32"/>
        <v>0</v>
      </c>
      <c r="I125" s="152">
        <f t="shared" si="32"/>
        <v>0</v>
      </c>
      <c r="J125" s="152">
        <f t="shared" si="32"/>
        <v>0</v>
      </c>
      <c r="K125" s="152">
        <f t="shared" si="32"/>
        <v>0</v>
      </c>
      <c r="L125" s="152">
        <f t="shared" si="32"/>
        <v>0</v>
      </c>
      <c r="M125" s="152">
        <f t="shared" si="32"/>
        <v>0</v>
      </c>
      <c r="N125" s="152">
        <f t="shared" si="32"/>
        <v>0</v>
      </c>
      <c r="O125" s="152">
        <f t="shared" si="32"/>
        <v>521.85</v>
      </c>
      <c r="P125" s="152">
        <f t="shared" si="32"/>
        <v>940.80000000000007</v>
      </c>
      <c r="Q125" s="152">
        <f t="shared" si="32"/>
        <v>627.9</v>
      </c>
      <c r="R125" s="153">
        <f t="shared" ref="R125:R128" si="33">SUM(H125:Q125)</f>
        <v>2090.5500000000002</v>
      </c>
      <c r="V125" s="34"/>
    </row>
    <row r="126" spans="3:22" ht="17.25" thickBot="1">
      <c r="C126" s="78"/>
      <c r="D126" s="201"/>
      <c r="E126" s="166"/>
      <c r="F126" s="89" t="s">
        <v>41</v>
      </c>
      <c r="G126" s="120"/>
      <c r="H126" s="156">
        <f t="shared" si="32"/>
        <v>0</v>
      </c>
      <c r="I126" s="156">
        <f t="shared" si="32"/>
        <v>0</v>
      </c>
      <c r="J126" s="156">
        <f t="shared" si="32"/>
        <v>0</v>
      </c>
      <c r="K126" s="156">
        <f t="shared" si="32"/>
        <v>0</v>
      </c>
      <c r="L126" s="156">
        <f t="shared" si="32"/>
        <v>0</v>
      </c>
      <c r="M126" s="156">
        <f t="shared" si="32"/>
        <v>0</v>
      </c>
      <c r="N126" s="156">
        <f t="shared" si="32"/>
        <v>0</v>
      </c>
      <c r="O126" s="156">
        <f t="shared" si="32"/>
        <v>232.05</v>
      </c>
      <c r="P126" s="156">
        <f t="shared" si="32"/>
        <v>364.35</v>
      </c>
      <c r="Q126" s="156">
        <f t="shared" si="32"/>
        <v>177.45000000000002</v>
      </c>
      <c r="R126" s="157">
        <f t="shared" si="33"/>
        <v>773.85000000000014</v>
      </c>
      <c r="V126" s="34"/>
    </row>
    <row r="127" spans="3:22" ht="16.5">
      <c r="C127" s="78"/>
      <c r="D127" s="174" t="s">
        <v>52</v>
      </c>
      <c r="E127" s="86"/>
      <c r="F127" s="110" t="s">
        <v>40</v>
      </c>
      <c r="G127" s="114"/>
      <c r="H127" s="158">
        <f t="shared" si="32"/>
        <v>0</v>
      </c>
      <c r="I127" s="158">
        <f t="shared" si="32"/>
        <v>0</v>
      </c>
      <c r="J127" s="158">
        <f t="shared" si="32"/>
        <v>171.15</v>
      </c>
      <c r="K127" s="158">
        <f t="shared" si="32"/>
        <v>257.25</v>
      </c>
      <c r="L127" s="158">
        <f t="shared" si="32"/>
        <v>572.25</v>
      </c>
      <c r="M127" s="158">
        <f t="shared" si="32"/>
        <v>430.5</v>
      </c>
      <c r="N127" s="158">
        <f t="shared" si="32"/>
        <v>0</v>
      </c>
      <c r="O127" s="158">
        <f t="shared" si="32"/>
        <v>0</v>
      </c>
      <c r="P127" s="158">
        <f t="shared" si="32"/>
        <v>0</v>
      </c>
      <c r="Q127" s="158">
        <f t="shared" si="32"/>
        <v>0</v>
      </c>
      <c r="R127" s="159">
        <f t="shared" si="33"/>
        <v>1431.15</v>
      </c>
      <c r="V127" s="34"/>
    </row>
    <row r="128" spans="3:22" ht="14.25" thickBot="1">
      <c r="C128" s="78"/>
      <c r="D128" s="175"/>
      <c r="E128" s="165"/>
      <c r="F128" s="111" t="s">
        <v>41</v>
      </c>
      <c r="G128" s="116"/>
      <c r="H128" s="154">
        <f t="shared" si="32"/>
        <v>0</v>
      </c>
      <c r="I128" s="154">
        <f t="shared" si="32"/>
        <v>0</v>
      </c>
      <c r="J128" s="154">
        <f t="shared" si="32"/>
        <v>81.900000000000006</v>
      </c>
      <c r="K128" s="154">
        <f t="shared" si="32"/>
        <v>100.80000000000001</v>
      </c>
      <c r="L128" s="154">
        <f t="shared" si="32"/>
        <v>136.5</v>
      </c>
      <c r="M128" s="154">
        <f t="shared" si="32"/>
        <v>100.80000000000001</v>
      </c>
      <c r="N128" s="154">
        <f t="shared" si="32"/>
        <v>0</v>
      </c>
      <c r="O128" s="154">
        <f t="shared" si="32"/>
        <v>0</v>
      </c>
      <c r="P128" s="154">
        <f t="shared" si="32"/>
        <v>0</v>
      </c>
      <c r="Q128" s="154">
        <f t="shared" si="32"/>
        <v>0</v>
      </c>
      <c r="R128" s="155">
        <f t="shared" si="33"/>
        <v>420.00000000000006</v>
      </c>
    </row>
    <row r="129" spans="3:22" ht="14.25" thickBot="1">
      <c r="C129" s="78"/>
      <c r="D129" s="122"/>
      <c r="E129" s="123"/>
      <c r="F129" s="124" t="s">
        <v>56</v>
      </c>
      <c r="G129" s="125"/>
      <c r="H129" s="160">
        <f>SUM(H123:H128)</f>
        <v>407.4</v>
      </c>
      <c r="I129" s="160">
        <f t="shared" ref="I129:Q129" si="34">SUM(I123:I128)</f>
        <v>1260</v>
      </c>
      <c r="J129" s="160">
        <f t="shared" si="34"/>
        <v>2155.65</v>
      </c>
      <c r="K129" s="160">
        <f t="shared" si="34"/>
        <v>2281.65</v>
      </c>
      <c r="L129" s="160">
        <f t="shared" si="34"/>
        <v>3902.8500000000004</v>
      </c>
      <c r="M129" s="160">
        <f t="shared" si="34"/>
        <v>3100.6500000000005</v>
      </c>
      <c r="N129" s="160">
        <f t="shared" si="34"/>
        <v>832.65000000000009</v>
      </c>
      <c r="O129" s="160">
        <f t="shared" si="34"/>
        <v>753.90000000000009</v>
      </c>
      <c r="P129" s="160">
        <f t="shared" si="34"/>
        <v>1305.1500000000001</v>
      </c>
      <c r="Q129" s="160">
        <f t="shared" si="34"/>
        <v>805.35</v>
      </c>
      <c r="R129" s="160">
        <f t="shared" ref="R129" si="35">SUM(H129:Q129)</f>
        <v>16805.25</v>
      </c>
    </row>
    <row r="130" spans="3:22">
      <c r="C130" s="82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V130" s="26"/>
    </row>
    <row r="131" spans="3:22" ht="14.25" thickBot="1">
      <c r="C131" s="198" t="s">
        <v>57</v>
      </c>
      <c r="D131" s="198"/>
      <c r="E131" s="198"/>
      <c r="F131" s="199"/>
      <c r="G131" s="87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V131" s="26"/>
    </row>
    <row r="132" spans="3:22" ht="13.5" customHeight="1">
      <c r="C132" s="164"/>
      <c r="D132" s="194" t="s">
        <v>49</v>
      </c>
      <c r="E132" s="64"/>
      <c r="F132" s="110" t="s">
        <v>40</v>
      </c>
      <c r="G132" s="68"/>
      <c r="H132" s="59"/>
      <c r="I132" s="59">
        <f>I96*1.05</f>
        <v>68.25</v>
      </c>
      <c r="J132" s="59">
        <f t="shared" ref="J132:M132" si="36">J96*1.05</f>
        <v>80.850000000000009</v>
      </c>
      <c r="K132" s="59">
        <f t="shared" si="36"/>
        <v>123.9</v>
      </c>
      <c r="L132" s="59">
        <f t="shared" si="36"/>
        <v>136.5</v>
      </c>
      <c r="M132" s="59">
        <f t="shared" si="36"/>
        <v>68.25</v>
      </c>
      <c r="N132" s="59"/>
      <c r="O132" s="59"/>
      <c r="P132" s="59"/>
      <c r="Q132" s="59"/>
      <c r="R132" s="60">
        <f>SUM(H132:Q132)</f>
        <v>477.75</v>
      </c>
    </row>
    <row r="133" spans="3:22" ht="14.25" thickBot="1">
      <c r="C133" s="164"/>
      <c r="D133" s="195"/>
      <c r="E133" s="69"/>
      <c r="F133" s="111" t="s">
        <v>41</v>
      </c>
      <c r="G133" s="70"/>
      <c r="H133" s="71"/>
      <c r="I133" s="161">
        <f t="shared" ref="I133:M133" si="37">I97*1.05</f>
        <v>106.05000000000001</v>
      </c>
      <c r="J133" s="161">
        <f t="shared" si="37"/>
        <v>156.45000000000002</v>
      </c>
      <c r="K133" s="161">
        <f t="shared" si="37"/>
        <v>174.3</v>
      </c>
      <c r="L133" s="161">
        <f t="shared" si="37"/>
        <v>212.10000000000002</v>
      </c>
      <c r="M133" s="161">
        <f t="shared" si="37"/>
        <v>118.65</v>
      </c>
      <c r="N133" s="71"/>
      <c r="O133" s="71"/>
      <c r="P133" s="71"/>
      <c r="Q133" s="71"/>
      <c r="R133" s="76">
        <f>SUM(H133:Q133)</f>
        <v>767.55000000000007</v>
      </c>
    </row>
    <row r="134" spans="3:22">
      <c r="V134" s="26"/>
    </row>
    <row r="135" spans="3:22">
      <c r="V135" s="26"/>
    </row>
  </sheetData>
  <mergeCells count="55">
    <mergeCell ref="D132:D133"/>
    <mergeCell ref="D119:D120"/>
    <mergeCell ref="C122:E122"/>
    <mergeCell ref="D123:D124"/>
    <mergeCell ref="D125:D126"/>
    <mergeCell ref="D127:D128"/>
    <mergeCell ref="C131:F131"/>
    <mergeCell ref="D117:D118"/>
    <mergeCell ref="C81:C84"/>
    <mergeCell ref="D81:D84"/>
    <mergeCell ref="G81:G84"/>
    <mergeCell ref="C90:C104"/>
    <mergeCell ref="D90:D91"/>
    <mergeCell ref="D92:D93"/>
    <mergeCell ref="D94:D95"/>
    <mergeCell ref="D96:D97"/>
    <mergeCell ref="D98:D99"/>
    <mergeCell ref="D100:D101"/>
    <mergeCell ref="D102:D103"/>
    <mergeCell ref="D106:D107"/>
    <mergeCell ref="D108:D109"/>
    <mergeCell ref="D110:D111"/>
    <mergeCell ref="D115:D116"/>
    <mergeCell ref="C68:C71"/>
    <mergeCell ref="D68:D71"/>
    <mergeCell ref="G68:G71"/>
    <mergeCell ref="C74:C77"/>
    <mergeCell ref="D74:D77"/>
    <mergeCell ref="G74:G77"/>
    <mergeCell ref="C56:C59"/>
    <mergeCell ref="D56:D59"/>
    <mergeCell ref="G56:G59"/>
    <mergeCell ref="C62:C65"/>
    <mergeCell ref="D62:D65"/>
    <mergeCell ref="G62:G65"/>
    <mergeCell ref="C44:C47"/>
    <mergeCell ref="D44:D47"/>
    <mergeCell ref="G44:G47"/>
    <mergeCell ref="C50:C53"/>
    <mergeCell ref="D50:D53"/>
    <mergeCell ref="G50:G53"/>
    <mergeCell ref="C32:C35"/>
    <mergeCell ref="D32:D35"/>
    <mergeCell ref="G32:G35"/>
    <mergeCell ref="C38:C41"/>
    <mergeCell ref="D38:D41"/>
    <mergeCell ref="G38:G41"/>
    <mergeCell ref="C4:C9"/>
    <mergeCell ref="D4:D6"/>
    <mergeCell ref="G4:G9"/>
    <mergeCell ref="D7:D9"/>
    <mergeCell ref="C12:C29"/>
    <mergeCell ref="D12:D20"/>
    <mergeCell ref="G12:G29"/>
    <mergeCell ref="D21:D29"/>
  </mergeCells>
  <phoneticPr fontId="2" type="noConversion"/>
  <pageMargins left="0.25" right="0.25" top="0.75" bottom="0.75" header="0.3" footer="0.3"/>
  <pageSetup paperSize="9" scale="32" fitToHeight="0" orientation="portrait" r:id="rId1"/>
  <headerFooter alignWithMargins="0"/>
  <rowBreaks count="1" manualBreakCount="1">
    <brk id="12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SS22 commit</vt:lpstr>
      <vt:lpstr>SS22 po</vt:lpstr>
      <vt:lpstr>'SS22 commit'!Print_Area</vt:lpstr>
      <vt:lpstr>'SS22 po'!Print_Area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user</cp:lastModifiedBy>
  <cp:lastPrinted>2020-10-27T09:02:55Z</cp:lastPrinted>
  <dcterms:created xsi:type="dcterms:W3CDTF">2019-09-30T05:29:53Z</dcterms:created>
  <dcterms:modified xsi:type="dcterms:W3CDTF">2021-09-02T04:24:10Z</dcterms:modified>
</cp:coreProperties>
</file>