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Volumes/UsersHome/linglv/Documents/GeorgiaTechBootCamp/Homework/Instructions/"/>
    </mc:Choice>
  </mc:AlternateContent>
  <xr:revisionPtr revIDLastSave="0" documentId="13_ncr:1_{557CBB39-AC96-9741-A4F3-84029672A97A}" xr6:coauthVersionLast="46" xr6:coauthVersionMax="46" xr10:uidLastSave="{00000000-0000-0000-0000-000000000000}"/>
  <bookViews>
    <workbookView xWindow="5900" yWindow="1580" windowWidth="34420" windowHeight="23580" activeTab="4" xr2:uid="{00000000-000D-0000-FFFF-FFFF00000000}"/>
  </bookViews>
  <sheets>
    <sheet name="Pivot" sheetId="3" r:id="rId1"/>
    <sheet name="sub_pivot" sheetId="4" r:id="rId2"/>
    <sheet name="LaunchDateOutcomes_pivot" sheetId="6" r:id="rId3"/>
    <sheet name="Bonus_statistics" sheetId="7" r:id="rId4"/>
    <sheet name="Bonus_backers" sheetId="8" r:id="rId5"/>
    <sheet name="Sheet1" sheetId="1" r:id="rId6"/>
  </sheets>
  <definedNames>
    <definedName name="_xlnm._FilterDatabase" localSheetId="5" hidden="1">Sheet1!$F$1:$F$4115</definedName>
  </definedNames>
  <calcPr calcId="191029"/>
  <pivotCaches>
    <pivotCache cacheId="57" r:id="rId7"/>
    <pivotCache cacheId="5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4" l="1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6" i="4"/>
  <c r="G6" i="3"/>
  <c r="G7" i="3"/>
  <c r="G8" i="3"/>
  <c r="G9" i="3"/>
  <c r="G10" i="3"/>
  <c r="G11" i="3"/>
  <c r="G12" i="3"/>
  <c r="G13" i="3"/>
  <c r="G14" i="3"/>
  <c r="G5" i="3"/>
  <c r="K7" i="8"/>
  <c r="J7" i="8"/>
  <c r="K6" i="8"/>
  <c r="J6" i="8"/>
  <c r="K5" i="8"/>
  <c r="J5" i="8"/>
  <c r="K4" i="8"/>
  <c r="J4" i="8"/>
  <c r="K3" i="8"/>
  <c r="J3" i="8"/>
  <c r="K2" i="8"/>
  <c r="J2" i="8"/>
  <c r="D6" i="7"/>
  <c r="D13" i="7"/>
  <c r="D12" i="7"/>
  <c r="D11" i="7"/>
  <c r="D10" i="7"/>
  <c r="D9" i="7"/>
  <c r="C9" i="7"/>
  <c r="D8" i="7"/>
  <c r="D7" i="7"/>
  <c r="C13" i="7"/>
  <c r="C12" i="7"/>
  <c r="C11" i="7"/>
  <c r="C10" i="7"/>
  <c r="C8" i="7"/>
  <c r="C7" i="7"/>
  <c r="B8" i="7"/>
  <c r="C6" i="7"/>
  <c r="B13" i="7"/>
  <c r="B12" i="7"/>
  <c r="B11" i="7"/>
  <c r="B10" i="7"/>
  <c r="B9" i="7"/>
  <c r="B7" i="7"/>
  <c r="B6" i="7"/>
  <c r="D5" i="7"/>
  <c r="C5" i="7"/>
  <c r="B4" i="7"/>
  <c r="B2" i="7"/>
  <c r="B3" i="7" s="1"/>
  <c r="B5" i="7"/>
  <c r="D4" i="7"/>
  <c r="C4" i="7"/>
  <c r="D2" i="7"/>
  <c r="D3" i="7" s="1"/>
  <c r="C2" i="7"/>
  <c r="C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7" l="1"/>
  <c r="H2" i="7"/>
  <c r="G2" i="7"/>
  <c r="F2" i="7"/>
  <c r="E13" i="7"/>
  <c r="F13" i="7" s="1"/>
  <c r="E9" i="7"/>
  <c r="F9" i="7" s="1"/>
  <c r="E12" i="7"/>
  <c r="F12" i="7" s="1"/>
  <c r="E11" i="7"/>
  <c r="F11" i="7" s="1"/>
  <c r="E10" i="7"/>
  <c r="H10" i="7" s="1"/>
  <c r="E8" i="7"/>
  <c r="H8" i="7" s="1"/>
  <c r="E7" i="7"/>
  <c r="G7" i="7" s="1"/>
  <c r="E4" i="7"/>
  <c r="G4" i="7" s="1"/>
  <c r="E6" i="7"/>
  <c r="E3" i="7"/>
  <c r="F3" i="7" s="1"/>
  <c r="E5" i="7"/>
  <c r="F5" i="7" s="1"/>
  <c r="G13" i="7" l="1"/>
  <c r="F10" i="7"/>
  <c r="H3" i="7"/>
  <c r="G11" i="7"/>
  <c r="G10" i="7"/>
  <c r="H4" i="7"/>
  <c r="H11" i="7"/>
  <c r="H12" i="7"/>
  <c r="F7" i="7"/>
  <c r="F8" i="7"/>
  <c r="G5" i="7"/>
  <c r="G8" i="7"/>
  <c r="H5" i="7"/>
  <c r="H13" i="7"/>
  <c r="G3" i="7"/>
  <c r="G12" i="7"/>
  <c r="F4" i="7"/>
  <c r="G9" i="7"/>
  <c r="H7" i="7"/>
  <c r="H9" i="7"/>
  <c r="H6" i="7"/>
  <c r="G6" i="7"/>
  <c r="F6" i="7"/>
</calcChain>
</file>

<file path=xl/sharedStrings.xml><?xml version="1.0" encoding="utf-8"?>
<sst xmlns="http://schemas.openxmlformats.org/spreadsheetml/2006/main" count="28548" uniqueCount="8412">
  <si>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</si>
  <si>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</si>
  <si>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</si>
  <si>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</si>
  <si>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</si>
  <si>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</si>
  <si>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</si>
  <si>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</si>
  <si>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</si>
  <si>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</si>
  <si>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</si>
  <si>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</si>
  <si>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</si>
  <si>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</si>
  <si>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</si>
  <si>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</si>
  <si>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</si>
  <si>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</si>
  <si>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</si>
  <si>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</si>
  <si>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</si>
  <si>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</si>
  <si>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</si>
  <si>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</si>
  <si>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</si>
  <si>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</si>
  <si>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</si>
  <si>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</si>
  <si>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</si>
  <si>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</si>
  <si>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</si>
  <si>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</si>
  <si>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</si>
  <si>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</si>
  <si>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</si>
  <si>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</si>
  <si>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</si>
  <si>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</si>
  <si>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</si>
  <si>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</si>
  <si>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</si>
  <si>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</si>
  <si>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</si>
  <si>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</si>
  <si>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</si>
  <si>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</si>
  <si>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</si>
  <si>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</si>
  <si>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</si>
  <si>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</si>
  <si>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</si>
  <si>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</si>
  <si>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</si>
  <si>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</si>
  <si>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</si>
  <si>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</si>
  <si>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</si>
  <si>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</si>
  <si>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</si>
  <si>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</si>
  <si>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</si>
  <si>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</si>
  <si>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</si>
  <si>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</si>
  <si>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</si>
  <si>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</si>
  <si>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</si>
  <si>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</si>
  <si>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</si>
  <si>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</si>
  <si>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</si>
  <si>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</si>
  <si>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</si>
  <si>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</si>
  <si>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</si>
  <si>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</si>
  <si>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</si>
  <si>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</si>
  <si>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</si>
  <si>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</si>
  <si>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</si>
  <si>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</si>
  <si>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</si>
  <si>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</si>
  <si>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</si>
  <si>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</si>
  <si>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</si>
  <si>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</si>
  <si>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</si>
  <si>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</si>
  <si>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</si>
  <si>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</si>
  <si>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</si>
  <si>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</si>
  <si>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</si>
  <si>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</si>
  <si>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</si>
  <si>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</si>
  <si>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</si>
  <si>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</si>
  <si>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</si>
  <si>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</si>
  <si>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</si>
  <si>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</si>
  <si>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</si>
  <si>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</si>
  <si>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</si>
  <si>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</si>
  <si>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</si>
  <si>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</si>
  <si>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</si>
  <si>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</si>
  <si>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</si>
  <si>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</si>
  <si>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</si>
  <si>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</si>
  <si>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</si>
  <si>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</si>
  <si>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</si>
  <si>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</si>
  <si>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</si>
  <si>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</si>
  <si>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</si>
  <si>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</si>
  <si>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</si>
  <si>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</si>
  <si>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</si>
  <si>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</si>
  <si>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</si>
  <si>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</si>
  <si>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</si>
  <si>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</si>
  <si>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</si>
  <si>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</si>
  <si>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</si>
  <si>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</si>
  <si>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</si>
  <si>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</si>
  <si>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</si>
  <si>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</si>
  <si>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</si>
  <si>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</si>
  <si>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</si>
  <si>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</si>
  <si>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</si>
  <si>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</si>
  <si>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</si>
  <si>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</si>
  <si>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</si>
  <si>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</si>
  <si>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</si>
  <si>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</si>
  <si>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</si>
  <si>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</si>
  <si>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</si>
  <si>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</si>
  <si>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</si>
  <si>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</si>
  <si>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</si>
  <si>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</si>
  <si>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</si>
  <si>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</si>
  <si>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</si>
  <si>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</si>
  <si>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</si>
  <si>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</si>
  <si>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</si>
  <si>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</si>
  <si>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</si>
  <si>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</si>
  <si>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</si>
  <si>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</si>
  <si>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</si>
  <si>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</si>
  <si>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</si>
  <si>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</si>
  <si>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</si>
  <si>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</si>
  <si>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</si>
  <si>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</si>
  <si>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</si>
  <si>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</si>
  <si>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</si>
  <si>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</si>
  <si>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</si>
  <si>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</si>
  <si>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</si>
  <si>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</si>
  <si>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</si>
  <si>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</si>
  <si>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</si>
  <si>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</si>
  <si>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</si>
  <si>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</si>
  <si>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</si>
  <si>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</si>
  <si>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</si>
  <si>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</si>
  <si>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</si>
  <si>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</si>
  <si>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</si>
  <si>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</si>
  <si>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</si>
  <si>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</si>
  <si>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</si>
  <si>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</si>
  <si>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</si>
  <si>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</si>
  <si>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</si>
  <si>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</si>
  <si>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</si>
  <si>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</si>
  <si>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</si>
  <si>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</si>
  <si>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</si>
  <si>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</si>
  <si>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</si>
  <si>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</si>
  <si>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</si>
  <si>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</si>
  <si>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</si>
  <si>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</si>
  <si>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</si>
  <si>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</si>
  <si>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</si>
  <si>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</si>
  <si>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</si>
  <si>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</si>
  <si>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</si>
  <si>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</si>
  <si>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</si>
  <si>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</si>
  <si>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</si>
  <si>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</si>
  <si>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</si>
  <si>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</si>
  <si>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</si>
  <si>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</si>
  <si>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</si>
  <si>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</si>
  <si>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</si>
  <si>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</si>
  <si>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</si>
  <si>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</si>
  <si>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</si>
  <si>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</si>
  <si>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</si>
  <si>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</si>
  <si>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</si>
  <si>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</si>
  <si>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</si>
  <si>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</si>
  <si>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</si>
  <si>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</si>
  <si>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</si>
  <si>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</si>
  <si>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</si>
  <si>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</si>
  <si>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</si>
  <si>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</si>
  <si>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</si>
  <si>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</si>
  <si>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</si>
  <si>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</si>
  <si>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</si>
  <si>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</si>
  <si>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</si>
  <si>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</si>
  <si>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</si>
  <si>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</si>
  <si>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</si>
  <si>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</si>
  <si>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</si>
  <si>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</si>
  <si>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</si>
  <si>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</si>
  <si>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</si>
  <si>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</si>
  <si>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</si>
  <si>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</si>
  <si>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</si>
  <si>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</si>
  <si>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</si>
  <si>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</si>
  <si>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</si>
  <si>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</si>
  <si>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</si>
  <si>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</si>
  <si>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</si>
  <si>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</si>
  <si>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</si>
  <si>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</si>
  <si>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</si>
  <si>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</si>
  <si>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</si>
  <si>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</si>
  <si>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</si>
  <si>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</si>
  <si>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</si>
  <si>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</si>
  <si>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</si>
  <si>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</si>
  <si>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</si>
  <si>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</si>
  <si>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</si>
  <si>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</si>
  <si>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</si>
  <si>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</si>
  <si>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</si>
  <si>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</si>
  <si>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</si>
  <si>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</si>
  <si>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</si>
  <si>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</si>
  <si>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</si>
  <si>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</si>
  <si>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</si>
  <si>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</si>
  <si>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</si>
  <si>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</si>
  <si>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</si>
  <si>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</si>
  <si>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</si>
  <si>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</si>
  <si>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</si>
  <si>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</si>
  <si>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</si>
  <si>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</si>
  <si>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</si>
  <si>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</si>
  <si>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</si>
  <si>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</si>
  <si>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</si>
  <si>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</si>
  <si>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</si>
  <si>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</si>
  <si>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</si>
  <si>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</si>
  <si>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</si>
  <si>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</si>
  <si>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</si>
  <si>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</si>
  <si>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</si>
  <si>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</si>
  <si>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</si>
  <si>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</si>
  <si>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</si>
  <si>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</si>
  <si>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</si>
  <si>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</si>
  <si>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</si>
  <si>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</si>
  <si>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</si>
  <si>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</si>
  <si>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</si>
  <si>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</si>
  <si>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</si>
  <si>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</si>
  <si>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</si>
  <si>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</si>
  <si>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</si>
  <si>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</si>
  <si>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</si>
  <si>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</si>
  <si>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</si>
  <si>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</si>
  <si>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</si>
  <si>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</si>
  <si>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</si>
  <si>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</si>
  <si>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</si>
  <si>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</si>
  <si>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</si>
  <si>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</si>
  <si>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</si>
  <si>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</si>
  <si>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</si>
  <si>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</si>
  <si>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</si>
  <si>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</si>
  <si>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</si>
  <si>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</si>
  <si>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</si>
  <si>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</si>
  <si>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</si>
  <si>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</si>
  <si>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</si>
  <si>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</si>
  <si>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</si>
  <si>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</si>
  <si>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</si>
  <si>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</si>
  <si>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</si>
  <si>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</si>
  <si>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</si>
  <si>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</si>
  <si>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</si>
  <si>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</si>
  <si>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</si>
  <si>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</si>
  <si>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</si>
  <si>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</si>
  <si>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</si>
  <si>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</si>
  <si>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</si>
  <si>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</si>
  <si>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</si>
  <si>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</si>
  <si>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</si>
  <si>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</si>
  <si>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</si>
  <si>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</si>
  <si>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</si>
  <si>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</si>
  <si>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</si>
  <si>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</si>
  <si>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</si>
  <si>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</si>
  <si>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</si>
  <si>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</si>
  <si>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</si>
  <si>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</si>
  <si>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</si>
  <si>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</si>
  <si>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</si>
  <si>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</si>
  <si>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</si>
  <si>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</si>
  <si>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</si>
  <si>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</si>
  <si>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</si>
  <si>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</si>
  <si>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</si>
  <si>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</si>
  <si>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</si>
  <si>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</si>
  <si>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</si>
  <si>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</si>
  <si>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</si>
  <si>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</si>
  <si>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</si>
  <si>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</si>
  <si>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</si>
  <si>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</si>
  <si>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</si>
  <si>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</si>
  <si>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</si>
  <si>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</si>
  <si>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</si>
  <si>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</si>
  <si>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</si>
  <si>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</si>
  <si>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</si>
  <si>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</si>
  <si>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</si>
  <si>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</si>
  <si>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</si>
  <si>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</si>
  <si>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</si>
  <si>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</si>
  <si>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</si>
  <si>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</si>
  <si>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</si>
  <si>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</si>
  <si>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</si>
  <si>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</si>
  <si>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</si>
  <si>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</si>
  <si>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</si>
  <si>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</si>
  <si>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</si>
  <si>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</si>
  <si>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</si>
  <si>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</si>
  <si>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</si>
  <si>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</si>
  <si>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</si>
  <si>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</si>
  <si>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</si>
  <si>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</si>
  <si>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</si>
  <si>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</si>
  <si>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</si>
  <si>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</si>
  <si>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</si>
  <si>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</si>
  <si>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</si>
  <si>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</si>
  <si>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</si>
  <si>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</si>
  <si>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</si>
  <si>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</si>
  <si>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</si>
  <si>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</si>
  <si>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</si>
  <si>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</si>
  <si>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</si>
  <si>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</si>
  <si>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</si>
  <si>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</si>
  <si>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</si>
  <si>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</si>
  <si>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</si>
  <si>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</si>
  <si>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</si>
  <si>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</si>
  <si>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</si>
  <si>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</si>
  <si>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</si>
  <si>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</si>
  <si>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</si>
  <si>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</si>
  <si>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</si>
  <si>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</si>
  <si>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</si>
  <si>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</si>
  <si>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</si>
  <si>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</si>
  <si>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</si>
  <si>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</si>
  <si>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</si>
  <si>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</si>
  <si>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</si>
  <si>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</si>
  <si>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</si>
  <si>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</si>
  <si>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</si>
  <si>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</si>
  <si>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</si>
  <si>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</si>
  <si>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</si>
  <si>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</si>
  <si>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</si>
  <si>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</si>
  <si>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</si>
  <si>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</si>
  <si>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</si>
  <si>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</si>
  <si>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</si>
  <si>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</si>
  <si>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</si>
  <si>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</si>
  <si>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</si>
  <si>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</si>
  <si>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</si>
  <si>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</si>
  <si>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</si>
  <si>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</si>
  <si>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</si>
  <si>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</si>
  <si>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</si>
  <si>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</si>
  <si>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</si>
  <si>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</si>
  <si>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</si>
  <si>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</si>
  <si>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</si>
  <si>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</si>
  <si>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</si>
  <si>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</si>
  <si>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</si>
  <si>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</si>
  <si>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</si>
  <si>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</si>
  <si>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</si>
  <si>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</si>
  <si>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</si>
  <si>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</si>
  <si>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</si>
  <si>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</si>
  <si>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</si>
  <si>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</si>
  <si>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</si>
  <si>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</si>
  <si>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</si>
  <si>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</si>
  <si>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</si>
  <si>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</si>
  <si>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</si>
  <si>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</si>
  <si>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</si>
  <si>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</si>
  <si>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</si>
  <si>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</si>
  <si>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</si>
  <si>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</si>
  <si>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</si>
  <si>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</si>
  <si>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</si>
  <si>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</si>
  <si>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</si>
  <si>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</si>
  <si>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</si>
  <si>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</si>
  <si>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</si>
  <si>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</si>
  <si>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</si>
  <si>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</si>
  <si>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</si>
  <si>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</si>
  <si>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</si>
  <si>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</si>
  <si>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</si>
  <si>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</si>
  <si>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</si>
  <si>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</si>
  <si>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</si>
  <si>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</si>
  <si>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</si>
  <si>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</si>
  <si>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</si>
  <si>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</si>
  <si>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</si>
  <si>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</si>
  <si>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</si>
  <si>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</si>
  <si>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</si>
  <si>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</si>
  <si>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</si>
  <si>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</si>
  <si>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</si>
  <si>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</si>
  <si>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</si>
  <si>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</si>
  <si>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</si>
  <si>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</si>
  <si>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</si>
  <si>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</si>
  <si>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</si>
  <si>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</si>
  <si>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</si>
  <si>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</si>
  <si>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</si>
  <si>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</si>
  <si>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</si>
  <si>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</si>
  <si>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</si>
  <si>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</si>
  <si>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</si>
  <si>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</si>
  <si>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</si>
  <si>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</si>
  <si>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</si>
  <si>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</si>
  <si>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</si>
  <si>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</si>
  <si>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</si>
  <si>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</si>
  <si>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</si>
  <si>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</si>
  <si>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</si>
  <si>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</si>
  <si>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</si>
  <si>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</si>
  <si>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</si>
  <si>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</si>
  <si>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</si>
  <si>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</si>
  <si>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</si>
  <si>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</si>
  <si>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</si>
  <si>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</si>
  <si>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</si>
  <si>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</si>
  <si>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</si>
  <si>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</si>
  <si>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</si>
  <si>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</si>
  <si>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</si>
  <si>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</si>
  <si>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</si>
  <si>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</si>
  <si>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</si>
  <si>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</si>
  <si>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</si>
  <si>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</si>
  <si>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</si>
  <si>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</si>
  <si>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</si>
  <si>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</si>
  <si>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</si>
  <si>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</si>
  <si>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</si>
  <si>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</si>
  <si>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</si>
  <si>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</si>
  <si>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</si>
  <si>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</si>
  <si>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</si>
  <si>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</si>
  <si>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</si>
  <si>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</si>
  <si>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</si>
  <si>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</si>
  <si>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</si>
  <si>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</si>
  <si>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</si>
  <si>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</si>
  <si>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</si>
  <si>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</si>
  <si>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</si>
  <si>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</si>
  <si>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</si>
  <si>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</si>
  <si>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</si>
  <si>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</si>
  <si>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</si>
  <si>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</si>
  <si>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</si>
  <si>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</si>
  <si>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</si>
  <si>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</si>
  <si>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</si>
  <si>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</si>
  <si>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</si>
  <si>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</si>
  <si>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</si>
  <si>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</si>
  <si>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</si>
  <si>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</si>
  <si>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</si>
  <si>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</si>
  <si>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</si>
  <si>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</si>
  <si>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</si>
  <si>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</si>
  <si>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</si>
  <si>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</si>
  <si>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</si>
  <si>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</si>
  <si>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</si>
  <si>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</si>
  <si>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</si>
  <si>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</si>
  <si>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</si>
  <si>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</si>
  <si>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</si>
  <si>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</si>
  <si>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</si>
  <si>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</si>
  <si>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</si>
  <si>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</si>
  <si>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</si>
  <si>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</si>
  <si>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</si>
  <si>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</si>
  <si>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</si>
  <si>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</si>
  <si>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</si>
  <si>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</si>
  <si>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</si>
  <si>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</si>
  <si>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</si>
  <si>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</si>
  <si>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</si>
  <si>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</si>
  <si>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</si>
  <si>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</si>
  <si>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</si>
  <si>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</si>
  <si>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</si>
  <si>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</si>
  <si>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</si>
  <si>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</si>
  <si>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</si>
  <si>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</si>
  <si>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</si>
  <si>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</si>
  <si>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</si>
  <si>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</si>
  <si>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</si>
  <si>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</si>
  <si>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</si>
  <si>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</si>
  <si>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</si>
  <si>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</si>
  <si>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</si>
  <si>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</si>
  <si>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</si>
  <si>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</si>
  <si>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</si>
  <si>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</si>
  <si>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</si>
  <si>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</si>
  <si>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</si>
  <si>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</si>
  <si>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</si>
  <si>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</si>
  <si>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</si>
  <si>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</si>
  <si>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</si>
  <si>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</si>
  <si>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</si>
  <si>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</si>
  <si>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</si>
  <si>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</si>
  <si>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</si>
  <si>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</si>
  <si>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</si>
  <si>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</si>
  <si>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</si>
  <si>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</si>
  <si>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</si>
  <si>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</si>
  <si>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</si>
  <si>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</si>
  <si>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</si>
  <si>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</si>
  <si>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</si>
  <si>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</si>
  <si>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</si>
  <si>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</si>
  <si>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</si>
  <si>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</si>
  <si>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</si>
  <si>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</si>
  <si>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</si>
  <si>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</si>
  <si>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</si>
  <si>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</si>
  <si>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</si>
  <si>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</si>
  <si>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</si>
  <si>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</si>
  <si>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</si>
  <si>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</si>
  <si>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</si>
  <si>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</si>
  <si>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</si>
  <si>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</si>
  <si>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</si>
  <si>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</si>
  <si>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</si>
  <si>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</si>
  <si>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</si>
  <si>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</si>
  <si>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</si>
  <si>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</si>
  <si>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</si>
  <si>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</si>
  <si>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</si>
  <si>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</si>
  <si>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</si>
  <si>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</si>
  <si>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</si>
  <si>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</si>
  <si>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</si>
  <si>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</si>
  <si>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</si>
  <si>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</si>
  <si>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</si>
  <si>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</si>
  <si>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</si>
  <si>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</si>
  <si>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</si>
  <si>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</si>
  <si>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</si>
  <si>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</si>
  <si>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</si>
  <si>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</si>
  <si>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</si>
  <si>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</si>
  <si>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</si>
  <si>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</si>
  <si>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</si>
  <si>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</si>
  <si>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</si>
  <si>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</si>
  <si>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</si>
  <si>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</si>
  <si>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</si>
  <si>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</si>
  <si>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</si>
  <si>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</si>
  <si>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</si>
  <si>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</si>
  <si>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</si>
  <si>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</si>
  <si>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</si>
  <si>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</si>
  <si>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</si>
  <si>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</si>
  <si>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</si>
  <si>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</si>
  <si>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</si>
  <si>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</si>
  <si>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</si>
  <si>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</si>
  <si>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</si>
  <si>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</si>
  <si>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</si>
  <si>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</si>
  <si>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</si>
  <si>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</si>
  <si>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</si>
  <si>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</si>
  <si>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</si>
  <si>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</si>
  <si>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</si>
  <si>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</si>
  <si>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</si>
  <si>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</si>
  <si>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</si>
  <si>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</si>
  <si>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</si>
  <si>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</si>
  <si>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</si>
  <si>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</si>
  <si>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</si>
  <si>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</si>
  <si>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</si>
  <si>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</si>
  <si>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</si>
  <si>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</si>
  <si>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</si>
  <si>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</si>
  <si>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</si>
  <si>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</si>
  <si>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</si>
  <si>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</si>
  <si>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</si>
  <si>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</si>
  <si>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</si>
  <si>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</si>
  <si>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</si>
  <si>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</si>
  <si>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</si>
  <si>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</si>
  <si>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</si>
  <si>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</si>
  <si>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</si>
  <si>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</si>
  <si>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</si>
  <si>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</si>
  <si>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</si>
  <si>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</si>
  <si>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</si>
  <si>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</si>
  <si>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</si>
  <si>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</si>
  <si>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</si>
  <si>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</si>
  <si>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</si>
  <si>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</si>
  <si>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</si>
  <si>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</si>
  <si>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</si>
  <si>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</si>
  <si>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</si>
  <si>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</si>
  <si>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</si>
  <si>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</si>
  <si>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</si>
  <si>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</si>
  <si>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</si>
  <si>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</si>
  <si>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</si>
  <si>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</si>
  <si>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</si>
  <si>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</si>
  <si>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</si>
  <si>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</si>
  <si>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</si>
  <si>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</si>
  <si>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</si>
  <si>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</si>
  <si>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</si>
  <si>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</si>
  <si>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</si>
  <si>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</si>
  <si>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</si>
  <si>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</si>
  <si>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</si>
  <si>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</si>
  <si>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</si>
  <si>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</si>
  <si>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</si>
  <si>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</si>
  <si>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</si>
  <si>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</si>
  <si>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</si>
  <si>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</si>
  <si>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</si>
  <si>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</si>
  <si>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</si>
  <si>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</si>
  <si>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</si>
  <si>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</si>
  <si>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</si>
  <si>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</si>
  <si>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</si>
  <si>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</si>
  <si>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</si>
  <si>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</si>
  <si>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</si>
  <si>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</si>
  <si>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</si>
  <si>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</si>
  <si>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</si>
  <si>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</si>
  <si>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</si>
  <si>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</si>
  <si>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</si>
  <si>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</si>
  <si>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</si>
  <si>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</si>
  <si>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</si>
  <si>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</si>
  <si>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</si>
  <si>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</si>
  <si>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</si>
  <si>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</si>
  <si>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</si>
  <si>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</si>
  <si>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</si>
  <si>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</si>
  <si>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</si>
  <si>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</si>
  <si>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</si>
  <si>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</si>
  <si>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</si>
  <si>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</si>
  <si>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</si>
  <si>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</si>
  <si>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</si>
  <si>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</si>
  <si>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</si>
  <si>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</si>
  <si>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</si>
  <si>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</si>
  <si>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</si>
  <si>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</si>
  <si>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</si>
  <si>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</si>
  <si>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</si>
  <si>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</si>
  <si>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</si>
  <si>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</si>
  <si>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</si>
  <si>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</si>
  <si>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</si>
  <si>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</si>
  <si>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</si>
  <si>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</si>
  <si>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</si>
  <si>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</si>
  <si>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</si>
  <si>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</si>
  <si>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</si>
  <si>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</si>
  <si>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</si>
  <si>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</si>
  <si>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</si>
  <si>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</si>
  <si>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</si>
  <si>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</si>
  <si>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</si>
  <si>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</si>
  <si>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</si>
  <si>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</si>
  <si>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</si>
  <si>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</si>
  <si>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</si>
  <si>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</si>
  <si>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</si>
  <si>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</si>
  <si>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</si>
  <si>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</si>
  <si>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</si>
  <si>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</si>
  <si>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</si>
  <si>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</si>
  <si>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</si>
  <si>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</si>
  <si>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</si>
  <si>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</si>
  <si>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</si>
  <si>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</si>
  <si>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</si>
  <si>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</si>
  <si>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</si>
  <si>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</si>
  <si>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</si>
  <si>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</si>
  <si>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</si>
  <si>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</si>
  <si>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</si>
  <si>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</si>
  <si>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</si>
  <si>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</si>
  <si>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</si>
  <si>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</si>
  <si>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</si>
  <si>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</si>
  <si>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</si>
  <si>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</si>
  <si>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</si>
  <si>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</si>
  <si>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</si>
  <si>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</si>
  <si>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</si>
  <si>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</si>
  <si>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</si>
  <si>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</si>
  <si>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</si>
  <si>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</si>
  <si>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</si>
  <si>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</si>
  <si>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</si>
  <si>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</si>
  <si>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</si>
  <si>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</si>
  <si>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</si>
  <si>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</si>
  <si>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</si>
  <si>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</si>
  <si>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</si>
  <si>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</si>
  <si>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</si>
  <si>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</si>
  <si>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</si>
  <si>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</si>
  <si>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</si>
  <si>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</si>
  <si>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</si>
  <si>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</si>
  <si>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</si>
  <si>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</si>
  <si>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</si>
  <si>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</si>
  <si>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</si>
  <si>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</si>
  <si>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</si>
  <si>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</si>
  <si>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</si>
  <si>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</si>
  <si>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</si>
  <si>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</si>
  <si>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</si>
  <si>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</si>
  <si>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</si>
  <si>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</si>
  <si>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</si>
  <si>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</si>
  <si>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</si>
  <si>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</si>
  <si>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</si>
  <si>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</si>
  <si>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</si>
  <si>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</si>
  <si>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</si>
  <si>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</si>
  <si>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</si>
  <si>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</si>
  <si>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</si>
  <si>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</si>
  <si>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</si>
  <si>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</si>
  <si>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</si>
  <si>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</si>
  <si>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</si>
  <si>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</si>
  <si>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</si>
  <si>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</si>
  <si>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</si>
  <si>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</si>
  <si>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</si>
  <si>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</si>
  <si>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</si>
  <si>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</si>
  <si>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</si>
  <si>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</si>
  <si>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</si>
  <si>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</si>
  <si>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</si>
  <si>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</si>
  <si>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</si>
  <si>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</si>
  <si>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</si>
  <si>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</si>
  <si>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</si>
  <si>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</si>
  <si>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</si>
  <si>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</si>
  <si>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</si>
  <si>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</si>
  <si>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</si>
  <si>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</si>
  <si>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</si>
  <si>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</si>
  <si>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</si>
  <si>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</si>
  <si>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</si>
  <si>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</si>
  <si>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</si>
  <si>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</si>
  <si>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</si>
  <si>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</si>
  <si>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</si>
  <si>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</si>
  <si>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</si>
  <si>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</si>
  <si>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</si>
  <si>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</si>
  <si>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</si>
  <si>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</si>
  <si>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</si>
  <si>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</si>
  <si>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</si>
  <si>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</si>
  <si>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</si>
  <si>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</si>
  <si>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</si>
  <si>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</si>
  <si>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</si>
  <si>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</si>
  <si>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</si>
  <si>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</si>
  <si>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</si>
  <si>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</si>
  <si>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</si>
  <si>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</si>
  <si>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</si>
  <si>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</si>
  <si>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</si>
  <si>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</si>
  <si>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</si>
  <si>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</si>
  <si>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</si>
  <si>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</si>
  <si>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</si>
  <si>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</si>
  <si>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</si>
  <si>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</si>
  <si>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</si>
  <si>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</si>
  <si>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</si>
  <si>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</si>
  <si>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</si>
  <si>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</si>
  <si>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</si>
  <si>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</si>
  <si>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</si>
  <si>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</si>
  <si>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</si>
  <si>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</si>
  <si>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</si>
  <si>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</si>
  <si>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</si>
  <si>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</si>
  <si>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</si>
  <si>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</si>
  <si>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</si>
  <si>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</si>
  <si>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</si>
  <si>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</si>
  <si>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</si>
  <si>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</si>
  <si>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</si>
  <si>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</si>
  <si>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</si>
  <si>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</si>
  <si>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</si>
  <si>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</si>
  <si>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</si>
  <si>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</si>
  <si>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</si>
  <si>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</si>
  <si>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</si>
  <si>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</si>
  <si>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</si>
  <si>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</si>
  <si>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</si>
  <si>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</si>
  <si>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</si>
  <si>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</si>
  <si>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</si>
  <si>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</si>
  <si>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</si>
  <si>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</si>
  <si>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</si>
  <si>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</si>
  <si>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</si>
  <si>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</si>
  <si>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</si>
  <si>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</si>
  <si>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</si>
  <si>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</si>
  <si>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</si>
  <si>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</si>
  <si>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</si>
  <si>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</si>
  <si>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</si>
  <si>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</si>
  <si>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</si>
  <si>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</si>
  <si>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</si>
  <si>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</si>
  <si>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</si>
  <si>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</si>
  <si>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</si>
  <si>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</si>
  <si>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</si>
  <si>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</si>
  <si>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</si>
  <si>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</si>
  <si>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</si>
  <si>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</si>
  <si>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</si>
  <si>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</si>
  <si>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</si>
  <si>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</si>
  <si>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</si>
  <si>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</si>
  <si>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</si>
  <si>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</si>
  <si>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</si>
  <si>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</si>
  <si>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</si>
  <si>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</si>
  <si>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</si>
  <si>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</si>
  <si>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</si>
  <si>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</si>
  <si>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</si>
  <si>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</si>
  <si>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</si>
  <si>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</si>
  <si>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</si>
  <si>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</si>
  <si>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</si>
  <si>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</si>
  <si>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</si>
  <si>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</si>
  <si>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</si>
  <si>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</si>
  <si>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</si>
  <si>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</si>
  <si>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</si>
  <si>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</si>
  <si>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</si>
  <si>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</si>
  <si>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</si>
  <si>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</si>
  <si>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</si>
  <si>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</si>
  <si>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</si>
  <si>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</si>
  <si>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</si>
  <si>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</si>
  <si>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</si>
  <si>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</si>
  <si>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</si>
  <si>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</si>
  <si>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</si>
  <si>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</si>
  <si>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</si>
  <si>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</si>
  <si>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</si>
  <si>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</si>
  <si>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</si>
  <si>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</si>
  <si>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</si>
  <si>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</si>
  <si>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</si>
  <si>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</si>
  <si>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</si>
  <si>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</si>
  <si>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</si>
  <si>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</si>
  <si>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</si>
  <si>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</si>
  <si>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</si>
  <si>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</si>
  <si>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</si>
  <si>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</si>
  <si>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</si>
  <si>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</si>
  <si>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</si>
  <si>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</si>
  <si>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</si>
  <si>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</si>
  <si>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</si>
  <si>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</si>
  <si>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</si>
  <si>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</si>
  <si>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</si>
  <si>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</si>
  <si>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</si>
  <si>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</si>
  <si>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</si>
  <si>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</si>
  <si>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</si>
  <si>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</si>
  <si>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</si>
  <si>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</si>
  <si>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</si>
  <si>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</si>
  <si>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</si>
  <si>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</si>
  <si>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</si>
  <si>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</si>
  <si>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</si>
  <si>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</si>
  <si>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</si>
  <si>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</si>
  <si>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</si>
  <si>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</si>
  <si>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</si>
  <si>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</si>
  <si>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</si>
  <si>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</si>
  <si>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</si>
  <si>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</si>
  <si>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</si>
  <si>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</si>
  <si>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</si>
  <si>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</si>
  <si>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</si>
  <si>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</si>
  <si>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</si>
  <si>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</si>
  <si>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</si>
  <si>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</si>
  <si>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</si>
  <si>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</si>
  <si>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</si>
  <si>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</si>
  <si>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</si>
  <si>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</si>
  <si>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</si>
  <si>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</si>
  <si>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</si>
  <si>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</si>
  <si>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</si>
  <si>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</si>
  <si>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</si>
  <si>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</si>
  <si>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</si>
  <si>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</si>
  <si>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</si>
  <si>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</si>
  <si>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</si>
  <si>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</si>
  <si>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</si>
  <si>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</si>
  <si>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</si>
  <si>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</si>
  <si>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</si>
  <si>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</si>
  <si>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</si>
  <si>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</si>
  <si>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</si>
  <si>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</si>
  <si>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</si>
  <si>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</si>
  <si>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</si>
  <si>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</si>
  <si>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</si>
  <si>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</si>
  <si>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</si>
  <si>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</si>
  <si>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</si>
  <si>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</si>
  <si>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</si>
  <si>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</si>
  <si>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</si>
  <si>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</si>
  <si>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</si>
  <si>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</si>
  <si>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</si>
  <si>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</si>
  <si>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</si>
  <si>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</si>
  <si>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</si>
  <si>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</si>
  <si>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</si>
  <si>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</si>
  <si>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</si>
  <si>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</si>
  <si>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</si>
  <si>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</si>
  <si>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</si>
  <si>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</si>
  <si>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</si>
  <si>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</si>
  <si>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</si>
  <si>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</si>
  <si>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</si>
  <si>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</si>
  <si>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</si>
  <si>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</si>
  <si>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</si>
  <si>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</si>
  <si>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</si>
  <si>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</si>
  <si>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</si>
  <si>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</si>
  <si>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</si>
  <si>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</si>
  <si>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</si>
  <si>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</si>
  <si>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</si>
  <si>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</si>
  <si>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</si>
  <si>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</si>
  <si>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</si>
  <si>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</si>
  <si>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</si>
  <si>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</si>
  <si>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</si>
  <si>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</si>
  <si>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</si>
  <si>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</si>
  <si>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</si>
  <si>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</si>
  <si>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</si>
  <si>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</si>
  <si>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</si>
  <si>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</si>
  <si>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</si>
  <si>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</si>
  <si>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</si>
  <si>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</si>
  <si>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</si>
  <si>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</si>
  <si>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</si>
  <si>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</si>
  <si>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</si>
  <si>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</si>
  <si>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</si>
  <si>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</si>
  <si>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</si>
  <si>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</si>
  <si>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</si>
  <si>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</si>
  <si>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</si>
  <si>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</si>
  <si>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</si>
  <si>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</si>
  <si>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</si>
  <si>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</si>
  <si>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</si>
  <si>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</si>
  <si>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</si>
  <si>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</si>
  <si>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</si>
  <si>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</si>
  <si>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</si>
  <si>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</si>
  <si>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</si>
  <si>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</si>
  <si>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</si>
  <si>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</si>
  <si>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</si>
  <si>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</si>
  <si>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</si>
  <si>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</si>
  <si>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</si>
  <si>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</si>
  <si>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</si>
  <si>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</si>
  <si>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</si>
  <si>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</si>
  <si>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</si>
  <si>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</si>
  <si>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</si>
  <si>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</si>
  <si>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</si>
  <si>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</si>
  <si>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</si>
  <si>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</si>
  <si>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</si>
  <si>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</si>
  <si>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</si>
  <si>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</si>
  <si>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</si>
  <si>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</si>
  <si>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</si>
  <si>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</si>
  <si>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</si>
  <si>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</si>
  <si>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</si>
  <si>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</si>
  <si>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</si>
  <si>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</si>
  <si>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</si>
  <si>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</si>
  <si>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</si>
  <si>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</si>
  <si>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</si>
  <si>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</si>
  <si>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</si>
  <si>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</si>
  <si>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</si>
  <si>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</si>
  <si>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</si>
  <si>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</si>
  <si>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</si>
  <si>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</si>
  <si>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</si>
  <si>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</si>
  <si>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</si>
  <si>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</si>
  <si>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</si>
  <si>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</si>
  <si>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</si>
  <si>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</si>
  <si>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</si>
  <si>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</si>
  <si>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</si>
  <si>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</si>
  <si>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</si>
  <si>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</si>
  <si>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</si>
  <si>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</si>
  <si>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</si>
  <si>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</si>
  <si>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</si>
  <si>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</si>
  <si>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</si>
  <si>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</si>
  <si>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</si>
  <si>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</si>
  <si>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</si>
  <si>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</si>
  <si>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</si>
  <si>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</si>
  <si>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</si>
  <si>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</si>
  <si>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</si>
  <si>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</si>
  <si>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</si>
  <si>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</si>
  <si>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</si>
  <si>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</si>
  <si>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</si>
  <si>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</si>
  <si>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</si>
  <si>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</si>
  <si>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</si>
  <si>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</si>
  <si>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</si>
  <si>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</si>
  <si>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</si>
  <si>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</si>
  <si>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</si>
  <si>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</si>
  <si>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</si>
  <si>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</si>
  <si>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</si>
  <si>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</si>
  <si>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</si>
  <si>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</si>
  <si>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</si>
  <si>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</si>
  <si>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</si>
  <si>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</si>
  <si>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</si>
  <si>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</si>
  <si>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</si>
  <si>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</si>
  <si>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</si>
  <si>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</si>
  <si>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</si>
  <si>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</si>
  <si>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</si>
  <si>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</si>
  <si>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</si>
  <si>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</si>
  <si>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</si>
  <si>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</si>
  <si>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</si>
  <si>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</si>
  <si>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</si>
  <si>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</si>
  <si>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</si>
  <si>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</si>
  <si>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</si>
  <si>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</si>
  <si>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</si>
  <si>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</si>
  <si>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</si>
  <si>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</si>
  <si>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</si>
  <si>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</si>
  <si>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</si>
  <si>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</si>
  <si>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</si>
  <si>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</si>
  <si>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</si>
  <si>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</si>
  <si>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</si>
  <si>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</si>
  <si>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</si>
  <si>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</si>
  <si>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</si>
  <si>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</si>
  <si>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</si>
  <si>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</si>
  <si>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</si>
  <si>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</si>
  <si>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</si>
  <si>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</si>
  <si>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</si>
  <si>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</si>
  <si>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</si>
  <si>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</si>
  <si>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</si>
  <si>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</si>
  <si>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</si>
  <si>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</si>
  <si>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</si>
  <si>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</si>
  <si>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</si>
  <si>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</si>
  <si>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</si>
  <si>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</si>
  <si>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</si>
  <si>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</si>
  <si>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</si>
  <si>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</si>
  <si>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</si>
  <si>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</si>
  <si>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</si>
  <si>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</si>
  <si>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</si>
  <si>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</si>
  <si>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</si>
  <si>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</si>
  <si>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</si>
  <si>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</si>
  <si>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</si>
  <si>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</si>
  <si>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</si>
  <si>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</si>
  <si>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</si>
  <si>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</si>
  <si>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</si>
  <si>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</si>
  <si>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</si>
  <si>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</si>
  <si>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</si>
  <si>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</si>
  <si>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</si>
  <si>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</si>
  <si>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</si>
  <si>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</si>
  <si>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</si>
  <si>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</si>
  <si>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</si>
  <si>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</si>
  <si>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</si>
  <si>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</si>
  <si>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</si>
  <si>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</si>
  <si>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</si>
  <si>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</si>
  <si>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</si>
  <si>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</si>
  <si>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</si>
  <si>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</si>
  <si>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</si>
  <si>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</si>
  <si>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</si>
  <si>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</si>
  <si>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</si>
  <si>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</si>
  <si>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</si>
  <si>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</si>
  <si>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</si>
  <si>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</si>
  <si>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</si>
  <si>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</si>
  <si>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</si>
  <si>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</si>
  <si>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</si>
  <si>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</si>
  <si>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</si>
  <si>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</si>
  <si>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</si>
  <si>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</si>
  <si>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</si>
  <si>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</si>
  <si>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</si>
  <si>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</si>
  <si>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</si>
  <si>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</si>
  <si>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</si>
  <si>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</si>
  <si>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</si>
  <si>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</si>
  <si>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</si>
  <si>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</si>
  <si>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</si>
  <si>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</si>
  <si>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</si>
  <si>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</si>
  <si>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</si>
  <si>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</si>
  <si>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</si>
  <si>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</si>
  <si>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</si>
  <si>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</si>
  <si>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</si>
  <si>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</si>
  <si>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</si>
  <si>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</si>
  <si>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</si>
  <si>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</si>
  <si>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</si>
  <si>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</si>
  <si>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</si>
  <si>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</si>
  <si>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</si>
  <si>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</si>
  <si>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</si>
  <si>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</si>
  <si>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</si>
  <si>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</si>
  <si>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</si>
  <si>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</si>
  <si>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</si>
  <si>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</si>
  <si>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</si>
  <si>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</si>
  <si>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</si>
  <si>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</si>
  <si>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</si>
  <si>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</si>
  <si>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</si>
  <si>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</si>
  <si>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</si>
  <si>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</si>
  <si>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</si>
  <si>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</si>
  <si>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</si>
  <si>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</si>
  <si>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</si>
  <si>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</si>
  <si>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</si>
  <si>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</si>
  <si>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</si>
  <si>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</si>
  <si>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</si>
  <si>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</si>
  <si>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</si>
  <si>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</si>
  <si>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</si>
  <si>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</si>
  <si>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</si>
  <si>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</si>
  <si>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</si>
  <si>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</si>
  <si>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</si>
  <si>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</si>
  <si>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</si>
  <si>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</si>
  <si>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</si>
  <si>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</si>
  <si>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</si>
  <si>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</si>
  <si>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</si>
  <si>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</si>
  <si>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</si>
  <si>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</si>
  <si>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</si>
  <si>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</si>
  <si>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</si>
  <si>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</si>
  <si>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</si>
  <si>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</si>
  <si>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</si>
  <si>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</si>
  <si>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</si>
  <si>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</si>
  <si>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</si>
  <si>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</si>
  <si>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</si>
  <si>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</si>
  <si>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</si>
  <si>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</si>
  <si>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</si>
  <si>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</si>
  <si>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</si>
  <si>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</si>
  <si>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</si>
  <si>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</si>
  <si>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</si>
  <si>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</si>
  <si>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</si>
  <si>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</si>
  <si>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</si>
  <si>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</si>
  <si>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</si>
  <si>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</si>
  <si>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</si>
  <si>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</si>
  <si>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</si>
  <si>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</si>
  <si>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</si>
  <si>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</si>
  <si>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</si>
  <si>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</si>
  <si>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</si>
  <si>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</si>
  <si>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</si>
  <si>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</si>
  <si>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</si>
  <si>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</si>
  <si>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</si>
  <si>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</si>
  <si>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</si>
  <si>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</si>
  <si>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</si>
  <si>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</si>
  <si>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</si>
  <si>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</si>
  <si>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</si>
  <si>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</si>
  <si>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</si>
  <si>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</si>
  <si>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</si>
  <si>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</si>
  <si>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</si>
  <si>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</si>
  <si>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</si>
  <si>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</si>
  <si>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</si>
  <si>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</si>
  <si>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</si>
  <si>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</si>
  <si>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</si>
  <si>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</si>
  <si>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</si>
  <si>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</si>
  <si>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</si>
  <si>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</si>
  <si>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</si>
  <si>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</si>
  <si>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</si>
  <si>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</si>
  <si>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</si>
  <si>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</si>
  <si>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</si>
  <si>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</si>
  <si>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</si>
  <si>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</si>
  <si>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</si>
  <si>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</si>
  <si>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</si>
  <si>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</si>
  <si>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</si>
  <si>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</si>
  <si>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</si>
  <si>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</si>
  <si>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</si>
  <si>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</si>
  <si>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</si>
  <si>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</si>
  <si>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</si>
  <si>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</si>
  <si>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</si>
  <si>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</si>
  <si>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</si>
  <si>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</si>
  <si>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</si>
  <si>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</si>
  <si>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</si>
  <si>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</si>
  <si>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</si>
  <si>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</si>
  <si>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</si>
  <si>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</si>
  <si>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</si>
  <si>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</si>
  <si>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</si>
  <si>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</si>
  <si>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</si>
  <si>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</si>
  <si>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</si>
  <si>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</si>
  <si>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</si>
  <si>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</si>
  <si>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</si>
  <si>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</si>
  <si>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</si>
  <si>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</si>
  <si>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</si>
  <si>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</si>
  <si>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</si>
  <si>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</si>
  <si>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</si>
  <si>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</si>
  <si>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</si>
  <si>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</si>
  <si>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</si>
  <si>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</si>
  <si>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</si>
  <si>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</si>
  <si>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</si>
  <si>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</si>
  <si>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</si>
  <si>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</si>
  <si>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</si>
  <si>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</si>
  <si>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</si>
  <si>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</si>
  <si>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</si>
  <si>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</si>
  <si>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</si>
  <si>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</si>
  <si>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</si>
  <si>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</si>
  <si>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</si>
  <si>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</si>
  <si>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</si>
  <si>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</si>
  <si>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</si>
  <si>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</si>
  <si>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</si>
  <si>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</si>
  <si>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</si>
  <si>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</si>
  <si>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</si>
  <si>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</si>
  <si>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</si>
  <si>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</si>
  <si>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</si>
  <si>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</si>
  <si>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</si>
  <si>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</si>
  <si>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</si>
  <si>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</si>
  <si>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</si>
  <si>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</si>
  <si>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</si>
  <si>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</si>
  <si>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</si>
  <si>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</si>
  <si>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</si>
  <si>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</si>
  <si>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</si>
  <si>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</si>
  <si>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</si>
  <si>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</si>
  <si>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</si>
  <si>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</si>
  <si>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</si>
  <si>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</si>
  <si>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</si>
  <si>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</si>
  <si>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</si>
  <si>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</si>
  <si>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</si>
  <si>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</si>
  <si>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</si>
  <si>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</si>
  <si>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</si>
  <si>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</si>
  <si>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</si>
  <si>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</si>
  <si>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</si>
  <si>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</si>
  <si>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</si>
  <si>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</si>
  <si>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</si>
  <si>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</si>
  <si>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</si>
  <si>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</si>
  <si>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</si>
  <si>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</si>
  <si>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</si>
  <si>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</si>
  <si>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</si>
  <si>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</si>
  <si>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</si>
  <si>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</si>
  <si>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</si>
  <si>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</si>
  <si>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</si>
  <si>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</si>
  <si>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</si>
  <si>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</si>
  <si>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</si>
  <si>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</si>
  <si>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</si>
  <si>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</si>
  <si>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</si>
  <si>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</si>
  <si>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</si>
  <si>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</si>
  <si>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</si>
  <si>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</si>
  <si>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</si>
  <si>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</si>
  <si>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</si>
  <si>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</si>
  <si>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</si>
  <si>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</si>
  <si>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</si>
  <si>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</si>
  <si>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</si>
  <si>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</si>
  <si>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</si>
  <si>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</si>
  <si>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</si>
  <si>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</si>
  <si>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</si>
  <si>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</si>
  <si>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</si>
  <si>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</si>
  <si>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</si>
  <si>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</si>
  <si>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</si>
  <si>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</si>
  <si>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</si>
  <si>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</si>
  <si>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</si>
  <si>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</si>
  <si>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</si>
  <si>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</si>
  <si>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</si>
  <si>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</si>
  <si>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</si>
  <si>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</si>
  <si>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</si>
  <si>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</si>
  <si>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</si>
  <si>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</si>
  <si>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</si>
  <si>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</si>
  <si>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</si>
  <si>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</si>
  <si>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</si>
  <si>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</si>
  <si>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</si>
  <si>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</si>
  <si>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</si>
  <si>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</si>
  <si>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</si>
  <si>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</si>
  <si>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</si>
  <si>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</si>
  <si>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</si>
  <si>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</si>
  <si>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</si>
  <si>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</si>
  <si>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</si>
  <si>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</si>
  <si>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</si>
  <si>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</si>
  <si>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</si>
  <si>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</si>
  <si>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</si>
  <si>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</si>
  <si>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</si>
  <si>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</si>
  <si>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</si>
  <si>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</si>
  <si>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</si>
  <si>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</si>
  <si>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</si>
  <si>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</si>
  <si>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</si>
  <si>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</si>
  <si>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</si>
  <si>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</si>
  <si>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</si>
  <si>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</si>
  <si>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</si>
  <si>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</si>
  <si>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</si>
  <si>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</si>
  <si>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</si>
  <si>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</si>
  <si>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</si>
  <si>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</si>
  <si>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</si>
  <si>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</si>
  <si>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</si>
  <si>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</si>
  <si>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</si>
  <si>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</si>
  <si>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</si>
  <si>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</si>
  <si>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</si>
  <si>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</si>
  <si>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</si>
  <si>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</si>
  <si>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</si>
  <si>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</si>
  <si>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</si>
  <si>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</si>
  <si>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</si>
  <si>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</si>
  <si>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</si>
  <si>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</si>
  <si>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</si>
  <si>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</si>
  <si>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</si>
  <si>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</si>
  <si>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</si>
  <si>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</si>
  <si>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</si>
  <si>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</si>
  <si>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</si>
  <si>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</si>
  <si>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</si>
  <si>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</si>
  <si>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</si>
  <si>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</si>
  <si>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</si>
  <si>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</si>
  <si>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</si>
  <si>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</si>
  <si>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</si>
  <si>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</si>
  <si>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</si>
  <si>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</si>
  <si>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</si>
  <si>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</si>
  <si>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</si>
  <si>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</si>
  <si>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</si>
  <si>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</si>
  <si>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</si>
  <si>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</si>
  <si>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</si>
  <si>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</si>
  <si>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</si>
  <si>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</si>
  <si>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</si>
  <si>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</si>
  <si>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</si>
  <si>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</si>
  <si>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</si>
  <si>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</si>
  <si>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</si>
  <si>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</si>
  <si>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</si>
  <si>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</si>
  <si>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</si>
  <si>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</si>
  <si>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</si>
  <si>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</si>
  <si>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</si>
  <si>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</si>
  <si>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</si>
  <si>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</si>
  <si>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</si>
  <si>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</si>
  <si>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</si>
  <si>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</si>
  <si>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</si>
  <si>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</si>
  <si>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</si>
  <si>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</si>
  <si>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</si>
  <si>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</si>
  <si>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</si>
  <si>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</si>
  <si>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</si>
  <si>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</si>
  <si>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</si>
  <si>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</si>
  <si>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</si>
  <si>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</si>
  <si>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</si>
  <si>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</si>
  <si>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</si>
  <si>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</si>
  <si>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</si>
  <si>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</si>
  <si>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</si>
  <si>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</si>
  <si>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</si>
  <si>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</si>
  <si>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</si>
  <si>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</si>
  <si>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</si>
  <si>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</si>
  <si>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</si>
  <si>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</si>
  <si>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</si>
  <si>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</si>
  <si>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</si>
  <si>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</si>
  <si>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</si>
  <si>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</si>
  <si>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</si>
  <si>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</si>
  <si>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</si>
  <si>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</si>
  <si>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</si>
  <si>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</si>
  <si>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</si>
  <si>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</si>
  <si>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</si>
  <si>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</si>
  <si>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</si>
  <si>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</si>
  <si>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</si>
  <si>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</si>
  <si>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</si>
  <si>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</si>
  <si>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</si>
  <si>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</si>
  <si>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</si>
  <si>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</si>
  <si>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</si>
  <si>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</si>
  <si>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</si>
  <si>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</si>
  <si>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</si>
  <si>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</si>
  <si>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</si>
  <si>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</si>
  <si>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</si>
  <si>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</si>
  <si>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</si>
  <si>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</si>
  <si>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</si>
  <si>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</si>
  <si>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</si>
  <si>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</si>
  <si>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</si>
  <si>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</si>
  <si>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</si>
  <si>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</si>
  <si>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</si>
  <si>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</si>
  <si>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</si>
  <si>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</si>
  <si>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</si>
  <si>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</si>
  <si>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</si>
  <si>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</si>
  <si>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</si>
  <si>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</si>
  <si>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</si>
  <si>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</si>
  <si>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</si>
  <si>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</si>
  <si>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</si>
  <si>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</si>
  <si>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</si>
  <si>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</si>
  <si>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</si>
  <si>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</si>
  <si>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</si>
  <si>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</si>
  <si>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</si>
  <si>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</si>
  <si>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</si>
  <si>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</si>
  <si>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</si>
  <si>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</si>
  <si>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</si>
  <si>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</si>
  <si>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</si>
  <si>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</si>
  <si>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</si>
  <si>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</si>
  <si>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</si>
  <si>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</si>
  <si>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</si>
  <si>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</si>
  <si>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</si>
  <si>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</si>
  <si>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</si>
  <si>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</si>
  <si>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</si>
  <si>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</si>
  <si>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</si>
  <si>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</si>
  <si>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</si>
  <si>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</si>
  <si>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</si>
  <si>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</si>
  <si>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</si>
  <si>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</si>
  <si>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</si>
  <si>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</si>
  <si>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</si>
  <si>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</si>
  <si>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</si>
  <si>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</si>
  <si>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</si>
  <si>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</si>
  <si>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</si>
  <si>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</si>
  <si>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</si>
  <si>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</si>
  <si>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</si>
  <si>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</si>
  <si>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</si>
  <si>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</si>
  <si>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</si>
  <si>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</si>
  <si>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</si>
  <si>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</si>
  <si>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</si>
  <si>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</si>
  <si>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</si>
  <si>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</si>
  <si>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</si>
  <si>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</si>
  <si>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</si>
  <si>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</si>
  <si>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</si>
  <si>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</si>
  <si>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</si>
  <si>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</si>
  <si>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</si>
  <si>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</si>
  <si>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</si>
  <si>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</si>
  <si>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</si>
  <si>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</si>
  <si>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</si>
  <si>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</si>
  <si>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</si>
  <si>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</si>
  <si>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</si>
  <si>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</si>
  <si>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</si>
  <si>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</si>
  <si>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</si>
  <si>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</si>
  <si>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</si>
  <si>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</si>
  <si>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</si>
  <si>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</si>
  <si>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</si>
  <si>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</si>
  <si>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</si>
  <si>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</si>
  <si>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</si>
  <si>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</si>
  <si>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</si>
  <si>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</si>
  <si>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</si>
  <si>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</si>
  <si>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</si>
  <si>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</si>
  <si>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</si>
  <si>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</si>
  <si>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</si>
  <si>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</si>
  <si>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</si>
  <si>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</si>
  <si>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</si>
  <si>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</si>
  <si>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</si>
  <si>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</si>
  <si>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</si>
  <si>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</si>
  <si>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</si>
  <si>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</si>
  <si>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</si>
  <si>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</si>
  <si>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</si>
  <si>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</si>
  <si>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</si>
  <si>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</si>
  <si>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</si>
  <si>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</si>
  <si>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</si>
  <si>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</si>
  <si>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</si>
  <si>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</si>
  <si>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</si>
  <si>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</si>
  <si>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</si>
  <si>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</si>
  <si>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</si>
  <si>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</si>
  <si>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</si>
  <si>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</si>
  <si>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</si>
  <si>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</si>
  <si>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</si>
  <si>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</si>
  <si>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</si>
  <si>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</si>
  <si>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</si>
  <si>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</si>
  <si>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</si>
  <si>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</si>
  <si>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</si>
  <si>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</si>
  <si>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</si>
  <si>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</si>
  <si>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</si>
  <si>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</si>
  <si>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</si>
  <si>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</si>
  <si>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</si>
  <si>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</si>
  <si>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</si>
  <si>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</si>
  <si>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</si>
  <si>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</si>
  <si>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</si>
  <si>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</si>
  <si>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</si>
  <si>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</si>
  <si>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</si>
  <si>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</si>
  <si>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</si>
  <si>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</si>
  <si>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</si>
  <si>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</si>
  <si>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</si>
  <si>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</si>
  <si>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</si>
  <si>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</si>
  <si>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</si>
  <si>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</si>
  <si>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</si>
  <si>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</si>
  <si>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</si>
  <si>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</si>
  <si>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</si>
  <si>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</si>
  <si>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</si>
  <si>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</si>
  <si>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</si>
  <si>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</si>
  <si>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</si>
  <si>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</si>
  <si>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</si>
  <si>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</si>
  <si>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</si>
  <si>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</si>
  <si>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</si>
  <si>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</si>
  <si>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</si>
  <si>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</si>
  <si>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</si>
  <si>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</si>
  <si>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</si>
  <si>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</si>
  <si>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</si>
  <si>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</si>
  <si>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</si>
  <si>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</si>
  <si>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</si>
  <si>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</si>
  <si>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</si>
  <si>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</si>
  <si>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</si>
  <si>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</si>
  <si>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</si>
  <si>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</si>
  <si>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</si>
  <si>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</si>
  <si>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</si>
  <si>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</si>
  <si>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</si>
  <si>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</si>
  <si>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</si>
  <si>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</si>
  <si>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</si>
  <si>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</si>
  <si>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</si>
  <si>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</si>
  <si>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</si>
  <si>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</si>
  <si>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</si>
  <si>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</si>
  <si>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</si>
  <si>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</si>
  <si>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</si>
  <si>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</si>
  <si>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</si>
  <si>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</si>
  <si>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</si>
  <si>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</si>
  <si>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</si>
  <si>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</si>
  <si>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</si>
  <si>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</si>
  <si>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</si>
  <si>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</si>
  <si>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</si>
  <si>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</si>
  <si>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</si>
  <si>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</si>
  <si>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</si>
  <si>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</si>
  <si>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</si>
  <si>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</si>
  <si>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</si>
  <si>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</si>
  <si>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</si>
  <si>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</si>
  <si>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</si>
  <si>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</si>
  <si>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</si>
  <si>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</si>
  <si>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</si>
  <si>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</si>
  <si>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</si>
  <si>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</si>
  <si>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</si>
  <si>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</si>
  <si>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</si>
  <si>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</si>
  <si>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</si>
  <si>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</si>
  <si>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</si>
  <si>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</si>
  <si>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</si>
  <si>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</si>
  <si>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</si>
  <si>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</si>
  <si>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</si>
  <si>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</si>
  <si>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</si>
  <si>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</si>
  <si>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</si>
  <si>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</si>
  <si>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</si>
  <si>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</si>
  <si>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</si>
  <si>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</si>
  <si>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</si>
  <si>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</si>
  <si>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</si>
  <si>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</si>
  <si>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</si>
  <si>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</si>
  <si>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</si>
  <si>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</si>
  <si>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</si>
  <si>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</si>
  <si>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</si>
  <si>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</si>
  <si>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</si>
  <si>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</si>
  <si>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</si>
  <si>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</si>
  <si>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</si>
  <si>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</si>
  <si>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</si>
  <si>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</si>
  <si>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</si>
  <si>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</si>
  <si>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</si>
  <si>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</si>
  <si>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</si>
  <si>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</si>
  <si>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</si>
  <si>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</si>
  <si>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</si>
  <si>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</si>
  <si>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</si>
  <si>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</si>
  <si>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</si>
  <si>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</si>
  <si>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</si>
  <si>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</si>
  <si>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</si>
  <si>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</si>
  <si>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</si>
  <si>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</si>
  <si>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</si>
  <si>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</si>
  <si>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</si>
  <si>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</si>
  <si>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</si>
  <si>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</si>
  <si>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</si>
  <si>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</si>
  <si>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</si>
  <si>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</si>
  <si>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</si>
  <si>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</si>
  <si>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</si>
  <si>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</si>
  <si>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</si>
  <si>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</si>
  <si>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</si>
  <si>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</si>
  <si>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</si>
  <si>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</si>
  <si>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</si>
  <si>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</si>
  <si>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</si>
  <si>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</si>
  <si>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</si>
  <si>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</si>
  <si>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</si>
  <si>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</si>
  <si>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</si>
  <si>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</si>
  <si>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</si>
  <si>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</si>
  <si>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</si>
  <si>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</si>
  <si>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</si>
  <si>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</si>
  <si>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</si>
  <si>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</si>
  <si>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</si>
  <si>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</si>
  <si>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</si>
  <si>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</si>
  <si>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</si>
  <si>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</si>
  <si>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</si>
  <si>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</si>
  <si>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</si>
  <si>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</si>
  <si>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</si>
  <si>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</si>
  <si>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</si>
  <si>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</si>
  <si>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</si>
  <si>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</si>
  <si>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</si>
  <si>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</si>
  <si>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</si>
  <si>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</si>
  <si>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</si>
  <si>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</si>
  <si>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</si>
  <si>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</si>
  <si>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</si>
  <si>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</si>
  <si>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</si>
  <si>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</si>
  <si>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</si>
  <si>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</si>
  <si>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</si>
  <si>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</si>
  <si>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</si>
  <si>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</si>
  <si>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</si>
  <si>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</si>
  <si>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</si>
  <si>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</si>
  <si>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</si>
  <si>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</si>
  <si>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</si>
  <si>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</si>
  <si>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</si>
  <si>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</si>
  <si>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</si>
  <si>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</si>
  <si>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</si>
  <si>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</si>
  <si>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</si>
  <si>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</si>
  <si>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</si>
  <si>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</si>
  <si>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</si>
  <si>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</si>
  <si>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</si>
  <si>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</si>
  <si>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</si>
  <si>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</si>
  <si>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</si>
  <si>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</si>
  <si>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</si>
  <si>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</si>
  <si>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</si>
  <si>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</si>
  <si>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</si>
  <si>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</si>
  <si>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</si>
  <si>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</si>
  <si>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</si>
  <si>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</si>
  <si>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</si>
  <si>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</si>
  <si>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</si>
  <si>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</si>
  <si>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</si>
  <si>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</si>
  <si>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</si>
  <si>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</si>
  <si>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</si>
  <si>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</si>
  <si>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</si>
  <si>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</si>
  <si>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</si>
  <si>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</si>
  <si>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</si>
  <si>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</si>
  <si>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</si>
  <si>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</si>
  <si>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</si>
  <si>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</si>
  <si>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</si>
  <si>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</si>
  <si>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</si>
  <si>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</si>
  <si>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</si>
  <si>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</si>
  <si>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</si>
  <si>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</si>
  <si>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</si>
  <si>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</si>
  <si>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</si>
  <si>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</si>
  <si>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</si>
  <si>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</si>
  <si>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</si>
  <si>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</si>
  <si>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</si>
  <si>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</si>
  <si>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</si>
  <si>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</si>
  <si>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</si>
  <si>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</si>
  <si>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</si>
  <si>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</si>
  <si>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</si>
  <si>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</si>
  <si>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</si>
  <si>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</si>
  <si>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</si>
  <si>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</si>
  <si>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</si>
  <si>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</si>
  <si>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</si>
  <si>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</si>
  <si>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</si>
  <si>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</si>
  <si>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</si>
  <si>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</si>
  <si>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</si>
  <si>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</si>
  <si>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</si>
  <si>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</si>
  <si>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</si>
  <si>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</si>
  <si>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</si>
  <si>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</si>
  <si>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</si>
  <si>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</si>
  <si>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</si>
  <si>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</si>
  <si>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</si>
  <si>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</si>
  <si>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</si>
  <si>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</si>
  <si>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</si>
  <si>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</si>
  <si>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</si>
  <si>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</si>
  <si>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</si>
  <si>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</si>
  <si>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</si>
  <si>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</si>
  <si>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</si>
  <si>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</si>
  <si>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</si>
  <si>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</si>
  <si>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</si>
  <si>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</si>
  <si>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</si>
  <si>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</si>
  <si>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</si>
  <si>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</si>
  <si>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</si>
  <si>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</si>
  <si>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</si>
  <si>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</si>
  <si>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</si>
  <si>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</si>
  <si>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</si>
  <si>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</si>
  <si>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</si>
  <si>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</si>
  <si>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</si>
  <si>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</si>
  <si>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</si>
  <si>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</si>
  <si>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</si>
  <si>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</si>
  <si>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</si>
  <si>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</si>
  <si>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</si>
  <si>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</si>
  <si>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</si>
  <si>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</si>
  <si>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</si>
  <si>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</si>
  <si>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</si>
  <si>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</si>
  <si>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</si>
  <si>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</si>
  <si>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</si>
  <si>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</si>
  <si>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</si>
  <si>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</si>
  <si>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</si>
  <si>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</si>
  <si>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</si>
  <si>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</si>
  <si>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</si>
  <si>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</si>
  <si>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</si>
  <si>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</si>
  <si>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</si>
  <si>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</si>
  <si>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</si>
  <si>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</si>
  <si>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</si>
  <si>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</si>
  <si>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</si>
  <si>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</si>
  <si>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</si>
  <si>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</si>
  <si>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</si>
  <si>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</si>
  <si>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</si>
  <si>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</si>
  <si>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</si>
  <si>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</si>
  <si>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</si>
  <si>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</si>
  <si>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</si>
  <si>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</si>
  <si>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</si>
  <si>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</si>
  <si>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</si>
  <si>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</si>
  <si>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</si>
  <si>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</si>
  <si>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</si>
  <si>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</si>
  <si>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</si>
  <si>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</si>
  <si>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</si>
  <si>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</si>
  <si>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</si>
  <si>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</si>
  <si>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</si>
  <si>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</si>
  <si>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</si>
  <si>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</si>
  <si>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</si>
  <si>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</si>
  <si>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</si>
  <si>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</si>
  <si>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</si>
  <si>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</si>
  <si>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</si>
  <si>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</si>
  <si>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</si>
  <si>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</si>
  <si>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</si>
  <si>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</si>
  <si>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</si>
  <si>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</si>
  <si>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</si>
  <si>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</si>
  <si>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</si>
  <si>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</si>
  <si>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</si>
  <si>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</si>
  <si>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</si>
  <si>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</si>
  <si>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</si>
  <si>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</si>
  <si>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</si>
  <si>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</si>
  <si>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</si>
  <si>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</si>
  <si>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</si>
  <si>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</si>
  <si>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</si>
  <si>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</si>
  <si>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</si>
  <si>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</si>
  <si>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</si>
  <si>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</si>
  <si>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</si>
  <si>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</si>
  <si>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</si>
  <si>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</si>
  <si>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</si>
  <si>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</si>
  <si>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</si>
  <si>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</si>
  <si>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</si>
  <si>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</si>
  <si>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</si>
  <si>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</si>
  <si>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</si>
  <si>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</si>
  <si>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</si>
  <si>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</si>
  <si>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</si>
  <si>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</si>
  <si>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</si>
  <si>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</si>
  <si>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</si>
  <si>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</si>
  <si>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</si>
  <si>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</si>
  <si>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</si>
  <si>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</si>
  <si>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</si>
  <si>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</si>
  <si>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</si>
  <si>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</si>
  <si>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</si>
  <si>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</si>
  <si>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</si>
  <si>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</si>
  <si>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</si>
  <si>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</si>
  <si>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</si>
  <si>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</si>
  <si>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</si>
  <si>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</si>
  <si>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</si>
  <si>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</si>
  <si>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</si>
  <si>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</si>
  <si>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</si>
  <si>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</si>
  <si>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</si>
  <si>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</si>
  <si>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</si>
  <si>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</si>
  <si>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</si>
  <si>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</si>
  <si>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</si>
  <si>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</si>
  <si>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</si>
  <si>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</si>
  <si>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</si>
  <si>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</si>
  <si>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</si>
  <si>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</si>
  <si>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</si>
  <si>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</si>
  <si>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</si>
  <si>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</si>
  <si>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</si>
  <si>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</si>
  <si>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</si>
  <si>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</si>
  <si>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</si>
  <si>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</si>
  <si>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</si>
  <si>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</si>
  <si>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</si>
  <si>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</si>
  <si>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</si>
  <si>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</si>
  <si>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</si>
  <si>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</si>
  <si>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</si>
  <si>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</si>
  <si>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</si>
  <si>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</si>
  <si>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</si>
  <si>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</si>
  <si>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</si>
  <si>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</si>
  <si>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</si>
  <si>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</si>
  <si>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</si>
  <si>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</si>
  <si>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</si>
  <si>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</si>
  <si>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</si>
  <si>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</si>
  <si>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</si>
  <si>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</si>
  <si>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</si>
  <si>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</si>
  <si>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</si>
  <si>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</si>
  <si>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</si>
  <si>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</si>
  <si>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</si>
  <si>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</si>
  <si>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</si>
  <si>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</si>
  <si>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</si>
  <si>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</si>
  <si>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</si>
  <si>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</si>
  <si>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</si>
  <si>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</si>
  <si>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</si>
  <si>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</si>
  <si>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</si>
  <si>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</si>
  <si>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</si>
  <si>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</si>
  <si>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</si>
  <si>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</si>
  <si>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</si>
  <si>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</si>
  <si>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</si>
  <si>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</si>
  <si>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</si>
  <si>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</si>
  <si>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</si>
  <si>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</si>
  <si>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</si>
  <si>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</si>
  <si>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</si>
  <si>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</si>
  <si>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</si>
  <si>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</si>
  <si>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</si>
  <si>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</si>
  <si>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</si>
  <si>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</si>
  <si>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</si>
  <si>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</si>
  <si>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</si>
  <si>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</si>
  <si>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</si>
  <si>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</si>
  <si>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</si>
  <si>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</si>
  <si>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</si>
  <si>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</si>
  <si>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</si>
  <si>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</si>
  <si>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</si>
  <si>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</si>
  <si>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</si>
  <si>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</si>
  <si>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</si>
  <si>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</si>
  <si>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</si>
  <si>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</si>
  <si>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</si>
  <si>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</si>
  <si>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</si>
  <si>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</si>
  <si>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</si>
  <si>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</si>
  <si>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</si>
  <si>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</si>
  <si>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</si>
  <si>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</si>
  <si>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</si>
  <si>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</si>
  <si>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</si>
  <si>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</si>
  <si>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</si>
  <si>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</si>
  <si>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</si>
  <si>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</si>
  <si>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</si>
  <si>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</si>
  <si>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</si>
  <si>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</si>
  <si>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</si>
  <si>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</si>
  <si>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</si>
  <si>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</si>
  <si>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</si>
  <si>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</si>
  <si>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</si>
  <si>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</si>
  <si>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</si>
  <si>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</si>
  <si>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</si>
  <si>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</si>
  <si>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</si>
  <si>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</si>
  <si>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</si>
  <si>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</si>
  <si>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</si>
  <si>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</si>
  <si>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</si>
  <si>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</si>
  <si>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</si>
  <si>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</si>
  <si>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</si>
  <si>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</si>
  <si>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</si>
  <si>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</si>
  <si>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</si>
  <si>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</si>
  <si>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</si>
  <si>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</si>
  <si>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</si>
  <si>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</si>
  <si>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</si>
  <si>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</si>
  <si>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</si>
  <si>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</si>
  <si>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</si>
  <si>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</si>
  <si>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</si>
  <si>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</si>
  <si>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</si>
  <si>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</si>
  <si>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</si>
  <si>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</si>
  <si>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</si>
  <si>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</si>
  <si>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</si>
  <si>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</si>
  <si>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</si>
  <si>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</si>
  <si>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</si>
  <si>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</si>
  <si>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</si>
  <si>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</si>
  <si>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</si>
  <si>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</si>
  <si>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</si>
  <si>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</si>
  <si>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</si>
  <si>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</si>
  <si>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</si>
  <si>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</si>
  <si>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</si>
  <si>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</si>
  <si>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</si>
  <si>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</si>
  <si>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</si>
  <si>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</si>
  <si>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</si>
  <si>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</si>
  <si>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</si>
  <si>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</si>
  <si>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</si>
  <si>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</si>
  <si>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</si>
  <si>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</si>
  <si>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</si>
  <si>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</si>
  <si>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</si>
  <si>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</si>
  <si>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</si>
  <si>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</si>
  <si>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</si>
  <si>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</si>
  <si>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</si>
  <si>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</si>
  <si>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</si>
  <si>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</si>
  <si>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</si>
  <si>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</si>
  <si>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</si>
  <si>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</si>
  <si>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</si>
  <si>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</si>
  <si>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</si>
  <si>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</si>
  <si>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</si>
  <si>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</si>
  <si>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</si>
  <si>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</si>
  <si>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</si>
  <si>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</si>
  <si>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</si>
  <si>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</si>
  <si>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</si>
  <si>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</si>
  <si>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</si>
  <si>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</si>
  <si>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</si>
  <si>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</si>
  <si>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</si>
  <si>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</si>
  <si>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</si>
  <si>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</si>
  <si>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</si>
  <si>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</si>
  <si>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</si>
  <si>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</si>
  <si>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</si>
  <si>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</si>
  <si>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</si>
  <si>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</si>
  <si>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</si>
  <si>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</si>
  <si>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</si>
  <si>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</si>
  <si>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</si>
  <si>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</si>
  <si>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</si>
  <si>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</si>
  <si>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</si>
  <si>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</si>
  <si>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</si>
  <si>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</si>
  <si>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</si>
  <si>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</si>
  <si>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</si>
  <si>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</si>
  <si>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</si>
  <si>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</si>
  <si>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</si>
  <si>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</si>
  <si>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</si>
  <si>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</si>
  <si>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</si>
  <si>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</si>
  <si>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</si>
  <si>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</si>
  <si>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</si>
  <si>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</si>
  <si>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</si>
  <si>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</si>
  <si>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</si>
  <si>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</si>
  <si>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</si>
  <si>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</si>
  <si>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</si>
  <si>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</si>
  <si>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</si>
  <si>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</si>
  <si>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</si>
  <si>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</si>
  <si>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</si>
  <si>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</si>
  <si>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</si>
  <si>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</si>
  <si>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</si>
  <si>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</si>
  <si>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</si>
  <si>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</si>
  <si>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</si>
  <si>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</si>
  <si>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</si>
  <si>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</si>
  <si>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</si>
  <si>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</si>
  <si>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</si>
  <si>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</si>
  <si>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</si>
  <si>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</si>
  <si>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</si>
  <si>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</si>
  <si>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</si>
  <si>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</si>
  <si>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</si>
  <si>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</si>
  <si>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</si>
  <si>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</si>
  <si>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</si>
  <si>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</si>
  <si>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</si>
  <si>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</si>
  <si>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</si>
  <si>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</si>
  <si>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</si>
  <si>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</si>
  <si>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</si>
  <si>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</si>
  <si>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</si>
  <si>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</si>
  <si>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</si>
  <si>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</si>
  <si>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</si>
  <si>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</si>
  <si>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</si>
  <si>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</si>
  <si>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</si>
  <si>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</si>
  <si>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</si>
  <si>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</si>
  <si>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</si>
  <si>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</si>
  <si>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</si>
  <si>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</si>
  <si>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</si>
  <si>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</si>
  <si>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</si>
  <si>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</si>
  <si>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</si>
  <si>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</si>
  <si>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</si>
  <si>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</si>
  <si>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</si>
  <si>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</si>
  <si>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</si>
  <si>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</si>
  <si>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</si>
  <si>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</si>
  <si>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</si>
  <si>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</si>
  <si>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</si>
  <si>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</si>
  <si>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</si>
  <si>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</si>
  <si>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</si>
  <si>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</si>
  <si>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</si>
  <si>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</si>
  <si>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</si>
  <si>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</si>
  <si>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</si>
  <si>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</si>
  <si>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</si>
  <si>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</si>
  <si>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</si>
  <si>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</si>
  <si>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</si>
  <si>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</si>
  <si>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</si>
  <si>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</si>
  <si>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</si>
  <si>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</si>
  <si>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</si>
  <si>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</si>
  <si>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</si>
  <si>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</si>
  <si>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</si>
  <si>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</si>
  <si>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</si>
  <si>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</si>
  <si>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</si>
  <si>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</si>
  <si>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</si>
  <si>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</si>
  <si>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</si>
  <si>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</si>
  <si>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</si>
  <si>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</si>
  <si>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</si>
  <si>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</si>
  <si>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</si>
  <si>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</si>
  <si>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</si>
  <si>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</si>
  <si>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</si>
  <si>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</si>
  <si>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</si>
  <si>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</si>
  <si>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</si>
  <si>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</si>
  <si>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</si>
  <si>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</si>
  <si>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</si>
  <si>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</si>
  <si>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</si>
  <si>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</si>
  <si>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</si>
  <si>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</si>
  <si>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</si>
  <si>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</si>
  <si>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</si>
  <si>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</si>
  <si>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</si>
  <si>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</si>
  <si>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</si>
  <si>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</si>
  <si>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</si>
  <si>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</si>
  <si>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</si>
  <si>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</si>
  <si>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</si>
  <si>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</si>
  <si>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</si>
  <si>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</si>
  <si>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</si>
  <si>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</si>
  <si>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</si>
  <si>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</si>
  <si>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</si>
  <si>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</si>
  <si>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</si>
  <si>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</si>
  <si>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</si>
  <si>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</si>
  <si>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</si>
  <si>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</si>
  <si>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</si>
  <si>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</si>
  <si>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</si>
  <si>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</si>
  <si>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</si>
  <si>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</si>
  <si>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</si>
  <si>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</si>
  <si>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</si>
  <si>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</si>
  <si>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</si>
  <si>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</si>
  <si>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</si>
  <si>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</si>
  <si>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</si>
  <si>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</si>
  <si>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</si>
  <si>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</si>
  <si>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</si>
  <si>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</si>
  <si>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</si>
  <si>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</si>
  <si>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</si>
  <si>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</si>
  <si>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</si>
  <si>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</si>
  <si>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</si>
  <si>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</si>
  <si>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</si>
  <si>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</si>
  <si>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</si>
  <si>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</si>
  <si>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</si>
  <si>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</si>
  <si>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</si>
  <si>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</si>
  <si>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</si>
  <si>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</si>
  <si>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</si>
  <si>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</si>
  <si>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</si>
  <si>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</si>
  <si>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</si>
  <si>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</si>
  <si>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</si>
  <si>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</si>
  <si>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</si>
  <si>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</si>
  <si>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</si>
  <si>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</si>
  <si>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</si>
  <si>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</si>
  <si>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</si>
  <si>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</si>
  <si>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</si>
  <si>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</si>
  <si>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</si>
  <si>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</si>
  <si>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</si>
  <si>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</si>
  <si>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</si>
  <si>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</si>
  <si>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</si>
  <si>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</si>
  <si>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</si>
  <si>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</si>
  <si>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</si>
  <si>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</si>
  <si>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</si>
  <si>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</si>
  <si>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</si>
  <si>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</si>
  <si>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</si>
  <si>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</si>
  <si>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</si>
  <si>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</si>
  <si>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</si>
  <si>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</si>
  <si>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</si>
  <si>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</si>
  <si>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</si>
  <si>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</si>
  <si>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</si>
  <si>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</si>
  <si>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</si>
  <si>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</si>
  <si>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</si>
  <si>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</si>
  <si>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</si>
  <si>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</si>
  <si>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</si>
  <si>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</si>
  <si>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</si>
  <si>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</si>
  <si>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</si>
  <si>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</si>
  <si>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</si>
  <si>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</si>
  <si>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</si>
  <si>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</si>
  <si>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</si>
  <si>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</si>
  <si>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</si>
  <si>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</si>
  <si>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</si>
  <si>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</si>
  <si>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</si>
  <si>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</si>
  <si>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</si>
  <si>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</si>
  <si>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</si>
  <si>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</si>
  <si>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</si>
  <si>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</si>
  <si>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</si>
  <si>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</si>
  <si>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</si>
  <si>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</si>
  <si>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</si>
  <si>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</si>
  <si>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</si>
  <si>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</si>
  <si>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</si>
  <si>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</si>
  <si>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</si>
  <si>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</si>
  <si>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</si>
  <si>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</si>
  <si>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</si>
  <si>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</si>
  <si>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</si>
  <si>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</si>
  <si>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</si>
  <si>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</si>
  <si>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</si>
  <si>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</si>
  <si>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</si>
  <si>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</si>
  <si>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</si>
  <si>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</si>
  <si>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</si>
  <si>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</si>
  <si>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</si>
  <si>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</si>
  <si>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</si>
  <si>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</si>
  <si>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</si>
  <si>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</si>
  <si>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</si>
  <si>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</si>
  <si>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</si>
  <si>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</si>
  <si>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</si>
  <si>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</si>
  <si>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</si>
  <si>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</si>
  <si>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</si>
  <si>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</si>
  <si>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</si>
  <si>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</si>
  <si>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</si>
  <si>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</si>
  <si>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</si>
  <si>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</si>
  <si>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</si>
  <si>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</si>
  <si>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</si>
  <si>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</si>
  <si>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</si>
  <si>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</si>
  <si>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</si>
  <si>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</si>
  <si>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</si>
  <si>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</si>
  <si>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</si>
  <si>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</si>
  <si>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</si>
  <si>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</si>
  <si>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</si>
  <si>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</si>
  <si>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</si>
  <si>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</si>
  <si>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</si>
  <si>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</si>
  <si>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</si>
  <si>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</si>
  <si>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</si>
  <si>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</si>
  <si>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</si>
  <si>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</si>
  <si>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</si>
  <si>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</si>
  <si>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</si>
  <si>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</si>
  <si>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</si>
  <si>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</si>
  <si>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</si>
  <si>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</si>
  <si>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</si>
  <si>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</si>
  <si>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</si>
  <si>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</si>
  <si>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</si>
  <si>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</si>
  <si>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</si>
  <si>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</si>
  <si>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</si>
  <si>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</si>
  <si>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</si>
  <si>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</si>
  <si>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</si>
  <si>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</si>
  <si>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</si>
  <si>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</si>
  <si>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</si>
  <si>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</si>
  <si>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</si>
  <si>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</si>
  <si>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</si>
  <si>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</si>
  <si>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</si>
  <si>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</si>
  <si>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</si>
  <si>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</si>
  <si>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</si>
  <si>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</si>
  <si>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</si>
  <si>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</si>
  <si>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</si>
  <si>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</si>
  <si>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</si>
  <si>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</si>
  <si>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</si>
  <si>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</si>
  <si>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</si>
  <si>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</si>
  <si>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</si>
  <si>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</si>
  <si>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</si>
  <si>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</si>
  <si>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</si>
  <si>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</si>
  <si>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</si>
  <si>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</si>
  <si>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</si>
  <si>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</si>
  <si>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</si>
  <si>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</si>
  <si>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</si>
  <si>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</si>
  <si>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</si>
  <si>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</si>
  <si>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</si>
  <si>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</si>
  <si>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</si>
  <si>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</si>
  <si>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</si>
  <si>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</si>
  <si>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</si>
  <si>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</si>
  <si>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</si>
  <si>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</si>
  <si>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</si>
  <si>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</si>
  <si>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</si>
  <si>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</si>
  <si>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</si>
  <si>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</si>
  <si>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</si>
  <si>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</si>
  <si>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</si>
  <si>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</si>
  <si>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</si>
  <si>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</si>
  <si>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</si>
  <si>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</si>
  <si>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</si>
  <si>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</si>
  <si>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</si>
  <si>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</si>
  <si>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</si>
  <si>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</si>
  <si>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</si>
  <si>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</si>
  <si>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</si>
  <si>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</si>
  <si>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</si>
  <si>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</si>
  <si>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</si>
  <si>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</si>
  <si>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</si>
  <si>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</si>
  <si>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</si>
  <si>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</si>
  <si>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</si>
  <si>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</si>
  <si>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</si>
  <si>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</si>
  <si>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</si>
  <si>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</si>
  <si>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</si>
  <si>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</si>
  <si>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</si>
  <si>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</si>
  <si>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</si>
  <si>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</si>
  <si>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</si>
  <si>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</si>
  <si>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</si>
  <si>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</si>
  <si>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</si>
  <si>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</si>
  <si>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</si>
  <si>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</si>
  <si>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</si>
  <si>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</si>
  <si>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</si>
  <si>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</si>
  <si>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</si>
  <si>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</si>
  <si>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</si>
  <si>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</si>
  <si>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</si>
  <si>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</si>
  <si>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</si>
  <si>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</si>
  <si>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</si>
  <si>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</si>
  <si>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</si>
  <si>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</si>
  <si>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</si>
  <si>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</si>
  <si>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</si>
  <si>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</si>
  <si>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</si>
  <si>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</si>
  <si>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</si>
  <si>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</si>
  <si>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</si>
  <si>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</si>
  <si>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</si>
  <si>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</si>
  <si>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</si>
  <si>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</si>
  <si>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</si>
  <si>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</si>
  <si>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</si>
  <si>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</si>
  <si>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</si>
  <si>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</si>
  <si>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</si>
  <si>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</si>
  <si>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</si>
  <si>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</si>
  <si>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</si>
  <si>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</si>
  <si>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</si>
  <si>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</si>
  <si>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</si>
  <si>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</si>
  <si>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</si>
  <si>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</si>
  <si>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</si>
  <si>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</si>
  <si>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</si>
  <si>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</si>
  <si>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</si>
  <si>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</si>
  <si>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</si>
  <si>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</si>
  <si>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</si>
  <si>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</si>
  <si>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</si>
  <si>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</si>
  <si>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</si>
  <si>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</si>
  <si>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</si>
  <si>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</si>
  <si>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</si>
  <si>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</si>
  <si>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</si>
  <si>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</si>
  <si>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</si>
  <si>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</si>
  <si>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</si>
  <si>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</si>
  <si>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</si>
  <si>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</si>
  <si>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</si>
  <si>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</si>
  <si>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</si>
  <si>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</si>
  <si>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</si>
  <si>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</si>
  <si>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</si>
  <si>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</si>
  <si>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</si>
  <si>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</si>
  <si>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</si>
  <si>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</si>
  <si>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</si>
  <si>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</si>
  <si>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</si>
  <si>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</si>
  <si>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</si>
  <si>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</si>
  <si>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</si>
  <si>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</si>
  <si>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</si>
  <si>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</si>
  <si>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</si>
  <si>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</si>
  <si>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</si>
  <si>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</si>
  <si>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</si>
  <si>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</si>
  <si>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</si>
  <si>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</si>
  <si>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</si>
  <si>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</si>
  <si>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</si>
  <si>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</si>
  <si>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</si>
  <si>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</si>
  <si>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</si>
  <si>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</si>
  <si>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</si>
  <si>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</si>
  <si>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</si>
  <si>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</si>
  <si>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</si>
  <si>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</si>
  <si>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</si>
  <si>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</si>
  <si>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</si>
  <si>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</si>
  <si>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</si>
  <si>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</si>
  <si>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</si>
  <si>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</si>
  <si>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</si>
  <si>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</si>
  <si>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</si>
  <si>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</si>
  <si>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</si>
  <si>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</si>
  <si>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</si>
  <si>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</si>
  <si>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</si>
  <si>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</si>
  <si>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</si>
  <si>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</si>
  <si>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</si>
  <si>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</si>
  <si>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</si>
  <si>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</si>
  <si>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</si>
  <si>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</si>
  <si>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</si>
  <si>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</si>
  <si>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</si>
  <si>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</si>
  <si>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</si>
  <si>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</si>
  <si>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</si>
  <si>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</si>
  <si>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</si>
  <si>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</si>
  <si>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</si>
  <si>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</si>
  <si>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</si>
  <si>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</si>
  <si>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</si>
  <si>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</si>
  <si>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</si>
  <si>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</si>
  <si>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</si>
  <si>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</si>
  <si>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</si>
  <si>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</si>
  <si>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</si>
  <si>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</si>
  <si>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</si>
  <si>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</si>
  <si>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</si>
  <si>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</si>
  <si>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</si>
  <si>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</si>
  <si>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</si>
  <si>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</si>
  <si>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</si>
  <si>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</si>
  <si>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</si>
  <si>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</si>
  <si>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</si>
  <si>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</si>
  <si>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</si>
  <si>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</si>
  <si>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</si>
  <si>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</si>
  <si>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</si>
  <si>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</si>
  <si>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</si>
  <si>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</si>
  <si>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</si>
  <si>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</si>
  <si>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</si>
  <si>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</si>
  <si>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</si>
  <si>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</si>
  <si>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</si>
  <si>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</si>
  <si>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</si>
  <si>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</si>
  <si>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</si>
  <si>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</si>
  <si>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</si>
  <si>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</si>
  <si>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</si>
  <si>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</si>
  <si>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</si>
  <si>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</si>
  <si>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</si>
  <si>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</si>
  <si>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</si>
  <si>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</si>
  <si>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</si>
  <si>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</si>
  <si>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</si>
  <si>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</si>
  <si>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</si>
  <si>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</si>
  <si>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</si>
  <si>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</si>
  <si>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</si>
  <si>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</si>
  <si>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</si>
  <si>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</si>
  <si>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</si>
  <si>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</si>
  <si>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</si>
  <si>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</si>
  <si>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</si>
  <si>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</si>
  <si>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</si>
  <si>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</si>
  <si>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</si>
  <si>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</si>
  <si>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</si>
  <si>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</si>
  <si>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</si>
  <si>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</si>
  <si>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</si>
  <si>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</si>
  <si>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</si>
  <si>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</si>
  <si>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</si>
  <si>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</si>
  <si>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</si>
  <si>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</si>
  <si>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</si>
  <si>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</si>
  <si>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</si>
  <si>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</si>
  <si>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</si>
  <si>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</si>
  <si>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</si>
  <si>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</si>
  <si>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</si>
  <si>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</si>
  <si>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</si>
  <si>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</si>
  <si>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</si>
  <si>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</si>
  <si>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</si>
  <si>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</si>
  <si>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</si>
  <si>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</si>
  <si>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</si>
  <si>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</si>
  <si>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</si>
  <si>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</si>
  <si>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</si>
  <si>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</si>
  <si>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</si>
  <si>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</si>
  <si>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</si>
  <si>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</si>
  <si>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</si>
  <si>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</si>
  <si>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</si>
  <si>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</si>
  <si>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</si>
  <si>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</si>
  <si>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</si>
  <si>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</si>
  <si>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</si>
  <si>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</si>
  <si>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</si>
  <si>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</si>
  <si>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</si>
  <si>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</si>
  <si>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</si>
  <si>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</si>
  <si>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</si>
  <si>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</si>
  <si>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</si>
  <si>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</si>
  <si>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</si>
  <si>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</si>
  <si>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</si>
  <si>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</si>
  <si>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</si>
  <si>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</si>
  <si>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</si>
  <si>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</si>
  <si>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</si>
  <si>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</si>
  <si>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</si>
  <si>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</si>
  <si>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</si>
  <si>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</si>
  <si>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</si>
  <si>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</si>
  <si>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</si>
  <si>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</si>
  <si>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</si>
  <si>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</si>
  <si>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</si>
  <si>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</si>
  <si>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</si>
  <si>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</si>
  <si>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</si>
  <si>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</si>
  <si>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</si>
  <si>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</si>
  <si>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</si>
  <si>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</si>
  <si>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</si>
  <si>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</si>
  <si>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</si>
  <si>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</si>
  <si>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</si>
  <si>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</si>
  <si>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</si>
  <si>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</si>
  <si>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</si>
  <si>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</si>
  <si>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</si>
  <si>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</si>
  <si>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</si>
  <si>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</si>
  <si>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</si>
  <si>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</si>
  <si>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</si>
  <si>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</si>
  <si>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</si>
  <si>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</si>
  <si>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</si>
  <si>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</si>
  <si>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</si>
  <si>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</si>
  <si>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</si>
  <si>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</si>
  <si>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</si>
  <si>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</si>
  <si>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</si>
  <si>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</si>
  <si>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</si>
  <si>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</si>
  <si>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</si>
  <si>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</si>
  <si>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</si>
  <si>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</si>
  <si>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</si>
  <si>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</si>
  <si>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</si>
  <si>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</si>
  <si>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</si>
  <si>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</si>
  <si>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</si>
  <si>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</si>
  <si>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</si>
  <si>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</si>
  <si>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</si>
  <si>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</si>
  <si>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</si>
  <si>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</si>
  <si>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</si>
  <si>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</si>
  <si>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</si>
  <si>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</si>
  <si>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</si>
  <si>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</si>
  <si>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</si>
  <si>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</si>
  <si>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</si>
  <si>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</si>
  <si>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</si>
  <si>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</si>
  <si>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</si>
  <si>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</si>
  <si>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</si>
  <si>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</si>
  <si>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</si>
  <si>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</si>
  <si>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</si>
  <si>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</si>
  <si>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</si>
  <si>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</si>
  <si>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</si>
  <si>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</si>
  <si>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</si>
  <si>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</si>
  <si>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</si>
  <si>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</si>
  <si>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</si>
  <si>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</si>
  <si>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</si>
  <si>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</si>
  <si>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</si>
  <si>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</si>
  <si>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</si>
  <si>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</si>
  <si>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</si>
  <si>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</si>
  <si>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</si>
  <si>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</si>
  <si>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</si>
  <si>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</si>
  <si>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</si>
  <si>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</si>
  <si>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</si>
  <si>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</si>
  <si>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</si>
  <si>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</si>
  <si>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</si>
  <si>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</si>
  <si>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</si>
  <si>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</si>
  <si>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</si>
  <si>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</si>
  <si>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</si>
  <si>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</si>
  <si>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</si>
  <si>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</si>
  <si>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</si>
  <si>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</si>
  <si>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</si>
  <si>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</si>
  <si>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</si>
  <si>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</si>
  <si>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</si>
  <si>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</si>
  <si>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</si>
  <si>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</si>
  <si>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</si>
  <si>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</si>
  <si>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</si>
  <si>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</si>
  <si>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</si>
  <si>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</si>
  <si>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</si>
  <si>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</si>
  <si>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</si>
  <si>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</si>
  <si>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</si>
  <si>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</si>
  <si>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</si>
  <si>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</si>
  <si>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</si>
  <si>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</si>
  <si>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</si>
  <si>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</si>
  <si>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</si>
  <si>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</si>
  <si>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</si>
  <si>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</si>
  <si>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</si>
  <si>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</si>
  <si>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</si>
  <si>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</si>
  <si>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</si>
  <si>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</si>
  <si>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</si>
  <si>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</si>
  <si>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</si>
  <si>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</si>
  <si>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</si>
  <si>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</si>
  <si>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</si>
  <si>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</si>
  <si>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</si>
  <si>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</si>
  <si>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</si>
  <si>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</si>
  <si>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</si>
  <si>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</si>
  <si>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</si>
  <si>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</si>
  <si>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</si>
  <si>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</si>
  <si>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</si>
  <si>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</si>
  <si>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</si>
  <si>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</si>
  <si>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</si>
  <si>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</si>
  <si>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</si>
  <si>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</si>
  <si>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</si>
  <si>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</si>
  <si>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</si>
  <si>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</si>
  <si>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</si>
  <si>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</si>
  <si>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</si>
  <si>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</si>
  <si>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</si>
  <si>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</si>
  <si>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</si>
  <si>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</si>
  <si>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</si>
  <si>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</si>
  <si>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</si>
  <si>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</si>
  <si>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</si>
  <si>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</si>
  <si>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</si>
  <si>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</si>
  <si>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</si>
  <si>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</si>
  <si>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</si>
  <si>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</si>
  <si>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</si>
  <si>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</si>
  <si>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</si>
  <si>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</si>
  <si>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</si>
  <si>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</si>
  <si>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</si>
  <si>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</si>
  <si>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</si>
  <si>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</si>
  <si>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</si>
  <si>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</si>
  <si>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</si>
  <si>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</si>
  <si>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</si>
  <si>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</si>
  <si>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</si>
  <si>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</si>
  <si>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</si>
  <si>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</si>
  <si>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</si>
  <si>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</si>
  <si>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</si>
  <si>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</si>
  <si>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</si>
  <si>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</si>
  <si>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</si>
  <si>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</si>
  <si>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</si>
  <si>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</si>
  <si>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</si>
  <si>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</si>
  <si>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</si>
  <si>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</si>
  <si>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</si>
  <si>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</si>
  <si>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</si>
  <si>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</si>
  <si>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</si>
  <si>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</si>
  <si>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</si>
  <si>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</si>
  <si>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</si>
  <si>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</si>
  <si>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</si>
  <si>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</si>
  <si>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</si>
  <si>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</si>
  <si>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</si>
  <si>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</si>
  <si>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</si>
  <si>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</si>
  <si>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</si>
  <si>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</si>
  <si>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</si>
  <si>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</si>
  <si>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</si>
  <si>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</si>
  <si>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</si>
  <si>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</si>
  <si>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</si>
  <si>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</si>
  <si>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</si>
  <si>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</si>
  <si>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</si>
  <si>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</si>
  <si>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</si>
  <si>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</si>
  <si>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</si>
  <si>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</si>
  <si>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</si>
  <si>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</si>
  <si>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</si>
  <si>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</si>
  <si>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</si>
  <si>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</si>
  <si>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</si>
  <si>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</si>
  <si>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</si>
  <si>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</si>
  <si>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</si>
  <si>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</si>
  <si>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</si>
  <si>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</si>
  <si>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</si>
  <si>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</si>
  <si>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</si>
  <si>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</si>
  <si>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</si>
  <si>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</si>
  <si>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</si>
  <si>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</si>
  <si>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</si>
  <si>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</si>
  <si>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</si>
  <si>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</si>
  <si>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</si>
  <si>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</si>
  <si>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</si>
  <si>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</si>
  <si>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</si>
  <si>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</si>
  <si>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</si>
  <si>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</si>
  <si>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</si>
  <si>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</si>
  <si>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</si>
  <si>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</si>
  <si>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</si>
  <si>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</si>
  <si>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</si>
  <si>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</si>
  <si>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</si>
  <si>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</si>
  <si>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</si>
  <si>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</si>
  <si>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</si>
  <si>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</si>
  <si>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</si>
  <si>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</si>
  <si>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</si>
  <si>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</si>
  <si>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</si>
  <si>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</si>
  <si>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</si>
  <si>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</si>
  <si>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</si>
  <si>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</si>
  <si>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</si>
  <si>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</si>
  <si>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</si>
  <si>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</si>
  <si>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</si>
  <si>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</si>
  <si>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</si>
  <si>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</si>
  <si>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</si>
  <si>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</si>
  <si>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</si>
  <si>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</si>
  <si>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</si>
  <si>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</si>
  <si>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</si>
  <si>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</si>
  <si>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</si>
  <si>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</si>
  <si>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</si>
  <si>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</si>
  <si>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</si>
  <si>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</si>
  <si>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</si>
  <si>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</si>
  <si>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</si>
  <si>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</si>
  <si>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</si>
  <si>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</si>
  <si>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</si>
  <si>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</si>
  <si>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</si>
  <si>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</si>
  <si>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</si>
  <si>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</si>
  <si>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</si>
  <si>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</si>
  <si>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</si>
  <si>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</si>
  <si>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</si>
  <si>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</si>
  <si>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</si>
  <si>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</si>
  <si>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</si>
  <si>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</si>
  <si>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</si>
  <si>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</si>
  <si>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</si>
  <si>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</si>
  <si>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</si>
  <si>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</si>
  <si>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</si>
  <si>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</si>
  <si>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</si>
  <si>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</si>
  <si>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</si>
  <si>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</si>
  <si>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</si>
  <si>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</si>
  <si>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</si>
  <si>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</si>
  <si>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</si>
  <si>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</si>
  <si>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</si>
  <si>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</si>
  <si>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</si>
  <si>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</si>
  <si>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</si>
  <si>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</si>
  <si>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</si>
  <si>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</si>
  <si>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</si>
  <si>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</si>
  <si>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</si>
  <si>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</si>
  <si>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</si>
  <si>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</si>
  <si>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</si>
  <si>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</si>
  <si>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</si>
  <si>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</si>
  <si>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</si>
  <si>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</si>
  <si>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</si>
  <si>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</si>
  <si>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</si>
  <si>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</si>
  <si>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</si>
  <si>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</si>
  <si>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</si>
  <si>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</si>
  <si>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</si>
  <si>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</si>
  <si>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</si>
  <si>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</si>
  <si>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</si>
  <si>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</si>
  <si>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</si>
  <si>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</si>
  <si>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</si>
  <si>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</si>
  <si>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</si>
  <si>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</si>
  <si>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</si>
  <si>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</si>
  <si>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</si>
  <si>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</si>
  <si>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</si>
  <si>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</si>
  <si>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</si>
  <si>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</si>
  <si>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</si>
  <si>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</si>
  <si>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</si>
  <si>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</si>
  <si>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</si>
  <si>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</si>
  <si>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</si>
  <si>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</si>
  <si>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</si>
  <si>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</si>
  <si>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</si>
  <si>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</si>
  <si>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</si>
  <si>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</si>
  <si>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</si>
  <si>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</si>
  <si>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</si>
  <si>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</si>
  <si>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</si>
  <si>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</si>
  <si>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</si>
  <si>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</si>
  <si>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</si>
  <si>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</si>
  <si>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</si>
  <si>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</si>
  <si>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</si>
  <si>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</si>
  <si>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</si>
  <si>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</si>
  <si>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</si>
  <si>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</si>
  <si>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</si>
  <si>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</si>
  <si>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</si>
  <si>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</si>
  <si>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</si>
  <si>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</si>
  <si>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</si>
  <si>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</si>
  <si>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</si>
  <si>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</si>
  <si>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</si>
  <si>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</si>
  <si>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</si>
  <si>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</si>
  <si>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</si>
  <si>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</si>
  <si>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</si>
  <si>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</si>
  <si>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</si>
  <si>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</si>
  <si>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</si>
  <si>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</si>
  <si>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</si>
  <si>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</si>
  <si>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</si>
  <si>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</si>
  <si>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</si>
  <si>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</si>
  <si>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</si>
  <si>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</si>
  <si>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</si>
  <si>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</si>
  <si>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</si>
  <si>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</si>
  <si>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</si>
  <si>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</si>
  <si>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</si>
  <si>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</si>
  <si>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</si>
  <si>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</si>
  <si>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</si>
  <si>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</si>
  <si>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</si>
  <si>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</si>
  <si>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</si>
  <si>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</si>
  <si>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</si>
  <si>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</si>
  <si>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</si>
  <si>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</si>
  <si>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</si>
  <si>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</si>
  <si>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</si>
  <si>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</si>
  <si>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</si>
  <si>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</si>
  <si>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</si>
  <si>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</si>
  <si>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</si>
  <si>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</si>
  <si>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</si>
  <si>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</si>
  <si>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</si>
  <si>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</si>
  <si>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</si>
  <si>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</si>
  <si>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</si>
  <si>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</si>
  <si>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</si>
  <si>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</si>
  <si>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</si>
  <si>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</si>
  <si>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</si>
  <si>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</si>
  <si>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</si>
  <si>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</si>
  <si>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</si>
  <si>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</si>
  <si>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</si>
  <si>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</si>
  <si>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</si>
  <si>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</si>
  <si>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</si>
  <si>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</si>
  <si>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</si>
  <si>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</si>
  <si>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</si>
  <si>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</si>
  <si>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</si>
  <si>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</si>
  <si>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</si>
  <si>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</si>
  <si>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</si>
  <si>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</si>
  <si>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</si>
  <si>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</si>
  <si>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</si>
  <si>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</si>
  <si>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</si>
  <si>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</si>
  <si>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</si>
  <si>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</si>
  <si>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</si>
  <si>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</si>
  <si>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</si>
  <si>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</si>
  <si>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</si>
  <si>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</si>
  <si>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</si>
  <si>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</si>
  <si>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</si>
  <si>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</si>
  <si>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</si>
  <si>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</si>
  <si>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</si>
  <si>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</si>
  <si>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</si>
  <si>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</si>
  <si>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</si>
  <si>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</si>
  <si>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</si>
  <si>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</si>
  <si>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</si>
  <si>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</si>
  <si>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</si>
  <si>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</si>
  <si>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</si>
  <si>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</si>
  <si>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</si>
  <si>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</si>
  <si>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</si>
  <si>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</si>
  <si>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</si>
  <si>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</si>
  <si>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</si>
  <si>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</si>
  <si>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</si>
  <si>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</si>
  <si>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</si>
  <si>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</si>
  <si>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</si>
  <si>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</si>
  <si>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</si>
  <si>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</si>
  <si>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</si>
  <si>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</si>
  <si>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</si>
  <si>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</si>
  <si>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</si>
  <si>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</si>
  <si>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</si>
  <si>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</si>
  <si>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</si>
  <si>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</si>
  <si>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</si>
  <si>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</si>
  <si>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</si>
  <si>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</si>
  <si>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</si>
  <si>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</si>
  <si>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</si>
  <si>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</si>
  <si>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</si>
  <si>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</si>
  <si>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</si>
  <si>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</si>
  <si>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</si>
  <si>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</si>
  <si>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</si>
  <si>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</si>
  <si>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</si>
  <si>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</si>
  <si>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</si>
  <si>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</si>
  <si>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</si>
  <si>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</si>
  <si>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</si>
  <si>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</si>
  <si>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</si>
  <si>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</si>
  <si>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</si>
  <si>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</si>
  <si>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</si>
  <si>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</si>
  <si>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</si>
  <si>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</si>
  <si>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</si>
  <si>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</si>
  <si>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</si>
  <si>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</si>
  <si>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</si>
  <si>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</si>
  <si>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</si>
  <si>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</si>
  <si>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</si>
  <si>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</si>
  <si>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</si>
  <si>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</si>
  <si>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</si>
  <si>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</si>
  <si>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</si>
  <si>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</si>
  <si>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</si>
  <si>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</si>
  <si>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</si>
  <si>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</si>
  <si>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</si>
  <si>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</si>
  <si>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</si>
  <si>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</si>
  <si>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</si>
  <si>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</si>
  <si>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</si>
  <si>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</si>
  <si>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</si>
  <si>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</si>
  <si>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</si>
  <si>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</si>
  <si>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</si>
  <si>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</si>
  <si>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</si>
  <si>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</si>
  <si>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</si>
  <si>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</si>
  <si>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</si>
  <si>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</si>
  <si>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</si>
  <si>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</si>
  <si>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</si>
  <si>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</si>
  <si>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</si>
  <si>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</si>
  <si>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</si>
  <si>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</si>
  <si>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</si>
  <si>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</si>
  <si>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</si>
  <si>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</si>
  <si>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</si>
  <si>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</si>
  <si>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</si>
  <si>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</si>
  <si>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</si>
  <si>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</si>
  <si>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</si>
  <si>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</si>
  <si>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</si>
  <si>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</si>
  <si>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</si>
  <si>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</si>
  <si>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</si>
  <si>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</si>
  <si>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</si>
  <si>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</si>
  <si>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</si>
  <si>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</si>
  <si>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</si>
  <si>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</si>
  <si>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</si>
  <si>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</si>
  <si>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</si>
  <si>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</si>
  <si>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</si>
  <si>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</si>
  <si>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</si>
  <si>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</si>
  <si>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</si>
  <si>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</si>
  <si>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</si>
  <si>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</si>
  <si>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</si>
  <si>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</si>
  <si>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</si>
  <si>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</si>
  <si>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</si>
  <si>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</si>
  <si>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</si>
  <si>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</si>
  <si>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</si>
  <si>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</si>
  <si>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</si>
  <si>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</si>
  <si>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</si>
  <si>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</si>
  <si>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</si>
  <si>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</si>
  <si>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</si>
  <si>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</si>
  <si>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</si>
  <si>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</si>
  <si>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</si>
  <si>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</si>
  <si>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</si>
  <si>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</si>
  <si>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</si>
  <si>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</si>
  <si>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</si>
  <si>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</si>
  <si>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</si>
  <si>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</si>
  <si>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</si>
  <si>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</si>
  <si>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</si>
  <si>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</si>
  <si>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</si>
  <si>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</si>
  <si>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</si>
  <si>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</si>
  <si>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</si>
  <si>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</si>
  <si>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</si>
  <si>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</si>
  <si>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</si>
  <si>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</si>
  <si>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</si>
  <si>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</si>
  <si>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</si>
  <si>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</si>
  <si>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</si>
  <si>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</si>
  <si>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</si>
  <si>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</si>
  <si>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</si>
  <si>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</si>
  <si>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</si>
  <si>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</si>
  <si>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</si>
  <si>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</si>
  <si>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</si>
  <si>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</si>
  <si>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</si>
  <si>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</si>
  <si>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</si>
  <si>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</si>
  <si>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</si>
  <si>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</si>
  <si>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</si>
  <si>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</si>
  <si>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</si>
  <si>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</si>
  <si>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</si>
  <si>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</si>
  <si>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</si>
  <si>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</si>
  <si>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</si>
  <si>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</si>
  <si>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</si>
  <si>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</si>
  <si>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</si>
  <si>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</si>
  <si>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</si>
  <si>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</si>
  <si>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</si>
  <si>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</si>
  <si>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</si>
  <si>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</si>
  <si>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</si>
  <si>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</si>
  <si>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</si>
  <si>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</si>
  <si>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</si>
  <si>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</si>
  <si>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</si>
  <si>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</si>
  <si>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</si>
  <si>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</si>
  <si>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</si>
  <si>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</si>
  <si>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</si>
  <si>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</si>
  <si>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</si>
  <si>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</si>
  <si>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</si>
  <si>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</si>
  <si>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</si>
  <si>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</si>
  <si>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</si>
  <si>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</si>
  <si>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</si>
  <si>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</si>
  <si>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</si>
  <si>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</si>
  <si>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</si>
  <si>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</si>
  <si>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</si>
  <si>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</si>
  <si>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</si>
  <si>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</si>
  <si>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</si>
  <si>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</si>
  <si>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</si>
  <si>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</si>
  <si>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</si>
  <si>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</si>
  <si>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</si>
  <si>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</si>
  <si>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</si>
  <si>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</si>
  <si>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</si>
  <si>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</si>
  <si>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</si>
  <si>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</si>
  <si>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</si>
  <si>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</si>
  <si>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</si>
  <si>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</si>
  <si>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</si>
  <si>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</si>
  <si>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</si>
  <si>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</si>
  <si>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</si>
  <si>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</si>
  <si>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</si>
  <si>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</si>
  <si>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</si>
  <si>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</si>
  <si>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</si>
  <si>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</si>
  <si>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</si>
  <si>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</si>
  <si>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</si>
  <si>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</si>
  <si>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</si>
  <si>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</si>
  <si>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</si>
  <si>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</si>
  <si>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</si>
  <si>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</si>
  <si>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</si>
  <si>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</si>
  <si>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</si>
  <si>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</si>
  <si>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</si>
  <si>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</si>
  <si>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</si>
  <si>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</si>
  <si>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</si>
  <si>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</si>
  <si>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</si>
  <si>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</si>
  <si>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</si>
  <si>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</si>
  <si>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</si>
  <si>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</si>
  <si>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</si>
  <si>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</si>
  <si>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</si>
  <si>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</si>
  <si>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</si>
  <si>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</si>
  <si>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</si>
  <si>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</si>
  <si>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</si>
  <si>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</si>
  <si>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</si>
  <si>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</si>
  <si>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</si>
  <si>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</si>
  <si>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</si>
  <si>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</si>
  <si>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</si>
  <si>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</si>
  <si>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</si>
  <si>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</si>
  <si>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</si>
  <si>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</si>
  <si>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</si>
  <si>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</si>
  <si>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</si>
  <si>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</si>
  <si>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</si>
  <si>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</si>
  <si>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</si>
  <si>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</si>
  <si>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</si>
  <si>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</si>
  <si>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</si>
  <si>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</si>
  <si>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</si>
  <si>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</si>
  <si>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</si>
  <si>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</si>
  <si>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</si>
  <si>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</si>
  <si>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</si>
  <si>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</si>
  <si>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</si>
  <si>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</si>
  <si>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</si>
  <si>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</si>
  <si>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</si>
  <si>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</si>
  <si>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</si>
  <si>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</si>
  <si>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</si>
  <si>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</si>
  <si>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</si>
  <si>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</si>
  <si>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</si>
  <si>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</si>
  <si>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</si>
  <si>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</si>
  <si>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</si>
  <si>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</si>
  <si>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</si>
  <si>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</si>
  <si>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</si>
  <si>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</si>
  <si>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</si>
  <si>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</si>
  <si>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</si>
  <si>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</si>
  <si>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</si>
  <si>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</si>
  <si>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</si>
  <si>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</si>
  <si>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</si>
  <si>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</si>
  <si>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</si>
  <si>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</si>
  <si>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</si>
  <si>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</si>
  <si>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</si>
  <si>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</si>
  <si>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</si>
  <si>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</si>
  <si>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</si>
  <si>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</si>
  <si>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</si>
  <si>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</si>
  <si>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</si>
  <si>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</si>
  <si>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</si>
  <si>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</si>
  <si>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</si>
  <si>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</si>
  <si>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</si>
  <si>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</si>
  <si>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</si>
  <si>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</si>
  <si>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</si>
  <si>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</si>
  <si>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</si>
  <si>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</si>
  <si>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</si>
  <si>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</si>
  <si>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</si>
  <si>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</si>
  <si>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</si>
  <si>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</si>
  <si>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</si>
  <si>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</si>
  <si>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</si>
  <si>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</si>
  <si>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</si>
  <si>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</si>
  <si>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</si>
  <si>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</si>
  <si>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</si>
  <si>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</si>
  <si>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</si>
  <si>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</si>
  <si>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</si>
  <si>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</si>
  <si>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</si>
  <si>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</si>
  <si>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</si>
  <si>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</si>
  <si>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</si>
  <si>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</si>
  <si>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</si>
  <si>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</si>
  <si>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</si>
  <si>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</si>
  <si>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</si>
  <si>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</si>
  <si>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</si>
  <si>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</si>
  <si>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</si>
  <si>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</si>
  <si>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</si>
  <si>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</si>
  <si>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</si>
  <si>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</si>
  <si>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</si>
  <si>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</si>
  <si>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</si>
  <si>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</si>
  <si>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</si>
  <si>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</si>
  <si>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</si>
  <si>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</si>
  <si>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</si>
  <si>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</si>
  <si>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</si>
  <si>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</si>
  <si>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</si>
  <si>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</si>
  <si>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</si>
  <si>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</si>
  <si>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</si>
  <si>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</si>
  <si>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</si>
  <si>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</si>
  <si>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</si>
  <si>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</si>
  <si>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</si>
  <si>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</si>
  <si>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</si>
  <si>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</si>
  <si>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</si>
  <si>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</si>
  <si>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</si>
  <si>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</si>
  <si>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</si>
  <si>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</si>
  <si>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</si>
  <si>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</si>
  <si>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</si>
  <si>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</si>
  <si>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</si>
  <si>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</si>
  <si>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</si>
  <si>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</si>
  <si>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</si>
  <si>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</si>
  <si>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</si>
  <si>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</si>
  <si>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</si>
  <si>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</si>
  <si>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</si>
  <si>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</si>
  <si>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</si>
  <si>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</si>
  <si>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</si>
  <si>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</si>
  <si>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</si>
  <si>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</si>
  <si>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</si>
  <si>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</si>
  <si>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</si>
  <si>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</si>
  <si>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</si>
  <si>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</si>
  <si>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</si>
  <si>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</si>
  <si>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</si>
  <si>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</si>
  <si>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</si>
  <si>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</si>
  <si>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</si>
  <si>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</si>
  <si>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</si>
  <si>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</si>
  <si>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</si>
  <si>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</si>
  <si>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</si>
  <si>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</si>
  <si>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</si>
  <si>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</si>
  <si>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</si>
  <si>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</si>
  <si>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</si>
  <si>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</si>
  <si>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</si>
  <si>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</si>
  <si>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</si>
  <si>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</si>
  <si>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</si>
  <si>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</si>
  <si>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</si>
  <si>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</si>
  <si>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</si>
  <si>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</si>
  <si>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</si>
  <si>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</si>
  <si>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</si>
  <si>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</si>
  <si>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</si>
  <si>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</si>
  <si>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</si>
  <si>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</si>
  <si>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</si>
  <si>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</si>
  <si>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</si>
  <si>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</si>
  <si>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</si>
  <si>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</si>
  <si>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</si>
  <si>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</si>
  <si>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</si>
  <si>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</si>
  <si>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</si>
  <si>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</si>
  <si>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</si>
  <si>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</si>
  <si>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</si>
  <si>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</si>
  <si>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</si>
  <si>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</si>
  <si>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</si>
  <si>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</si>
  <si>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</si>
  <si>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</si>
  <si>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</si>
  <si>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</si>
  <si>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</si>
  <si>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</si>
  <si>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</si>
  <si>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</si>
  <si>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</si>
  <si>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</si>
  <si>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</si>
  <si>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</si>
  <si>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</si>
  <si>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</si>
  <si>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</si>
  <si>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</si>
  <si>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</si>
  <si>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</si>
  <si>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</si>
  <si>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</si>
  <si>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</si>
  <si>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</si>
  <si>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</si>
  <si>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</si>
  <si>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</si>
  <si>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</si>
  <si>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</si>
  <si>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</si>
  <si>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</si>
  <si>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</si>
  <si>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</si>
  <si>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</si>
  <si>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</si>
  <si>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</si>
  <si>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</si>
  <si>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</si>
  <si>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</si>
  <si>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</si>
  <si>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</si>
  <si>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</si>
  <si>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</si>
  <si>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</si>
  <si>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</si>
  <si>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</si>
  <si>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</si>
  <si>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</si>
  <si>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</si>
  <si>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</si>
  <si>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</si>
  <si>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</si>
  <si>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</si>
  <si>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</si>
  <si>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</si>
  <si>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</si>
  <si>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</si>
  <si>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</si>
  <si>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</si>
  <si>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</si>
  <si>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</si>
  <si>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</si>
  <si>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</si>
  <si>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</si>
  <si>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</si>
  <si>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</si>
  <si>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</si>
  <si>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</si>
  <si>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</si>
  <si>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</si>
  <si>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</si>
  <si>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</si>
  <si>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</si>
  <si>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</si>
  <si>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</si>
  <si>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</si>
  <si>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</si>
  <si>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</si>
  <si>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</si>
  <si>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</si>
  <si>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</si>
  <si>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</si>
  <si>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</si>
  <si>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</si>
  <si>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</si>
  <si>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</si>
  <si>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</si>
  <si>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</si>
  <si>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</si>
  <si>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</si>
  <si>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</si>
  <si>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</si>
  <si>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</si>
  <si>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</si>
  <si>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</si>
  <si>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</si>
  <si>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</si>
  <si>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</si>
  <si>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</si>
  <si>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</si>
  <si>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</si>
  <si>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</si>
  <si>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</si>
  <si>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</si>
  <si>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</si>
  <si>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</si>
  <si>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</si>
  <si>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</si>
  <si>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</si>
  <si>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</si>
  <si>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</si>
  <si>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</si>
  <si>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</si>
  <si>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</si>
  <si>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</si>
  <si>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</si>
  <si>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</si>
  <si>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</si>
  <si>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</si>
  <si>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</si>
  <si>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</si>
  <si>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</si>
  <si>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</si>
  <si>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</si>
  <si>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</si>
  <si>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</si>
  <si>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</si>
  <si>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</si>
  <si>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</si>
  <si>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</si>
  <si>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</si>
  <si>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</si>
  <si>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</si>
  <si>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</si>
  <si>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</si>
  <si>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</si>
  <si>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</si>
  <si>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</si>
  <si>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</si>
  <si>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</si>
  <si>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</si>
  <si>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</si>
  <si>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</si>
  <si>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</si>
  <si>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</si>
  <si>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</si>
  <si>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</si>
  <si>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</si>
  <si>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</si>
  <si>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</si>
  <si>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</si>
  <si>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</si>
  <si>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</si>
  <si>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</si>
  <si>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</si>
  <si>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</si>
  <si>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</si>
  <si>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</si>
  <si>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</si>
  <si>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</si>
  <si>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</si>
  <si>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</si>
  <si>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</si>
  <si>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</si>
  <si>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</si>
  <si>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</si>
  <si>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</si>
  <si>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</si>
  <si>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</si>
  <si>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</si>
  <si>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</si>
  <si>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</si>
  <si>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</si>
  <si>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</si>
  <si>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</si>
  <si>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</si>
  <si>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</si>
  <si>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</si>
  <si>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</si>
  <si>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</si>
  <si>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</si>
  <si>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</si>
  <si>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</si>
  <si>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</si>
  <si>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</si>
  <si>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</si>
  <si>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</si>
  <si>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</si>
  <si>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</si>
  <si>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</si>
  <si>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</si>
  <si>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</si>
  <si>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</si>
  <si>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</si>
  <si>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</si>
  <si>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</si>
  <si>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</si>
  <si>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</si>
  <si>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</si>
  <si>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</si>
  <si>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</si>
  <si>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</si>
  <si>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</si>
  <si>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</si>
  <si>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</si>
  <si>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</si>
  <si>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</si>
  <si>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</si>
  <si>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</si>
  <si>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</si>
  <si>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</si>
  <si>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</si>
  <si>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</si>
  <si>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</si>
  <si>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</si>
  <si>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</si>
  <si>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</si>
  <si>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</si>
  <si>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</si>
  <si>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</si>
  <si>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</si>
  <si>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</si>
  <si>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</si>
  <si>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</si>
  <si>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</si>
  <si>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</si>
  <si>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</si>
  <si>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</si>
  <si>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</si>
  <si>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</si>
  <si>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</si>
  <si>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</si>
  <si>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</si>
  <si>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</si>
  <si>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</si>
  <si>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</si>
  <si>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</si>
  <si>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</si>
  <si>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</si>
  <si>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</si>
  <si>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</si>
  <si>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</si>
  <si>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</si>
  <si>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</si>
  <si>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</si>
  <si>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</si>
  <si>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</si>
  <si>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</si>
  <si>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</si>
  <si>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</si>
  <si>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</si>
  <si>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</si>
  <si>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</si>
  <si>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</si>
  <si>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</si>
  <si>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</si>
  <si>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</si>
  <si>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</si>
  <si>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</si>
  <si>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</si>
  <si>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</si>
  <si>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</si>
  <si>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</si>
  <si>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</si>
  <si>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</si>
  <si>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</si>
  <si>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</si>
  <si>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</si>
  <si>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</si>
  <si>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</si>
  <si>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</si>
  <si>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</si>
  <si>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</si>
  <si>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</si>
  <si>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</si>
  <si>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</si>
  <si>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</si>
  <si>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</si>
  <si>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</si>
  <si>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</si>
  <si>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</si>
  <si>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</si>
  <si>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</si>
  <si>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</si>
  <si>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</si>
  <si>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</si>
  <si>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</si>
  <si>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</si>
  <si>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</si>
  <si>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</si>
  <si>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</si>
  <si>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</si>
  <si>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</si>
  <si>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</si>
  <si>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</si>
  <si>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</si>
  <si>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</si>
  <si>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</si>
  <si>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</si>
  <si>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</si>
  <si>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</si>
  <si>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</si>
  <si>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</si>
  <si>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</si>
  <si>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</si>
  <si>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</si>
  <si>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</si>
  <si>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</si>
  <si>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</si>
  <si>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</si>
  <si>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</si>
  <si>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</si>
  <si>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</si>
  <si>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</si>
  <si>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</si>
  <si>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</si>
  <si>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</si>
  <si>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</si>
  <si>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</si>
  <si>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</si>
  <si>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</si>
  <si>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</si>
  <si>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</si>
  <si>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</si>
  <si>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</si>
  <si>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</si>
  <si>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</si>
  <si>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</si>
  <si>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</si>
  <si>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</si>
  <si>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</si>
  <si>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</si>
  <si>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</si>
  <si>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</si>
  <si>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</si>
  <si>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</si>
  <si>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</si>
  <si>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</si>
  <si>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</si>
  <si>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</si>
  <si>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</si>
  <si>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</si>
  <si>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</si>
  <si>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</si>
  <si>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</si>
  <si>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</si>
  <si>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</si>
  <si>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</si>
  <si>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</si>
  <si>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</si>
  <si>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</si>
  <si>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</si>
  <si>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</si>
  <si>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</si>
  <si>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</si>
  <si>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</si>
  <si>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</si>
  <si>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</si>
  <si>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</si>
  <si>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</si>
  <si>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</si>
  <si>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</si>
  <si>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</si>
  <si>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</si>
  <si>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</si>
  <si>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</si>
  <si>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</si>
  <si>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</si>
  <si>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</si>
  <si>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</si>
  <si>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</si>
  <si>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</si>
  <si>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</si>
  <si>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</si>
  <si>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</si>
  <si>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</si>
  <si>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</si>
  <si>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</si>
  <si>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</si>
  <si>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</si>
  <si>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</si>
  <si>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</si>
  <si>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</si>
  <si>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</si>
  <si>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</si>
  <si>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</si>
  <si>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</si>
  <si>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</si>
  <si>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</si>
  <si>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</si>
  <si>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</si>
  <si>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</si>
  <si>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</si>
  <si>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</si>
  <si>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</si>
  <si>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</si>
  <si>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</si>
  <si>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</si>
  <si>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</si>
  <si>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</si>
  <si>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</si>
  <si>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</si>
  <si>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</si>
  <si>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</si>
  <si>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</si>
  <si>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</si>
  <si>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</si>
  <si>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</si>
  <si>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</si>
  <si>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</si>
  <si>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</si>
  <si>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</si>
  <si>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</si>
  <si>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</si>
  <si>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</si>
  <si>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</si>
  <si>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</si>
  <si>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</si>
  <si>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</si>
  <si>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</si>
  <si>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</si>
  <si>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</si>
  <si>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</si>
  <si>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</si>
  <si>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</si>
  <si>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</si>
  <si>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</si>
  <si>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</si>
  <si>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</si>
  <si>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</si>
  <si>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</si>
  <si>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</si>
  <si>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</si>
  <si>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</si>
  <si>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</si>
  <si>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</si>
  <si>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</si>
  <si>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</si>
  <si>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</si>
  <si>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</si>
  <si>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</si>
  <si>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</si>
  <si>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</si>
  <si>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</si>
  <si>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</si>
  <si>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</si>
  <si>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</si>
  <si>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</si>
  <si>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</si>
  <si>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</si>
  <si>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</si>
  <si>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</si>
  <si>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</si>
  <si>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</si>
  <si>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</si>
  <si>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</si>
  <si>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</si>
  <si>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</si>
  <si>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</si>
  <si>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</si>
  <si>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</si>
  <si>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</si>
  <si>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</si>
  <si>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</si>
  <si>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</si>
  <si>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</si>
  <si>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</si>
  <si>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</si>
  <si>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</si>
  <si>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</si>
  <si>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</si>
  <si>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</si>
  <si>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</si>
  <si>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</si>
  <si>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</si>
  <si>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</si>
  <si>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</si>
  <si>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</si>
  <si>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</si>
  <si>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</si>
  <si>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</si>
  <si>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</si>
  <si>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</si>
  <si>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</si>
  <si>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</si>
  <si>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</si>
  <si>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</si>
  <si>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</si>
  <si>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</si>
  <si>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</si>
  <si>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</si>
  <si>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</si>
  <si>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</si>
  <si>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</si>
  <si>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</si>
  <si>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</si>
  <si>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</si>
  <si>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</si>
  <si>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</si>
  <si>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</si>
  <si>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</si>
  <si>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</si>
  <si>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</si>
  <si>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</si>
  <si>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</si>
  <si>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</si>
  <si>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</si>
  <si>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</si>
  <si>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</si>
  <si>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</si>
  <si>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</si>
  <si>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</si>
  <si>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</si>
  <si>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</si>
  <si>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</si>
  <si>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</si>
  <si>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</si>
  <si>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</si>
  <si>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</si>
  <si>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</si>
  <si>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</si>
  <si>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</si>
  <si>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</si>
  <si>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</si>
  <si>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</si>
  <si>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</si>
  <si>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</si>
  <si>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</si>
  <si>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</si>
  <si>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</si>
  <si>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</si>
  <si>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</si>
  <si>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</si>
  <si>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</si>
  <si>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</si>
  <si>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</si>
  <si>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</si>
  <si>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</si>
  <si>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</si>
  <si>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</si>
  <si>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</si>
  <si>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</si>
  <si>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</si>
  <si>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</si>
  <si>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</si>
  <si>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</si>
  <si>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</si>
  <si>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</si>
  <si>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</si>
  <si>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</si>
  <si>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</si>
  <si>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</si>
  <si>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</si>
  <si>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</si>
  <si>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</si>
  <si>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</si>
  <si>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</si>
  <si>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</si>
  <si>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</si>
  <si>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</si>
  <si>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</si>
  <si>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</si>
  <si>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</si>
  <si>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</si>
  <si>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</si>
  <si>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</si>
  <si>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</si>
  <si>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</si>
  <si>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</si>
  <si>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</si>
  <si>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</si>
  <si>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</si>
  <si>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</si>
  <si>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</si>
  <si>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</si>
  <si>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</si>
  <si>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</si>
  <si>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</si>
  <si>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</si>
  <si>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</si>
  <si>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</si>
  <si>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</si>
  <si>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</si>
  <si>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</si>
  <si>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</si>
  <si>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</si>
  <si>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</si>
  <si>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</si>
  <si>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</si>
  <si>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</si>
  <si>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</si>
  <si>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</si>
  <si>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</si>
  <si>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</si>
  <si>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</si>
  <si>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</si>
  <si>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</si>
  <si>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</si>
  <si>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</si>
  <si>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</si>
  <si>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</si>
  <si>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</si>
  <si>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</si>
  <si>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</si>
  <si>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</si>
  <si>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</si>
  <si>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</si>
  <si>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</si>
  <si>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</si>
  <si>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</si>
  <si>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</si>
  <si>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</si>
  <si>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</si>
  <si>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</si>
  <si>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</si>
  <si>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</si>
  <si>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</si>
  <si>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</si>
  <si>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</si>
  <si>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</si>
  <si>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</si>
  <si>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</si>
  <si>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</si>
  <si>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</si>
  <si>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</si>
  <si>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</si>
  <si>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</si>
  <si>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</si>
  <si>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</si>
  <si>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</si>
  <si>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</si>
  <si>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</si>
  <si>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</si>
  <si>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</si>
  <si>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</si>
  <si>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</si>
  <si>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</si>
  <si>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</si>
  <si>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</si>
  <si>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</si>
  <si>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</si>
  <si>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</si>
  <si>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</si>
  <si>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</si>
  <si>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</si>
  <si>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</si>
  <si>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</si>
  <si>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</si>
  <si>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</si>
  <si>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</si>
  <si>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</si>
  <si>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</si>
  <si>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</si>
  <si>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</si>
  <si>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</si>
  <si>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</si>
  <si>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</si>
  <si>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</si>
  <si>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</si>
  <si>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</si>
  <si>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</si>
  <si>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</si>
  <si>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</si>
  <si>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</si>
  <si>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</si>
  <si>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</si>
  <si>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</si>
  <si>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</si>
  <si>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</si>
  <si>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</si>
  <si>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</si>
  <si>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</si>
  <si>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</si>
  <si>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</si>
  <si>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</si>
  <si>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</si>
  <si>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</si>
  <si>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</si>
  <si>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</si>
  <si>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</si>
  <si>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</si>
  <si>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</si>
  <si>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</si>
  <si>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</si>
  <si>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</si>
  <si>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</si>
  <si>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</si>
  <si>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</si>
  <si>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</si>
  <si>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</si>
  <si>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</si>
  <si>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</si>
  <si>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</si>
  <si>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</si>
  <si>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</si>
  <si>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</si>
  <si>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</si>
  <si>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</si>
  <si>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</si>
  <si>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</si>
  <si>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</si>
  <si>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</si>
  <si>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</si>
  <si>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</si>
  <si>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</si>
  <si>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</si>
  <si>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</si>
  <si>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</si>
  <si>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</si>
  <si>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</si>
  <si>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</si>
  <si>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</si>
  <si>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</si>
  <si>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</si>
  <si>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</si>
  <si>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</si>
  <si>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</si>
  <si>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</si>
  <si>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</si>
  <si>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</si>
  <si>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</si>
  <si>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</si>
  <si>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</si>
  <si>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</si>
  <si>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</si>
  <si>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</si>
  <si>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</si>
  <si>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</si>
  <si>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</si>
  <si>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</si>
  <si>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</si>
  <si>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</si>
  <si>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</si>
  <si>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</si>
  <si>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</si>
  <si>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</si>
  <si>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</si>
  <si>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</si>
  <si>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</si>
  <si>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</si>
  <si>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</si>
  <si>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</si>
  <si>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</si>
  <si>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</si>
  <si>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</si>
  <si>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</si>
  <si>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</si>
  <si>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</si>
  <si>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</si>
  <si>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</si>
  <si>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</si>
  <si>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</si>
  <si>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</si>
  <si>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</si>
  <si>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</si>
  <si>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</si>
  <si>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</si>
  <si>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</si>
  <si>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</si>
  <si>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</si>
  <si>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</si>
  <si>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</si>
  <si>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</si>
  <si>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</si>
  <si>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</si>
  <si>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</si>
  <si>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</si>
  <si>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</si>
  <si>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</si>
  <si>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</si>
  <si>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</si>
  <si>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</si>
  <si>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</si>
  <si>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</si>
  <si>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</si>
  <si>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</si>
  <si>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</si>
  <si>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</si>
  <si>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</si>
  <si>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</si>
  <si>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</si>
  <si>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</si>
  <si>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</si>
  <si>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</si>
  <si>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</si>
  <si>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</si>
  <si>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</si>
  <si>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</si>
  <si>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</si>
  <si>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</si>
  <si>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</si>
  <si>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</si>
  <si>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</si>
  <si>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</si>
  <si>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</si>
  <si>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</si>
  <si>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</si>
  <si>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</si>
  <si>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</si>
  <si>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</si>
  <si>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</si>
  <si>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</si>
  <si>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</si>
  <si>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</si>
  <si>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</si>
  <si>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</si>
  <si>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</si>
  <si>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</si>
  <si>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</si>
  <si>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</si>
  <si>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</si>
  <si>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</si>
  <si>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</si>
  <si>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</si>
  <si>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</si>
  <si>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</si>
  <si>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</si>
  <si>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</si>
  <si>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</si>
  <si>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</si>
  <si>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</si>
  <si>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</si>
  <si>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</si>
  <si>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</si>
  <si>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</si>
  <si>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</si>
  <si>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</si>
  <si>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</si>
  <si>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</si>
  <si>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</si>
  <si>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</si>
  <si>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</si>
  <si>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</si>
  <si>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</si>
  <si>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</si>
  <si>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</si>
  <si>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</si>
  <si>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</si>
  <si>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</si>
  <si>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</si>
  <si>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</si>
  <si>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</si>
  <si>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</si>
  <si>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</si>
  <si>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</si>
  <si>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</si>
  <si>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</si>
  <si>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</si>
  <si>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</si>
  <si>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</si>
  <si>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</si>
  <si>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</si>
  <si>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</si>
  <si>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</si>
  <si>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</si>
  <si>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</si>
  <si>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</si>
  <si>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</si>
  <si>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</si>
  <si>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</si>
  <si>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</si>
  <si>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</si>
  <si>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</si>
  <si>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</si>
  <si>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</si>
  <si>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</si>
  <si>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</si>
  <si>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</si>
  <si>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</si>
  <si>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</si>
  <si>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</si>
  <si>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</si>
  <si>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</si>
  <si>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</si>
  <si>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</si>
  <si>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</si>
  <si>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</si>
  <si>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</si>
  <si>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</si>
  <si>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</si>
  <si>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</si>
  <si>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</si>
  <si>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</si>
  <si>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</si>
  <si>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</si>
  <si>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</si>
  <si>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</si>
  <si>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</si>
  <si>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</si>
  <si>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</si>
  <si>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</si>
  <si>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</si>
  <si>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</si>
  <si>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</si>
  <si>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</si>
  <si>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</si>
  <si>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</si>
  <si>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</si>
  <si>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</si>
  <si>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</si>
  <si>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</si>
  <si>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</si>
  <si>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</si>
  <si>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</si>
  <si>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</si>
  <si>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</si>
  <si>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</si>
  <si>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</si>
  <si>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</si>
  <si>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</si>
  <si>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</si>
  <si>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</si>
  <si>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</si>
  <si>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</si>
  <si>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</si>
  <si>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</si>
  <si>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</si>
  <si>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</si>
  <si>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</si>
  <si>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</si>
  <si>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</si>
  <si>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</si>
  <si>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</si>
  <si>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</si>
  <si>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</si>
  <si>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</si>
  <si>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</si>
  <si>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</si>
  <si>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</si>
  <si>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</si>
  <si>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</si>
  <si>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</si>
  <si>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</si>
  <si>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</si>
  <si>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</si>
  <si>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</si>
  <si>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</si>
  <si>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</si>
  <si>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</si>
  <si>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</si>
  <si>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</si>
  <si>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</si>
  <si>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</si>
  <si>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</si>
  <si>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</si>
  <si>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</si>
  <si>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</si>
  <si>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</si>
  <si>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</si>
  <si>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</si>
  <si>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</si>
  <si>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</si>
  <si>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</si>
  <si>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</si>
  <si>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</si>
  <si>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</si>
  <si>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</si>
  <si>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</si>
  <si>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</si>
  <si>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</si>
  <si>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</si>
  <si>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</si>
  <si>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</si>
  <si>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</si>
  <si>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</si>
  <si>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</si>
  <si>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</si>
  <si>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</si>
  <si>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</si>
  <si>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</si>
  <si>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</si>
  <si>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</si>
  <si>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</si>
  <si>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</si>
  <si>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</si>
  <si>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</si>
  <si>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</si>
  <si>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</si>
  <si>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</si>
  <si>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</si>
  <si>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</si>
  <si>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</si>
  <si>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</si>
  <si>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</si>
  <si>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</si>
  <si>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</si>
  <si>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</si>
  <si>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</si>
  <si>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</si>
  <si>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</si>
  <si>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</si>
  <si>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</si>
  <si>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</si>
  <si>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</si>
  <si>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</si>
  <si>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</si>
  <si>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</si>
  <si>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</si>
  <si>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</si>
  <si>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</si>
  <si>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</si>
  <si>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</si>
  <si>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</si>
  <si>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</si>
  <si>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</si>
  <si>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</si>
  <si>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</si>
  <si>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</si>
  <si>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</si>
  <si>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</si>
  <si>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</si>
  <si>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</si>
  <si>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</si>
  <si>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</si>
  <si>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</si>
  <si>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</si>
  <si>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</si>
  <si>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</si>
  <si>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</si>
  <si>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</si>
  <si>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</si>
  <si>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</si>
  <si>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</si>
  <si>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</si>
  <si>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</si>
  <si>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</si>
  <si>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</si>
  <si>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</si>
  <si>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</si>
  <si>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</si>
  <si>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</si>
  <si>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</si>
  <si>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</si>
  <si>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</si>
  <si>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</si>
  <si>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</si>
  <si>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</si>
  <si>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</si>
  <si>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</si>
  <si>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</si>
  <si>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</si>
  <si>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</si>
  <si>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</si>
  <si>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</si>
  <si>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</si>
  <si>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</si>
  <si>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</si>
  <si>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</si>
  <si>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</si>
  <si>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</si>
  <si>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</si>
  <si>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</si>
  <si>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</si>
  <si>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</si>
  <si>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</si>
  <si>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</si>
  <si>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</si>
  <si>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</si>
  <si>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</si>
  <si>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</si>
  <si>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</si>
  <si>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</si>
  <si>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</si>
  <si>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</si>
  <si>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</si>
  <si>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</si>
  <si>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</si>
  <si>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</si>
  <si>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</si>
  <si>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</si>
  <si>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</si>
  <si>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</si>
  <si>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</si>
  <si>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</si>
  <si>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</si>
  <si>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</si>
  <si>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</si>
  <si>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</si>
  <si>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</si>
  <si>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</si>
  <si>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</si>
  <si>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</si>
  <si>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</si>
  <si>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</si>
  <si>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</si>
  <si>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</si>
  <si>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</si>
  <si>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</si>
  <si>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</si>
  <si>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</si>
  <si>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</si>
  <si>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</si>
  <si>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</si>
  <si>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</si>
  <si>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</si>
  <si>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</si>
  <si>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</si>
  <si>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</si>
  <si>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</si>
  <si>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</si>
  <si>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</si>
  <si>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</si>
  <si>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</si>
  <si>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</si>
  <si>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</si>
  <si>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</si>
  <si>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</si>
  <si>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</si>
  <si>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</si>
  <si>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</si>
  <si>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</si>
  <si>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</si>
  <si>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</si>
  <si>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</si>
  <si>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</si>
  <si>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</si>
  <si>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</si>
  <si>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</si>
  <si>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</si>
  <si>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</si>
  <si>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</si>
  <si>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</si>
  <si>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</si>
  <si>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</si>
  <si>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</si>
  <si>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</si>
  <si>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</si>
  <si>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</si>
  <si>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</si>
  <si>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</si>
  <si>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</si>
  <si>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</si>
  <si>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</si>
  <si>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</si>
  <si>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</si>
  <si>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</si>
  <si>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</si>
  <si>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</si>
  <si>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</si>
  <si>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</si>
  <si>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</si>
  <si>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</si>
  <si>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</si>
  <si>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</si>
  <si>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</si>
  <si>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</si>
  <si>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</si>
  <si>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</si>
  <si>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</si>
  <si>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</si>
  <si>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</si>
  <si>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</si>
  <si>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</si>
  <si>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</si>
  <si>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</si>
  <si>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</si>
  <si>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</si>
  <si>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</si>
  <si>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</si>
  <si>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</si>
  <si>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</si>
  <si>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</si>
  <si>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</si>
  <si>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</si>
  <si>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</si>
  <si>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</si>
  <si>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</si>
  <si>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</si>
  <si>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</si>
  <si>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</si>
  <si>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</si>
  <si>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</si>
  <si>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</si>
  <si>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</si>
  <si>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</si>
  <si>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</si>
  <si>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</si>
  <si>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</si>
  <si>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</si>
  <si>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</si>
  <si>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</si>
  <si>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</si>
  <si>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</si>
  <si>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</si>
  <si>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</si>
  <si>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</si>
  <si>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</si>
  <si>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</si>
  <si>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</si>
  <si>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</si>
  <si>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</si>
  <si>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</si>
  <si>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</si>
  <si>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</si>
  <si>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</si>
  <si>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</si>
  <si>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</si>
  <si>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</si>
  <si>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</si>
  <si>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</si>
  <si>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</si>
  <si>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</si>
  <si>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</si>
  <si>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</si>
  <si>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</si>
  <si>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</si>
  <si>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</si>
  <si>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</si>
  <si>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</si>
  <si>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</si>
  <si>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</si>
  <si>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</si>
  <si>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</si>
  <si>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</si>
  <si>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</si>
  <si>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</si>
  <si>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</si>
  <si>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</si>
  <si>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</si>
  <si>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</si>
  <si>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</si>
  <si>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</si>
  <si>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</si>
  <si>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</si>
  <si>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</si>
  <si>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</si>
  <si>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</si>
  <si>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</si>
  <si>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</si>
  <si>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</si>
  <si>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</si>
  <si>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</si>
  <si>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</si>
  <si>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</si>
  <si>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</si>
  <si>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</si>
  <si>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</si>
  <si>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</si>
  <si>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</si>
  <si>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</si>
  <si>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</si>
  <si>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</si>
  <si>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</si>
  <si>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</si>
  <si>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</si>
  <si>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</si>
  <si>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</si>
  <si>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</si>
  <si>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</si>
  <si>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</si>
  <si>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</si>
  <si>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</si>
  <si>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</si>
  <si>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</si>
  <si>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</si>
  <si>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</si>
  <si>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</si>
  <si>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</si>
  <si>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</si>
  <si>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</si>
  <si>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</si>
  <si>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</si>
  <si>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</si>
  <si>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</si>
  <si>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</si>
  <si>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</si>
  <si>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</si>
  <si>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</si>
  <si>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</si>
  <si>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</si>
  <si>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</si>
  <si>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</si>
  <si>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</si>
  <si>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</si>
  <si>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</si>
  <si>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</si>
  <si>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</si>
  <si>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</si>
  <si>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</si>
  <si>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</si>
  <si>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</si>
  <si>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</si>
  <si>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</si>
  <si>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</si>
  <si>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</si>
  <si>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</si>
  <si>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</si>
  <si>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</si>
  <si>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</si>
  <si>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</si>
  <si>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</si>
  <si>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</si>
  <si>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</si>
  <si>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</si>
  <si>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</si>
  <si>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</si>
  <si>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</si>
  <si>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</si>
  <si>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</si>
  <si>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</si>
  <si>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</si>
  <si>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</si>
  <si>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</si>
  <si>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</si>
  <si>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</si>
  <si>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</si>
  <si>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</si>
  <si>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</si>
  <si>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</si>
  <si>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</si>
  <si>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</si>
  <si>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</si>
  <si>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</si>
  <si>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</si>
  <si>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</si>
  <si>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</si>
  <si>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</si>
  <si>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</si>
  <si>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</si>
  <si>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</si>
  <si>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</si>
  <si>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</si>
  <si>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</si>
  <si>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</si>
  <si>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</si>
  <si>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</si>
  <si>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</si>
  <si>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</si>
  <si>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</si>
  <si>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</si>
  <si>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</si>
  <si>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</si>
  <si>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</si>
  <si>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</si>
  <si>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</si>
  <si>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</si>
  <si>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</si>
  <si>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</si>
  <si>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</si>
  <si>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</si>
  <si>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</si>
  <si>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</si>
  <si>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</si>
  <si>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</si>
  <si>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</si>
  <si>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</si>
  <si>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</si>
  <si>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</si>
  <si>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</si>
  <si>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</si>
  <si>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</si>
  <si>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</si>
  <si>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</si>
  <si>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</si>
  <si>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</si>
  <si>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</si>
  <si>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</si>
  <si>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</si>
  <si>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</si>
  <si>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</si>
  <si>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</si>
  <si>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</si>
  <si>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</si>
  <si>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</si>
  <si>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</si>
  <si>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</si>
  <si>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</si>
  <si>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</si>
  <si>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</si>
  <si>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</si>
  <si>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</si>
  <si>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</si>
  <si>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</si>
  <si>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</si>
  <si>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</si>
  <si>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</si>
  <si>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</si>
  <si>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</si>
  <si>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</si>
  <si>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</si>
  <si>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</si>
  <si>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</si>
  <si>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</si>
  <si>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</si>
  <si>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</si>
  <si>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</si>
  <si>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</si>
  <si>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</si>
  <si>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</si>
  <si>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</si>
  <si>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</si>
  <si>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</si>
  <si>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</si>
  <si>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</si>
  <si>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</si>
  <si>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</si>
  <si>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</si>
  <si>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</si>
  <si>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</si>
  <si>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</si>
  <si>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</si>
  <si>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</si>
  <si>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</si>
  <si>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</si>
  <si>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</si>
  <si>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</si>
  <si>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</si>
  <si>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</si>
  <si>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</si>
  <si>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</si>
  <si>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</si>
  <si>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</si>
  <si>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</si>
  <si>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</si>
  <si>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</si>
  <si>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</si>
  <si>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</si>
  <si>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</si>
  <si>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</si>
  <si>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</si>
  <si>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</si>
  <si>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</si>
  <si>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</si>
  <si>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</si>
  <si>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</si>
  <si>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</si>
  <si>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</si>
  <si>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</si>
  <si>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</si>
  <si>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</si>
  <si>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</si>
  <si>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</si>
  <si>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</si>
  <si>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</si>
  <si>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</si>
  <si>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</si>
  <si>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</si>
  <si>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</si>
  <si>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</si>
  <si>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</si>
  <si>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</si>
  <si>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</si>
  <si>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</si>
  <si>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</si>
  <si>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</si>
  <si>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</si>
  <si>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</si>
  <si>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</si>
  <si>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</si>
  <si>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</si>
  <si>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</si>
  <si>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</si>
  <si>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</si>
  <si>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</si>
  <si>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</si>
  <si>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</si>
  <si>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</si>
  <si>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</si>
  <si>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</si>
  <si>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</si>
  <si>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</si>
  <si>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</si>
  <si>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</si>
  <si>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</si>
  <si>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</si>
  <si>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</si>
  <si>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</si>
  <si>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</si>
  <si>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</si>
  <si>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</si>
  <si>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</si>
  <si>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</si>
  <si>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</si>
  <si>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</si>
  <si>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</si>
  <si>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</si>
  <si>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</si>
  <si>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</si>
  <si>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</si>
  <si>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</si>
  <si>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</si>
  <si>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</si>
  <si>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</si>
  <si>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</si>
  <si>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</si>
  <si>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</si>
  <si>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</si>
  <si>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</si>
  <si>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</si>
  <si>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</si>
  <si>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</si>
  <si>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</si>
  <si>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</si>
  <si>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</si>
  <si>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</si>
  <si>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</si>
  <si>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</si>
  <si>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</si>
  <si>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</si>
  <si>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</si>
  <si>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</si>
  <si>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</si>
  <si>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</si>
  <si>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</si>
  <si>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</si>
  <si>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</si>
  <si>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</si>
  <si>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</si>
  <si>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</si>
  <si>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</si>
  <si>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</si>
  <si>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</si>
  <si>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</si>
  <si>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</si>
  <si>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</si>
  <si>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</si>
  <si>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</si>
  <si>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</si>
  <si>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</si>
  <si>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</si>
  <si>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</si>
  <si>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</si>
  <si>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</si>
  <si>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</si>
  <si>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</si>
  <si>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</si>
  <si>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</si>
  <si>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</si>
  <si>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</si>
  <si>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</si>
  <si>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</si>
  <si>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</si>
  <si>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</si>
  <si>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</si>
  <si>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</si>
  <si>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</si>
  <si>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</si>
  <si>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</si>
  <si>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</si>
  <si>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</si>
  <si>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</si>
  <si>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</si>
  <si>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</si>
  <si>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</si>
  <si>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</si>
  <si>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</si>
  <si>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</si>
  <si>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</si>
  <si>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</si>
  <si>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</si>
  <si>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</si>
  <si>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</si>
  <si>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</si>
  <si>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</si>
  <si>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</si>
  <si>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</si>
  <si>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</si>
  <si>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</si>
  <si>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</si>
  <si>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</si>
  <si>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</si>
  <si>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</si>
  <si>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</si>
  <si>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</si>
  <si>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</si>
  <si>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</si>
  <si>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</si>
  <si>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</si>
  <si>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</si>
  <si>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</si>
  <si>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</si>
  <si>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</si>
  <si>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</si>
  <si>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</si>
  <si>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</si>
  <si>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</si>
  <si>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</si>
  <si>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</si>
  <si>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</si>
  <si>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</si>
  <si>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</si>
  <si>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</si>
  <si>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</si>
  <si>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</si>
  <si>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</si>
  <si>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</si>
  <si>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</si>
  <si>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</si>
  <si>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</si>
  <si>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</si>
  <si>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</si>
  <si>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</si>
  <si>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</si>
  <si>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</si>
  <si>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</si>
  <si>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</si>
  <si>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</si>
  <si>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</si>
  <si>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</si>
  <si>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</si>
  <si>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</si>
  <si>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</si>
  <si>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</si>
  <si>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</si>
  <si>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</si>
  <si>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</si>
  <si>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</si>
  <si>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</si>
  <si>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</si>
  <si>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</si>
  <si>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</si>
  <si>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</si>
  <si>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</si>
  <si>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</si>
  <si>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</si>
  <si>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</si>
  <si>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</si>
  <si>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</si>
  <si>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</si>
  <si>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</si>
  <si>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</si>
  <si>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</si>
  <si>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</si>
  <si>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</si>
  <si>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</si>
  <si>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</si>
  <si>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</si>
  <si>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</si>
  <si>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</si>
  <si>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</si>
  <si>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</si>
  <si>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</si>
  <si>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</si>
  <si>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</si>
  <si>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</si>
  <si>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</si>
  <si>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</si>
  <si>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</si>
  <si>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</si>
  <si>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</si>
  <si>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</si>
  <si>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</si>
  <si>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</si>
  <si>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</si>
  <si>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</si>
  <si>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</si>
  <si>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</si>
  <si>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</si>
  <si>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</si>
  <si>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</si>
  <si>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</si>
  <si>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</si>
  <si>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</si>
  <si>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</si>
  <si>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</si>
  <si>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</si>
  <si>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</si>
  <si>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</si>
  <si>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</si>
  <si>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</si>
  <si>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</si>
  <si>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</si>
  <si>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</si>
  <si>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</si>
  <si>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</si>
  <si>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</si>
  <si>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</si>
  <si>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</si>
  <si>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</si>
  <si>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</si>
  <si>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</si>
  <si>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</si>
  <si>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</si>
  <si>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</si>
  <si>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</si>
  <si>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</si>
  <si>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</si>
  <si>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</si>
  <si>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</si>
  <si>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</si>
  <si>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</si>
  <si>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</si>
  <si>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</si>
  <si>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</si>
  <si>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</si>
  <si>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</si>
  <si>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</si>
  <si>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</si>
  <si>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</si>
  <si>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</si>
  <si>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</si>
  <si>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</si>
  <si>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</si>
  <si>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</si>
  <si>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</si>
  <si>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</si>
  <si>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</si>
  <si>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</si>
  <si>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</si>
  <si>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</si>
  <si>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</si>
  <si>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</si>
  <si>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</si>
  <si>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</si>
  <si>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</si>
  <si>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</si>
  <si>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</si>
  <si>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</si>
  <si>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</si>
  <si>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</si>
  <si>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</si>
  <si>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</si>
  <si>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</si>
  <si>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</si>
  <si>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</si>
  <si>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</si>
  <si>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</si>
  <si>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</si>
  <si>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</si>
  <si>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</si>
  <si>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</si>
  <si>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</si>
  <si>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</si>
  <si>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</si>
  <si>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</si>
  <si>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</si>
  <si>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</si>
  <si>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</si>
  <si>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</si>
  <si>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</si>
  <si>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</si>
  <si>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</si>
  <si>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</si>
  <si>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</si>
  <si>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</si>
  <si>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</si>
  <si>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</si>
  <si>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</si>
  <si>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</si>
  <si>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</si>
  <si>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</si>
  <si>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</si>
  <si>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</si>
  <si>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</si>
  <si>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</si>
  <si>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</si>
  <si>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</si>
  <si>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</si>
  <si>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</si>
  <si>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</si>
  <si>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</si>
  <si>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</si>
  <si>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</si>
  <si>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</si>
  <si>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</si>
  <si>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</si>
  <si>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</si>
  <si>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</si>
  <si>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</si>
  <si>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</si>
  <si>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</si>
  <si>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</si>
  <si>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</si>
  <si>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</si>
  <si>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</si>
  <si>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</si>
  <si>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</si>
  <si>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</si>
  <si>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</si>
  <si>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</si>
  <si>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</si>
  <si>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</si>
  <si>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</si>
  <si>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</si>
  <si>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</si>
  <si>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</si>
  <si>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</si>
  <si>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</si>
  <si>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</si>
  <si>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</si>
  <si>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</si>
  <si>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</si>
  <si>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</si>
  <si>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</si>
  <si>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</si>
  <si>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</si>
  <si>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</si>
  <si>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</si>
  <si>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</si>
  <si>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</si>
  <si>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</si>
  <si>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</si>
  <si>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</si>
  <si>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</si>
  <si>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</si>
  <si>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</si>
  <si>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</si>
  <si>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</si>
  <si>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</si>
  <si>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</si>
  <si>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</si>
  <si>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</si>
  <si>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</si>
  <si>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</si>
  <si>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</si>
  <si>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</si>
  <si>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</si>
  <si>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</si>
  <si>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</si>
  <si>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</si>
  <si>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</si>
  <si>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</si>
  <si>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</si>
  <si>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</si>
  <si>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</si>
  <si>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</si>
  <si>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</si>
  <si>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</si>
  <si>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</si>
  <si>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</si>
  <si>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</si>
  <si>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</si>
  <si>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</si>
  <si>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</si>
  <si>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</si>
  <si>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</si>
  <si>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</si>
  <si>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</si>
  <si>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</si>
  <si>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</si>
  <si>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</si>
  <si>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</si>
  <si>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</si>
  <si>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</si>
  <si>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</si>
  <si>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</si>
  <si>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</si>
  <si>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</si>
  <si>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</si>
  <si>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</si>
  <si>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</si>
  <si>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</si>
  <si>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</si>
  <si>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</si>
  <si>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</si>
  <si>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</si>
  <si>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</si>
  <si>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</si>
  <si>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</si>
  <si>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</si>
  <si>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</si>
  <si>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</si>
  <si>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</si>
  <si>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</si>
  <si>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</si>
  <si>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</si>
  <si>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</si>
  <si>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</si>
  <si>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</si>
  <si>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</si>
  <si>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</si>
  <si>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</si>
  <si>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</si>
  <si>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</si>
  <si>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</si>
  <si>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</si>
  <si>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</si>
  <si>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</si>
  <si>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</si>
  <si>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</si>
  <si>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</si>
  <si>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</si>
  <si>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</si>
  <si>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</si>
  <si>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</si>
  <si>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</si>
  <si>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</si>
  <si>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</si>
  <si>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</si>
  <si>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</si>
  <si>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</si>
  <si>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</si>
  <si>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</si>
  <si>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</si>
  <si>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</si>
  <si>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</si>
  <si>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</si>
  <si>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</si>
  <si>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</si>
  <si>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</si>
  <si>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</si>
  <si>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</si>
  <si>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</si>
  <si>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</si>
  <si>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</si>
  <si>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</si>
  <si>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</si>
  <si>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</si>
  <si>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</si>
  <si>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</si>
  <si>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</si>
  <si>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</si>
  <si>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</si>
  <si>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</si>
  <si>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</si>
  <si>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</si>
  <si>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</si>
  <si>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</si>
  <si>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</si>
  <si>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</si>
  <si>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</si>
  <si>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</si>
  <si>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</si>
  <si>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</si>
  <si>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</si>
  <si>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</si>
  <si>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</si>
  <si>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</si>
  <si>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</si>
  <si>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</si>
  <si>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</si>
  <si>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</si>
  <si>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</si>
  <si>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</si>
  <si>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</si>
  <si>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</si>
  <si>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</si>
  <si>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</si>
  <si>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</si>
  <si>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</si>
  <si>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</si>
  <si>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</si>
  <si>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</si>
  <si>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</si>
  <si>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</si>
  <si>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</si>
  <si>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</si>
  <si>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</si>
  <si>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</si>
  <si>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</si>
  <si>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</si>
  <si>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</si>
  <si>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</si>
  <si>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</si>
  <si>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</si>
  <si>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</si>
  <si>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</si>
  <si>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</si>
  <si>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</si>
  <si>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</si>
  <si>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</si>
  <si>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</si>
  <si>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</si>
  <si>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</si>
  <si>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</si>
  <si>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</si>
  <si>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</si>
  <si>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</si>
  <si>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</si>
  <si>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</si>
  <si>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</si>
  <si>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</si>
  <si>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</si>
  <si>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</si>
  <si>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</si>
  <si>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</si>
  <si>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</si>
  <si>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</si>
  <si>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</si>
  <si>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</si>
  <si>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</si>
  <si>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</si>
  <si>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</si>
  <si>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</si>
  <si>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</si>
  <si>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</si>
  <si>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</si>
  <si>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</si>
  <si>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</si>
  <si>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</si>
  <si>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</si>
  <si>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</si>
  <si>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</si>
  <si>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</si>
  <si>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</si>
  <si>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</si>
  <si>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</si>
  <si>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</si>
  <si>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</si>
  <si>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</si>
  <si>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</si>
  <si>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</si>
  <si>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</si>
  <si>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</si>
  <si>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</si>
  <si>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</si>
  <si>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</si>
  <si>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</si>
  <si>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</si>
  <si>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</si>
  <si>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</si>
  <si>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</si>
  <si>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</si>
  <si>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</si>
  <si>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</si>
  <si>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</si>
  <si>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</si>
  <si>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</si>
  <si>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</si>
  <si>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</si>
  <si>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</si>
  <si>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</si>
  <si>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</si>
  <si>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</si>
  <si>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</si>
  <si>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</si>
  <si>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</si>
  <si>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</si>
  <si>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</si>
  <si>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</si>
  <si>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</si>
  <si>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</si>
  <si>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</si>
  <si>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</si>
  <si>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</si>
  <si>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</si>
  <si>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</si>
  <si>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</si>
  <si>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</si>
  <si>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</si>
  <si>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</si>
  <si>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</si>
  <si>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</si>
  <si>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</si>
  <si>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</si>
  <si>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</si>
  <si>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</si>
  <si>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</si>
  <si>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</si>
  <si>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</si>
  <si>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</si>
  <si>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</si>
  <si>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</si>
  <si>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</si>
  <si>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</si>
  <si>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</si>
  <si>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</si>
  <si>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</si>
  <si>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</si>
  <si>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</si>
  <si>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</si>
  <si>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</si>
  <si>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</si>
  <si>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</si>
  <si>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</si>
  <si>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</si>
  <si>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</si>
  <si>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</si>
  <si>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</si>
  <si>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</si>
  <si>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</si>
  <si>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</si>
  <si>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</si>
  <si>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</si>
  <si>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</si>
  <si>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</si>
  <si>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</si>
  <si>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</si>
  <si>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</si>
  <si>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</si>
  <si>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</si>
  <si>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</si>
  <si>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</si>
  <si>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</si>
  <si>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</si>
  <si>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</si>
  <si>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</si>
  <si>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</si>
  <si>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</si>
  <si>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</si>
  <si>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</si>
  <si>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</si>
  <si>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</si>
  <si>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</si>
  <si>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</si>
  <si>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</si>
  <si>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</si>
  <si>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</si>
  <si>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</si>
  <si>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</si>
  <si>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</si>
  <si>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</si>
  <si>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</si>
  <si>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</si>
  <si>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</si>
  <si>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</si>
  <si>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</si>
  <si>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</si>
  <si>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</si>
  <si>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</si>
  <si>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</si>
  <si>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</si>
  <si>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</si>
  <si>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</si>
  <si>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</si>
  <si>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</si>
  <si>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</si>
  <si>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</si>
  <si>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</si>
  <si>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</si>
  <si>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</si>
  <si>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</si>
  <si>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</si>
  <si>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</si>
  <si>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</si>
  <si>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</si>
  <si>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</si>
  <si>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</si>
  <si>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</si>
  <si>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</si>
  <si>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</si>
  <si>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</si>
  <si>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</si>
  <si>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</si>
  <si>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</si>
  <si>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</si>
  <si>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</si>
  <si>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</si>
  <si>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</si>
  <si>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</si>
  <si>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</si>
  <si>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</si>
  <si>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</si>
  <si>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</si>
  <si>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</si>
  <si>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</si>
  <si>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</si>
  <si>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</si>
  <si>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</si>
  <si>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</si>
  <si>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</si>
  <si>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</si>
  <si>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</si>
  <si>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</si>
  <si>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</si>
  <si>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</si>
  <si>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</si>
  <si>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</si>
  <si>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</si>
  <si>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</si>
  <si>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</si>
  <si>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</si>
  <si>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</si>
  <si>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</si>
  <si>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</si>
  <si>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</si>
  <si>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</si>
  <si>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</si>
  <si>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</si>
  <si>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</si>
  <si>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</si>
  <si>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</si>
  <si>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</si>
  <si>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</si>
  <si>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</si>
  <si>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</si>
  <si>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</si>
  <si>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</si>
  <si>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</si>
  <si>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</si>
  <si>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</si>
  <si>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</si>
  <si>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</si>
  <si>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</si>
  <si>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</si>
  <si>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</si>
  <si>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</si>
  <si>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</si>
  <si>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</si>
  <si>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</si>
  <si>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</si>
  <si>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</si>
  <si>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</si>
  <si>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</si>
  <si>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</si>
  <si>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</si>
  <si>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</si>
  <si>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</si>
  <si>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</si>
  <si>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</si>
  <si>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</si>
  <si>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</si>
  <si>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</si>
  <si>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</si>
  <si>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</si>
  <si>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</si>
  <si>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</si>
  <si>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</si>
  <si>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</si>
  <si>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</si>
  <si>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</si>
  <si>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</si>
  <si>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</si>
  <si>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</si>
  <si>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</si>
  <si>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</si>
  <si>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</si>
  <si>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</si>
  <si>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</si>
  <si>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</si>
  <si>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</si>
  <si>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</si>
  <si>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</si>
  <si>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</si>
  <si>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</si>
  <si>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</si>
  <si>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</si>
  <si>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</si>
  <si>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</si>
  <si>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</si>
  <si>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</si>
  <si>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</si>
  <si>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</si>
  <si>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</si>
  <si>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</si>
  <si>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</si>
  <si>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</si>
  <si>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</si>
  <si>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</si>
  <si>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</si>
  <si>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</si>
  <si>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</si>
  <si>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</si>
  <si>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</si>
  <si>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</si>
  <si>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</si>
  <si>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</si>
  <si>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</si>
  <si>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</si>
  <si>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</si>
  <si>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</si>
  <si>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</si>
  <si>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</si>
  <si>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</si>
  <si>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</si>
  <si>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</si>
  <si>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</si>
  <si>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</si>
  <si>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</si>
  <si>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</si>
  <si>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</si>
  <si>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</si>
  <si>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</si>
  <si>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</si>
  <si>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</si>
  <si>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</si>
  <si>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</si>
  <si>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</si>
  <si>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</si>
  <si>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</si>
  <si>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</si>
  <si>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</si>
  <si>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</si>
  <si>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</si>
  <si>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</si>
  <si>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</si>
  <si>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</si>
  <si>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</si>
  <si>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</si>
  <si>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</si>
  <si>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</si>
  <si>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</si>
  <si>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</si>
  <si>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</si>
  <si>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</si>
  <si>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</si>
  <si>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</si>
  <si>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</si>
  <si>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</si>
  <si>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</si>
  <si>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</si>
  <si>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</si>
  <si>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</si>
  <si>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</si>
  <si>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</si>
  <si>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</si>
  <si>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</si>
  <si>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</si>
  <si>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</si>
  <si>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</si>
  <si>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</si>
  <si>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</si>
  <si>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</si>
  <si>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</si>
  <si>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</si>
  <si>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</si>
  <si>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</si>
  <si>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</si>
  <si>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</si>
  <si>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</si>
  <si>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</si>
  <si>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</si>
  <si>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</si>
  <si>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</si>
  <si>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</si>
  <si>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</si>
  <si>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</si>
  <si>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</si>
  <si>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</si>
  <si>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</si>
  <si>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</si>
  <si>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</si>
  <si>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</si>
  <si>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</si>
  <si>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</si>
  <si>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</si>
  <si>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</si>
  <si>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</si>
  <si>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</si>
  <si>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</si>
  <si>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</si>
  <si>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</si>
  <si>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</si>
  <si>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</si>
  <si>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</si>
  <si>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</si>
  <si>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</si>
  <si>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</si>
  <si>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</si>
  <si>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</si>
  <si>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</si>
  <si>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</si>
  <si>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</si>
  <si>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</si>
  <si>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</si>
  <si>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</si>
  <si>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</si>
  <si>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</si>
  <si>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</si>
  <si>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</si>
  <si>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</si>
  <si>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</si>
  <si>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</si>
  <si>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</si>
  <si>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</si>
  <si>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</si>
  <si>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</si>
  <si>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</si>
  <si>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</si>
  <si>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</si>
  <si>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</si>
  <si>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</si>
  <si>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</si>
  <si>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</si>
  <si>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</si>
  <si>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</si>
  <si>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</si>
  <si>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</si>
  <si>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</si>
  <si>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</si>
  <si>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</si>
  <si>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</si>
  <si>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</si>
  <si>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</si>
  <si>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</si>
  <si>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</si>
  <si>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</si>
  <si>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</si>
  <si>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</si>
  <si>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</si>
  <si>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</si>
  <si>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</si>
  <si>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</si>
  <si>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</si>
  <si>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</si>
  <si>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</si>
  <si>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</si>
  <si>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</si>
  <si>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</si>
  <si>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</si>
  <si>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</si>
  <si>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</si>
  <si>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</si>
  <si>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</si>
  <si>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</si>
  <si>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</si>
  <si>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</si>
  <si>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</si>
  <si>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</si>
  <si>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</si>
  <si>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</si>
  <si>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</si>
  <si>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</si>
  <si>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</si>
  <si>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</si>
  <si>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</si>
  <si>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</si>
  <si>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</si>
  <si>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</si>
  <si>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</si>
  <si>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</si>
  <si>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</si>
  <si>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</si>
  <si>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</si>
  <si>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</si>
  <si>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</si>
  <si>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</si>
  <si>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</si>
  <si>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</si>
  <si>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</si>
  <si>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</si>
  <si>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</si>
  <si>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</si>
  <si>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</si>
  <si>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</si>
  <si>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</si>
  <si>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</si>
  <si>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</si>
  <si>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</si>
  <si>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</si>
  <si>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</si>
  <si>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</si>
  <si>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</si>
  <si>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</si>
  <si>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</si>
  <si>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</si>
  <si>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</si>
  <si>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</si>
  <si>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</si>
  <si>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</si>
  <si>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</si>
  <si>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</si>
  <si>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</si>
  <si>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</si>
  <si>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</si>
  <si>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</si>
  <si>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</si>
  <si>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</si>
  <si>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</si>
  <si>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</si>
  <si>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</si>
  <si>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</si>
  <si>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</si>
  <si>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</si>
  <si>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</si>
  <si>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</si>
  <si>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</si>
  <si>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</si>
  <si>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</si>
  <si>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</si>
  <si>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</si>
  <si>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</si>
  <si>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</si>
  <si>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</si>
  <si>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</si>
  <si>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</si>
  <si>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</si>
  <si>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</si>
  <si>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</si>
  <si>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</si>
  <si>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</si>
  <si>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</si>
  <si>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</si>
  <si>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</si>
  <si>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</si>
  <si>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</si>
  <si>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</si>
  <si>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</si>
  <si>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</si>
  <si>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</si>
  <si>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</si>
  <si>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</si>
  <si>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</si>
  <si>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</si>
  <si>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</si>
  <si>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</si>
  <si>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</si>
  <si>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</si>
  <si>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</si>
  <si>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</si>
  <si>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</si>
  <si>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</si>
  <si>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</si>
  <si>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</si>
  <si>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</si>
  <si>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</si>
  <si>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</si>
  <si>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</si>
  <si>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</si>
  <si>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</si>
  <si>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</si>
  <si>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</si>
  <si>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</si>
  <si>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</si>
  <si>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</si>
  <si>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</si>
  <si>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</si>
  <si>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</si>
  <si>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</si>
  <si>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</si>
  <si>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</si>
  <si>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</si>
  <si>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</si>
  <si>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</si>
  <si>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</si>
  <si>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</si>
  <si>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</si>
  <si>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</si>
  <si>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</si>
  <si>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</si>
  <si>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</si>
  <si>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</si>
  <si>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</si>
  <si>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</si>
  <si>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</si>
  <si>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</si>
  <si>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</si>
  <si>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</si>
  <si>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</si>
  <si>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</si>
  <si>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</si>
  <si>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</si>
  <si>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</si>
  <si>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</si>
  <si>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</si>
  <si>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</si>
  <si>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</si>
  <si>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</si>
  <si>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</si>
  <si>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</si>
  <si>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</si>
  <si>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</si>
  <si>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</si>
  <si>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</si>
  <si>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</si>
  <si>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</si>
  <si>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</si>
  <si>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</si>
  <si>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</si>
  <si>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</si>
  <si>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</si>
  <si>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</si>
  <si>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</si>
  <si>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</si>
  <si>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</si>
  <si>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</si>
  <si>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</si>
  <si>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</si>
  <si>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</si>
  <si>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</si>
  <si>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</si>
  <si>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</si>
  <si>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</si>
  <si>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</si>
  <si>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</si>
  <si>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</si>
  <si>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</si>
  <si>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</si>
  <si>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</si>
  <si>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</si>
  <si>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</si>
  <si>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</si>
  <si>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</si>
  <si>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</si>
  <si>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</si>
  <si>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</si>
  <si>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</si>
  <si>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</si>
  <si>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</si>
  <si>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</si>
  <si>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</si>
  <si>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</si>
  <si>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</si>
  <si>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</si>
  <si>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</si>
  <si>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</si>
  <si>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</si>
  <si>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</si>
  <si>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</si>
  <si>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</si>
  <si>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</si>
  <si>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</si>
  <si>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</si>
  <si>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</si>
  <si>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</si>
  <si>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</si>
  <si>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</si>
  <si>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</si>
  <si>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</si>
  <si>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</si>
  <si>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</si>
  <si>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</si>
  <si>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</si>
  <si>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</si>
  <si>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</si>
  <si>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</si>
  <si>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</si>
  <si>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</si>
  <si>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</si>
  <si>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</si>
  <si>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</si>
  <si>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</si>
  <si>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</si>
  <si>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</si>
  <si>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</si>
  <si>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</si>
  <si>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</si>
  <si>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</si>
  <si>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</si>
  <si>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</si>
  <si>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</si>
  <si>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</si>
  <si>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</si>
  <si>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</si>
  <si>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</si>
  <si>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</si>
  <si>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</si>
  <si>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</si>
  <si>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</si>
  <si>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</si>
  <si>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</si>
  <si>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</si>
  <si>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</si>
  <si>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</si>
  <si>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</si>
  <si>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</si>
  <si>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</si>
  <si>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</si>
  <si>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</si>
  <si>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</si>
  <si>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</si>
  <si>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</si>
  <si>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</si>
  <si>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</si>
  <si>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</si>
  <si>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</si>
  <si>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</si>
  <si>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</si>
  <si>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</si>
  <si>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</si>
  <si>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</si>
  <si>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</si>
  <si>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</si>
  <si>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</si>
  <si>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</si>
  <si>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</si>
  <si>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</si>
  <si>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</si>
  <si>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</si>
  <si>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</si>
  <si>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</si>
  <si>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</si>
  <si>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</si>
  <si>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</si>
  <si>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</si>
  <si>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</si>
  <si>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</si>
  <si>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</si>
  <si>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</si>
  <si>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</si>
  <si>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</si>
  <si>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</si>
  <si>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</si>
  <si>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</si>
  <si>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</si>
  <si>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</si>
  <si>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</si>
  <si>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</si>
  <si>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</si>
  <si>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</si>
  <si>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</si>
  <si>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</si>
  <si>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</si>
  <si>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</si>
  <si>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</si>
  <si>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</si>
  <si>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</si>
  <si>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</si>
  <si>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</si>
  <si>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</si>
  <si>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</si>
  <si>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</si>
  <si>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</si>
  <si>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</si>
  <si>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</si>
  <si>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</si>
  <si>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</si>
  <si>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</si>
  <si>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</si>
  <si>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</si>
  <si>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</si>
  <si>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</si>
  <si>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</si>
  <si>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</si>
  <si>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</si>
  <si>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</si>
  <si>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</si>
  <si>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</si>
  <si>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</si>
  <si>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</si>
  <si>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</si>
  <si>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</si>
  <si>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</si>
  <si>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</si>
  <si>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</si>
  <si>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</si>
  <si>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</si>
  <si>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</si>
  <si>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</si>
  <si>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</si>
  <si>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</si>
  <si>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</si>
  <si>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</si>
  <si>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</si>
  <si>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</si>
  <si>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</si>
  <si>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</si>
  <si>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</si>
  <si>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</si>
  <si>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</si>
  <si>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</si>
  <si>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</si>
  <si>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</si>
  <si>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</si>
  <si>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</si>
  <si>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</si>
  <si>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</si>
  <si>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</si>
  <si>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</si>
  <si>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</si>
  <si>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</si>
  <si>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</si>
  <si>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</si>
  <si>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</si>
  <si>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</si>
  <si>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</si>
  <si>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</si>
  <si>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</si>
  <si>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</si>
  <si>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</si>
  <si>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</si>
  <si>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</si>
  <si>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</si>
  <si>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</si>
  <si>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</si>
  <si>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</si>
  <si>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</si>
  <si>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</si>
  <si>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</si>
  <si>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</si>
  <si>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</si>
  <si>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</si>
  <si>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</si>
  <si>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</si>
  <si>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</si>
  <si>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</si>
  <si>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</si>
  <si>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</si>
  <si>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</si>
  <si>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</si>
  <si>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</si>
  <si>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</si>
  <si>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</si>
  <si>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</si>
  <si>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</si>
  <si>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</si>
  <si>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</si>
  <si>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</si>
  <si>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</si>
  <si>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</si>
  <si>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</si>
  <si>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</si>
  <si>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</si>
  <si>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</si>
  <si>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</si>
  <si>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</si>
  <si>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</si>
  <si>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</si>
  <si>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</si>
  <si>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</si>
  <si>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</si>
  <si>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</si>
  <si>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</si>
  <si>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</si>
  <si>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</si>
  <si>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</si>
  <si>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</si>
  <si>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</si>
  <si>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</si>
  <si>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</si>
  <si>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</si>
  <si>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</si>
  <si>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</si>
  <si>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</si>
  <si>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</si>
  <si>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</si>
  <si>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</si>
  <si>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</si>
  <si>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</si>
  <si>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</si>
  <si>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</si>
  <si>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</si>
  <si>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</si>
  <si>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</si>
  <si>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</si>
  <si>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</si>
  <si>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</si>
  <si>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</si>
  <si>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</si>
  <si>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</si>
  <si>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</si>
  <si>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</si>
  <si>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</si>
  <si>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</si>
  <si>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</si>
  <si>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</si>
  <si>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</si>
  <si>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</si>
  <si>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</si>
  <si>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</si>
  <si>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</si>
  <si>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</si>
  <si>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</si>
  <si>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</si>
  <si>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</si>
  <si>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</si>
  <si>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</si>
  <si>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</si>
  <si>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</si>
  <si>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</si>
  <si>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</si>
  <si>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</si>
  <si>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</si>
  <si>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</si>
  <si>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</si>
  <si>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</si>
  <si>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</si>
  <si>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</si>
  <si>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</si>
  <si>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</si>
  <si>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</si>
  <si>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</si>
  <si>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</si>
  <si>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</si>
  <si>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</si>
  <si>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</si>
  <si>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</si>
  <si>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</si>
  <si>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</si>
  <si>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</si>
  <si>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</si>
  <si>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</si>
  <si>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</si>
  <si>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</si>
  <si>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</si>
  <si>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</si>
  <si>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</si>
  <si>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</si>
  <si>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</si>
  <si>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</si>
  <si>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</si>
  <si>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</si>
  <si>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</si>
  <si>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</si>
  <si>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</si>
  <si>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</si>
  <si>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</si>
  <si>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</si>
  <si>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</si>
  <si>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</si>
  <si>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</si>
  <si>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</si>
  <si>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</si>
  <si>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</si>
  <si>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</si>
  <si>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</si>
  <si>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</si>
  <si>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</si>
  <si>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</si>
  <si>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</si>
  <si>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</si>
  <si>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</si>
  <si>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</si>
  <si>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</si>
  <si>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</si>
  <si>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</si>
  <si>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</si>
  <si>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</si>
  <si>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</si>
  <si>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</si>
  <si>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</si>
  <si>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</si>
  <si>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</si>
  <si>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</si>
  <si>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</si>
  <si>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</si>
  <si>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</si>
  <si>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</si>
  <si>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</si>
  <si>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</si>
  <si>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</si>
  <si>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</si>
  <si>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</si>
  <si>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</si>
  <si>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</si>
  <si>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</si>
  <si>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</si>
  <si>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</si>
  <si>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</si>
  <si>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</si>
  <si>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</si>
  <si>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</si>
  <si>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</si>
  <si>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</si>
  <si>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</si>
  <si>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</si>
  <si>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</si>
  <si>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</si>
  <si>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</si>
  <si>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</si>
  <si>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</si>
  <si>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</si>
  <si>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</si>
  <si>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</si>
  <si>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</si>
  <si>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</si>
  <si>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</si>
  <si>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</si>
  <si>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</si>
  <si>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</si>
  <si>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</si>
  <si>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</si>
  <si>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</si>
  <si>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</si>
  <si>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</si>
  <si>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</si>
  <si>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</si>
  <si>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</si>
  <si>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</si>
  <si>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</si>
  <si>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</si>
  <si>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</si>
  <si>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</si>
  <si>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</si>
  <si>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</si>
  <si>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</si>
  <si>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</si>
  <si>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</si>
  <si>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</si>
  <si>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</si>
  <si>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</si>
  <si>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</si>
  <si>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</si>
  <si>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</si>
  <si>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</si>
  <si>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</si>
  <si>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</si>
  <si>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</si>
  <si>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</si>
  <si>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</si>
  <si>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</si>
  <si>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</si>
  <si>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</si>
  <si>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</si>
  <si>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</si>
  <si>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</si>
  <si>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</si>
  <si>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</si>
  <si>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</si>
  <si>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</si>
  <si>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</si>
  <si>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</si>
  <si>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</si>
  <si>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</si>
  <si>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</si>
  <si>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</si>
  <si>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</si>
  <si>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</si>
  <si>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</si>
  <si>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</si>
  <si>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</si>
  <si>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</si>
  <si>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</si>
  <si>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</si>
  <si>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</si>
  <si>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</si>
  <si>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</si>
  <si>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</si>
  <si>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</si>
  <si>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</si>
  <si>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</si>
  <si>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</si>
  <si>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</si>
  <si>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</si>
  <si>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</si>
  <si>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</si>
  <si>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</si>
  <si>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</si>
  <si>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</si>
  <si>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</si>
  <si>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</si>
  <si>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</si>
  <si>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</si>
  <si>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</si>
  <si>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</si>
  <si>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</si>
  <si>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</si>
  <si>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</si>
  <si>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</si>
  <si>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</si>
  <si>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</si>
  <si>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</si>
  <si>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</si>
  <si>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</si>
  <si>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</si>
  <si>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</si>
  <si>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</si>
  <si>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</si>
  <si>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</si>
  <si>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</si>
  <si>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</si>
  <si>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</si>
  <si>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</si>
  <si>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</si>
  <si>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</si>
  <si>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</si>
  <si>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</si>
  <si>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</si>
  <si>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</si>
  <si>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</si>
  <si>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</si>
  <si>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</si>
  <si>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</si>
  <si>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</si>
  <si>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</si>
  <si>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</si>
  <si>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</si>
  <si>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</si>
  <si>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</si>
  <si>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Category</t>
  </si>
  <si>
    <t>Column Labels</t>
  </si>
  <si>
    <t>(All)</t>
  </si>
  <si>
    <t>Categgory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</si>
  <si>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</si>
  <si>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</si>
  <si>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</si>
  <si>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</si>
  <si>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</si>
  <si>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</si>
  <si>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</si>
  <si>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</si>
  <si>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</si>
  <si>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</si>
  <si>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</si>
  <si>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</si>
  <si>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</si>
  <si>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</si>
  <si>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</si>
  <si>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</si>
  <si>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</si>
  <si>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</si>
  <si>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</si>
  <si>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</si>
  <si>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</si>
  <si>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</si>
  <si>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</si>
  <si>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</si>
  <si>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</si>
  <si>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</si>
  <si>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</si>
  <si>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</si>
  <si>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</si>
  <si>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</si>
  <si>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</si>
  <si>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</si>
  <si>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</si>
  <si>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</si>
  <si>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</si>
  <si>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</si>
  <si>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</si>
  <si>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</si>
  <si>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</si>
  <si>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</si>
  <si>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</si>
  <si>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</si>
  <si>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</si>
  <si>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</si>
  <si>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</si>
  <si>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</si>
  <si>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</si>
  <si>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</si>
  <si>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</si>
  <si>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</si>
  <si>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</si>
  <si>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</si>
  <si>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</si>
  <si>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</si>
  <si>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</si>
  <si>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</si>
  <si>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  1000 to 4999</t>
  </si>
  <si>
    <t xml:space="preserve">  Less than 1000</t>
  </si>
  <si>
    <t xml:space="preserve">  5000 to 9999</t>
  </si>
  <si>
    <t xml:space="preserve">  10000 to 14999</t>
  </si>
  <si>
    <t xml:space="preserve">  15000 to 19999</t>
  </si>
  <si>
    <t xml:space="preserve">  20000 to 24999</t>
  </si>
  <si>
    <t xml:space="preserve">  25000 to 29999</t>
  </si>
  <si>
    <t xml:space="preserve">  30000 to 34999</t>
  </si>
  <si>
    <t xml:space="preserve">  35000 to 39999</t>
  </si>
  <si>
    <t xml:space="preserve">  40000 to 44999</t>
  </si>
  <si>
    <t xml:space="preserve">  45000 to 49999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</si>
  <si>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</si>
  <si>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</si>
  <si>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</si>
  <si>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</si>
  <si>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</si>
  <si>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</si>
  <si>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</si>
  <si>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&gt;= 50000</t>
  </si>
  <si>
    <t>outcome</t>
  </si>
  <si>
    <t xml:space="preserve">median </t>
  </si>
  <si>
    <t>mean</t>
  </si>
  <si>
    <t>minimum</t>
  </si>
  <si>
    <t>maximum</t>
  </si>
  <si>
    <t>variance</t>
  </si>
  <si>
    <t>standard deviation</t>
  </si>
  <si>
    <t>Successful</t>
  </si>
  <si>
    <t>Failed</t>
  </si>
  <si>
    <t>backers_count_successful</t>
  </si>
  <si>
    <t>percentage of successful</t>
  </si>
  <si>
    <t>percteage of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</si>
</sst>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65000"/>
              <a:lumOff val="35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A-9746-AA2D-24745AE27FA6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473-A746-A4F4-72477FD9B116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473-A746-A4F4-72477FD9B116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473-A746-A4F4-72477FD9B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3720896"/>
        <c:axId val="1163722544"/>
      </c:barChart>
      <c:catAx>
        <c:axId val="116372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722544"/>
        <c:crosses val="autoZero"/>
        <c:auto val="1"/>
        <c:lblAlgn val="ctr"/>
        <c:lblOffset val="100"/>
        <c:noMultiLvlLbl val="0"/>
      </c:catAx>
      <c:valAx>
        <c:axId val="116372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72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[StarterBook.xlsx]sub_pivot!PivotTable10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4-1844-BB0E-B51DC8857806}"/>
            </c:ext>
          </c:extLst>
        </c:ser>
        <c:ser>
          <c:idx val="1"/>
          <c:order val="1"/>
          <c:tx>
            <c:strRef>
              <c:f>sub_pivot!$C$4:$C$5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4E-814A-A000-179382A3D371}"/>
            </c:ext>
          </c:extLst>
        </c:ser>
        <c:ser>
          <c:idx val="2"/>
          <c:order val="2"/>
          <c:tx>
            <c:strRef>
              <c:f>sub_pivot!$D$4:$D$5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64E-814A-A000-179382A3D371}"/>
            </c:ext>
          </c:extLst>
        </c:ser>
        <c:ser>
          <c:idx val="3"/>
          <c:order val="3"/>
          <c:tx>
            <c:strRef>
              <c:f>sub_pivot!$E$4:$E$5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64E-814A-A000-179382A3D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0543184"/>
        <c:axId val="1170544832"/>
      </c:barChart>
      <c:catAx>
        <c:axId val="117054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544832"/>
        <c:crosses val="autoZero"/>
        <c:auto val="1"/>
        <c:lblAlgn val="ctr"/>
        <c:lblOffset val="100"/>
        <c:noMultiLvlLbl val="0"/>
      </c:catAx>
      <c:valAx>
        <c:axId val="11705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54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[StarterBook.xlsx]LaunchDateOutcomes_pivot!PivotTable11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8100" cap="rnd">
            <a:solidFill>
              <a:schemeClr val="accent6">
                <a:lumMod val="75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LaunchDateOutcomes_pivot!$A$6:$A$18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LaunchDateOutcomes_pivot!$B$6:$B$18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38-0E42-94B4-D0FE720830D6}"/>
            </c:ext>
          </c:extLst>
        </c:ser>
        <c:ser>
          <c:idx val="1"/>
          <c:order val="1"/>
          <c:tx>
            <c:strRef>
              <c:f>LaunchDateOutcomes_pivot!$C$4:$C$5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LaunchDateOutcomes_pivot!$A$6:$A$18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6A4-2D41-B62A-C3105D481E8A}"/>
            </c:ext>
          </c:extLst>
        </c:ser>
        <c:ser>
          <c:idx val="2"/>
          <c:order val="2"/>
          <c:tx>
            <c:strRef>
              <c:f>LaunchDateOutcomes_pivot!$D$4:$D$5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LaunchDateOutcomes_pivot!$A$6:$A$18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6A4-2D41-B62A-C3105D481E8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02734240"/>
        <c:axId val="1202737616"/>
      </c:lineChart>
      <c:catAx>
        <c:axId val="120273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737616"/>
        <c:crosses val="autoZero"/>
        <c:auto val="1"/>
        <c:lblAlgn val="ctr"/>
        <c:lblOffset val="100"/>
        <c:noMultiLvlLbl val="0"/>
      </c:catAx>
      <c:valAx>
        <c:axId val="120273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73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Bonus_statistics!$F$1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Bonus_statistics!$A$2:$A$13</c:f>
              <c:strCache>
                <c:ptCount val="12"/>
                <c:pt idx="0">
                  <c:v>  Less than 1000</c:v>
                </c:pt>
                <c:pt idx="1">
                  <c:v> 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45000 to 49999</c:v>
                </c:pt>
                <c:pt idx="11">
                  <c:v>&gt;= 50000</c:v>
                </c:pt>
              </c:strCache>
            </c:strRef>
          </c:cat>
          <c:val>
            <c:numRef>
              <c:f>Bonus_statistics!$F$2:$F$13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7B-F043-9E47-275FF8CB7944}"/>
            </c:ext>
          </c:extLst>
        </c:ser>
        <c:ser>
          <c:idx val="5"/>
          <c:order val="1"/>
          <c:tx>
            <c:strRef>
              <c:f>Bonus_statistics!$G$1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Bonus_statistics!$A$2:$A$13</c:f>
              <c:strCache>
                <c:ptCount val="12"/>
                <c:pt idx="0">
                  <c:v>  Less than 1000</c:v>
                </c:pt>
                <c:pt idx="1">
                  <c:v> 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45000 to 49999</c:v>
                </c:pt>
                <c:pt idx="11">
                  <c:v>&gt;= 50000</c:v>
                </c:pt>
              </c:strCache>
            </c:strRef>
          </c:cat>
          <c:val>
            <c:numRef>
              <c:f>Bonus_statistics!$G$2:$G$13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7B-F043-9E47-275FF8CB7944}"/>
            </c:ext>
          </c:extLst>
        </c:ser>
        <c:ser>
          <c:idx val="6"/>
          <c:order val="2"/>
          <c:tx>
            <c:strRef>
              <c:f>Bonus_statistics!$H$1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Bonus_statistics!$A$2:$A$13</c:f>
              <c:strCache>
                <c:ptCount val="12"/>
                <c:pt idx="0">
                  <c:v>  Less than 1000</c:v>
                </c:pt>
                <c:pt idx="1">
                  <c:v> 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45000 to 49999</c:v>
                </c:pt>
                <c:pt idx="11">
                  <c:v>&gt;= 50000</c:v>
                </c:pt>
              </c:strCache>
            </c:strRef>
          </c:cat>
          <c:val>
            <c:numRef>
              <c:f>Bonus_statistics!$H$2:$H$13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7B-F043-9E47-275FF8CB7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530783"/>
        <c:axId val="1476532431"/>
      </c:lineChart>
      <c:catAx>
        <c:axId val="147653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32431"/>
        <c:crosses val="autoZero"/>
        <c:auto val="1"/>
        <c:lblAlgn val="ctr"/>
        <c:lblOffset val="100"/>
        <c:noMultiLvlLbl val="0"/>
      </c:catAx>
      <c:valAx>
        <c:axId val="147653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3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14</xdr:row>
      <xdr:rowOff>12700</xdr:rowOff>
    </xdr:from>
    <xdr:to>
      <xdr:col>16</xdr:col>
      <xdr:colOff>508000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27D77-D669-574A-83A3-A8DD5BA69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7</xdr:row>
      <xdr:rowOff>12700</xdr:rowOff>
    </xdr:from>
    <xdr:to>
      <xdr:col>18</xdr:col>
      <xdr:colOff>50800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2C177-81A1-FF41-A74B-0186E1C2F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127000</xdr:rowOff>
    </xdr:from>
    <xdr:to>
      <xdr:col>15</xdr:col>
      <xdr:colOff>190500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4E338-9ED0-9246-9918-F3AFF86F4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1291165</xdr:colOff>
      <xdr:row>14</xdr:row>
      <xdr:rowOff>63498</xdr:rowOff>
    </xdr:from>
    <xdr:to>
      <xdr:col>7</xdr:col>
      <xdr:colOff>1151467</xdr:colOff>
      <xdr:row>33</xdr:row>
      <xdr:rowOff>67732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0E087-C432-204C-9ED5-3A9CA8F90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0.090241319442" createdVersion="7" refreshedVersion="7" minRefreshableVersion="3" recordCount="4114" xr:uid="{F59D6F4A-9F2C-7C47-80BF-7FABCABDD66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0.913397800927" createdVersion="7" refreshedVersion="7" minRefreshableVersion="3" recordCount="4114" xr:uid="{C1710305-622A-4B4B-B97C-76FD3C2CC55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C315D-5E33-024B-90A5-821426EE10AD}" name="PivotTable8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D1CFF4-92B3-9B47-94D2-9E027B411A53}" name="PivotTable10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CAB72-9B26-4B4E-AB62-6776EF7DC75E}" name="PivotTable11" cacheId="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A5F05-388B-724E-8768-CE789FDF34C3}">
  <sheetPr codeName="Sheet1"/>
  <dimension ref="A1:G14"/>
  <sheetViews>
    <sheetView workbookViewId="0">
      <selection activeCell="D7" sqref="D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7" x14ac:dyDescent="0.2">
      <c r="A1" s="7" t="s">
        <v>8223</v>
      </c>
      <c r="B1" t="s">
        <v>8323</v>
      </c>
    </row>
    <row r="3" spans="1:7" x14ac:dyDescent="0.2">
      <c r="A3" s="7" t="s">
        <v>8311</v>
      </c>
      <c r="B3" s="7" t="s">
        <v>8322</v>
      </c>
    </row>
    <row r="4" spans="1:7" x14ac:dyDescent="0.2">
      <c r="A4" s="7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  <c r="G4" t="s">
        <v>8410</v>
      </c>
    </row>
    <row r="5" spans="1:7" x14ac:dyDescent="0.2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  <c r="G5" s="12">
        <f>B5/F5</f>
        <v>0.57692307692307687</v>
      </c>
    </row>
    <row r="6" spans="1:7" x14ac:dyDescent="0.2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 s="12">
        <f t="shared" ref="G6:G14" si="0">B6/F6</f>
        <v>0.17</v>
      </c>
    </row>
    <row r="7" spans="1:7" x14ac:dyDescent="0.2">
      <c r="A7" s="8" t="s">
        <v>8314</v>
      </c>
      <c r="B7" s="9">
        <v>80</v>
      </c>
      <c r="C7" s="9">
        <v>140</v>
      </c>
      <c r="D7" s="9"/>
      <c r="E7" s="9"/>
      <c r="F7" s="9">
        <v>220</v>
      </c>
      <c r="G7" s="12">
        <f t="shared" si="0"/>
        <v>0.36363636363636365</v>
      </c>
    </row>
    <row r="8" spans="1:7" x14ac:dyDescent="0.2">
      <c r="A8" s="8" t="s">
        <v>8315</v>
      </c>
      <c r="B8" s="9"/>
      <c r="C8" s="9"/>
      <c r="D8" s="9">
        <v>24</v>
      </c>
      <c r="E8" s="9"/>
      <c r="F8" s="9">
        <v>24</v>
      </c>
      <c r="G8" s="12">
        <f t="shared" si="0"/>
        <v>0</v>
      </c>
    </row>
    <row r="9" spans="1:7" x14ac:dyDescent="0.2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 s="12">
        <f t="shared" si="0"/>
        <v>0.77142857142857146</v>
      </c>
    </row>
    <row r="10" spans="1:7" x14ac:dyDescent="0.2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  <c r="G10" s="12">
        <f t="shared" si="0"/>
        <v>0.4681818181818182</v>
      </c>
    </row>
    <row r="11" spans="1:7" x14ac:dyDescent="0.2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  <c r="G11" s="12">
        <f t="shared" si="0"/>
        <v>0.33755274261603374</v>
      </c>
    </row>
    <row r="12" spans="1:7" x14ac:dyDescent="0.2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  <c r="G12" s="12">
        <f t="shared" si="0"/>
        <v>0.34833333333333333</v>
      </c>
    </row>
    <row r="13" spans="1:7" x14ac:dyDescent="0.2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 s="12">
        <f t="shared" si="0"/>
        <v>0.60229720028715006</v>
      </c>
    </row>
    <row r="14" spans="1:7" x14ac:dyDescent="0.2">
      <c r="A14" s="8" t="s">
        <v>8310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G14" s="12">
        <f t="shared" si="0"/>
        <v>0.53111327175498302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AE4F1-181C-3349-B92C-FD420101BCD6}">
  <sheetPr codeName="Sheet2"/>
  <dimension ref="A1:G47"/>
  <sheetViews>
    <sheetView zoomScale="130" zoomScaleNormal="130" workbookViewId="0">
      <selection activeCell="H41" sqref="H4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7" x14ac:dyDescent="0.2">
      <c r="A1" s="7" t="s">
        <v>8223</v>
      </c>
      <c r="B1" t="s">
        <v>8323</v>
      </c>
    </row>
    <row r="2" spans="1:7" x14ac:dyDescent="0.2">
      <c r="A2" s="7" t="s">
        <v>8324</v>
      </c>
      <c r="B2" t="s">
        <v>8323</v>
      </c>
    </row>
    <row r="4" spans="1:7" x14ac:dyDescent="0.2">
      <c r="A4" s="7" t="s">
        <v>8311</v>
      </c>
      <c r="B4" s="7" t="s">
        <v>8322</v>
      </c>
    </row>
    <row r="5" spans="1:7" x14ac:dyDescent="0.2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  <c r="G5" t="s">
        <v>8411</v>
      </c>
    </row>
    <row r="6" spans="1:7" x14ac:dyDescent="0.2">
      <c r="A6" s="8" t="s">
        <v>8325</v>
      </c>
      <c r="B6" s="9"/>
      <c r="C6" s="9">
        <v>100</v>
      </c>
      <c r="D6" s="9"/>
      <c r="E6" s="9"/>
      <c r="F6" s="9">
        <v>100</v>
      </c>
      <c r="G6" s="12">
        <f>B6/F6</f>
        <v>0</v>
      </c>
    </row>
    <row r="7" spans="1:7" x14ac:dyDescent="0.2">
      <c r="A7" s="8" t="s">
        <v>8326</v>
      </c>
      <c r="B7" s="9"/>
      <c r="C7" s="9"/>
      <c r="D7" s="9">
        <v>20</v>
      </c>
      <c r="E7" s="9"/>
      <c r="F7" s="9">
        <v>20</v>
      </c>
      <c r="G7" s="12">
        <f t="shared" ref="G7:G47" si="0">B7/F7</f>
        <v>0</v>
      </c>
    </row>
    <row r="8" spans="1:7" x14ac:dyDescent="0.2">
      <c r="A8" s="8" t="s">
        <v>8327</v>
      </c>
      <c r="B8" s="9"/>
      <c r="C8" s="9"/>
      <c r="D8" s="9">
        <v>24</v>
      </c>
      <c r="E8" s="9"/>
      <c r="F8" s="9">
        <v>24</v>
      </c>
      <c r="G8" s="12">
        <f t="shared" si="0"/>
        <v>0</v>
      </c>
    </row>
    <row r="9" spans="1:7" x14ac:dyDescent="0.2">
      <c r="A9" s="8" t="s">
        <v>8328</v>
      </c>
      <c r="B9" s="9"/>
      <c r="C9" s="9">
        <v>40</v>
      </c>
      <c r="D9" s="9"/>
      <c r="E9" s="9"/>
      <c r="F9" s="9">
        <v>40</v>
      </c>
      <c r="G9" s="12">
        <f t="shared" si="0"/>
        <v>0</v>
      </c>
    </row>
    <row r="10" spans="1:7" x14ac:dyDescent="0.2">
      <c r="A10" s="8" t="s">
        <v>8329</v>
      </c>
      <c r="B10" s="9">
        <v>40</v>
      </c>
      <c r="C10" s="9"/>
      <c r="D10" s="9"/>
      <c r="E10" s="9"/>
      <c r="F10" s="9">
        <v>40</v>
      </c>
      <c r="G10" s="12">
        <f t="shared" si="0"/>
        <v>1</v>
      </c>
    </row>
    <row r="11" spans="1:7" x14ac:dyDescent="0.2">
      <c r="A11" s="8" t="s">
        <v>8330</v>
      </c>
      <c r="B11" s="9">
        <v>180</v>
      </c>
      <c r="C11" s="9"/>
      <c r="D11" s="9"/>
      <c r="E11" s="9"/>
      <c r="F11" s="9">
        <v>180</v>
      </c>
      <c r="G11" s="12">
        <f t="shared" si="0"/>
        <v>1</v>
      </c>
    </row>
    <row r="12" spans="1:7" x14ac:dyDescent="0.2">
      <c r="A12" s="8" t="s">
        <v>8331</v>
      </c>
      <c r="B12" s="9"/>
      <c r="C12" s="9">
        <v>80</v>
      </c>
      <c r="D12" s="9"/>
      <c r="E12" s="9"/>
      <c r="F12" s="9">
        <v>80</v>
      </c>
      <c r="G12" s="12">
        <f t="shared" si="0"/>
        <v>0</v>
      </c>
    </row>
    <row r="13" spans="1:7" x14ac:dyDescent="0.2">
      <c r="A13" s="8" t="s">
        <v>8332</v>
      </c>
      <c r="B13" s="9">
        <v>40</v>
      </c>
      <c r="C13" s="9"/>
      <c r="D13" s="9"/>
      <c r="E13" s="9"/>
      <c r="F13" s="9">
        <v>40</v>
      </c>
      <c r="G13" s="12">
        <f t="shared" si="0"/>
        <v>1</v>
      </c>
    </row>
    <row r="14" spans="1:7" x14ac:dyDescent="0.2">
      <c r="A14" s="8" t="s">
        <v>8333</v>
      </c>
      <c r="B14" s="9"/>
      <c r="C14" s="9">
        <v>40</v>
      </c>
      <c r="D14" s="9"/>
      <c r="E14" s="9">
        <v>20</v>
      </c>
      <c r="F14" s="9">
        <v>60</v>
      </c>
      <c r="G14" s="12">
        <f t="shared" si="0"/>
        <v>0</v>
      </c>
    </row>
    <row r="15" spans="1:7" x14ac:dyDescent="0.2">
      <c r="A15" s="8" t="s">
        <v>8334</v>
      </c>
      <c r="B15" s="9"/>
      <c r="C15" s="9">
        <v>40</v>
      </c>
      <c r="D15" s="9"/>
      <c r="E15" s="9"/>
      <c r="F15" s="9">
        <v>40</v>
      </c>
      <c r="G15" s="12">
        <f t="shared" si="0"/>
        <v>0</v>
      </c>
    </row>
    <row r="16" spans="1:7" x14ac:dyDescent="0.2">
      <c r="A16" s="8" t="s">
        <v>8335</v>
      </c>
      <c r="B16" s="9"/>
      <c r="C16" s="9">
        <v>120</v>
      </c>
      <c r="D16" s="9">
        <v>20</v>
      </c>
      <c r="E16" s="9"/>
      <c r="F16" s="9">
        <v>140</v>
      </c>
      <c r="G16" s="12">
        <f t="shared" si="0"/>
        <v>0</v>
      </c>
    </row>
    <row r="17" spans="1:7" x14ac:dyDescent="0.2">
      <c r="A17" s="8" t="s">
        <v>8336</v>
      </c>
      <c r="B17" s="9"/>
      <c r="C17" s="9">
        <v>20</v>
      </c>
      <c r="D17" s="9"/>
      <c r="E17" s="9"/>
      <c r="F17" s="9">
        <v>20</v>
      </c>
      <c r="G17" s="12">
        <f t="shared" si="0"/>
        <v>0</v>
      </c>
    </row>
    <row r="18" spans="1:7" x14ac:dyDescent="0.2">
      <c r="A18" s="8" t="s">
        <v>8337</v>
      </c>
      <c r="B18" s="9">
        <v>140</v>
      </c>
      <c r="C18" s="9"/>
      <c r="D18" s="9"/>
      <c r="E18" s="9"/>
      <c r="F18" s="9">
        <v>140</v>
      </c>
      <c r="G18" s="12">
        <f t="shared" si="0"/>
        <v>1</v>
      </c>
    </row>
    <row r="19" spans="1:7" x14ac:dyDescent="0.2">
      <c r="A19" s="8" t="s">
        <v>8338</v>
      </c>
      <c r="B19" s="9">
        <v>140</v>
      </c>
      <c r="C19" s="9">
        <v>20</v>
      </c>
      <c r="D19" s="9"/>
      <c r="E19" s="9"/>
      <c r="F19" s="9">
        <v>160</v>
      </c>
      <c r="G19" s="12">
        <f t="shared" si="0"/>
        <v>0.875</v>
      </c>
    </row>
    <row r="20" spans="1:7" x14ac:dyDescent="0.2">
      <c r="A20" s="8" t="s">
        <v>8339</v>
      </c>
      <c r="B20" s="9"/>
      <c r="C20" s="9">
        <v>60</v>
      </c>
      <c r="D20" s="9"/>
      <c r="E20" s="9"/>
      <c r="F20" s="9">
        <v>60</v>
      </c>
      <c r="G20" s="12">
        <f t="shared" si="0"/>
        <v>0</v>
      </c>
    </row>
    <row r="21" spans="1:7" x14ac:dyDescent="0.2">
      <c r="A21" s="8" t="s">
        <v>8340</v>
      </c>
      <c r="B21" s="9">
        <v>9</v>
      </c>
      <c r="C21" s="9">
        <v>11</v>
      </c>
      <c r="D21" s="9"/>
      <c r="E21" s="9"/>
      <c r="F21" s="9">
        <v>20</v>
      </c>
      <c r="G21" s="12">
        <f t="shared" si="0"/>
        <v>0.45</v>
      </c>
    </row>
    <row r="22" spans="1:7" x14ac:dyDescent="0.2">
      <c r="A22" s="8" t="s">
        <v>8341</v>
      </c>
      <c r="B22" s="9">
        <v>20</v>
      </c>
      <c r="C22" s="9"/>
      <c r="D22" s="9"/>
      <c r="E22" s="9"/>
      <c r="F22" s="9">
        <v>20</v>
      </c>
      <c r="G22" s="12">
        <f t="shared" si="0"/>
        <v>1</v>
      </c>
    </row>
    <row r="23" spans="1:7" x14ac:dyDescent="0.2">
      <c r="A23" s="8" t="s">
        <v>8342</v>
      </c>
      <c r="B23" s="9"/>
      <c r="C23" s="9">
        <v>40</v>
      </c>
      <c r="D23" s="9"/>
      <c r="E23" s="9"/>
      <c r="F23" s="9">
        <v>40</v>
      </c>
      <c r="G23" s="12">
        <f t="shared" si="0"/>
        <v>0</v>
      </c>
    </row>
    <row r="24" spans="1:7" x14ac:dyDescent="0.2">
      <c r="A24" s="8" t="s">
        <v>8343</v>
      </c>
      <c r="B24" s="9">
        <v>60</v>
      </c>
      <c r="C24" s="9">
        <v>60</v>
      </c>
      <c r="D24" s="9">
        <v>20</v>
      </c>
      <c r="E24" s="9"/>
      <c r="F24" s="9">
        <v>140</v>
      </c>
      <c r="G24" s="12">
        <f t="shared" si="0"/>
        <v>0.42857142857142855</v>
      </c>
    </row>
    <row r="25" spans="1:7" x14ac:dyDescent="0.2">
      <c r="A25" s="8" t="s">
        <v>8344</v>
      </c>
      <c r="B25" s="9"/>
      <c r="C25" s="9">
        <v>20</v>
      </c>
      <c r="D25" s="9"/>
      <c r="E25" s="9"/>
      <c r="F25" s="9">
        <v>20</v>
      </c>
      <c r="G25" s="12">
        <f t="shared" si="0"/>
        <v>0</v>
      </c>
    </row>
    <row r="26" spans="1:7" x14ac:dyDescent="0.2">
      <c r="A26" s="8" t="s">
        <v>8345</v>
      </c>
      <c r="B26" s="9">
        <v>60</v>
      </c>
      <c r="C26" s="9"/>
      <c r="D26" s="9"/>
      <c r="E26" s="9"/>
      <c r="F26" s="9">
        <v>60</v>
      </c>
      <c r="G26" s="12">
        <f t="shared" si="0"/>
        <v>1</v>
      </c>
    </row>
    <row r="27" spans="1:7" x14ac:dyDescent="0.2">
      <c r="A27" s="8" t="s">
        <v>8346</v>
      </c>
      <c r="B27" s="9"/>
      <c r="C27" s="9">
        <v>20</v>
      </c>
      <c r="D27" s="9"/>
      <c r="E27" s="9"/>
      <c r="F27" s="9">
        <v>20</v>
      </c>
      <c r="G27" s="12">
        <f t="shared" si="0"/>
        <v>0</v>
      </c>
    </row>
    <row r="28" spans="1:7" x14ac:dyDescent="0.2">
      <c r="A28" s="8" t="s">
        <v>8347</v>
      </c>
      <c r="B28" s="9">
        <v>103</v>
      </c>
      <c r="C28" s="9">
        <v>57</v>
      </c>
      <c r="D28" s="9"/>
      <c r="E28" s="9"/>
      <c r="F28" s="9">
        <v>160</v>
      </c>
      <c r="G28" s="12">
        <f t="shared" si="0"/>
        <v>0.64375000000000004</v>
      </c>
    </row>
    <row r="29" spans="1:7" x14ac:dyDescent="0.2">
      <c r="A29" s="8" t="s">
        <v>8348</v>
      </c>
      <c r="B29" s="9"/>
      <c r="C29" s="9">
        <v>20</v>
      </c>
      <c r="D29" s="9"/>
      <c r="E29" s="9"/>
      <c r="F29" s="9">
        <v>20</v>
      </c>
      <c r="G29" s="12">
        <f t="shared" si="0"/>
        <v>0</v>
      </c>
    </row>
    <row r="30" spans="1:7" x14ac:dyDescent="0.2">
      <c r="A30" s="8" t="s">
        <v>8349</v>
      </c>
      <c r="B30" s="9">
        <v>694</v>
      </c>
      <c r="C30" s="9">
        <v>353</v>
      </c>
      <c r="D30" s="9"/>
      <c r="E30" s="9">
        <v>19</v>
      </c>
      <c r="F30" s="9">
        <v>1066</v>
      </c>
      <c r="G30" s="12">
        <f t="shared" si="0"/>
        <v>0.651031894934334</v>
      </c>
    </row>
    <row r="31" spans="1:7" x14ac:dyDescent="0.2">
      <c r="A31" s="8" t="s">
        <v>8350</v>
      </c>
      <c r="B31" s="9">
        <v>40</v>
      </c>
      <c r="C31" s="9"/>
      <c r="D31" s="9"/>
      <c r="E31" s="9"/>
      <c r="F31" s="9">
        <v>40</v>
      </c>
      <c r="G31" s="12">
        <f t="shared" si="0"/>
        <v>1</v>
      </c>
    </row>
    <row r="32" spans="1:7" x14ac:dyDescent="0.2">
      <c r="A32" s="8" t="s">
        <v>8351</v>
      </c>
      <c r="B32" s="9">
        <v>20</v>
      </c>
      <c r="C32" s="9"/>
      <c r="D32" s="9"/>
      <c r="E32" s="9"/>
      <c r="F32" s="9">
        <v>20</v>
      </c>
      <c r="G32" s="12">
        <f t="shared" si="0"/>
        <v>1</v>
      </c>
    </row>
    <row r="33" spans="1:7" x14ac:dyDescent="0.2">
      <c r="A33" s="8" t="s">
        <v>8352</v>
      </c>
      <c r="B33" s="9"/>
      <c r="C33" s="9">
        <v>20</v>
      </c>
      <c r="D33" s="9"/>
      <c r="E33" s="9"/>
      <c r="F33" s="9">
        <v>20</v>
      </c>
      <c r="G33" s="12">
        <f t="shared" si="0"/>
        <v>0</v>
      </c>
    </row>
    <row r="34" spans="1:7" x14ac:dyDescent="0.2">
      <c r="A34" s="8" t="s">
        <v>8353</v>
      </c>
      <c r="B34" s="9">
        <v>260</v>
      </c>
      <c r="C34" s="9"/>
      <c r="D34" s="9"/>
      <c r="E34" s="9"/>
      <c r="F34" s="9">
        <v>260</v>
      </c>
      <c r="G34" s="12">
        <f t="shared" si="0"/>
        <v>1</v>
      </c>
    </row>
    <row r="35" spans="1:7" x14ac:dyDescent="0.2">
      <c r="A35" s="8" t="s">
        <v>8354</v>
      </c>
      <c r="B35" s="9"/>
      <c r="C35" s="9"/>
      <c r="D35" s="9">
        <v>40</v>
      </c>
      <c r="E35" s="9"/>
      <c r="F35" s="9">
        <v>40</v>
      </c>
      <c r="G35" s="12">
        <f t="shared" si="0"/>
        <v>0</v>
      </c>
    </row>
    <row r="36" spans="1:7" x14ac:dyDescent="0.2">
      <c r="A36" s="8" t="s">
        <v>8355</v>
      </c>
      <c r="B36" s="9">
        <v>60</v>
      </c>
      <c r="C36" s="9"/>
      <c r="D36" s="9"/>
      <c r="E36" s="9"/>
      <c r="F36" s="9">
        <v>60</v>
      </c>
      <c r="G36" s="12">
        <f t="shared" si="0"/>
        <v>1</v>
      </c>
    </row>
    <row r="37" spans="1:7" x14ac:dyDescent="0.2">
      <c r="A37" s="8" t="s">
        <v>8356</v>
      </c>
      <c r="B37" s="9">
        <v>34</v>
      </c>
      <c r="C37" s="9"/>
      <c r="D37" s="9"/>
      <c r="E37" s="9">
        <v>6</v>
      </c>
      <c r="F37" s="9">
        <v>40</v>
      </c>
      <c r="G37" s="12">
        <f t="shared" si="0"/>
        <v>0.85</v>
      </c>
    </row>
    <row r="38" spans="1:7" x14ac:dyDescent="0.2">
      <c r="A38" s="8" t="s">
        <v>8357</v>
      </c>
      <c r="B38" s="9">
        <v>40</v>
      </c>
      <c r="C38" s="9">
        <v>2</v>
      </c>
      <c r="D38" s="9">
        <v>18</v>
      </c>
      <c r="E38" s="9"/>
      <c r="F38" s="9">
        <v>60</v>
      </c>
      <c r="G38" s="12">
        <f t="shared" si="0"/>
        <v>0.66666666666666663</v>
      </c>
    </row>
    <row r="39" spans="1:7" x14ac:dyDescent="0.2">
      <c r="A39" s="8" t="s">
        <v>8358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  <c r="G39" s="12">
        <f t="shared" si="0"/>
        <v>0.45454545454545453</v>
      </c>
    </row>
    <row r="40" spans="1:7" x14ac:dyDescent="0.2">
      <c r="A40" s="8" t="s">
        <v>8359</v>
      </c>
      <c r="B40" s="9">
        <v>80</v>
      </c>
      <c r="C40" s="9"/>
      <c r="D40" s="9"/>
      <c r="E40" s="9"/>
      <c r="F40" s="9">
        <v>80</v>
      </c>
      <c r="G40" s="12">
        <f t="shared" si="0"/>
        <v>1</v>
      </c>
    </row>
    <row r="41" spans="1:7" x14ac:dyDescent="0.2">
      <c r="A41" s="8" t="s">
        <v>8360</v>
      </c>
      <c r="B41" s="9">
        <v>60</v>
      </c>
      <c r="C41" s="9"/>
      <c r="D41" s="9"/>
      <c r="E41" s="9"/>
      <c r="F41" s="9">
        <v>60</v>
      </c>
      <c r="G41" s="12">
        <f t="shared" si="0"/>
        <v>1</v>
      </c>
    </row>
    <row r="42" spans="1:7" x14ac:dyDescent="0.2">
      <c r="A42" s="8" t="s">
        <v>8361</v>
      </c>
      <c r="B42" s="9"/>
      <c r="C42" s="9">
        <v>47</v>
      </c>
      <c r="D42" s="9">
        <v>10</v>
      </c>
      <c r="E42" s="9"/>
      <c r="F42" s="9">
        <v>57</v>
      </c>
      <c r="G42" s="12">
        <f t="shared" si="0"/>
        <v>0</v>
      </c>
    </row>
    <row r="43" spans="1:7" x14ac:dyDescent="0.2">
      <c r="A43" s="8" t="s">
        <v>8362</v>
      </c>
      <c r="B43" s="9"/>
      <c r="C43" s="9">
        <v>100</v>
      </c>
      <c r="D43" s="9"/>
      <c r="E43" s="9"/>
      <c r="F43" s="9">
        <v>100</v>
      </c>
      <c r="G43" s="12">
        <f t="shared" si="0"/>
        <v>0</v>
      </c>
    </row>
    <row r="44" spans="1:7" x14ac:dyDescent="0.2">
      <c r="A44" s="8" t="s">
        <v>8363</v>
      </c>
      <c r="B44" s="9">
        <v>20</v>
      </c>
      <c r="C44" s="9">
        <v>120</v>
      </c>
      <c r="D44" s="9">
        <v>60</v>
      </c>
      <c r="E44" s="9"/>
      <c r="F44" s="9">
        <v>200</v>
      </c>
      <c r="G44" s="12">
        <f t="shared" si="0"/>
        <v>0.1</v>
      </c>
    </row>
    <row r="45" spans="1:7" x14ac:dyDescent="0.2">
      <c r="A45" s="8" t="s">
        <v>8364</v>
      </c>
      <c r="B45" s="9"/>
      <c r="C45" s="9">
        <v>60</v>
      </c>
      <c r="D45" s="9">
        <v>100</v>
      </c>
      <c r="E45" s="9"/>
      <c r="F45" s="9">
        <v>160</v>
      </c>
      <c r="G45" s="12">
        <f t="shared" si="0"/>
        <v>0</v>
      </c>
    </row>
    <row r="46" spans="1:7" x14ac:dyDescent="0.2">
      <c r="A46" s="8" t="s">
        <v>8365</v>
      </c>
      <c r="B46" s="9"/>
      <c r="C46" s="9"/>
      <c r="D46" s="9">
        <v>20</v>
      </c>
      <c r="E46" s="9"/>
      <c r="F46" s="9">
        <v>20</v>
      </c>
      <c r="G46" s="12">
        <f t="shared" si="0"/>
        <v>0</v>
      </c>
    </row>
    <row r="47" spans="1:7" x14ac:dyDescent="0.2">
      <c r="A47" s="8" t="s">
        <v>8310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  <c r="G47" s="12">
        <f t="shared" si="0"/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26C77-C040-9844-990A-2EB0996B27FB}">
  <sheetPr codeName="Sheet3"/>
  <dimension ref="A1:E18"/>
  <sheetViews>
    <sheetView workbookViewId="0">
      <selection activeCell="D7" sqref="D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8321</v>
      </c>
      <c r="B1" t="s">
        <v>8323</v>
      </c>
    </row>
    <row r="2" spans="1:5" x14ac:dyDescent="0.2">
      <c r="A2" s="7" t="s">
        <v>8380</v>
      </c>
      <c r="B2" t="s">
        <v>8323</v>
      </c>
    </row>
    <row r="4" spans="1:5" x14ac:dyDescent="0.2">
      <c r="A4" s="7" t="s">
        <v>8311</v>
      </c>
      <c r="B4" s="7" t="s">
        <v>8322</v>
      </c>
    </row>
    <row r="5" spans="1:5" x14ac:dyDescent="0.2">
      <c r="A5" s="7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1" t="s">
        <v>8310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4B2B3-11B4-D345-BB6C-E0B3FBD9A378}">
  <sheetPr codeName="Sheet4"/>
  <dimension ref="A1:H13"/>
  <sheetViews>
    <sheetView topLeftCell="A2" zoomScale="150" zoomScaleNormal="150" workbookViewId="0">
      <selection activeCell="I16" sqref="I16"/>
    </sheetView>
  </sheetViews>
  <sheetFormatPr baseColWidth="10" defaultRowHeight="15" x14ac:dyDescent="0.2"/>
  <cols>
    <col min="1" max="1" width="26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 x14ac:dyDescent="0.2">
      <c r="A2" t="s">
        <v>8382</v>
      </c>
      <c r="B2">
        <f>COUNTIFS(Sheet1!$D$2:'Sheet1'!$D$4115,"&lt;1000",Sheet1!$F$2:'Sheet1'!$F$4115,"successful")</f>
        <v>322</v>
      </c>
      <c r="C2">
        <f>COUNTIFS(Sheet1!$D$2:'Sheet1'!$D$4115,"&lt;1000",Sheet1!F2:'Sheet1'!F4115,"failed")</f>
        <v>113</v>
      </c>
      <c r="D2">
        <f>COUNTIFS(Sheet1!$D$2:'Sheet1'!$D$4115,"&lt;1000",Sheet1!F2:'Sheet1'!F4115,"canceled")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8381</v>
      </c>
      <c r="B3">
        <f>COUNTIFS(Sheet1!$D$2:'Sheet1'!$D$4115,"&lt;=4999",Sheet1!$F$2:'Sheet1'!$F$4115,"successful")-B2</f>
        <v>932</v>
      </c>
      <c r="C3">
        <f>COUNTIFS(Sheet1!$D$2:'Sheet1'!$D$4115,"&lt;=4999",Sheet1!$F$2:'Sheet1'!$F$4115,"failed")-C2</f>
        <v>420</v>
      </c>
      <c r="D3">
        <f>COUNTIFS(Sheet1!$D$2:'Sheet1'!$D$4115,"&lt;=4999",Sheet1!$F$2:'Sheet1'!$F$4115,"canceled")-D2</f>
        <v>60</v>
      </c>
      <c r="E3">
        <f>SUM(B3:D3)</f>
        <v>1412</v>
      </c>
      <c r="F3" s="12">
        <f t="shared" ref="F3:F13" si="0">B3/E3</f>
        <v>0.66005665722379603</v>
      </c>
      <c r="G3" s="12">
        <f t="shared" ref="G3:G13" si="1">C3/E3</f>
        <v>0.29745042492917845</v>
      </c>
      <c r="H3" s="12">
        <f t="shared" ref="H3:H13" si="2">D3/E3</f>
        <v>4.2492917847025496E-2</v>
      </c>
    </row>
    <row r="4" spans="1:8" x14ac:dyDescent="0.2">
      <c r="A4" t="s">
        <v>8383</v>
      </c>
      <c r="B4">
        <f>COUNTIFS(Sheet1!$D$2:'Sheet1'!$D$4115,"&lt;=9999",Sheet1!$F$2:'Sheet1'!$F$4115,"successful")-COUNTIFS(Sheet1!$D$2:'Sheet1'!$D$4115,"&lt;=4999",Sheet1!$F$2:'Sheet1'!$F$4115,"successful")</f>
        <v>381</v>
      </c>
      <c r="C4">
        <f>COUNTIFS(Sheet1!$D$2:'Sheet1'!$D$4115,"&lt;=9999",Sheet1!$F$2:'Sheet1'!$F$4115,"failed")-COUNTIFS(Sheet1!$D$2:'Sheet1'!$D$4115,"&lt;=4999",Sheet1!$F$2:'Sheet1'!$F$4115,"failed")</f>
        <v>283</v>
      </c>
      <c r="D4">
        <f>COUNTIFS(Sheet1!$D$2:'Sheet1'!$D$4115,"&lt;=9999",Sheet1!$F$2:'Sheet1'!$F$4115,"canceled")-COUNTIFS(Sheet1!$D$2:'Sheet1'!$D$4115,"&lt;=4999",Sheet1!$F$2:'Sheet1'!$F$4115,"canceled")</f>
        <v>52</v>
      </c>
      <c r="E4">
        <f t="shared" ref="E4:E13" si="3">SUM(B4:D4)</f>
        <v>716</v>
      </c>
      <c r="F4" s="12">
        <f t="shared" si="0"/>
        <v>0.53212290502793291</v>
      </c>
      <c r="G4" s="12">
        <f t="shared" si="1"/>
        <v>0.39525139664804471</v>
      </c>
      <c r="H4" s="12">
        <f t="shared" si="2"/>
        <v>7.2625698324022353E-2</v>
      </c>
    </row>
    <row r="5" spans="1:8" x14ac:dyDescent="0.2">
      <c r="A5" t="s">
        <v>8384</v>
      </c>
      <c r="B5">
        <f>COUNTIFS(Sheet1!$D$2:'Sheet1'!$D$4115,"&lt;=14999",Sheet1!$F$2:'Sheet1'!$F$4115,"successful")-COUNTIFS(Sheet1!$D$2:'Sheet1'!$D$4115,"&lt;=9999",Sheet1!$F$2:'Sheet1'!$F$4115,"successful")</f>
        <v>168</v>
      </c>
      <c r="C5">
        <f>COUNTIFS(Sheet1!$D$2:'Sheet1'!$D$4115,"&lt;=14999",Sheet1!$F$2:'Sheet1'!$F$4115,"failed")-COUNTIFS(Sheet1!$D$2:'Sheet1'!$D$4115,"&lt;=9999",Sheet1!$F$2:'Sheet1'!$F$4115,"failed")</f>
        <v>144</v>
      </c>
      <c r="D5">
        <f>COUNTIFS(Sheet1!$D$2:'Sheet1'!$D$4115,"&lt;=14999",Sheet1!$F$2:'Sheet1'!$F$4115,"canceled")-COUNTIFS(Sheet1!$D$2:'Sheet1'!$D$4115,"&lt;=9999",Sheet1!$F$2:'Sheet1'!$F$4115,"canceled")</f>
        <v>40</v>
      </c>
      <c r="E5">
        <f t="shared" si="3"/>
        <v>352</v>
      </c>
      <c r="F5" s="12">
        <f t="shared" si="0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8" x14ac:dyDescent="0.2">
      <c r="A6" t="s">
        <v>8385</v>
      </c>
      <c r="B6">
        <f>COUNTIFS(Sheet1!$D$2:'Sheet1'!$D$4115,"&lt;=19999",Sheet1!$F$2:'Sheet1'!$F$4115,"successful")-COUNTIFS(Sheet1!$D$2:'Sheet1'!$D$4115,"&lt;15000",Sheet1!$F$2:'Sheet1'!$F$4115,"successful")</f>
        <v>94</v>
      </c>
      <c r="C6">
        <f>COUNTIFS(Sheet1!$D$2:'Sheet1'!$D$4115,"&lt;=19999",Sheet1!$F$2:'Sheet1'!$F$4115,"failed")-COUNTIFS(Sheet1!$D$2:'Sheet1'!$D$4115,"&lt;15000",Sheet1!$F$2:'Sheet1'!$F$4115,"failed")</f>
        <v>90</v>
      </c>
      <c r="D6">
        <f>COUNTIFS(Sheet1!$D$2:'Sheet1'!$D$4115,"&lt;=19999",Sheet1!$F$2:'Sheet1'!$F$4115,"canceled")-COUNTIFS(Sheet1!$D$2:'Sheet1'!$D$4115,"&lt;15000",Sheet1!$F$2:'Sheet1'!$F$4115,"canceled")</f>
        <v>17</v>
      </c>
      <c r="E6">
        <f t="shared" si="3"/>
        <v>201</v>
      </c>
      <c r="F6" s="12">
        <f t="shared" si="0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8" x14ac:dyDescent="0.2">
      <c r="A7" t="s">
        <v>8386</v>
      </c>
      <c r="B7">
        <f>COUNTIFS(Sheet1!$D$2:'Sheet1'!$D$4115,"&lt;=24999",Sheet1!$F$2:'Sheet1'!$F$4115,"successful")-COUNTIFS(Sheet1!$D$2:'Sheet1'!$D$4115,"&lt;20000",Sheet1!$F$2:'Sheet1'!$F$4115,"successful")</f>
        <v>62</v>
      </c>
      <c r="C7">
        <f>COUNTIFS(Sheet1!$D$2:'Sheet1'!$D$4115,"&lt;=24999",Sheet1!$F$2:'Sheet1'!$F$4115,"failed")-COUNTIFS(Sheet1!$D$2:'Sheet1'!$D$4115,"&lt;20000",Sheet1!$F$2:'Sheet1'!$F$4115,"failed")</f>
        <v>72</v>
      </c>
      <c r="D7">
        <f>COUNTIFS(Sheet1!$D$2:'Sheet1'!$D$4115,"&lt;=24999",Sheet1!$F$2:'Sheet1'!$F$4115,"canceled")-COUNTIFS(Sheet1!$D$2:'Sheet1'!$D$4115,"&lt;20000",Sheet1!$F$2:'Sheet1'!$F$4115,"canceled")</f>
        <v>14</v>
      </c>
      <c r="E7">
        <f t="shared" si="3"/>
        <v>148</v>
      </c>
      <c r="F7" s="12">
        <f t="shared" si="0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8" x14ac:dyDescent="0.2">
      <c r="A8" t="s">
        <v>8387</v>
      </c>
      <c r="B8">
        <f>COUNTIFS(Sheet1!$D$2:'Sheet1'!$D$4115,"&lt;=29999",Sheet1!$F$2:'Sheet1'!$F$4115,"successful")-COUNTIFS(Sheet1!$D$2:'Sheet1'!$D$4115,"&lt;25000",Sheet1!$F$2:'Sheet1'!$F$4115,"successful")</f>
        <v>55</v>
      </c>
      <c r="C8">
        <f>COUNTIFS(Sheet1!$D$2:'Sheet1'!$D$4115,"&lt;=29999",Sheet1!$F$2:'Sheet1'!$F$4115,"failed")-COUNTIFS(Sheet1!$D$2:'Sheet1'!$D$4115,"&lt;25000",Sheet1!$F$2:'Sheet1'!$F$4115,"failed")</f>
        <v>64</v>
      </c>
      <c r="D8">
        <f>COUNTIFS(Sheet1!$D$2:'Sheet1'!$D$4115,"&lt;=29999",Sheet1!$F$2:'Sheet1'!$F$4115,"canceled")-COUNTIFS(Sheet1!$D$2:'Sheet1'!$D$4115,"&lt;25000",Sheet1!$F$2:'Sheet1'!$F$4115,"canceled")</f>
        <v>18</v>
      </c>
      <c r="E8">
        <f t="shared" si="3"/>
        <v>137</v>
      </c>
      <c r="F8" s="12">
        <f t="shared" si="0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8" x14ac:dyDescent="0.2">
      <c r="A9" t="s">
        <v>8388</v>
      </c>
      <c r="B9">
        <f>COUNTIFS(Sheet1!$D$2:'Sheet1'!$D$4115,"&lt;=34999",Sheet1!$F$2:'Sheet1'!$F$4115,"successful")-COUNTIFS(Sheet1!$D$2:'Sheet1'!$D$4115,"&lt;30000",Sheet1!$F$2:'Sheet1'!$F$4115,"successful")</f>
        <v>32</v>
      </c>
      <c r="C9">
        <f>COUNTIFS(Sheet1!$D$2:'Sheet1'!$D$4115,"&lt;=34999",Sheet1!$F$2:'Sheet1'!$F$4115,"failed")-COUNTIFS(Sheet1!$D$2:'Sheet1'!$D$4115,"&lt;30000",Sheet1!$F$2:'Sheet1'!$F$4115,"failed")</f>
        <v>37</v>
      </c>
      <c r="D9">
        <f>COUNTIFS(Sheet1!$D$2:'Sheet1'!$D$4115,"&lt;=34999",Sheet1!$F$2:'Sheet1'!$F$4115,"canceled")-COUNTIFS(Sheet1!$D$2:'Sheet1'!$D$4115,"&lt;30000",Sheet1!$F$2:'Sheet1'!$F$4115,"canceled")</f>
        <v>13</v>
      </c>
      <c r="E9">
        <f t="shared" si="3"/>
        <v>82</v>
      </c>
      <c r="F9" s="12">
        <f t="shared" si="0"/>
        <v>0.3902439024390244</v>
      </c>
      <c r="G9" s="12">
        <f t="shared" si="1"/>
        <v>0.45121951219512196</v>
      </c>
      <c r="H9" s="12">
        <f t="shared" si="2"/>
        <v>0.15853658536585366</v>
      </c>
    </row>
    <row r="10" spans="1:8" x14ac:dyDescent="0.2">
      <c r="A10" t="s">
        <v>8389</v>
      </c>
      <c r="B10">
        <f>COUNTIFS(Sheet1!$D$2:'Sheet1'!$D$4115,"&lt;=39999",Sheet1!$F$2:'Sheet1'!$F$4115,"successful")-COUNTIFS(Sheet1!$D$2:'Sheet1'!$D$4115,"&lt;35000",Sheet1!$F$2:'Sheet1'!$F$4115,"successful")</f>
        <v>26</v>
      </c>
      <c r="C10">
        <f>COUNTIFS(Sheet1!$D$2:'Sheet1'!$D$4115,"&lt;=39999",Sheet1!$F$2:'Sheet1'!$F$4115,"failed")-COUNTIFS(Sheet1!$D$2:'Sheet1'!$D$4115,"&lt;35000",Sheet1!$F$2:'Sheet1'!$F$4115,"failed")</f>
        <v>22</v>
      </c>
      <c r="D10">
        <f>COUNTIFS(Sheet1!$D$2:'Sheet1'!$D$4115,"&lt;=39999",Sheet1!$F$2:'Sheet1'!$F$4115,"canceled")-COUNTIFS(Sheet1!$D$2:'Sheet1'!$D$4115,"&lt;35000",Sheet1!$F$2:'Sheet1'!$F$4115,"canceled")</f>
        <v>7</v>
      </c>
      <c r="E10">
        <f t="shared" si="3"/>
        <v>55</v>
      </c>
      <c r="F10" s="12">
        <f t="shared" si="0"/>
        <v>0.47272727272727272</v>
      </c>
      <c r="G10" s="12">
        <f t="shared" si="1"/>
        <v>0.4</v>
      </c>
      <c r="H10" s="12">
        <f t="shared" si="2"/>
        <v>0.12727272727272726</v>
      </c>
    </row>
    <row r="11" spans="1:8" x14ac:dyDescent="0.2">
      <c r="A11" t="s">
        <v>8390</v>
      </c>
      <c r="B11">
        <f>COUNTIFS(Sheet1!$D$2:'Sheet1'!$D$4115,"&lt;=44999",Sheet1!$F$2:'Sheet1'!$F$4115,"successful")-COUNTIFS(Sheet1!$D$2:'Sheet1'!$D$4115,"&lt;40000",Sheet1!$F$2:'Sheet1'!$F$4115,"successful")</f>
        <v>21</v>
      </c>
      <c r="C11">
        <f>COUNTIFS(Sheet1!$D$2:'Sheet1'!$D$4115,"&lt;=44999",Sheet1!$F$2:'Sheet1'!$F$4115,"failed")-COUNTIFS(Sheet1!$D$2:'Sheet1'!$D$4115,"&lt;40000",Sheet1!$F$2:'Sheet1'!$F$4115,"failed")</f>
        <v>16</v>
      </c>
      <c r="D11">
        <f>COUNTIFS(Sheet1!$D$2:'Sheet1'!$D$4115,"&lt;=44999",Sheet1!$F$2:'Sheet1'!$F$4115,"canceled")-COUNTIFS(Sheet1!$D$2:'Sheet1'!$D$4115,"&lt;40000",Sheet1!$F$2:'Sheet1'!$F$4115,"canceled")</f>
        <v>6</v>
      </c>
      <c r="E11">
        <f t="shared" si="3"/>
        <v>43</v>
      </c>
      <c r="F11" s="12">
        <f t="shared" si="0"/>
        <v>0.48837209302325579</v>
      </c>
      <c r="G11" s="12">
        <f t="shared" si="1"/>
        <v>0.37209302325581395</v>
      </c>
      <c r="H11" s="12">
        <f t="shared" si="2"/>
        <v>0.13953488372093023</v>
      </c>
    </row>
    <row r="12" spans="1:8" x14ac:dyDescent="0.2">
      <c r="A12" t="s">
        <v>8391</v>
      </c>
      <c r="B12">
        <f>COUNTIFS(Sheet1!$D$2:'Sheet1'!$D$4115,"&lt;=49999",Sheet1!$F$2:'Sheet1'!$F$4115,"successful")-COUNTIFS(Sheet1!$D$2:'Sheet1'!$D$4115,"&lt;45000",Sheet1!$F$2:'Sheet1'!$F$4115,"successful")</f>
        <v>6</v>
      </c>
      <c r="C12">
        <f>COUNTIFS(Sheet1!$D$2:'Sheet1'!$D$4115,"&lt;=49999",Sheet1!$F$2:'Sheet1'!$F$4115,"failed")-COUNTIFS(Sheet1!$D$2:'Sheet1'!$D$4115,"&lt;45000",Sheet1!$F$2:'Sheet1'!$F$4115,"failed")</f>
        <v>11</v>
      </c>
      <c r="D12">
        <f>COUNTIFS(Sheet1!$D$2:'Sheet1'!$D$4115,"&lt;=49999",Sheet1!$F$2:'Sheet1'!$F$4115,"canceled")-COUNTIFS(Sheet1!$D$2:'Sheet1'!$D$4115,"&lt;45000",Sheet1!$F$2:'Sheet1'!$F$4115,"canceled")</f>
        <v>4</v>
      </c>
      <c r="E12">
        <f t="shared" si="3"/>
        <v>21</v>
      </c>
      <c r="F12" s="12">
        <f t="shared" si="0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 x14ac:dyDescent="0.2">
      <c r="A13" t="s">
        <v>8399</v>
      </c>
      <c r="B13">
        <f>COUNTIFS(Sheet1!$D$2:'Sheet1'!$D$4115,"&gt;=50000",Sheet1!$F$2:'Sheet1'!$F$4115,"successful")</f>
        <v>86</v>
      </c>
      <c r="C13">
        <f>COUNTIFS(Sheet1!$D$2:'Sheet1'!$D$4115,"&gt;=50000",Sheet1!$F$2:'Sheet1'!$F$4115,"failed")</f>
        <v>258</v>
      </c>
      <c r="D13">
        <f>COUNTIFS(Sheet1!$D$2:'Sheet1'!$D$4115,"&gt;=50000",Sheet1!$F$2:'Sheet1'!$F$4115,"canceled")</f>
        <v>100</v>
      </c>
      <c r="E13">
        <f t="shared" si="3"/>
        <v>444</v>
      </c>
      <c r="F13" s="12">
        <f t="shared" si="0"/>
        <v>0.19369369369369369</v>
      </c>
      <c r="G13" s="12">
        <f t="shared" si="1"/>
        <v>0.58108108108108103</v>
      </c>
      <c r="H13" s="12">
        <f t="shared" si="2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F221-E605-2D4B-848A-6F49DF1F763A}">
  <dimension ref="A1:K2186"/>
  <sheetViews>
    <sheetView tabSelected="1" workbookViewId="0">
      <selection activeCell="J17" sqref="J17"/>
    </sheetView>
  </sheetViews>
  <sheetFormatPr baseColWidth="10" defaultRowHeight="15" x14ac:dyDescent="0.2"/>
  <cols>
    <col min="9" max="9" width="15.33203125" bestFit="1" customWidth="1"/>
    <col min="10" max="10" width="12.6640625" bestFit="1" customWidth="1"/>
    <col min="11" max="11" width="11" bestFit="1" customWidth="1"/>
  </cols>
  <sheetData>
    <row r="1" spans="1:11" x14ac:dyDescent="0.2">
      <c r="A1" t="s">
        <v>8400</v>
      </c>
      <c r="B1" t="s">
        <v>8409</v>
      </c>
      <c r="D1" t="s">
        <v>8400</v>
      </c>
      <c r="E1" t="s">
        <v>8262</v>
      </c>
      <c r="J1" t="s">
        <v>8407</v>
      </c>
      <c r="K1" t="s">
        <v>8408</v>
      </c>
    </row>
    <row r="2" spans="1:11" x14ac:dyDescent="0.2">
      <c r="A2" t="s">
        <v>8219</v>
      </c>
      <c r="B2">
        <v>182</v>
      </c>
      <c r="D2" t="s">
        <v>8221</v>
      </c>
      <c r="E2">
        <v>0</v>
      </c>
      <c r="I2" t="s">
        <v>8402</v>
      </c>
      <c r="J2" s="6">
        <f>AVERAGE($B$2:$B$2186)</f>
        <v>194.42517162471395</v>
      </c>
      <c r="K2" s="6">
        <f>AVERAGE($E$2:$E$1531)</f>
        <v>17.709803921568628</v>
      </c>
    </row>
    <row r="3" spans="1:11" x14ac:dyDescent="0.2">
      <c r="A3" t="s">
        <v>8219</v>
      </c>
      <c r="B3">
        <v>79</v>
      </c>
      <c r="D3" t="s">
        <v>8221</v>
      </c>
      <c r="E3">
        <v>1</v>
      </c>
      <c r="I3" t="s">
        <v>8401</v>
      </c>
      <c r="J3" s="6">
        <f>MEDIAN($B$2:$B$2186)</f>
        <v>62</v>
      </c>
      <c r="K3" s="6">
        <f>MEDIAN($E$2:$E$1531)</f>
        <v>4</v>
      </c>
    </row>
    <row r="4" spans="1:11" x14ac:dyDescent="0.2">
      <c r="A4" t="s">
        <v>8219</v>
      </c>
      <c r="B4">
        <v>35</v>
      </c>
      <c r="D4" t="s">
        <v>8221</v>
      </c>
      <c r="E4">
        <v>10</v>
      </c>
      <c r="I4" t="s">
        <v>8403</v>
      </c>
      <c r="J4" s="6">
        <f>MIN($B$2:$B$2186)</f>
        <v>1</v>
      </c>
      <c r="K4" s="6">
        <f>MIN($E$2:$E$1531)</f>
        <v>0</v>
      </c>
    </row>
    <row r="5" spans="1:11" x14ac:dyDescent="0.2">
      <c r="A5" t="s">
        <v>8219</v>
      </c>
      <c r="B5">
        <v>150</v>
      </c>
      <c r="D5" t="s">
        <v>8221</v>
      </c>
      <c r="E5">
        <v>0</v>
      </c>
      <c r="I5" t="s">
        <v>8404</v>
      </c>
      <c r="J5" s="6">
        <f>MAX($B$2:$B$2186)</f>
        <v>26457</v>
      </c>
      <c r="K5" s="6">
        <f>MAX($E$2:$E$1531)</f>
        <v>1293</v>
      </c>
    </row>
    <row r="6" spans="1:11" x14ac:dyDescent="0.2">
      <c r="A6" t="s">
        <v>8219</v>
      </c>
      <c r="B6">
        <v>284</v>
      </c>
      <c r="D6" t="s">
        <v>8221</v>
      </c>
      <c r="E6">
        <v>7</v>
      </c>
      <c r="I6" t="s">
        <v>8405</v>
      </c>
      <c r="J6" s="6">
        <f>_xlfn.VAR.S($B$2:$B$2186)</f>
        <v>713167.37912800396</v>
      </c>
      <c r="K6" s="6">
        <f>_xlfn.VAR.S($E$2:$E$1531)</f>
        <v>3775.6894394644714</v>
      </c>
    </row>
    <row r="7" spans="1:11" x14ac:dyDescent="0.2">
      <c r="A7" t="s">
        <v>8219</v>
      </c>
      <c r="B7">
        <v>47</v>
      </c>
      <c r="D7" t="s">
        <v>8221</v>
      </c>
      <c r="E7">
        <v>0</v>
      </c>
      <c r="I7" t="s">
        <v>8406</v>
      </c>
      <c r="J7" s="6">
        <f>_xlfn.STDEV.S($B$2:$B$2186)</f>
        <v>844.49237955591047</v>
      </c>
      <c r="K7" s="6">
        <f>_xlfn.STDEV.S($E$2:$E$1531)</f>
        <v>61.446638959868842</v>
      </c>
    </row>
    <row r="8" spans="1:11" x14ac:dyDescent="0.2">
      <c r="A8" t="s">
        <v>8219</v>
      </c>
      <c r="B8">
        <v>58</v>
      </c>
      <c r="D8" t="s">
        <v>8221</v>
      </c>
      <c r="E8">
        <v>1</v>
      </c>
    </row>
    <row r="9" spans="1:11" x14ac:dyDescent="0.2">
      <c r="A9" t="s">
        <v>8219</v>
      </c>
      <c r="B9">
        <v>57</v>
      </c>
      <c r="D9" t="s">
        <v>8221</v>
      </c>
      <c r="E9">
        <v>2</v>
      </c>
    </row>
    <row r="10" spans="1:11" x14ac:dyDescent="0.2">
      <c r="A10" t="s">
        <v>8219</v>
      </c>
      <c r="B10">
        <v>12</v>
      </c>
      <c r="D10" t="s">
        <v>8221</v>
      </c>
      <c r="E10">
        <v>3</v>
      </c>
    </row>
    <row r="11" spans="1:11" x14ac:dyDescent="0.2">
      <c r="A11" t="s">
        <v>8219</v>
      </c>
      <c r="B11">
        <v>20</v>
      </c>
      <c r="D11" t="s">
        <v>8221</v>
      </c>
      <c r="E11">
        <v>10</v>
      </c>
    </row>
    <row r="12" spans="1:11" x14ac:dyDescent="0.2">
      <c r="A12" t="s">
        <v>8219</v>
      </c>
      <c r="B12">
        <v>19</v>
      </c>
      <c r="D12" t="s">
        <v>8221</v>
      </c>
      <c r="E12">
        <v>10</v>
      </c>
    </row>
    <row r="13" spans="1:11" x14ac:dyDescent="0.2">
      <c r="A13" t="s">
        <v>8219</v>
      </c>
      <c r="B13">
        <v>75</v>
      </c>
      <c r="D13" t="s">
        <v>8221</v>
      </c>
      <c r="E13">
        <v>1</v>
      </c>
    </row>
    <row r="14" spans="1:11" x14ac:dyDescent="0.2">
      <c r="A14" t="s">
        <v>8219</v>
      </c>
      <c r="B14">
        <v>827</v>
      </c>
      <c r="D14" t="s">
        <v>8221</v>
      </c>
      <c r="E14">
        <v>0</v>
      </c>
    </row>
    <row r="15" spans="1:11" x14ac:dyDescent="0.2">
      <c r="A15" t="s">
        <v>8219</v>
      </c>
      <c r="B15">
        <v>51</v>
      </c>
      <c r="D15" t="s">
        <v>8221</v>
      </c>
      <c r="E15">
        <v>0</v>
      </c>
    </row>
    <row r="16" spans="1:11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7" priority="7" operator="containsText" text="live">
      <formula>NOT(ISERROR(SEARCH("live",A2)))</formula>
    </cfRule>
    <cfRule type="containsText" dxfId="6" priority="8" operator="containsText" text="failed">
      <formula>NOT(ISERROR(SEARCH("failed",A2)))</formula>
    </cfRule>
    <cfRule type="containsText" dxfId="5" priority="9" operator="containsText" text="canceled">
      <formula>NOT(ISERROR(SEARCH("canceled",A2)))</formula>
    </cfRule>
    <cfRule type="containsText" dxfId="4" priority="10" operator="containsText" text="successful">
      <formula>NOT(ISERROR(SEARCH("successful",A2)))</formula>
    </cfRule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{AEE7D6D9-29D0-BC49-BFDC-0260269869AA}</x14:id>
        </ext>
      </extLst>
    </cfRule>
  </conditionalFormatting>
  <conditionalFormatting sqref="D2:D1531">
    <cfRule type="containsText" dxfId="3" priority="2" operator="containsText" text="live">
      <formula>NOT(ISERROR(SEARCH("live",D2)))</formula>
    </cfRule>
    <cfRule type="containsText" dxfId="2" priority="3" operator="containsText" text="failed">
      <formula>NOT(ISERROR(SEARCH("failed",D2)))</formula>
    </cfRule>
    <cfRule type="containsText" dxfId="1" priority="4" operator="containsText" text="canceled">
      <formula>NOT(ISERROR(SEARCH("canceled",D2)))</formula>
    </cfRule>
    <cfRule type="containsText" dxfId="0" priority="5" operator="containsText" text="successful">
      <formula>NOT(ISERROR(SEARCH("successful",D2)))</formula>
    </cfRule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{CCDD329A-DE83-2B47-8EAC-EA4A2DA6D57F}</x14:id>
        </ext>
      </extLst>
    </cfRule>
  </conditionalFormatting>
  <conditionalFormatting sqref="D50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{57D1E12C-3F0E-7042-9883-0E4381674EDF}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EE7D6D9-29D0-BC49-BFDC-0260269869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A2:A2186</xm:sqref>
        </x14:conditionalFormatting>
        <x14:conditionalFormatting xmlns:xm="http://schemas.microsoft.com/office/excel/2006/main">
          <x14:cfRule type="dataBar" id="{CCDD329A-DE83-2B47-8EAC-EA4A2DA6D5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D2:D1531</xm:sqref>
        </x14:conditionalFormatting>
        <x14:conditionalFormatting xmlns:xm="http://schemas.microsoft.com/office/excel/2006/main">
          <x14:cfRule type="dataBar" id="{57D1E12C-3F0E-7042-9883-0E4381674E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D507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J1" zoomScaleNormal="100" workbookViewId="0">
      <selection activeCell="F178" sqref="F17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5" bestFit="1" customWidth="1"/>
    <col min="17" max="17" width="11" bestFit="1" customWidth="1"/>
    <col min="18" max="18" width="11.1640625" bestFit="1" customWidth="1"/>
    <col min="19" max="19" width="19.83203125" bestFit="1" customWidth="1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8321</v>
      </c>
      <c r="R1" s="1" t="s">
        <v>8308</v>
      </c>
      <c r="S1" t="s">
        <v>8366</v>
      </c>
      <c r="T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5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5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5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5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5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5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5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5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5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5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5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5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5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5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5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5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5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5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5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5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5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5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5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5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5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5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5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5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5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5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5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5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5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5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5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5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5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5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5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5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5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5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5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5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5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5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5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5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5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5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5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F1:F4115" xr:uid="{CB4936C6-92E7-EF4E-9D2E-3508894391C8}"/>
  <conditionalFormatting sqref="F111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{B8C6A215-05C6-0841-8328-3F4DAB62A7FC}</x14:id>
        </ext>
      </extLst>
    </cfRule>
  </conditionalFormatting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6" operator="containsText" text="successful">
      <formula>NOT(ISERROR(SEARCH("successful",F1)))</formula>
    </cfRule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{6AEE7B92-1EF2-0143-9D00-EA809C7A355D}</x14:id>
        </ext>
      </extLst>
    </cfRule>
  </conditionalFormatting>
  <conditionalFormatting sqref="P1:R1 O1:O1048576">
    <cfRule type="colorScale" priority="1">
      <colorScale>
        <cfvo type="num" val="0"/>
        <cfvo type="num" val="100"/>
        <cfvo type="num" val="200"/>
        <color rgb="FFC00000"/>
        <color rgb="FF92D05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C6A215-05C6-0841-8328-3F4DAB62A7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F1111</xm:sqref>
        </x14:conditionalFormatting>
        <x14:conditionalFormatting xmlns:xm="http://schemas.microsoft.com/office/excel/2006/main">
          <x14:cfRule type="dataBar" id="{6AEE7B92-1EF2-0143-9D00-EA809C7A35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</vt:lpstr>
      <vt:lpstr>sub_pivot</vt:lpstr>
      <vt:lpstr>LaunchDateOutcomes_pivot</vt:lpstr>
      <vt:lpstr>Bonus_statistics</vt:lpstr>
      <vt:lpstr>Bonus_backers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2021-06-19T07:07:43Z</dcterms:modified>
</cp:coreProperties>
</file>